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comments2.xml" ContentType="application/vnd.openxmlformats-officedocument.spreadsheetml.comment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225" yWindow="30" windowWidth="13095" windowHeight="11955" activeTab="1"/>
  </bookViews>
  <sheets>
    <sheet name="Приложение 11" sheetId="4" r:id="rId1"/>
    <sheet name="приложение 11-2" sheetId="5" r:id="rId2"/>
  </sheets>
  <externalReferences>
    <externalReference r:id="rId3"/>
    <externalReference r:id="rId4"/>
    <externalReference r:id="rId5"/>
  </externalReferences>
  <definedNames>
    <definedName name="Items">[1]Lists!$D$2:$D$297</definedName>
    <definedName name="_xlnm.Print_Titles" localSheetId="0">'Приложение 11'!$8:$10</definedName>
    <definedName name="_xlnm.Print_Titles" localSheetId="1">'приложение 11-2'!$8:$10</definedName>
    <definedName name="_xlnm.Print_Area" localSheetId="0">'Приложение 11'!$A$1:$R$1788</definedName>
    <definedName name="_xlnm.Print_Area" localSheetId="1">'приложение 11-2'!$A$1:$P$165</definedName>
  </definedNames>
  <calcPr calcId="144525"/>
</workbook>
</file>

<file path=xl/calcChain.xml><?xml version="1.0" encoding="utf-8"?>
<calcChain xmlns="http://schemas.openxmlformats.org/spreadsheetml/2006/main">
  <c r="H782" i="4" l="1"/>
  <c r="I782" i="4"/>
  <c r="J782" i="4"/>
  <c r="G782" i="4"/>
  <c r="G1788" i="4" l="1"/>
  <c r="J1786" i="4"/>
  <c r="I1786" i="4"/>
  <c r="H1786" i="4"/>
  <c r="J1784" i="4"/>
  <c r="I1784" i="4"/>
  <c r="H1784" i="4"/>
  <c r="G1784" i="4"/>
  <c r="J1783" i="4"/>
  <c r="J1781" i="4" s="1"/>
  <c r="J1788" i="4" s="1"/>
  <c r="I1783" i="4"/>
  <c r="H1783" i="4"/>
  <c r="G1783" i="4"/>
  <c r="J1782" i="4"/>
  <c r="I1782" i="4"/>
  <c r="H1782" i="4"/>
  <c r="G1782" i="4"/>
  <c r="I1781" i="4"/>
  <c r="I1788" i="4" s="1"/>
  <c r="H1781" i="4"/>
  <c r="H1788" i="4" s="1"/>
  <c r="G1781" i="4"/>
  <c r="F1781" i="4"/>
  <c r="G1779" i="4"/>
  <c r="H1778" i="4"/>
  <c r="H1776" i="4"/>
  <c r="H1774" i="4"/>
  <c r="H1773" i="4"/>
  <c r="H1772" i="4"/>
  <c r="J1771" i="4"/>
  <c r="J1779" i="4" s="1"/>
  <c r="I1771" i="4"/>
  <c r="H1771" i="4"/>
  <c r="H1779" i="4" s="1"/>
  <c r="G1771" i="4"/>
  <c r="J1767" i="4"/>
  <c r="I1767" i="4"/>
  <c r="I1779" i="4" s="1"/>
  <c r="H1767" i="4"/>
  <c r="G1765" i="4"/>
  <c r="H1764" i="4"/>
  <c r="J1763" i="4"/>
  <c r="I1763" i="4"/>
  <c r="H1763" i="4"/>
  <c r="G1763" i="4"/>
  <c r="F1763" i="4"/>
  <c r="H1759" i="4"/>
  <c r="H1758" i="4"/>
  <c r="J1757" i="4"/>
  <c r="J1765" i="4" s="1"/>
  <c r="I1757" i="4"/>
  <c r="I1765" i="4" s="1"/>
  <c r="H1757" i="4"/>
  <c r="H1765" i="4" s="1"/>
  <c r="G1757" i="4"/>
  <c r="F1757" i="4"/>
  <c r="F1765" i="4" s="1"/>
  <c r="I1755" i="4"/>
  <c r="J1751" i="4"/>
  <c r="I1751" i="4"/>
  <c r="H1751" i="4"/>
  <c r="G1751" i="4"/>
  <c r="F1751" i="4"/>
  <c r="J1742" i="4"/>
  <c r="J1755" i="4" s="1"/>
  <c r="I1742" i="4"/>
  <c r="H1742" i="4"/>
  <c r="H1755" i="4" s="1"/>
  <c r="G1742" i="4"/>
  <c r="G1755" i="4" s="1"/>
  <c r="F1742" i="4"/>
  <c r="F1755" i="4" s="1"/>
  <c r="H1740" i="4"/>
  <c r="J1736" i="4"/>
  <c r="I1736" i="4"/>
  <c r="H1736" i="4"/>
  <c r="G1736" i="4"/>
  <c r="F1736" i="4"/>
  <c r="J1732" i="4"/>
  <c r="I1732" i="4"/>
  <c r="H1732" i="4"/>
  <c r="G1732" i="4"/>
  <c r="F1732" i="4"/>
  <c r="J1723" i="4"/>
  <c r="J1740" i="4" s="1"/>
  <c r="I1723" i="4"/>
  <c r="I1740" i="4" s="1"/>
  <c r="H1723" i="4"/>
  <c r="G1723" i="4"/>
  <c r="G1740" i="4" s="1"/>
  <c r="F1723" i="4"/>
  <c r="F1740" i="4" s="1"/>
  <c r="H1721" i="4"/>
  <c r="J1718" i="4"/>
  <c r="I1718" i="4"/>
  <c r="H1718" i="4"/>
  <c r="G1718" i="4"/>
  <c r="F1718" i="4"/>
  <c r="J1711" i="4"/>
  <c r="I1711" i="4"/>
  <c r="H1711" i="4"/>
  <c r="G1711" i="4"/>
  <c r="F1711" i="4"/>
  <c r="F1707" i="4"/>
  <c r="F1706" i="4"/>
  <c r="J1704" i="4"/>
  <c r="I1704" i="4"/>
  <c r="H1704" i="4"/>
  <c r="G1704" i="4"/>
  <c r="F1704" i="4"/>
  <c r="J1697" i="4"/>
  <c r="J1721" i="4" s="1"/>
  <c r="I1697" i="4"/>
  <c r="I1721" i="4" s="1"/>
  <c r="H1697" i="4"/>
  <c r="G1697" i="4"/>
  <c r="G1721" i="4" s="1"/>
  <c r="F1697" i="4"/>
  <c r="F1721" i="4" s="1"/>
  <c r="J1694" i="4"/>
  <c r="I1694" i="4"/>
  <c r="H1694" i="4"/>
  <c r="G1694" i="4"/>
  <c r="F1694" i="4"/>
  <c r="H1690" i="4"/>
  <c r="J1686" i="4"/>
  <c r="J1690" i="4" s="1"/>
  <c r="I1686" i="4"/>
  <c r="I1690" i="4" s="1"/>
  <c r="H1686" i="4"/>
  <c r="G1686" i="4"/>
  <c r="G1690" i="4" s="1"/>
  <c r="F1686" i="4"/>
  <c r="F1690" i="4" s="1"/>
  <c r="J1684" i="4"/>
  <c r="J1683" i="4"/>
  <c r="I1683" i="4"/>
  <c r="H1683" i="4"/>
  <c r="G1683" i="4"/>
  <c r="F1681" i="4"/>
  <c r="J1680" i="4"/>
  <c r="I1680" i="4"/>
  <c r="H1680" i="4"/>
  <c r="H1677" i="4" s="1"/>
  <c r="J1679" i="4"/>
  <c r="I1679" i="4"/>
  <c r="H1679" i="4"/>
  <c r="G1679" i="4"/>
  <c r="G1677" i="4" s="1"/>
  <c r="J1678" i="4"/>
  <c r="I1678" i="4"/>
  <c r="H1678" i="4"/>
  <c r="F1678" i="4"/>
  <c r="F1677" i="4" s="1"/>
  <c r="F1684" i="4" s="1"/>
  <c r="J1677" i="4"/>
  <c r="I1677" i="4"/>
  <c r="J1668" i="4"/>
  <c r="I1668" i="4"/>
  <c r="I1684" i="4" s="1"/>
  <c r="H1668" i="4"/>
  <c r="G1668" i="4"/>
  <c r="F1668" i="4"/>
  <c r="I1666" i="4"/>
  <c r="H1665" i="4"/>
  <c r="H1664" i="4" s="1"/>
  <c r="H1666" i="4" s="1"/>
  <c r="J1664" i="4"/>
  <c r="J1666" i="4" s="1"/>
  <c r="I1664" i="4"/>
  <c r="G1664" i="4"/>
  <c r="G1666" i="4" s="1"/>
  <c r="F1664" i="4"/>
  <c r="F1666" i="4" s="1"/>
  <c r="J1661" i="4"/>
  <c r="I1661" i="4"/>
  <c r="I1658" i="4" s="1"/>
  <c r="H1661" i="4"/>
  <c r="G1661" i="4"/>
  <c r="F1661" i="4"/>
  <c r="J1660" i="4"/>
  <c r="J1658" i="4" s="1"/>
  <c r="I1660" i="4"/>
  <c r="H1660" i="4"/>
  <c r="G1660" i="4"/>
  <c r="F1660" i="4"/>
  <c r="F1658" i="4" s="1"/>
  <c r="J1659" i="4"/>
  <c r="I1659" i="4"/>
  <c r="H1659" i="4"/>
  <c r="G1659" i="4"/>
  <c r="G1658" i="4" s="1"/>
  <c r="F1659" i="4"/>
  <c r="H1658" i="4"/>
  <c r="J1657" i="4"/>
  <c r="I1657" i="4"/>
  <c r="I1654" i="4" s="1"/>
  <c r="H1657" i="4"/>
  <c r="G1657" i="4"/>
  <c r="F1657" i="4"/>
  <c r="J1656" i="4"/>
  <c r="J1654" i="4" s="1"/>
  <c r="I1656" i="4"/>
  <c r="H1656" i="4"/>
  <c r="G1656" i="4"/>
  <c r="F1656" i="4"/>
  <c r="F1654" i="4" s="1"/>
  <c r="J1655" i="4"/>
  <c r="I1655" i="4"/>
  <c r="H1655" i="4"/>
  <c r="G1655" i="4"/>
  <c r="G1654" i="4" s="1"/>
  <c r="F1655" i="4"/>
  <c r="H1654" i="4"/>
  <c r="J1653" i="4"/>
  <c r="I1653" i="4"/>
  <c r="I1649" i="4" s="1"/>
  <c r="H1653" i="4"/>
  <c r="G1653" i="4"/>
  <c r="F1653" i="4"/>
  <c r="J1652" i="4"/>
  <c r="J1649" i="4" s="1"/>
  <c r="I1652" i="4"/>
  <c r="H1652" i="4"/>
  <c r="G1652" i="4"/>
  <c r="F1652" i="4"/>
  <c r="F1649" i="4" s="1"/>
  <c r="J1651" i="4"/>
  <c r="I1651" i="4"/>
  <c r="H1651" i="4"/>
  <c r="G1651" i="4"/>
  <c r="G1649" i="4" s="1"/>
  <c r="F1651" i="4"/>
  <c r="H1649" i="4"/>
  <c r="H1662" i="4" s="1"/>
  <c r="J1648" i="4"/>
  <c r="I1648" i="4"/>
  <c r="I1645" i="4" s="1"/>
  <c r="I1662" i="4" s="1"/>
  <c r="J1647" i="4"/>
  <c r="J1646" i="4"/>
  <c r="G1646" i="4"/>
  <c r="J1645" i="4"/>
  <c r="J1662" i="4" s="1"/>
  <c r="H1645" i="4"/>
  <c r="G1645" i="4"/>
  <c r="F1645" i="4"/>
  <c r="J1643" i="4"/>
  <c r="I1643" i="4"/>
  <c r="H1643" i="4"/>
  <c r="G1643" i="4"/>
  <c r="F1643" i="4"/>
  <c r="J1640" i="4"/>
  <c r="I1640" i="4"/>
  <c r="H1640" i="4"/>
  <c r="G1640" i="4"/>
  <c r="F1640" i="4"/>
  <c r="G1623" i="4"/>
  <c r="F1623" i="4"/>
  <c r="F1622" i="4"/>
  <c r="F1621" i="4"/>
  <c r="R1620" i="4"/>
  <c r="Q1620" i="4"/>
  <c r="P1620" i="4"/>
  <c r="O1620" i="4"/>
  <c r="N1620" i="4"/>
  <c r="J1620" i="4"/>
  <c r="I1620" i="4"/>
  <c r="H1620" i="4"/>
  <c r="G1620" i="4"/>
  <c r="F1620" i="4"/>
  <c r="R1619" i="4"/>
  <c r="Q1619" i="4"/>
  <c r="P1619" i="4"/>
  <c r="O1619" i="4"/>
  <c r="N1619" i="4"/>
  <c r="F1618" i="4"/>
  <c r="R1617" i="4"/>
  <c r="Q1617" i="4"/>
  <c r="P1617" i="4"/>
  <c r="O1617" i="4"/>
  <c r="N1617" i="4"/>
  <c r="F1617" i="4"/>
  <c r="F1616" i="4"/>
  <c r="F1615" i="4"/>
  <c r="F1614" i="4"/>
  <c r="F1612" i="4" s="1"/>
  <c r="F1624" i="4" s="1"/>
  <c r="F1613" i="4"/>
  <c r="R1612" i="4"/>
  <c r="Q1612" i="4"/>
  <c r="P1612" i="4"/>
  <c r="O1612" i="4"/>
  <c r="N1612" i="4"/>
  <c r="J1612" i="4"/>
  <c r="J1624" i="4" s="1"/>
  <c r="I1612" i="4"/>
  <c r="I1624" i="4" s="1"/>
  <c r="H1612" i="4"/>
  <c r="H1624" i="4" s="1"/>
  <c r="G1612" i="4"/>
  <c r="G1624" i="4" s="1"/>
  <c r="J1610" i="4"/>
  <c r="I1610" i="4"/>
  <c r="G1610" i="4"/>
  <c r="F1610" i="4"/>
  <c r="H1604" i="4"/>
  <c r="H1601" i="4"/>
  <c r="H1610" i="4" s="1"/>
  <c r="J1600" i="4"/>
  <c r="I1600" i="4"/>
  <c r="H1600" i="4"/>
  <c r="G1600" i="4"/>
  <c r="F1600" i="4"/>
  <c r="J1598" i="4"/>
  <c r="I1598" i="4"/>
  <c r="G1598" i="4"/>
  <c r="F1598" i="4"/>
  <c r="H1595" i="4"/>
  <c r="H1594" i="4" s="1"/>
  <c r="H1592" i="4"/>
  <c r="H1591" i="4"/>
  <c r="H1590" i="4"/>
  <c r="H1589" i="4"/>
  <c r="H1588" i="4"/>
  <c r="H1587" i="4"/>
  <c r="H1585" i="4"/>
  <c r="H1584" i="4" s="1"/>
  <c r="H1580" i="4"/>
  <c r="H1577" i="4"/>
  <c r="J1572" i="4"/>
  <c r="I1572" i="4"/>
  <c r="H1572" i="4"/>
  <c r="G1572" i="4"/>
  <c r="F1572" i="4"/>
  <c r="J1566" i="4"/>
  <c r="J1582" i="4" s="1"/>
  <c r="I1566" i="4"/>
  <c r="I1582" i="4" s="1"/>
  <c r="H1566" i="4"/>
  <c r="H1582" i="4" s="1"/>
  <c r="G1566" i="4"/>
  <c r="G1582" i="4" s="1"/>
  <c r="F1566" i="4"/>
  <c r="F1582" i="4" s="1"/>
  <c r="J1561" i="4"/>
  <c r="I1561" i="4"/>
  <c r="H1561" i="4"/>
  <c r="G1561" i="4" s="1"/>
  <c r="J1555" i="4"/>
  <c r="J1548" i="4" s="1"/>
  <c r="I1555" i="4"/>
  <c r="H1555" i="4"/>
  <c r="G1555" i="4" s="1"/>
  <c r="K1554" i="4"/>
  <c r="K1553" i="4"/>
  <c r="K1551" i="4"/>
  <c r="J1551" i="4"/>
  <c r="I1551" i="4"/>
  <c r="I1548" i="4" s="1"/>
  <c r="H1551" i="4"/>
  <c r="G1551" i="4"/>
  <c r="K1550" i="4"/>
  <c r="K1549" i="4"/>
  <c r="J1549" i="4"/>
  <c r="I1549" i="4"/>
  <c r="H1549" i="4"/>
  <c r="G1549" i="4"/>
  <c r="H1548" i="4"/>
  <c r="J1547" i="4"/>
  <c r="I1547" i="4"/>
  <c r="G1547" i="4"/>
  <c r="J1545" i="4"/>
  <c r="J1537" i="4" s="1"/>
  <c r="J1564" i="4" s="1"/>
  <c r="I1545" i="4"/>
  <c r="J1543" i="4"/>
  <c r="I1543" i="4"/>
  <c r="H1543" i="4"/>
  <c r="H1537" i="4" s="1"/>
  <c r="J1542" i="4"/>
  <c r="I1542" i="4"/>
  <c r="H1542" i="4"/>
  <c r="G1542" i="4"/>
  <c r="J1541" i="4"/>
  <c r="I1541" i="4"/>
  <c r="H1541" i="4"/>
  <c r="G1541" i="4"/>
  <c r="J1540" i="4"/>
  <c r="I1540" i="4"/>
  <c r="H1540" i="4"/>
  <c r="G1540" i="4"/>
  <c r="J1539" i="4"/>
  <c r="I1539" i="4"/>
  <c r="H1539" i="4"/>
  <c r="G1539" i="4"/>
  <c r="J1538" i="4"/>
  <c r="I1538" i="4"/>
  <c r="H1538" i="4"/>
  <c r="G1538" i="4"/>
  <c r="I1537" i="4"/>
  <c r="I1564" i="4" s="1"/>
  <c r="J1534" i="4"/>
  <c r="I1534" i="4"/>
  <c r="G1534" i="4"/>
  <c r="F1534" i="4"/>
  <c r="J1533" i="4"/>
  <c r="I1533" i="4"/>
  <c r="G1533" i="4"/>
  <c r="F1533" i="4"/>
  <c r="J1532" i="4"/>
  <c r="I1532" i="4"/>
  <c r="G1532" i="4"/>
  <c r="F1532" i="4"/>
  <c r="J1531" i="4"/>
  <c r="I1531" i="4"/>
  <c r="G1531" i="4"/>
  <c r="F1531" i="4"/>
  <c r="J1530" i="4"/>
  <c r="I1530" i="4"/>
  <c r="G1530" i="4"/>
  <c r="G1529" i="4" s="1"/>
  <c r="G1535" i="4" s="1"/>
  <c r="F1530" i="4"/>
  <c r="J1529" i="4"/>
  <c r="J1535" i="4" s="1"/>
  <c r="I1529" i="4"/>
  <c r="I1535" i="4" s="1"/>
  <c r="H1529" i="4"/>
  <c r="H1535" i="4" s="1"/>
  <c r="F1529" i="4"/>
  <c r="F1535" i="4" s="1"/>
  <c r="J1528" i="4"/>
  <c r="I1528" i="4"/>
  <c r="G1528" i="4"/>
  <c r="F1528" i="4"/>
  <c r="J1527" i="4"/>
  <c r="I1527" i="4"/>
  <c r="G1527" i="4"/>
  <c r="F1527" i="4"/>
  <c r="J1526" i="4"/>
  <c r="I1526" i="4"/>
  <c r="G1526" i="4"/>
  <c r="F1526" i="4"/>
  <c r="J1525" i="4"/>
  <c r="I1525" i="4"/>
  <c r="G1525" i="4"/>
  <c r="F1525" i="4"/>
  <c r="J1524" i="4"/>
  <c r="I1524" i="4"/>
  <c r="G1524" i="4"/>
  <c r="F1524" i="4"/>
  <c r="J1523" i="4"/>
  <c r="I1523" i="4"/>
  <c r="H1523" i="4"/>
  <c r="G1523" i="4"/>
  <c r="F1523" i="4"/>
  <c r="J1521" i="4"/>
  <c r="G1521" i="4"/>
  <c r="F1521" i="4"/>
  <c r="J1519" i="4"/>
  <c r="I1519" i="4"/>
  <c r="I1521" i="4" s="1"/>
  <c r="H1519" i="4"/>
  <c r="H1521" i="4" s="1"/>
  <c r="J1514" i="4"/>
  <c r="I1514" i="4"/>
  <c r="H1514" i="4"/>
  <c r="G1514" i="4"/>
  <c r="F1514" i="4"/>
  <c r="J1513" i="4"/>
  <c r="I1513" i="4"/>
  <c r="I1512" i="4" s="1"/>
  <c r="I1515" i="4" s="1"/>
  <c r="H1513" i="4"/>
  <c r="G1513" i="4"/>
  <c r="F1513" i="4"/>
  <c r="R1512" i="4"/>
  <c r="Q1512" i="4"/>
  <c r="P1512" i="4"/>
  <c r="O1512" i="4"/>
  <c r="J1510" i="4"/>
  <c r="J1506" i="4"/>
  <c r="I1506" i="4"/>
  <c r="H1506" i="4"/>
  <c r="J1501" i="4"/>
  <c r="I1501" i="4"/>
  <c r="I1510" i="4" s="1"/>
  <c r="H1501" i="4"/>
  <c r="H1510" i="4" s="1"/>
  <c r="G1499" i="4"/>
  <c r="R1496" i="4"/>
  <c r="Q1496" i="4"/>
  <c r="P1496" i="4"/>
  <c r="O1496" i="4"/>
  <c r="N1496" i="4"/>
  <c r="J1496" i="4"/>
  <c r="J1499" i="4" s="1"/>
  <c r="I1496" i="4"/>
  <c r="I1499" i="4" s="1"/>
  <c r="H1496" i="4"/>
  <c r="H1499" i="4" s="1"/>
  <c r="G1496" i="4"/>
  <c r="F1496" i="4"/>
  <c r="F1499" i="4" s="1"/>
  <c r="G1494" i="4"/>
  <c r="F1494" i="4"/>
  <c r="J1492" i="4"/>
  <c r="I1492" i="4"/>
  <c r="H1492" i="4"/>
  <c r="J1491" i="4"/>
  <c r="I1491" i="4"/>
  <c r="I1490" i="4"/>
  <c r="J1490" i="4" s="1"/>
  <c r="J1489" i="4"/>
  <c r="I1489" i="4"/>
  <c r="I1488" i="4"/>
  <c r="H1488" i="4"/>
  <c r="J1485" i="4"/>
  <c r="I1485" i="4"/>
  <c r="H1485" i="4"/>
  <c r="J1484" i="4"/>
  <c r="J1483" i="4" s="1"/>
  <c r="I1484" i="4"/>
  <c r="I1483" i="4"/>
  <c r="I1494" i="4" s="1"/>
  <c r="H1483" i="4"/>
  <c r="H1494" i="4" s="1"/>
  <c r="F1512" i="4" l="1"/>
  <c r="F1515" i="4" s="1"/>
  <c r="J1512" i="4"/>
  <c r="J1515" i="4" s="1"/>
  <c r="H1512" i="4"/>
  <c r="H1515" i="4" s="1"/>
  <c r="G1512" i="4"/>
  <c r="G1515" i="4" s="1"/>
  <c r="G1537" i="4"/>
  <c r="H1564" i="4"/>
  <c r="H1598" i="4"/>
  <c r="F1662" i="4"/>
  <c r="G1684" i="4"/>
  <c r="J1494" i="4"/>
  <c r="G1662" i="4"/>
  <c r="H1684" i="4"/>
  <c r="J1488" i="4"/>
  <c r="G1548" i="4"/>
  <c r="G1564" i="4" s="1"/>
  <c r="G1481" i="4" l="1"/>
  <c r="J1475" i="4"/>
  <c r="J1481" i="4" s="1"/>
  <c r="I1475" i="4"/>
  <c r="I1481" i="4" s="1"/>
  <c r="H1475" i="4"/>
  <c r="H1481" i="4" s="1"/>
  <c r="G1475" i="4"/>
  <c r="F1475" i="4"/>
  <c r="F1481" i="4" s="1"/>
  <c r="H1473" i="4"/>
  <c r="H1472" i="4" s="1"/>
  <c r="J1472" i="4"/>
  <c r="I1472" i="4"/>
  <c r="G1472" i="4"/>
  <c r="F1472" i="4"/>
  <c r="G1470" i="4"/>
  <c r="J1457" i="4"/>
  <c r="J1470" i="4" s="1"/>
  <c r="I1457" i="4"/>
  <c r="I1470" i="4" s="1"/>
  <c r="H1457" i="4"/>
  <c r="H1470" i="4" s="1"/>
  <c r="G1457" i="4"/>
  <c r="F1457" i="4"/>
  <c r="F1470" i="4" s="1"/>
  <c r="J1455" i="4"/>
  <c r="I1455" i="4"/>
  <c r="F1455" i="4"/>
  <c r="H1452" i="4"/>
  <c r="G1452" i="4"/>
  <c r="J1442" i="4"/>
  <c r="I1442" i="4"/>
  <c r="H1442" i="4"/>
  <c r="H1455" i="4" s="1"/>
  <c r="G1442" i="4"/>
  <c r="G1455" i="4" s="1"/>
  <c r="F1442" i="4"/>
  <c r="F1440" i="4"/>
  <c r="H1437" i="4"/>
  <c r="I1437" i="4" s="1"/>
  <c r="J1437" i="4" s="1"/>
  <c r="I1436" i="4"/>
  <c r="J1436" i="4" s="1"/>
  <c r="H1436" i="4"/>
  <c r="H1434" i="4"/>
  <c r="I1434" i="4" s="1"/>
  <c r="J1434" i="4" s="1"/>
  <c r="H1431" i="4"/>
  <c r="I1431" i="4" s="1"/>
  <c r="J1431" i="4" s="1"/>
  <c r="H1430" i="4"/>
  <c r="I1430" i="4" s="1"/>
  <c r="J1430" i="4" s="1"/>
  <c r="I1426" i="4"/>
  <c r="J1426" i="4" s="1"/>
  <c r="H1426" i="4"/>
  <c r="H1422" i="4"/>
  <c r="I1422" i="4" s="1"/>
  <c r="J1422" i="4" s="1"/>
  <c r="H1421" i="4"/>
  <c r="I1421" i="4" s="1"/>
  <c r="J1421" i="4" s="1"/>
  <c r="H1416" i="4"/>
  <c r="I1416" i="4" s="1"/>
  <c r="J1416" i="4" s="1"/>
  <c r="I1411" i="4"/>
  <c r="J1411" i="4" s="1"/>
  <c r="H1411" i="4"/>
  <c r="H1409" i="4"/>
  <c r="I1409" i="4" s="1"/>
  <c r="G1408" i="4"/>
  <c r="F1408" i="4"/>
  <c r="H1407" i="4"/>
  <c r="I1407" i="4" s="1"/>
  <c r="J1407" i="4" s="1"/>
  <c r="H1404" i="4"/>
  <c r="I1404" i="4" s="1"/>
  <c r="J1404" i="4" s="1"/>
  <c r="J1403" i="4"/>
  <c r="I1403" i="4"/>
  <c r="H1403" i="4"/>
  <c r="I1402" i="4"/>
  <c r="J1402" i="4" s="1"/>
  <c r="J1401" i="4" s="1"/>
  <c r="H1402" i="4"/>
  <c r="H1401" i="4"/>
  <c r="G1401" i="4"/>
  <c r="G1440" i="4" s="1"/>
  <c r="F1401" i="4"/>
  <c r="J1397" i="4"/>
  <c r="J1396" i="4" s="1"/>
  <c r="I1397" i="4"/>
  <c r="I1396" i="4"/>
  <c r="H1396" i="4"/>
  <c r="G1396" i="4"/>
  <c r="F1396" i="4"/>
  <c r="I1394" i="4"/>
  <c r="J1394" i="4" s="1"/>
  <c r="J1393" i="4"/>
  <c r="I1393" i="4"/>
  <c r="I1392" i="4"/>
  <c r="I1391" i="4" s="1"/>
  <c r="H1391" i="4"/>
  <c r="G1391" i="4"/>
  <c r="F1391" i="4"/>
  <c r="I1390" i="4"/>
  <c r="J1390" i="4" s="1"/>
  <c r="J1389" i="4"/>
  <c r="I1389" i="4"/>
  <c r="I1388" i="4"/>
  <c r="I1387" i="4" s="1"/>
  <c r="H1387" i="4"/>
  <c r="G1387" i="4"/>
  <c r="F1387" i="4"/>
  <c r="H1386" i="4"/>
  <c r="I1386" i="4" s="1"/>
  <c r="J1386" i="4" s="1"/>
  <c r="J1385" i="4"/>
  <c r="I1385" i="4"/>
  <c r="I1384" i="4"/>
  <c r="J1384" i="4" s="1"/>
  <c r="J1382" i="4"/>
  <c r="I1382" i="4"/>
  <c r="I1381" i="4"/>
  <c r="G1380" i="4"/>
  <c r="G1399" i="4" s="1"/>
  <c r="F1380" i="4"/>
  <c r="F1399" i="4" s="1"/>
  <c r="J1378" i="4"/>
  <c r="I1378" i="4"/>
  <c r="G1378" i="4"/>
  <c r="F1378" i="4"/>
  <c r="J1373" i="4"/>
  <c r="I1373" i="4"/>
  <c r="H1373" i="4"/>
  <c r="H1378" i="4" s="1"/>
  <c r="G1373" i="4"/>
  <c r="F1373" i="4"/>
  <c r="J1367" i="4"/>
  <c r="I1367" i="4"/>
  <c r="H1367" i="4"/>
  <c r="G1367" i="4"/>
  <c r="F1367" i="4"/>
  <c r="I1364" i="4"/>
  <c r="J1364" i="4" s="1"/>
  <c r="I1363" i="4"/>
  <c r="J1363" i="4" s="1"/>
  <c r="I1362" i="4"/>
  <c r="J1362" i="4" s="1"/>
  <c r="J1361" i="4" s="1"/>
  <c r="I1361" i="4"/>
  <c r="H1361" i="4"/>
  <c r="G1361" i="4"/>
  <c r="F1361" i="4"/>
  <c r="J1360" i="4"/>
  <c r="I1360" i="4"/>
  <c r="I1359" i="4"/>
  <c r="J1359" i="4" s="1"/>
  <c r="J1358" i="4"/>
  <c r="I1358" i="4"/>
  <c r="H1358" i="4"/>
  <c r="G1358" i="4"/>
  <c r="F1358" i="4"/>
  <c r="F1355" i="4" s="1"/>
  <c r="F1365" i="4" s="1"/>
  <c r="H1357" i="4"/>
  <c r="I1357" i="4" s="1"/>
  <c r="J1357" i="4" s="1"/>
  <c r="G1357" i="4"/>
  <c r="F1357" i="4"/>
  <c r="H1356" i="4"/>
  <c r="H1355" i="4" s="1"/>
  <c r="G1356" i="4"/>
  <c r="G1355" i="4" s="1"/>
  <c r="F1356" i="4"/>
  <c r="J1354" i="4"/>
  <c r="I1354" i="4"/>
  <c r="H1354" i="4"/>
  <c r="G1354" i="4"/>
  <c r="F1354" i="4"/>
  <c r="F1350" i="4" s="1"/>
  <c r="J1353" i="4"/>
  <c r="I1353" i="4"/>
  <c r="I1352" i="4"/>
  <c r="J1352" i="4" s="1"/>
  <c r="F1352" i="4"/>
  <c r="H1351" i="4"/>
  <c r="H1350" i="4" s="1"/>
  <c r="G1351" i="4"/>
  <c r="G1350" i="4" s="1"/>
  <c r="F1351" i="4"/>
  <c r="J1349" i="4"/>
  <c r="I1349" i="4"/>
  <c r="H1348" i="4"/>
  <c r="I1348" i="4" s="1"/>
  <c r="J1348" i="4" s="1"/>
  <c r="H1347" i="4"/>
  <c r="I1347" i="4" s="1"/>
  <c r="J1347" i="4" s="1"/>
  <c r="J1346" i="4"/>
  <c r="J1345" i="4" s="1"/>
  <c r="I1346" i="4"/>
  <c r="I1345" i="4" s="1"/>
  <c r="H1346" i="4"/>
  <c r="G1346" i="4"/>
  <c r="F1346" i="4"/>
  <c r="F1345" i="4" s="1"/>
  <c r="G1345" i="4"/>
  <c r="J1343" i="4"/>
  <c r="I1343" i="4"/>
  <c r="H1343" i="4"/>
  <c r="G1343" i="4"/>
  <c r="F1343" i="4"/>
  <c r="J1340" i="4"/>
  <c r="I1340" i="4"/>
  <c r="H1340" i="4"/>
  <c r="G1340" i="4"/>
  <c r="F1340" i="4"/>
  <c r="J1338" i="4"/>
  <c r="I1338" i="4"/>
  <c r="H1338" i="4"/>
  <c r="G1338" i="4"/>
  <c r="F1338" i="4"/>
  <c r="J1330" i="4"/>
  <c r="I1330" i="4"/>
  <c r="H1330" i="4"/>
  <c r="G1330" i="4"/>
  <c r="F1330" i="4"/>
  <c r="J1321" i="4"/>
  <c r="I1321" i="4"/>
  <c r="H1321" i="4"/>
  <c r="G1321" i="4"/>
  <c r="F1321" i="4"/>
  <c r="J1302" i="4"/>
  <c r="I1302" i="4"/>
  <c r="H1302" i="4"/>
  <c r="G1302" i="4"/>
  <c r="F1302" i="4"/>
  <c r="J1295" i="4"/>
  <c r="I1295" i="4"/>
  <c r="H1295" i="4"/>
  <c r="G1295" i="4"/>
  <c r="F1295" i="4"/>
  <c r="J1289" i="4"/>
  <c r="J1328" i="4" s="1"/>
  <c r="I1289" i="4"/>
  <c r="I1328" i="4" s="1"/>
  <c r="H1289" i="4"/>
  <c r="H1328" i="4" s="1"/>
  <c r="G1289" i="4"/>
  <c r="G1328" i="4" s="1"/>
  <c r="F1289" i="4"/>
  <c r="F1328" i="4" s="1"/>
  <c r="H1284" i="4"/>
  <c r="H1281" i="4"/>
  <c r="H1280" i="4"/>
  <c r="H1278" i="4"/>
  <c r="H1275" i="4"/>
  <c r="H1271" i="4"/>
  <c r="H1270" i="4"/>
  <c r="H1267" i="4"/>
  <c r="H1266" i="4"/>
  <c r="H1265" i="4"/>
  <c r="H1264" i="4"/>
  <c r="H1261" i="4"/>
  <c r="H1257" i="4"/>
  <c r="H1256" i="4" s="1"/>
  <c r="H1255" i="4"/>
  <c r="H1254" i="4"/>
  <c r="H1250" i="4"/>
  <c r="H1249" i="4"/>
  <c r="H1247" i="4"/>
  <c r="H1246" i="4"/>
  <c r="H1245" i="4"/>
  <c r="H1244" i="4"/>
  <c r="H1243" i="4" s="1"/>
  <c r="H1287" i="4" s="1"/>
  <c r="H1239" i="4"/>
  <c r="H1238" i="4" s="1"/>
  <c r="J1238" i="4"/>
  <c r="I1238" i="4"/>
  <c r="G1238" i="4"/>
  <c r="F1238" i="4"/>
  <c r="R1232" i="4"/>
  <c r="Q1232" i="4"/>
  <c r="P1232" i="4"/>
  <c r="O1232" i="4"/>
  <c r="J1232" i="4"/>
  <c r="I1232" i="4"/>
  <c r="I1229" i="4" s="1"/>
  <c r="I1241" i="4" s="1"/>
  <c r="G1232" i="4"/>
  <c r="R1231" i="4"/>
  <c r="Q1231" i="4"/>
  <c r="P1231" i="4"/>
  <c r="O1231" i="4"/>
  <c r="J1231" i="4"/>
  <c r="I1231" i="4"/>
  <c r="H1231" i="4"/>
  <c r="G1231" i="4"/>
  <c r="R1230" i="4"/>
  <c r="Q1230" i="4"/>
  <c r="P1230" i="4"/>
  <c r="O1230" i="4"/>
  <c r="J1230" i="4"/>
  <c r="I1230" i="4"/>
  <c r="G1230" i="4"/>
  <c r="F1230" i="4"/>
  <c r="F1229" i="4" s="1"/>
  <c r="J1229" i="4"/>
  <c r="H1229" i="4"/>
  <c r="G1229" i="4"/>
  <c r="J1228" i="4"/>
  <c r="I1228" i="4"/>
  <c r="J1227" i="4"/>
  <c r="I1227" i="4"/>
  <c r="G1226" i="4"/>
  <c r="F1226" i="4"/>
  <c r="J1225" i="4"/>
  <c r="I1225" i="4"/>
  <c r="H1225" i="4"/>
  <c r="J1224" i="4"/>
  <c r="I1224" i="4"/>
  <c r="H1224" i="4"/>
  <c r="G1223" i="4"/>
  <c r="H1221" i="4"/>
  <c r="H1215" i="4" s="1"/>
  <c r="H1241" i="4" s="1"/>
  <c r="J1215" i="4"/>
  <c r="J1241" i="4" s="1"/>
  <c r="I1215" i="4"/>
  <c r="G1215" i="4"/>
  <c r="G1241" i="4" s="1"/>
  <c r="J1211" i="4"/>
  <c r="J1204" i="4"/>
  <c r="J1200" i="4"/>
  <c r="J1196" i="4"/>
  <c r="J1195" i="4"/>
  <c r="J1190" i="4"/>
  <c r="J1183" i="4"/>
  <c r="J1180" i="4" s="1"/>
  <c r="J1213" i="4" s="1"/>
  <c r="H1183" i="4"/>
  <c r="H1180" i="4" s="1"/>
  <c r="I1180" i="4"/>
  <c r="G1180" i="4"/>
  <c r="G1213" i="4" s="1"/>
  <c r="F1180" i="4"/>
  <c r="J1179" i="4"/>
  <c r="J1175" i="4"/>
  <c r="J1171" i="4"/>
  <c r="J1167" i="4"/>
  <c r="J1166" i="4"/>
  <c r="J1165" i="4"/>
  <c r="J1164" i="4"/>
  <c r="I1164" i="4"/>
  <c r="H1164" i="4"/>
  <c r="G1164" i="4"/>
  <c r="F1164" i="4"/>
  <c r="F1213" i="4" s="1"/>
  <c r="J1163" i="4"/>
  <c r="J1162" i="4"/>
  <c r="J1161" i="4"/>
  <c r="J1159" i="4"/>
  <c r="J1158" i="4"/>
  <c r="J1155" i="4"/>
  <c r="G1155" i="4"/>
  <c r="G1151" i="4" s="1"/>
  <c r="J1154" i="4"/>
  <c r="J1151" i="4" s="1"/>
  <c r="J1152" i="4"/>
  <c r="H1152" i="4"/>
  <c r="I1151" i="4"/>
  <c r="H1151" i="4"/>
  <c r="F1151" i="4"/>
  <c r="J1150" i="4"/>
  <c r="J1128" i="4" s="1"/>
  <c r="J1146" i="4"/>
  <c r="J1143" i="4"/>
  <c r="J1138" i="4"/>
  <c r="H1138" i="4"/>
  <c r="H1128" i="4" s="1"/>
  <c r="J1131" i="4"/>
  <c r="J1129" i="4"/>
  <c r="I1128" i="4"/>
  <c r="G1128" i="4"/>
  <c r="F1128" i="4"/>
  <c r="J1127" i="4"/>
  <c r="J1126" i="4"/>
  <c r="J1125" i="4"/>
  <c r="J1124" i="4"/>
  <c r="J1123" i="4"/>
  <c r="J1120" i="4" s="1"/>
  <c r="J1122" i="4"/>
  <c r="J1121" i="4"/>
  <c r="I1120" i="4"/>
  <c r="H1120" i="4"/>
  <c r="H1213" i="4" s="1"/>
  <c r="G1120" i="4"/>
  <c r="F1120" i="4"/>
  <c r="J1118" i="4"/>
  <c r="G1118" i="4"/>
  <c r="F1118" i="4"/>
  <c r="I1117" i="4"/>
  <c r="J1116" i="4"/>
  <c r="I1116" i="4"/>
  <c r="H1116" i="4"/>
  <c r="G1116" i="4"/>
  <c r="F1116" i="4"/>
  <c r="J1113" i="4"/>
  <c r="I1113" i="4"/>
  <c r="I1118" i="4" s="1"/>
  <c r="H1113" i="4"/>
  <c r="G1113" i="4"/>
  <c r="F1113" i="4"/>
  <c r="J1106" i="4"/>
  <c r="I1106" i="4"/>
  <c r="H1106" i="4"/>
  <c r="G1106" i="4"/>
  <c r="F1106" i="4"/>
  <c r="H1104" i="4"/>
  <c r="J1098" i="4"/>
  <c r="G1098" i="4"/>
  <c r="J1094" i="4"/>
  <c r="G1094" i="4"/>
  <c r="G1091" i="4" s="1"/>
  <c r="G1104" i="4" s="1"/>
  <c r="J1093" i="4"/>
  <c r="G1093" i="4"/>
  <c r="J1091" i="4"/>
  <c r="I1091" i="4"/>
  <c r="H1091" i="4"/>
  <c r="F1091" i="4"/>
  <c r="J1089" i="4"/>
  <c r="G1089" i="4"/>
  <c r="J1088" i="4"/>
  <c r="G1088" i="4"/>
  <c r="J1087" i="4"/>
  <c r="J1104" i="4" s="1"/>
  <c r="I1087" i="4"/>
  <c r="I1104" i="4" s="1"/>
  <c r="H1087" i="4"/>
  <c r="G1087" i="4"/>
  <c r="F1085" i="4"/>
  <c r="H1082" i="4"/>
  <c r="I1082" i="4" s="1"/>
  <c r="H1080" i="4"/>
  <c r="G1080" i="4"/>
  <c r="F1080" i="4"/>
  <c r="H1077" i="4"/>
  <c r="G1077" i="4"/>
  <c r="G1073" i="4" s="1"/>
  <c r="G1085" i="4" s="1"/>
  <c r="F1077" i="4"/>
  <c r="J1075" i="4"/>
  <c r="I1075" i="4"/>
  <c r="H1075" i="4"/>
  <c r="H1073" i="4" s="1"/>
  <c r="H1085" i="4" s="1"/>
  <c r="G1075" i="4"/>
  <c r="F1075" i="4"/>
  <c r="F1073" i="4"/>
  <c r="H1068" i="4"/>
  <c r="H1064" i="4"/>
  <c r="H1056" i="4"/>
  <c r="H1071" i="4" s="1"/>
  <c r="J1054" i="4"/>
  <c r="I1054" i="4"/>
  <c r="G1054" i="4"/>
  <c r="F1054" i="4"/>
  <c r="H1049" i="4"/>
  <c r="H1047" i="4"/>
  <c r="H1046" i="4"/>
  <c r="H1045" i="4"/>
  <c r="H1044" i="4"/>
  <c r="H1043" i="4"/>
  <c r="H1042" i="4"/>
  <c r="H1041" i="4" s="1"/>
  <c r="H1054" i="4" s="1"/>
  <c r="H1030" i="4"/>
  <c r="H1039" i="4" s="1"/>
  <c r="H1021" i="4"/>
  <c r="J1004" i="4"/>
  <c r="I1004" i="4"/>
  <c r="H1004" i="4"/>
  <c r="G1004" i="4"/>
  <c r="F1004" i="4"/>
  <c r="H1003" i="4"/>
  <c r="H1002" i="4"/>
  <c r="J1001" i="4"/>
  <c r="J1019" i="4" s="1"/>
  <c r="I1001" i="4"/>
  <c r="H1001" i="4"/>
  <c r="H1019" i="4" s="1"/>
  <c r="G1001" i="4"/>
  <c r="G1019" i="4" s="1"/>
  <c r="F1001" i="4"/>
  <c r="F1019" i="4" s="1"/>
  <c r="J999" i="4"/>
  <c r="I999" i="4"/>
  <c r="G999" i="4"/>
  <c r="F999" i="4"/>
  <c r="H996" i="4"/>
  <c r="J994" i="4"/>
  <c r="I994" i="4"/>
  <c r="H994" i="4"/>
  <c r="H998" i="4" s="1"/>
  <c r="G994" i="4"/>
  <c r="F994" i="4"/>
  <c r="J985" i="4"/>
  <c r="I985" i="4"/>
  <c r="H985" i="4"/>
  <c r="G985" i="4"/>
  <c r="F985" i="4"/>
  <c r="J983" i="4"/>
  <c r="F983" i="4"/>
  <c r="J980" i="4"/>
  <c r="I980" i="4"/>
  <c r="I983" i="4" s="1"/>
  <c r="H980" i="4"/>
  <c r="H983" i="4" s="1"/>
  <c r="G980" i="4"/>
  <c r="G983" i="4" s="1"/>
  <c r="F980" i="4"/>
  <c r="J978" i="4"/>
  <c r="I978" i="4"/>
  <c r="H978" i="4"/>
  <c r="G978" i="4"/>
  <c r="F978" i="4"/>
  <c r="H973" i="4"/>
  <c r="H967" i="4"/>
  <c r="H962" i="4"/>
  <c r="H954" i="4"/>
  <c r="H944" i="4"/>
  <c r="H938" i="4" s="1"/>
  <c r="H971" i="4" s="1"/>
  <c r="H999" i="4" s="1"/>
  <c r="H930" i="4"/>
  <c r="H929" i="4"/>
  <c r="H927" i="4"/>
  <c r="H919" i="4"/>
  <c r="H917" i="4"/>
  <c r="H906" i="4"/>
  <c r="H904" i="4"/>
  <c r="H832" i="4"/>
  <c r="H808" i="4"/>
  <c r="H803" i="4"/>
  <c r="H806" i="4" s="1"/>
  <c r="I1019" i="4" l="1"/>
  <c r="I1085" i="4"/>
  <c r="J1082" i="4"/>
  <c r="J1085" i="4" s="1"/>
  <c r="H1118" i="4"/>
  <c r="I1213" i="4"/>
  <c r="F1241" i="4"/>
  <c r="J1409" i="4"/>
  <c r="J1408" i="4" s="1"/>
  <c r="J1440" i="4" s="1"/>
  <c r="I1408" i="4"/>
  <c r="H1440" i="4"/>
  <c r="G1365" i="4"/>
  <c r="I1380" i="4"/>
  <c r="I1399" i="4" s="1"/>
  <c r="I1351" i="4"/>
  <c r="J1392" i="4"/>
  <c r="J1391" i="4" s="1"/>
  <c r="I1401" i="4"/>
  <c r="I1440" i="4" s="1"/>
  <c r="H1408" i="4"/>
  <c r="H1380" i="4"/>
  <c r="H1399" i="4" s="1"/>
  <c r="J1381" i="4"/>
  <c r="J1380" i="4" s="1"/>
  <c r="J1388" i="4"/>
  <c r="J1387" i="4" s="1"/>
  <c r="H1345" i="4"/>
  <c r="H1365" i="4" s="1"/>
  <c r="I1356" i="4"/>
  <c r="J1399" i="4" l="1"/>
  <c r="I1355" i="4"/>
  <c r="J1356" i="4"/>
  <c r="J1355" i="4" s="1"/>
  <c r="J1351" i="4"/>
  <c r="J1350" i="4" s="1"/>
  <c r="I1350" i="4"/>
  <c r="I1365" i="4" l="1"/>
  <c r="J1365" i="4"/>
  <c r="H443" i="4" l="1"/>
  <c r="G686" i="4" l="1"/>
  <c r="H686" i="4"/>
  <c r="I686" i="4"/>
  <c r="J686" i="4"/>
  <c r="F686" i="4"/>
  <c r="G679" i="4"/>
  <c r="H679" i="4"/>
  <c r="I679" i="4"/>
  <c r="J679" i="4"/>
  <c r="F679" i="4"/>
  <c r="G644" i="4"/>
  <c r="H644" i="4"/>
  <c r="I644" i="4"/>
  <c r="J644" i="4"/>
  <c r="F644" i="4"/>
  <c r="G666" i="4"/>
  <c r="H666" i="4"/>
  <c r="I666" i="4"/>
  <c r="J666" i="4"/>
  <c r="F666" i="4"/>
  <c r="G659" i="4" l="1"/>
  <c r="H659" i="4"/>
  <c r="I659" i="4"/>
  <c r="J659" i="4"/>
  <c r="F659" i="4"/>
  <c r="G653" i="4"/>
  <c r="H653" i="4"/>
  <c r="I653" i="4"/>
  <c r="J653" i="4"/>
  <c r="F653" i="4"/>
  <c r="H71" i="5"/>
  <c r="I71" i="5"/>
  <c r="H44" i="5"/>
  <c r="I44" i="5"/>
  <c r="H21" i="5"/>
  <c r="I21" i="5"/>
  <c r="H12" i="5"/>
  <c r="I12" i="5"/>
  <c r="G95" i="5"/>
  <c r="G21" i="5"/>
  <c r="G44" i="5"/>
  <c r="I95" i="5" l="1"/>
  <c r="H95" i="5"/>
  <c r="G71" i="5" l="1"/>
  <c r="G12" i="5"/>
  <c r="J799" i="4" l="1"/>
  <c r="I799" i="4"/>
  <c r="H616" i="4" l="1"/>
  <c r="H633" i="4"/>
  <c r="H632" i="4" s="1"/>
  <c r="H630" i="4"/>
  <c r="H629" i="4"/>
  <c r="H620" i="4"/>
  <c r="H618" i="4"/>
  <c r="H614" i="4"/>
  <c r="H613" i="4"/>
  <c r="H612" i="4" l="1"/>
  <c r="H628" i="4"/>
  <c r="H615" i="4"/>
  <c r="H636" i="4" l="1"/>
  <c r="H358" i="4"/>
  <c r="H359" i="4"/>
  <c r="H360" i="4"/>
  <c r="H365" i="4"/>
  <c r="H364" i="4"/>
  <c r="H363" i="4" l="1"/>
  <c r="H357" i="4"/>
  <c r="H727" i="4" l="1"/>
  <c r="H444" i="4" l="1"/>
  <c r="H412" i="4"/>
  <c r="H403" i="4"/>
  <c r="H383" i="4"/>
  <c r="H382" i="4"/>
  <c r="H381" i="4"/>
  <c r="H183" i="4" l="1"/>
  <c r="H171" i="4" s="1"/>
  <c r="H162" i="4"/>
  <c r="H228" i="4" l="1"/>
  <c r="H730" i="4"/>
  <c r="H771" i="4"/>
  <c r="H733" i="4"/>
  <c r="H729" i="4"/>
  <c r="H775" i="4"/>
  <c r="H726" i="4" l="1"/>
  <c r="H779" i="4"/>
  <c r="H770" i="4"/>
  <c r="H764" i="4"/>
  <c r="H747" i="4"/>
  <c r="H732" i="4"/>
  <c r="H338" i="4"/>
  <c r="H337" i="4" s="1"/>
  <c r="H350" i="4"/>
  <c r="H327" i="4"/>
  <c r="H326" i="4" s="1"/>
  <c r="H314" i="4"/>
  <c r="H301" i="4"/>
  <c r="H295" i="4" s="1"/>
  <c r="H312" i="4" s="1"/>
  <c r="H354" i="4" l="1"/>
  <c r="H253" i="4" l="1"/>
  <c r="H276" i="4" s="1"/>
  <c r="H61" i="4" l="1"/>
  <c r="N80" i="4" l="1"/>
  <c r="N79" i="4" s="1"/>
  <c r="R79" i="4"/>
  <c r="Q79" i="4"/>
  <c r="P79" i="4"/>
  <c r="O79" i="4"/>
  <c r="R78" i="4"/>
  <c r="Q78" i="4"/>
  <c r="P78" i="4"/>
  <c r="O78" i="4"/>
  <c r="N78" i="4"/>
  <c r="R76" i="4"/>
  <c r="Q76" i="4"/>
  <c r="P76" i="4"/>
  <c r="O76" i="4"/>
  <c r="N76" i="4"/>
  <c r="R75" i="4"/>
  <c r="Q75" i="4"/>
  <c r="P75" i="4"/>
  <c r="O75" i="4"/>
  <c r="N75" i="4"/>
  <c r="O59" i="4"/>
  <c r="Q74" i="4" l="1"/>
  <c r="P74" i="4"/>
  <c r="O74" i="4"/>
  <c r="N74" i="4"/>
  <c r="R74" i="4"/>
  <c r="G54" i="4"/>
  <c r="H54" i="4"/>
  <c r="I54" i="4"/>
  <c r="J54" i="4"/>
  <c r="F54" i="4"/>
  <c r="G45" i="4"/>
  <c r="I45" i="4"/>
  <c r="J45" i="4"/>
  <c r="F45" i="4"/>
  <c r="H42" i="4"/>
  <c r="H45" i="4" s="1"/>
  <c r="J584" i="4" l="1"/>
  <c r="I584" i="4"/>
  <c r="H584" i="4"/>
  <c r="J579" i="4"/>
  <c r="I579" i="4"/>
  <c r="H579" i="4"/>
  <c r="G579" i="4"/>
  <c r="G568" i="4" s="1"/>
  <c r="F568" i="4"/>
  <c r="J568" i="4" l="1"/>
  <c r="H568" i="4"/>
  <c r="H590" i="4" s="1"/>
  <c r="I568" i="4"/>
  <c r="H442" i="4"/>
  <c r="I442" i="4" s="1"/>
  <c r="J442" i="4" s="1"/>
  <c r="J441" i="4" s="1"/>
  <c r="G441" i="4"/>
  <c r="I439" i="4"/>
  <c r="J439" i="4" s="1"/>
  <c r="I434" i="4"/>
  <c r="J434" i="4" s="1"/>
  <c r="I432" i="4"/>
  <c r="J432" i="4" s="1"/>
  <c r="I431" i="4"/>
  <c r="J431" i="4" s="1"/>
  <c r="H430" i="4"/>
  <c r="G430" i="4"/>
  <c r="I429" i="4"/>
  <c r="J429" i="4" s="1"/>
  <c r="I428" i="4"/>
  <c r="J428" i="4" s="1"/>
  <c r="I427" i="4"/>
  <c r="J427" i="4" s="1"/>
  <c r="I426" i="4"/>
  <c r="J426" i="4" s="1"/>
  <c r="H425" i="4"/>
  <c r="G425" i="4"/>
  <c r="I420" i="4"/>
  <c r="I419" i="4" s="1"/>
  <c r="H419" i="4"/>
  <c r="G419" i="4"/>
  <c r="I412" i="4"/>
  <c r="J412" i="4" s="1"/>
  <c r="J411" i="4" s="1"/>
  <c r="G412" i="4"/>
  <c r="G411" i="4" s="1"/>
  <c r="H411" i="4"/>
  <c r="I405" i="4"/>
  <c r="I404" i="4" s="1"/>
  <c r="H404" i="4"/>
  <c r="G404" i="4"/>
  <c r="I403" i="4"/>
  <c r="J403" i="4" s="1"/>
  <c r="I402" i="4"/>
  <c r="J402" i="4" s="1"/>
  <c r="I399" i="4"/>
  <c r="J399" i="4" s="1"/>
  <c r="H398" i="4"/>
  <c r="G398" i="4"/>
  <c r="I395" i="4"/>
  <c r="J395" i="4" s="1"/>
  <c r="I394" i="4"/>
  <c r="J394" i="4" s="1"/>
  <c r="I393" i="4"/>
  <c r="J393" i="4" s="1"/>
  <c r="I389" i="4"/>
  <c r="J389" i="4" s="1"/>
  <c r="H388" i="4"/>
  <c r="G388" i="4"/>
  <c r="J387" i="4"/>
  <c r="I387" i="4"/>
  <c r="H387" i="4"/>
  <c r="G387" i="4"/>
  <c r="H386" i="4"/>
  <c r="G386" i="4"/>
  <c r="I385" i="4"/>
  <c r="J385" i="4" s="1"/>
  <c r="I384" i="4"/>
  <c r="J384" i="4" s="1"/>
  <c r="I383" i="4"/>
  <c r="J383" i="4" s="1"/>
  <c r="I382" i="4"/>
  <c r="J382" i="4" s="1"/>
  <c r="I381" i="4"/>
  <c r="F380" i="4"/>
  <c r="H441" i="4" l="1"/>
  <c r="G380" i="4"/>
  <c r="I386" i="4"/>
  <c r="J386" i="4" s="1"/>
  <c r="H380" i="4"/>
  <c r="I411" i="4"/>
  <c r="J388" i="4"/>
  <c r="I380" i="4"/>
  <c r="I388" i="4"/>
  <c r="J398" i="4"/>
  <c r="J425" i="4"/>
  <c r="J430" i="4"/>
  <c r="I425" i="4"/>
  <c r="I430" i="4"/>
  <c r="I441" i="4"/>
  <c r="J420" i="4"/>
  <c r="J419" i="4" s="1"/>
  <c r="I398" i="4"/>
  <c r="J381" i="4"/>
  <c r="J405" i="4"/>
  <c r="J404" i="4" s="1"/>
  <c r="H445" i="4" l="1"/>
  <c r="J380" i="4"/>
  <c r="J312" i="4"/>
  <c r="I312" i="4"/>
  <c r="G304" i="4"/>
  <c r="F304" i="4"/>
  <c r="G295" i="4"/>
  <c r="F295" i="4"/>
  <c r="F312" i="4" l="1"/>
  <c r="G312" i="4"/>
  <c r="J636" i="4"/>
  <c r="I636" i="4"/>
  <c r="G636" i="4"/>
  <c r="F636" i="4"/>
  <c r="H799" i="4" l="1"/>
  <c r="G799" i="4"/>
  <c r="F799" i="4"/>
  <c r="J797" i="4"/>
  <c r="I797" i="4"/>
  <c r="F797" i="4"/>
  <c r="I796" i="4"/>
  <c r="J796" i="4" s="1"/>
  <c r="I795" i="4"/>
  <c r="J795" i="4" s="1"/>
  <c r="H794" i="4"/>
  <c r="G794" i="4"/>
  <c r="F794" i="4"/>
  <c r="I792" i="4"/>
  <c r="J792" i="4" s="1"/>
  <c r="I791" i="4"/>
  <c r="J791" i="4" s="1"/>
  <c r="I790" i="4"/>
  <c r="J790" i="4" s="1"/>
  <c r="I789" i="4"/>
  <c r="I788" i="4"/>
  <c r="J788" i="4" s="1"/>
  <c r="I787" i="4"/>
  <c r="J787" i="4" s="1"/>
  <c r="I786" i="4"/>
  <c r="J786" i="4" s="1"/>
  <c r="H784" i="4"/>
  <c r="G784" i="4"/>
  <c r="F784" i="4"/>
  <c r="G540" i="4"/>
  <c r="G539" i="4"/>
  <c r="G535" i="4"/>
  <c r="F532" i="4"/>
  <c r="G524" i="4"/>
  <c r="G519" i="4"/>
  <c r="J514" i="4"/>
  <c r="I514" i="4"/>
  <c r="H514" i="4"/>
  <c r="F514" i="4"/>
  <c r="G506" i="4"/>
  <c r="G514" i="4" s="1"/>
  <c r="J504" i="4"/>
  <c r="I504" i="4"/>
  <c r="H504" i="4"/>
  <c r="G504" i="4"/>
  <c r="F504" i="4"/>
  <c r="J486" i="4"/>
  <c r="I486" i="4"/>
  <c r="H486" i="4"/>
  <c r="G486" i="4"/>
  <c r="F486" i="4"/>
  <c r="J466" i="4"/>
  <c r="I466" i="4"/>
  <c r="H466" i="4"/>
  <c r="G466" i="4"/>
  <c r="F466" i="4"/>
  <c r="O462" i="4"/>
  <c r="P462" i="4" s="1"/>
  <c r="Q462" i="4" s="1"/>
  <c r="R386" i="4"/>
  <c r="Q386" i="4"/>
  <c r="P386" i="4"/>
  <c r="O386" i="4"/>
  <c r="H371" i="4"/>
  <c r="H378" i="4" s="1"/>
  <c r="G371" i="4"/>
  <c r="G378" i="4" s="1"/>
  <c r="F371" i="4"/>
  <c r="F378" i="4" s="1"/>
  <c r="J354" i="4"/>
  <c r="I354" i="4"/>
  <c r="H248" i="4"/>
  <c r="G248" i="4"/>
  <c r="F248" i="4"/>
  <c r="J245" i="4"/>
  <c r="I245" i="4"/>
  <c r="H245" i="4"/>
  <c r="G245" i="4"/>
  <c r="F245" i="4"/>
  <c r="H251" i="4" l="1"/>
  <c r="J794" i="4"/>
  <c r="H515" i="4"/>
  <c r="G532" i="4"/>
  <c r="I794" i="4"/>
  <c r="I515" i="4"/>
  <c r="P467" i="4" s="1"/>
  <c r="G515" i="4"/>
  <c r="N467" i="4" s="1"/>
  <c r="O467" i="4"/>
  <c r="J515" i="4"/>
  <c r="Q467" i="4" s="1"/>
  <c r="F515" i="4"/>
  <c r="J784" i="4"/>
  <c r="I784" i="4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G645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 средства по 70981 вед.квалиф 34110, 34121, и ЦМ </t>
        </r>
      </text>
    </comment>
    <comment ref="G654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 
по 70911</t>
        </r>
      </text>
    </comment>
    <comment ref="G657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средства 
нового проекта Всемирного банка</t>
        </r>
      </text>
    </comment>
    <comment ref="G660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спец.средства 70921, 70961, 70962, 70964,70965 </t>
        </r>
      </text>
    </comment>
    <comment ref="G665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спец.
средства 70951,70941,70952</t>
        </r>
      </text>
    </comment>
    <comment ref="G671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апто аппарат</t>
        </r>
      </text>
    </comment>
    <comment ref="G672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70922,70931</t>
        </r>
      </text>
    </comment>
    <comment ref="G674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средства АБР</t>
        </r>
      </text>
    </comment>
    <comment ref="G676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спец 70922, 70931</t>
        </r>
      </text>
    </comment>
    <comment ref="G680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70942</t>
        </r>
      </text>
    </comment>
    <comment ref="G682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спец 70942</t>
        </r>
      </text>
    </comment>
    <comment ref="G687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наука и департамент</t>
        </r>
      </text>
    </comment>
    <comment ref="G688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спец наука</t>
        </r>
      </text>
    </comment>
    <comment ref="K1705" authorId="1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отношение эфирного времени не взятого в зачет а общему эфирному времени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M102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все года согласованы с Смаиловым У.</t>
        </r>
      </text>
    </comment>
  </commentList>
</comments>
</file>

<file path=xl/sharedStrings.xml><?xml version="1.0" encoding="utf-8"?>
<sst xmlns="http://schemas.openxmlformats.org/spreadsheetml/2006/main" count="6329" uniqueCount="2880">
  <si>
    <t>Приложение 11</t>
  </si>
  <si>
    <t xml:space="preserve"> </t>
  </si>
  <si>
    <t xml:space="preserve"> «О республиканском бюджете Кыргызской Республики на 2021 год и </t>
  </si>
  <si>
    <t>прогнозе на 2022-2023 годы»</t>
  </si>
  <si>
    <t>Бюджеты министерств и ведомств на программной основе</t>
  </si>
  <si>
    <t>Код ПР</t>
  </si>
  <si>
    <t>Код МЕ</t>
  </si>
  <si>
    <t>Код ИН</t>
  </si>
  <si>
    <t>Бюджетные программы/
Бюджетные меры</t>
  </si>
  <si>
    <t>Финансирование</t>
  </si>
  <si>
    <t>Индикаторы результативности</t>
  </si>
  <si>
    <t>Ед. изм-я</t>
  </si>
  <si>
    <t>Целевые значения</t>
  </si>
  <si>
    <t>(по программам/мерам) (тыс. сом.)</t>
  </si>
  <si>
    <t>11 Жогорку Кенеш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</si>
  <si>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</si>
  <si>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Отношение расходов на заработную плату по Программе 001 к сумме расходов на заработную плату по всем программам</t>
  </si>
  <si>
    <t>%</t>
  </si>
  <si>
    <t>Обеспечение общего руководства</t>
  </si>
  <si>
    <t>Индекс доверия населения</t>
  </si>
  <si>
    <t>коэф.</t>
  </si>
  <si>
    <t>-</t>
  </si>
  <si>
    <t>Обеспечение финансового менеджмента и учета</t>
  </si>
  <si>
    <t>Процент исполнения бюджета без нарушений</t>
  </si>
  <si>
    <t>Управление человеческими ресурсами</t>
  </si>
  <si>
    <t xml:space="preserve">Доля выигранных судебных процессов по трудовым спорам </t>
  </si>
  <si>
    <t>Правовая поддержка</t>
  </si>
  <si>
    <t>Отношение выигранных судебных дел к их общему количеству</t>
  </si>
  <si>
    <t>ед/ед</t>
  </si>
  <si>
    <t>Поддержание внешних связей и связей с общественностью</t>
  </si>
  <si>
    <t>Количество положительных упоминаний мин-ва/вед-ва в СМИ</t>
  </si>
  <si>
    <t>ед.</t>
  </si>
  <si>
    <t>Организация деятельности и службы обеспечения</t>
  </si>
  <si>
    <t xml:space="preserve">Доля сотрудников служб обеспечения от общей численности сотрудников ЦА </t>
  </si>
  <si>
    <t>Обеспечение доступа к качественным услугам дошкольного образования для всех групп населения</t>
  </si>
  <si>
    <t>Количество детей посещающих ясли-сад № 172 "Арген"</t>
  </si>
  <si>
    <t xml:space="preserve">Транспортное обеспечение </t>
  </si>
  <si>
    <t>Количество служебных автомашин</t>
  </si>
  <si>
    <t>Социальная поддержка</t>
  </si>
  <si>
    <t>Доля законопроектов, инициированных депутатами в общем количестве принятых законопроектов</t>
  </si>
  <si>
    <t xml:space="preserve">Обеспечение механизмов межфракционного согласия при утверждении общегосударственных программ развития Кыргызской Республики </t>
  </si>
  <si>
    <t>Количество рабочих месяцев работы Жогорку Кенеша (без каникул и выходных)</t>
  </si>
  <si>
    <t xml:space="preserve">Обеспечение механизма постоянного и действенного диалога с избирателями </t>
  </si>
  <si>
    <t>Средний срок рассмотрения обращений избирателей</t>
  </si>
  <si>
    <t xml:space="preserve">Обеспечение прозрачности и подотчетности деятельности Жогорку Кенеша </t>
  </si>
  <si>
    <t>Доля расходов бюджета на парламент в номинальном объеме ВВП</t>
  </si>
  <si>
    <t>Количество штатных единиц на одного постоянно работающего депутата</t>
  </si>
  <si>
    <t xml:space="preserve">Обеспечение и поддержка деятельности консультативно-общественного совета при Торага Жогорку Кенеша </t>
  </si>
  <si>
    <t>Количество проведенных заседаний совета</t>
  </si>
  <si>
    <t>Доля подписанных Президентом законопроектов от количества принятых Жогорку Кенешем</t>
  </si>
  <si>
    <t>Законодательное обеспечение реформ, необходимых для устойчивого развития общества и государства</t>
  </si>
  <si>
    <t>Количество принятых постановлений на 100 депутато-дней</t>
  </si>
  <si>
    <t>Повышение качества разрабатываемых законопроектов</t>
  </si>
  <si>
    <t xml:space="preserve">Исполненные запросы депутатов </t>
  </si>
  <si>
    <t>Количество подписанных Президентом законов за 100 депутато-дней</t>
  </si>
  <si>
    <t>Усиление сотрудничества с парламентами иностранных государств и межпарламентскими организациями</t>
  </si>
  <si>
    <t>Количество подписанных документов о сотрудничестве</t>
  </si>
  <si>
    <t xml:space="preserve">Индекс доверия населения Правительству Кыргызской Республики </t>
  </si>
  <si>
    <t xml:space="preserve">Улучшение качества контроля над деятельностью Правительства и других подотчетных органов </t>
  </si>
  <si>
    <t>Исполнение постановлений</t>
  </si>
  <si>
    <t>Исполнение протокольных поручений</t>
  </si>
  <si>
    <t>Улучшение инструментов парламентского контроля</t>
  </si>
  <si>
    <t>Количество созданных депутатских Комиссий</t>
  </si>
  <si>
    <t>Количество депутатских комиссий, работа которых была завершена</t>
  </si>
  <si>
    <t>ВСЕГО (контрольные цифры)</t>
  </si>
  <si>
    <t>Примечание: Общая сумма бюджета включая специальные средства Ясли-сада №172 "Арген" Управления делами:</t>
  </si>
  <si>
    <t>12 Аппарат Президента КР</t>
  </si>
  <si>
    <t>Экспертно-аналитическое, информационное, правовое, протокольное, организационное, документационное обеспечение функционирования Президента КР</t>
  </si>
  <si>
    <t>Отношение расходов по бюджетной мере к общим расходам республиканского бюджета</t>
  </si>
  <si>
    <t>Обеспечение деятельности Президента КР согласно Закону КР "О гарантиях деятельности Президента КР"</t>
  </si>
  <si>
    <t>Полнота обеспеченности</t>
  </si>
  <si>
    <t>Оказание государственной поддержки в случае возникновения непредвиденных расходов по экономическим, социально-культурным и другими мероприятиями, а также чрезвычайным событиям</t>
  </si>
  <si>
    <t>Количество изданных распоряжений на оказание финансовой помощи</t>
  </si>
  <si>
    <t>13. Архив президента КР</t>
  </si>
  <si>
    <t>05</t>
  </si>
  <si>
    <t xml:space="preserve">Прием и хранение архивных документов. Закартонированно документов </t>
  </si>
  <si>
    <t>ед.хранения</t>
  </si>
  <si>
    <t>14 Аппарат Правительства КР</t>
  </si>
  <si>
    <t xml:space="preserve">Обеспечение деятельности Правительства КР путем координации госорганов исполнительной власти и осуществление мониторинга реализации ими своих полномочий, а также реализации полномочий Премьер-министра КР                                                                                                               </t>
  </si>
  <si>
    <t>Количество принятых нормативно-правовых актов по инициативе Правительства КР</t>
  </si>
  <si>
    <t>Координация и принятие решений в вопросах делимитации и демаркации государственной границы КР</t>
  </si>
  <si>
    <t>Количество проведенных встреч по вопросам делимитации и демаркации госграниц</t>
  </si>
  <si>
    <t>Оказание государственной поддержки в случае возникновения непредвиденных расходов, связанных с социально-культурными и другими мероприятиями, проводимыми в республике</t>
  </si>
  <si>
    <t>15. Управление делами Презилента и Правительства Кыргызской Республики</t>
  </si>
  <si>
    <t xml:space="preserve">Обеспечение деятельности Президента КР, Премьер-министра КР, Аппарата Президента КР и Аппарата Правительства КР  </t>
  </si>
  <si>
    <t>Количество обслуживаемых смет</t>
  </si>
  <si>
    <t>Обеспечение высокого уровня предоставления государственных услуг, а также обеспечение государственного протокола</t>
  </si>
  <si>
    <t>Количество организованных протокольных мероприятий</t>
  </si>
  <si>
    <t>15</t>
  </si>
  <si>
    <t>Программное и техническое обеспечение единиго канала связи государственных учреждений и обеспечение прозрачности выборов референдумов</t>
  </si>
  <si>
    <t>Количество  государственных учреждений</t>
  </si>
  <si>
    <t>Обеспечение и организация мероприятий по награждению государственными наградами лиц, внесших вклад в защиту и укрепление государства и демократического общества, единства народа, а также заслуг в различных видах деятельности перед государством и народом</t>
  </si>
  <si>
    <t>Кол-во изготовленных наград</t>
  </si>
  <si>
    <t>шт.</t>
  </si>
  <si>
    <t>Транспортное обеспечение  экс-Президента КР и бывших руководителей Кыргызской ССР</t>
  </si>
  <si>
    <t>Количество лиц</t>
  </si>
  <si>
    <t>чел.</t>
  </si>
  <si>
    <t>Обеспечение и организация  саммитов и других госзначимых мероприятий</t>
  </si>
  <si>
    <t>Количество мероприятий гос.значимых</t>
  </si>
  <si>
    <r>
      <t xml:space="preserve">Поддержка образования детей и молодежи
</t>
    </r>
    <r>
      <rPr>
        <i/>
        <sz val="10"/>
        <rFont val="Times New Roman"/>
        <family val="1"/>
        <charset val="204"/>
      </rPr>
      <t>Цель: Поддержка инициатив в области развития гуманного, научного и кадрового потенциала</t>
    </r>
  </si>
  <si>
    <t>1) Оказание поддержки в обучении талантливых и одаренных детей и молодежи, в том числе за рубежом;</t>
  </si>
  <si>
    <t>Удельный вес  в % от общей суммы годового бюджета</t>
  </si>
  <si>
    <t>2) Оказание адресной поддержки детям, находящимся в трудной жизненой ситуации;</t>
  </si>
  <si>
    <t>3) Поддержка инициатив в области образования и науки и других проектов, направленных на развитие личностных качеств молодежи</t>
  </si>
  <si>
    <t>Обеспечение деятельности должностных лиц, возложенных на УДППКР</t>
  </si>
  <si>
    <t>Обеспечение высокого уровня предоставления государственных услуг</t>
  </si>
  <si>
    <t>Доля спецсредств к общей сумме организации</t>
  </si>
  <si>
    <t>Предоставление транспортных услуг в государственном секторе</t>
  </si>
  <si>
    <t>Количество обслуживаемых автомашин за счет республиканского бюджета, в т.ч., обслуживаемых</t>
  </si>
  <si>
    <t>- Аппарат Президента КР</t>
  </si>
  <si>
    <t>- Аппарат Правительства КР</t>
  </si>
  <si>
    <t>- Управление делами ППКР</t>
  </si>
  <si>
    <t>- АТО и гостевые</t>
  </si>
  <si>
    <t>Количество обслуживаемых автомашин за счет специальных средств, в т.ч.</t>
  </si>
  <si>
    <t>- министерства и ведомства</t>
  </si>
  <si>
    <t>- КБ УД</t>
  </si>
  <si>
    <t>Поддержание существующей сети государственных дошкольных образовательных организаций</t>
  </si>
  <si>
    <t>Количество детей</t>
  </si>
  <si>
    <t xml:space="preserve">Повышение  качества  услуг и приобщение населения к профессиональному искусству </t>
  </si>
  <si>
    <t>Количество обслуживаемых мероприятий государственного протокола</t>
  </si>
  <si>
    <t>001</t>
  </si>
  <si>
    <t>0</t>
  </si>
  <si>
    <t>Отношение расходов на заработную плату по программе 001 к расходам по всем программам ВС КР</t>
  </si>
  <si>
    <t>01</t>
  </si>
  <si>
    <t>чел</t>
  </si>
  <si>
    <t>02</t>
  </si>
  <si>
    <t>Доля выигранных судебных процессов по трудовым спорам</t>
  </si>
  <si>
    <t>03</t>
  </si>
  <si>
    <t>Поддержание внешних связей</t>
  </si>
  <si>
    <t>Количество встреч и приема гостей высокого уровня</t>
  </si>
  <si>
    <t>ед</t>
  </si>
  <si>
    <t>Количество поездок судей на международные мероприятия высокого уровня</t>
  </si>
  <si>
    <t>04</t>
  </si>
  <si>
    <t>Поддержание связей с общественностью</t>
  </si>
  <si>
    <t>Количество положительных упоминаний Верховного суда  в СМИ</t>
  </si>
  <si>
    <t>1300-1500</t>
  </si>
  <si>
    <t>Обеспечения деятельности и службы обеспечения</t>
  </si>
  <si>
    <t>Доля сотрудников служб обеспечения от общей численности сотрудников центрального аппарата Верховного суда</t>
  </si>
  <si>
    <t>002</t>
  </si>
  <si>
    <t>Количество возвращенных дел по причине некачественного правосудия в местных судах</t>
  </si>
  <si>
    <t>Осуществление правосудия по гражданским, уголовным и административно-экономическим делам</t>
  </si>
  <si>
    <t>Количество отмененных дел по причине некачественного правосудия в местных судах</t>
  </si>
  <si>
    <t>640</t>
  </si>
  <si>
    <t>630</t>
  </si>
  <si>
    <t>Обеспечение ВС зданием, соответствующего стандарта</t>
  </si>
  <si>
    <t>Соответствие здания ВС КР установленным стандартам по площади: да / нет</t>
  </si>
  <si>
    <t>да</t>
  </si>
  <si>
    <t>Оснащение здания ВС современным оборудованием (мебель, ПК и др.)/ Выделение финансов на их приобретение</t>
  </si>
  <si>
    <t>Оснащенность оборудованием – 0-100%</t>
  </si>
  <si>
    <t>Поддержание оборудования</t>
  </si>
  <si>
    <t>Проведение регулярного обучения судей и работников аппарата, семинаров по повышению квалификации (за исключением плана УЦС ВС КР)</t>
  </si>
  <si>
    <t>Охват сотрудников аппарата ВС КР семинарами и др.</t>
  </si>
  <si>
    <t>006</t>
  </si>
  <si>
    <t>Обобщение и совершенствование судебной практики</t>
  </si>
  <si>
    <t>Количество обобщений судебной практики</t>
  </si>
  <si>
    <t>07</t>
  </si>
  <si>
    <t>Работа с законопроектами</t>
  </si>
  <si>
    <t>Количество законопроектов по которым внесены предложения</t>
  </si>
  <si>
    <t>08</t>
  </si>
  <si>
    <t>Сбор материалов для Бюллетеня ВС КР</t>
  </si>
  <si>
    <t>Количество собранных материалов</t>
  </si>
  <si>
    <t>003</t>
  </si>
  <si>
    <t>Количество покушений на судей</t>
  </si>
  <si>
    <t>кол-во</t>
  </si>
  <si>
    <t>Установка камер видеонаблюдения в здании суда и на территории, поддержание в рабочем состоянии технических средств обеспечения безопасности</t>
  </si>
  <si>
    <t>Количество видеокамер/технических средств в здании суда и на территории</t>
  </si>
  <si>
    <t>Обеспечение работников ВС КР социальным пакетом (медицинское обслуживание)</t>
  </si>
  <si>
    <t>Количество дней отсутствия сотрудников на рабочих местах по причине болезней (в т.ч. детей) и отгулов</t>
  </si>
  <si>
    <t>дней</t>
  </si>
  <si>
    <t>004</t>
  </si>
  <si>
    <t>Количество коррупционных проявлений в среди сотрудников аппара ВС КР</t>
  </si>
  <si>
    <t>Оптимизация системы опубликования решений ВС КР</t>
  </si>
  <si>
    <t>Количество опубликованных решений на сайте sot.kg</t>
  </si>
  <si>
    <t>Установка и использование ИКТ на судебных заседаниях</t>
  </si>
  <si>
    <t>Организация ссылки/баннера сайта ВС КРРР на новостных интернет порталах страны (aki-press, k-news, 24.kg…).</t>
  </si>
  <si>
    <t>Количество уникальных просмотров сайта ВС КР</t>
  </si>
  <si>
    <t>Техническая поддержка автоматического распределения дел</t>
  </si>
  <si>
    <t>Количество жалоб на конфликт интересов в работе судей ВС КР</t>
  </si>
  <si>
    <t>Обеспечение всестороннего освещения работы ВС КР</t>
  </si>
  <si>
    <t>Количество ссылок и продвижений сайта ВС КР в СМИ (ТВ, радио, интернет, печать и др.)</t>
  </si>
  <si>
    <t>6-8</t>
  </si>
  <si>
    <t>Конституционная палата Верховного суда Кыргызской Республики</t>
  </si>
  <si>
    <t>Отношение расходов на заработную плату по программе 001 к расходам по всем программам КП ВС КР</t>
  </si>
  <si>
    <t>Количество нарушений законодательства о труде и финансовой дисциплины</t>
  </si>
  <si>
    <t>Количество нарушений законодательства в сфере финансовой дисциплины</t>
  </si>
  <si>
    <t>Количество нарушений законодательства о труде и в сфере государственной службы</t>
  </si>
  <si>
    <t>Доля сотрудников служб обеспечения от общей численности сотрудников центрального аппарата, Конституционной палаты</t>
  </si>
  <si>
    <t>Количество обращений, поступивщих в КП и мероприятий, направленных на повышение профессионального уровня судей и сотрудников аппарата КП</t>
  </si>
  <si>
    <t>Осуществление конституционного правосудия</t>
  </si>
  <si>
    <t>Количество рассмотренных дел по обеспечению конституционности</t>
  </si>
  <si>
    <t>Обеспечение деятельности судей по осуществлению конституционного правосудия</t>
  </si>
  <si>
    <t>Интеграция Конституционной палаты в систему международного правосудия</t>
  </si>
  <si>
    <t>Количество участий представителей КП на международных мероприятиях</t>
  </si>
  <si>
    <t>Участие в работе международных и региональных организаций и объединений по конституционному правосудию, членами которых является Конституционная палата</t>
  </si>
  <si>
    <t>Количество участий в мероприятиях, организованных по линии международных и региональных организаций и объединений по конституционному правосудию (Всемирная конференция по конституционному правосудию, Венецианская комиссия Совета Европы, Ассоциация азиатских конституционных судов и эквивалентных институтов, Конференция органов конституционного контроля стран новой демократии)</t>
  </si>
  <si>
    <t>Проведение международных конференций, посвяшенных актуальным вопросам конституционализма</t>
  </si>
  <si>
    <t xml:space="preserve">Проведение международной конференции 1 раз в два года. </t>
  </si>
  <si>
    <t>06</t>
  </si>
  <si>
    <t>Проведение национальных научно-практических конференций, посвященных актуальным вопросам конституционализма в Кыргызстане</t>
  </si>
  <si>
    <t xml:space="preserve">Проведение национальной конференции 1 раз в два года. </t>
  </si>
  <si>
    <t>Повышение квалификации работников аппарата Конституционной палаты, стажировки в конституционных судах зарубежных стран.</t>
  </si>
  <si>
    <t>Количество прошедших стажировки работников.</t>
  </si>
  <si>
    <t>Количество мероприятий, направленных на обеспечение открытости и празрачности деятельности КП и участников данных мероприятий</t>
  </si>
  <si>
    <t>Количество размещенных материалов на сайте КП и других СМИ</t>
  </si>
  <si>
    <t>Организация и проведение летних школ конституциализма, конкурсов среди студентов гостевых лекций</t>
  </si>
  <si>
    <t>Количество слушателей и участников</t>
  </si>
  <si>
    <t>Количество выпущенной продукции</t>
  </si>
  <si>
    <t>Обеспечение системы аудио-видеофиксации судебных заседаний, сайта КП</t>
  </si>
  <si>
    <t>Функционирование всех систем автоматизации конституционного правосудия</t>
  </si>
  <si>
    <t>да/нет</t>
  </si>
  <si>
    <t xml:space="preserve">Высшая школа правосудия при Верховном суде Кыргызской Республики </t>
  </si>
  <si>
    <t>Отношение расходов на заработную плату по программе 001 к расходам по всем программам УЦ при ВС КР</t>
  </si>
  <si>
    <t>Количество нарушений, связанных с должностными обязанностями сотрудников аппарата ВШП ВС КР</t>
  </si>
  <si>
    <t>Процент исполнения бюджета ВШП ВС КР  без нарушений и неоправданных задержек</t>
  </si>
  <si>
    <t>Количество судебных процессов по трудовым спорам</t>
  </si>
  <si>
    <t>Обеспечение деятельности и службы обеспечения</t>
  </si>
  <si>
    <t>Количество положительных упоминаний учреждения в СМИ</t>
  </si>
  <si>
    <t>Усиление прозрачности и профессионализма судейского корпуса</t>
  </si>
  <si>
    <t>Укрепление кадрового потенциала в судебной системе Кыргызской Республики</t>
  </si>
  <si>
    <t>Повышение уровня профессионализма</t>
  </si>
  <si>
    <t>Внедрение практики совместного обучения судей, прокуроров и адвокатов</t>
  </si>
  <si>
    <t xml:space="preserve">Повышение уровня профессиональной культуры работников судебной системы </t>
  </si>
  <si>
    <t>Количество возврата дел из судов высшей инстанции по причине низкого качества</t>
  </si>
  <si>
    <t>Обучение претендентов на должность судей местных судов</t>
  </si>
  <si>
    <t>Средний балл, полученный претендентами на тестировании</t>
  </si>
  <si>
    <t>балл</t>
  </si>
  <si>
    <t>Количество обученных претендентов</t>
  </si>
  <si>
    <t>Органиационные мероприятия по набору слушателей</t>
  </si>
  <si>
    <t>Разработка и актуализация учебных стандартов и программ</t>
  </si>
  <si>
    <t>Доля утвержденных программ к необходимому количеству</t>
  </si>
  <si>
    <t>Доля утвержденных стандартов к необходимому количеству</t>
  </si>
  <si>
    <t>Внедрение комплексной программы обучения</t>
  </si>
  <si>
    <t>Внедренная комплексная программа</t>
  </si>
  <si>
    <t>Актуализация учебников, пособий для обучения претендентов</t>
  </si>
  <si>
    <t>Доля актуальных учебников и пособий к необходимому количеству</t>
  </si>
  <si>
    <t>Увеличение аудиторного фонда</t>
  </si>
  <si>
    <t>Площадь аудитории / -ий</t>
  </si>
  <si>
    <t>кв.м.</t>
  </si>
  <si>
    <t>Внедрение системы видеонаблюдения в аудиториях</t>
  </si>
  <si>
    <t>Ведение библиотеки учебных пособий, лекционного материала</t>
  </si>
  <si>
    <t>Комплектация библиотеки</t>
  </si>
  <si>
    <t>005</t>
  </si>
  <si>
    <t>Количество претендентов прошедших тест</t>
  </si>
  <si>
    <t>Организация процедуры тестирования претендентов</t>
  </si>
  <si>
    <t>Судебному департаменту при Верховном суде Кыргызской Республики</t>
  </si>
  <si>
    <t>Обеспечение бесперебойной работы процесса судопроизводства по местным судам КР и Судебному департаменту</t>
  </si>
  <si>
    <t>Обеспечение прозрачности бюджета Судебного департамента / бюджетные средства использованы на достижение поставленных целей</t>
  </si>
  <si>
    <t>Общая координация на региональном уровне</t>
  </si>
  <si>
    <t>Процент исполнения бюджета Судебного департамента при ВС КР  без нарушений и неоправданных задержек</t>
  </si>
  <si>
    <t>Доля сотрудников служб обеспечения от общей численности сотрудников центрального аппарата</t>
  </si>
  <si>
    <t>1300-1400</t>
  </si>
  <si>
    <t>Обеспечение мониторинга, анализа и стратегического планирования</t>
  </si>
  <si>
    <t>Доля своевременно реализованных мероприятий Государственной целевой прораммы запланированных на соответсвующий год</t>
  </si>
  <si>
    <t>индекс</t>
  </si>
  <si>
    <t>Независимый отбор судей Советом по отбору судей КР</t>
  </si>
  <si>
    <t>Внедрение автоматизированной информационной системы (АИС)</t>
  </si>
  <si>
    <t>Создание государственного реестра судебных актов</t>
  </si>
  <si>
    <t>Создание электронного архива</t>
  </si>
  <si>
    <t>Обеспечение безопасности и охрана зданий судов</t>
  </si>
  <si>
    <t xml:space="preserve">Обеспечение безопасности для участников сторон судебных процессов </t>
  </si>
  <si>
    <t>Обеспечение деятельности Совета судей КР и Дисциплинарной комиссии при Совете судей</t>
  </si>
  <si>
    <t>Определение приоритетных направлений развития судебной системы Кыргызской Республики / Усилен потенциал органов судейского самоуправления</t>
  </si>
  <si>
    <t>Осуществление правосудия</t>
  </si>
  <si>
    <t xml:space="preserve">Создание условий для участников сторон судебных процессов / количество модернизированных и построенных новых зданий для местных судов КР отвечающих утвержденным нормативам для служебных помещений судов </t>
  </si>
  <si>
    <t>09</t>
  </si>
  <si>
    <t>Обеспечение надлежащего профессионального уровня судей, работников местных судов</t>
  </si>
  <si>
    <t>600</t>
  </si>
  <si>
    <t>1000</t>
  </si>
  <si>
    <t>2058</t>
  </si>
  <si>
    <t>10</t>
  </si>
  <si>
    <t>Обеспечение деятельности служб судебных приставов</t>
  </si>
  <si>
    <t>Внедрение технических средств и системы безопасности зданий судов</t>
  </si>
  <si>
    <t>11</t>
  </si>
  <si>
    <t>Обеспечение деятельности института исполнительного производства</t>
  </si>
  <si>
    <r>
      <t>Совершенствование взаимодействия модели исполнения судебных решений /</t>
    </r>
    <r>
      <rPr>
        <i/>
        <sz val="10"/>
        <rFont val="Times New Roman"/>
        <family val="1"/>
        <charset val="204"/>
      </rPr>
      <t xml:space="preserve"> Увеличение доли исполнения судебных решений</t>
    </r>
  </si>
  <si>
    <t>12</t>
  </si>
  <si>
    <t xml:space="preserve">Создание необходимых условий труда для осуществления правосудия </t>
  </si>
  <si>
    <t>Доля граждан, считающих организацию работы судов неудовлетворительной, в том числе опрошенных</t>
  </si>
  <si>
    <t>13</t>
  </si>
  <si>
    <t>Обеспечение оперативности процесса судопроизводства</t>
  </si>
  <si>
    <t>Обеспечен реальный доступ граждан к квалифицированной юридической помощи</t>
  </si>
  <si>
    <t>14</t>
  </si>
  <si>
    <t>Разработка и внедрение системы для получения судебных актов в удаленном режиме (система электронного правосудия)</t>
  </si>
  <si>
    <t>Улучшение качества отправления правосудия</t>
  </si>
  <si>
    <t>Автоматизированное распределение судебных актов (АРД)</t>
  </si>
  <si>
    <t>16</t>
  </si>
  <si>
    <t>Внедрение института присяжных заседателей</t>
  </si>
  <si>
    <t>количество межрайонных судов рассматривающие судебные дела с участием присяжных заседателей</t>
  </si>
  <si>
    <t>Процент комплектования судейского корпуса местных судов</t>
  </si>
  <si>
    <t>Введение системы внешнего наблюдения</t>
  </si>
  <si>
    <t>Количество инцидентов в зале суда, повлиявших на ход прохождения судебного процесса (отложения, длительная пауза)</t>
  </si>
  <si>
    <t>Введение контрольно-пропускного режима</t>
  </si>
  <si>
    <t>Введение службы охраны (судебные приставы)</t>
  </si>
  <si>
    <t>Количество коррупционных проявлений в системе СД</t>
  </si>
  <si>
    <t>Обеспечение работы по повышению информированности населения, СМИ, НПО, гражданского общества</t>
  </si>
  <si>
    <t>Проведение информационной работы: выступления в СМИ (ТВ, радио, пресса)</t>
  </si>
  <si>
    <t>Внедрение системы аудио-видеофиксации судебных процессов</t>
  </si>
  <si>
    <t>Количество жалоб на несоблюдение процедур судопроизводства</t>
  </si>
  <si>
    <t>Внедрение механизма обеспечения прозрачности финансирования бюджетной системы</t>
  </si>
  <si>
    <t>Количество публикации в СМИ на едином сайте судебной ситемы: о финансировании бюджетной системы, о доходах судей и работников аппаратов судов</t>
  </si>
  <si>
    <t>Соотношение заявленных и удовлетворенных отводов судьям к общему количеству дел в году</t>
  </si>
  <si>
    <t>1/1</t>
  </si>
  <si>
    <t>Обеспечение надлежащей работы института исполнительного производства</t>
  </si>
  <si>
    <t>Доля реально и своевременно исполненных судебных постановлений (без возвращенных, направленных дел для исполнения)</t>
  </si>
  <si>
    <t xml:space="preserve">Создание необходимых условий труда для осуществления провосудия </t>
  </si>
  <si>
    <t>Количество дел, проведенных с соблюдением нормативных сроков судопроизводства</t>
  </si>
  <si>
    <t>Создание системы обмена информации и внедрения системы информационной и технической безопасности</t>
  </si>
  <si>
    <t>Расширение сферы действия и модернизация автоматизированной системы распределения судебных дел и материалов между судьями</t>
  </si>
  <si>
    <t>Доля вынесенных решений судами присяжных заседателей в общем количестве рассмотренных дел</t>
  </si>
  <si>
    <t>Доля прозрачности судебной системы и расширение возможности доступа лиц к правосудию</t>
  </si>
  <si>
    <t>Внедрение института следственных судей и аппарата судов</t>
  </si>
  <si>
    <t xml:space="preserve">Доля  совершенствования специализации судей </t>
  </si>
  <si>
    <t>Внедрение института судебных исполнителей и судебных приставов</t>
  </si>
  <si>
    <t> Доля исполнения судебных актов и принудительного привода и количество инцидентов в зале суда, повлиявших на ход прохождения судебного процесса (отложения, длительная пауза)</t>
  </si>
  <si>
    <t>007</t>
  </si>
  <si>
    <t>Внедрение единой корпоративной почтовой системы</t>
  </si>
  <si>
    <t>Внедрение единого цифрового паспорта сотрудника судебной системы КР и электроннной цифровой подписи (единая система авторизации и аутентификации)</t>
  </si>
  <si>
    <t>Внедрение системы контроля, управления доступа и обеспечения безопасности зданий судов, ПССИ и других субъектов судебной системы КР</t>
  </si>
  <si>
    <t>Внедрение системы внутреннего и внешенего видеонаблюдения для обеспечения безопасности судов и других субъектов судебной системы КР</t>
  </si>
  <si>
    <t>Развитие и модернизация технической инфраструктуры  судов, ПССИ и других субъектов судебной системы КР</t>
  </si>
  <si>
    <t>Создание единой информационной экосистемы судебной системы КР "Цифровое правосудие"  и интеграция информационных систем судебной системы КР с другими государственными органами и ведомствами</t>
  </si>
  <si>
    <t>Разработка и внедрение портала электронных сервисов судебной системы КР с поддержкой электронных платежей (включая личный кабинет гражданина и участника судебного процесса)</t>
  </si>
  <si>
    <t>Внедрение системы дистанционного правосудия</t>
  </si>
  <si>
    <t>Сопровождение и развитие Автоматизированной информационной системы "Суд"</t>
  </si>
  <si>
    <t>ВСЕГО 16 раздел (контрольные цифры)</t>
  </si>
  <si>
    <t>18. Центральная комиссия  по выборам и проведению референдумов Кыргызской Республики</t>
  </si>
  <si>
    <t>18. Центральная комиссия по выборам и проведениюреферендумов КР</t>
  </si>
  <si>
    <t xml:space="preserve">Планирование, управление и администрирование </t>
  </si>
  <si>
    <t>Координация и обеспечение деятельности аппарата ЦИК по выборам</t>
  </si>
  <si>
    <t xml:space="preserve">Реализация конституционных прав граждан на осуществление власти через участие в референдумах и выборах. </t>
  </si>
  <si>
    <t>Организация подготовки и проведение выборов Президента, депутатов Жогорку Кенеша Кыргызской Республики, депутатов местных кенешей, глав исполнительных органов местного самоуправления и референдумов.</t>
  </si>
  <si>
    <t>19. Генеральная прокуратура Кыргызской Республики</t>
  </si>
  <si>
    <t>аудит не произведен</t>
  </si>
  <si>
    <t>Количество положительных упоминаний мин-ва/вед-ва в средствах массовой информации</t>
  </si>
  <si>
    <t>Проведение внутренних расследований</t>
  </si>
  <si>
    <t>Количество проведенных расследований, количество рассмотренных жалоб, количество возбужденных уголовных дел</t>
  </si>
  <si>
    <t>0                                                                       111                                                              0</t>
  </si>
  <si>
    <t>Надзор за точным и единообразным исполнением законов оганами исполнительной власти, органами местного самоуправления, их должностными лицами, а также другими государственными органами, перечень которых определяется конституционным законом.</t>
  </si>
  <si>
    <r>
      <t>Количество проведенных проверок (</t>
    </r>
    <r>
      <rPr>
        <u/>
        <sz val="10"/>
        <rFont val="Times New Roman"/>
        <family val="1"/>
        <charset val="204"/>
      </rPr>
      <t>выявлено нарушений в 2019 году</t>
    </r>
    <r>
      <rPr>
        <sz val="10"/>
        <rFont val="Times New Roman"/>
        <family val="1"/>
        <charset val="204"/>
      </rPr>
      <t>),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</si>
  <si>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t>19018                                             8049                                           5581                                       388945321 сом</t>
  </si>
  <si>
    <t>Надзор за законностью издаваемых органами исполнительной власти НПА и исполнением законов.</t>
  </si>
  <si>
    <t xml:space="preserve">8170                                                  5210                                                       3022                                                       332291628 сом </t>
  </si>
  <si>
    <t>Противодействие коррупции. Координация деятельности госорганов по противодействию коррупции.</t>
  </si>
  <si>
    <r>
      <t>Количество проведенных проверок</t>
    </r>
    <r>
      <rPr>
        <u/>
        <sz val="10"/>
        <rFont val="Times New Roman"/>
        <family val="1"/>
        <charset val="204"/>
      </rPr>
      <t xml:space="preserve"> (выявлено нарушений в 2019 году)</t>
    </r>
    <r>
      <rPr>
        <sz val="10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</si>
  <si>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t xml:space="preserve">4124                                                1892                                                       1528                                           56653693 сом </t>
  </si>
  <si>
    <t>Надзор за исполнением законов по защите прав детей.</t>
  </si>
  <si>
    <r>
      <t>Количество проведенных проверок (</t>
    </r>
    <r>
      <rPr>
        <u/>
        <sz val="10"/>
        <rFont val="Times New Roman"/>
        <family val="1"/>
        <charset val="204"/>
      </rPr>
      <t>выявлено нарушений в 2019 году)</t>
    </r>
    <r>
      <rPr>
        <sz val="10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лиц.</t>
    </r>
  </si>
  <si>
    <t>6724                                                 947                                              1031</t>
  </si>
  <si>
    <t>Надзор за исполнением законов о защите прав предпринимателей и инвесторов</t>
  </si>
  <si>
    <t>Количество проведенных проверок(выявлено нарушений в 2019 году), внесенных актов прокурорского реагирования,наказанных в административном и дисциплинарном порядке лиц.</t>
  </si>
  <si>
    <t xml:space="preserve">Надзор за соблюдением законов органами, осуществляющими оперативно-розыскную деятельность, следствие. </t>
  </si>
  <si>
    <t>473                                                 44975                                                                  159                                                             7386                                                                          494                                                             245                                                       34</t>
  </si>
  <si>
    <t>Надзор за следствием и оперативно-розыскной деятельностью в органах внутренних дел и исполнения наказания.</t>
  </si>
  <si>
    <t>428                                             42142                                                             148                                                        5951                                                                   453                                                           222                                                    22</t>
  </si>
  <si>
    <t>Надзор за следствием и оперативно-розыскной деятельностью в органах государственной службы по экономическим преступлениям и следствие в Военной прокуратуре и в органах национальной безопасности</t>
  </si>
  <si>
    <t>31                                                    1511                                                      6                                                              786                                                          29                                                                   21                                                       0</t>
  </si>
  <si>
    <t>Надзор за следствием и оперативно-розыскной деятельностью в органах государственной службы по экономическим преступлениям и таможни</t>
  </si>
  <si>
    <t>12                                                             144                                                          2                                                              317                                                                   12                                                    2                                                12</t>
  </si>
  <si>
    <t>Обеспечение поддержания гособвинения и представительство в судах.</t>
  </si>
  <si>
    <t>Количество принятых участий на судебных процессах. Количество обвинительных приговоров первой инстанции. Количество внесенных аппеляционных, кассационных и надзорных представлений. Сумма возмещенного по искам ущерба.</t>
  </si>
  <si>
    <t>10208                                                       2818                                             1034                                                      684                                                665                                                     45850555</t>
  </si>
  <si>
    <t>Поддержание гособвинения в судах.</t>
  </si>
  <si>
    <t xml:space="preserve">Количество принятых участий на судебных процессах. Количество обвинительных приговоров. Количество внесенных аппеляционных, кассационных и надзорных представлений. </t>
  </si>
  <si>
    <t xml:space="preserve">8390                                                           2818                                                                   934                                                               634                                                665 </t>
  </si>
  <si>
    <t>Рассмотрение обращений граждан в сфере уголовного и гражданского судопроизводства</t>
  </si>
  <si>
    <t>Количество принятых участий на судебных процессах. Количество внесенных аппеляционных, кассационных и надзорных представлений. Сумма возмещенного по искам ущерба.</t>
  </si>
  <si>
    <t>1818                                                                  100                                                                    50                                                       0                                                 45850555</t>
  </si>
  <si>
    <t>Обеспечение правовой статистики и учетов.</t>
  </si>
  <si>
    <t>Количество проведенных проверок по достоверности и формированию уголовно-правовой статистики на местах (в т.ч поднадзорными органами)</t>
  </si>
  <si>
    <t>Надзор и формирование (свод статистики по всей правоохранительной системе) уголовно-правовой статистики о преступности, лиц, их совершивших и следственной работы правоохранительных органов, и модернизация автоматизированной информационной системы "Единый реестр преступлений и проступков".</t>
  </si>
  <si>
    <t>Количество проведенных проверок по достоверности и формированию уголовно-правовой статистики на местах (в т.ч поднадзорными органами),создать технологическое программное обеспечение, отвечающим всем требованиям для полноценного функционирования правоохранительных органов и органов прокуратуры.</t>
  </si>
  <si>
    <t>Судебно-правовая реформа</t>
  </si>
  <si>
    <t>Реализация проекта создания и внедрения АИС "ЕРПП"</t>
  </si>
  <si>
    <t>Сумма выделенных денежных средств на реализацию АИС "ЕРПП"</t>
  </si>
  <si>
    <t>20 Военная прокуратура Кыргызской Республики</t>
  </si>
  <si>
    <t xml:space="preserve">Планирование, управление и администрирование                                                                                                                              </t>
  </si>
  <si>
    <t>Качественный контроль и эффективное управление за деятельностью органов Военной прокуратуры Кыргызской Республики</t>
  </si>
  <si>
    <t>Индекс доверия военнослужащих</t>
  </si>
  <si>
    <t>Финансовое и ресурсное обеспечение</t>
  </si>
  <si>
    <t>Количество выигранных судебных процессов</t>
  </si>
  <si>
    <t>Кол. уг. дел</t>
  </si>
  <si>
    <t>149/5528831</t>
  </si>
  <si>
    <t>50/700368</t>
  </si>
  <si>
    <t>150/18000,0</t>
  </si>
  <si>
    <t>160/19000,0</t>
  </si>
  <si>
    <t>170/20000,0</t>
  </si>
  <si>
    <t>Улучшение качественного состава руководящих кадров. Качественное и своевременное исполнение отчётных данных, выступление в СМИ</t>
  </si>
  <si>
    <t>Количество</t>
  </si>
  <si>
    <t>Осуществление общего надзора за соблюдением военного законодательства</t>
  </si>
  <si>
    <t>Уменьшение правонарушений по военному законодательству</t>
  </si>
  <si>
    <t>Надзор за точным и единообразным исполнением законодательства Кыргызской Республики</t>
  </si>
  <si>
    <t>Количество проведённых проверок по несоблюдению военного законодательства</t>
  </si>
  <si>
    <t>704/18834001</t>
  </si>
  <si>
    <t>290/5280623</t>
  </si>
  <si>
    <t>700/19000,0</t>
  </si>
  <si>
    <t>800/20000,0</t>
  </si>
  <si>
    <t>900/21000,0</t>
  </si>
  <si>
    <t>Надзор за исполнением законов и воинских уставов</t>
  </si>
  <si>
    <t>Количество жалоб и заявлений на действия командиров и начальников</t>
  </si>
  <si>
    <t>Представление и предписания</t>
  </si>
  <si>
    <t>Количество нормативных актов, возвращенных на доработку от общего числа разработанных нормативных актов</t>
  </si>
  <si>
    <t>Увеличение процента раскрываемости преступлений в Вооруженных силах</t>
  </si>
  <si>
    <t>Уголовное преследование лиц, совершивших преступление в Вооруженных силах</t>
  </si>
  <si>
    <t>Количество раскрытых уголовных дел в Вооруженных силах</t>
  </si>
  <si>
    <t>Количество уг. дел</t>
  </si>
  <si>
    <t>437/30090441</t>
  </si>
  <si>
    <t>106/8869553</t>
  </si>
  <si>
    <t>450/30000,0</t>
  </si>
  <si>
    <t>500/31000,0</t>
  </si>
  <si>
    <t>550/32000,0</t>
  </si>
  <si>
    <t>Предупреждение преступлений в Вооруженных силах</t>
  </si>
  <si>
    <t>Количество военнослужащих, прошедших занятия по профилактике преступлений (к общему количеству военнослужащих)</t>
  </si>
  <si>
    <t>Поддержание государственного обвинения в судах</t>
  </si>
  <si>
    <t>Количество государственных обвинений, поддержанных решением военного суда</t>
  </si>
  <si>
    <t>Участие в судебных процессах</t>
  </si>
  <si>
    <t>Количество рассмотренных уголовных дел судами</t>
  </si>
  <si>
    <t>150/30000,0</t>
  </si>
  <si>
    <t>200/31000,0</t>
  </si>
  <si>
    <t>250/32000,0</t>
  </si>
  <si>
    <t>Подготовка и предъявление государственного обвинения в судах</t>
  </si>
  <si>
    <t xml:space="preserve">Количество </t>
  </si>
  <si>
    <t>21. Аппарат Омбудсмена (Акыйкатчы) Кыргызской Республики</t>
  </si>
  <si>
    <t xml:space="preserve">Доля сотрудников служб обеспечения от общей численности сотрудников центрального аппарата </t>
  </si>
  <si>
    <t>Доля положительных решений государственными органами и органами МСУ по актам реагирования</t>
  </si>
  <si>
    <t>Доля жалоб обращения граждан  по правам человека в регионах</t>
  </si>
  <si>
    <t>Улучшение защиты прав,сбоводы человека</t>
  </si>
  <si>
    <t>Зашита прав пациентов, находящихся в писихиатрических стационарах</t>
  </si>
  <si>
    <t>Защита  прав детей и молодежи</t>
  </si>
  <si>
    <t>Доля жалоб по нарушению прав детей и женшин,семьи(к общему количеству всех заявлений и жалоб)</t>
  </si>
  <si>
    <t>Из обращений граждан положительно решенных вопросов в местах лишения и ограничения сбоводы</t>
  </si>
  <si>
    <t>Защита социально-экономических и культурных прав</t>
  </si>
  <si>
    <t>Доля жалоб по нарушению гендерной дискриминации социально-экономических прав (к общему количеству всех заявлений и жалоб)</t>
  </si>
  <si>
    <t>Доля жалоб по нарушению прав  мигрантов и иностранных граждан</t>
  </si>
  <si>
    <t>54,,8</t>
  </si>
  <si>
    <t>Обеспечение материально-технической базы</t>
  </si>
  <si>
    <t xml:space="preserve">22. Министерство юстиции Кыргызской Республики </t>
  </si>
  <si>
    <t>Индекс доверия населения министерству</t>
  </si>
  <si>
    <t>Замещение вакантных административных государственных гражданских должностей</t>
  </si>
  <si>
    <t>Обучение и повышение квалификации персонала</t>
  </si>
  <si>
    <t>Проведение заседаний Совещания министров юстиции государств-членов ШОС (2018 год) и Совета министров юстиции государств-участников СНГ (2020 год) В Кыргызской Республике.</t>
  </si>
  <si>
    <t>Количество экспертизы подзаконных актов, количество проектов международных договоров.</t>
  </si>
  <si>
    <t>Уровень исполнительской дисциплины</t>
  </si>
  <si>
    <t>Количество экспертизы подзаконных актов, количество проектов международных договоров, принятие НПА</t>
  </si>
  <si>
    <t>Осуществление государственной регистрации, перерегистрации и регистрацию прекращение деятельности юридических лиц и филиалов (представительств), средств массовой информации, создаваемых на территории области, а также предоставление нотариальных услуг населению</t>
  </si>
  <si>
    <t>Осуществление государственной регистрации, перерегистрации и регистрацию прекращение деятельности юридических лиц и координации нотариальной деятельности и апостилирование исходящих документов от Кыргызской Республики</t>
  </si>
  <si>
    <t>Повышение качества экспертизы</t>
  </si>
  <si>
    <t xml:space="preserve">Координация исполнение плана законопроектных работ, разработка и экспертиза проектов нормативных правовых актов  </t>
  </si>
  <si>
    <t>Количество разработанных проектов НПА</t>
  </si>
  <si>
    <t>Экспертиза проектов подзаконных актов и осуществление экспертизы проектов международных договоров и соглашений.</t>
  </si>
  <si>
    <t xml:space="preserve">Введение Государственного реестра НПА и формирование Централизованной базы данных правовой информации </t>
  </si>
  <si>
    <t>Включение в Государственный реестр нормативных правовых актов</t>
  </si>
  <si>
    <t>Формирование Централизованной базы данных (ЦБД) правовой информации</t>
  </si>
  <si>
    <t>Количество электронных версий нормативных правовых актов Кыргызской Республики в ЦБД</t>
  </si>
  <si>
    <t xml:space="preserve">Обеспечение качественной и своевременной  услугой </t>
  </si>
  <si>
    <t xml:space="preserve">Осуществление координации нотариальной деятельности  и в сфере апостилирования исходящих документов от КР, а также проставление штампа апостиля  </t>
  </si>
  <si>
    <t>Количество апостил-х документов</t>
  </si>
  <si>
    <t>Количество легализованных документов</t>
  </si>
  <si>
    <t>Осуществление нотариальной деятельности</t>
  </si>
  <si>
    <t>Количество гос.нот. действий</t>
  </si>
  <si>
    <t>Исполнение уголовных наказаний, не связанных с изоляцией от общества, и принудительных мер уголовно-правового воздействия в порядке, установленном уголовно-исполнительным законодательством, а также осуществление надзора за лицами, условно-досрочно освобожденными от отбывания наказания в виде лишения свободы на определенный срок.</t>
  </si>
  <si>
    <t>Исполнение уголовных наказаний, не связанных с изоляцией от общества, и принудительных мер уголовно-правового воздействия в порядке, установленном уголовно-исполнительным законодательством.</t>
  </si>
  <si>
    <t>Повышение качества регистрации и залоговых сделок</t>
  </si>
  <si>
    <t xml:space="preserve">Проведение единой государственной  регистрации юридических лиц, филиалов (представительств) </t>
  </si>
  <si>
    <t>Внедрение и функционирование онлайн-регистрации юридических лиц, филиалов (представительств)</t>
  </si>
  <si>
    <t>Разработка и внедрение программного обеспечения</t>
  </si>
  <si>
    <t>Обеспечение, усовершенствование и актуализация базы данных юридических лиц, филиалов (представительств)</t>
  </si>
  <si>
    <t>Привлечение IT специалиста по договору для оказания работ по базе данных юридических лиц, филиалов (представительств)</t>
  </si>
  <si>
    <t>Закупка сервера для базы данных юридических лиц, филиалов (представительств)</t>
  </si>
  <si>
    <t>Привлечение специалистов по договору для инвентаризации архивных регистрационных документов юр.лиц, филиалов, представительств МЮ и территориальных органов</t>
  </si>
  <si>
    <t>Привлечение специалистов по договору для сканирования архивных регистрационных документов юр.лиц, филиалов, представительств МЮ и территориальных органов юстиции</t>
  </si>
  <si>
    <t>Закупка сканеров территориальным органам юстиции для оцифровки регистрационных документов</t>
  </si>
  <si>
    <t>Обеспечение сохранности архивных регистрационных дел юр.лиц, филиалов, представительств МЮ</t>
  </si>
  <si>
    <t>Закупка и установление сигнализации, бронирование дверей, стеллажа</t>
  </si>
  <si>
    <t xml:space="preserve">Проведение Государственной регистрации залоговых сделок движимого имущества </t>
  </si>
  <si>
    <t xml:space="preserve">Количество  залоговых сделок </t>
  </si>
  <si>
    <t>Предоставление качественной Государственной гарантированной юридической помощи</t>
  </si>
  <si>
    <t>Количество оказанной юридической помощи</t>
  </si>
  <si>
    <t>Обеспечение своевременной услуги в сфере обслуживания</t>
  </si>
  <si>
    <t>Осуществление обслуживания работниками МОП и ТОП</t>
  </si>
  <si>
    <t>Уровень своевременного и качественного обслуживания</t>
  </si>
  <si>
    <t>23. Министерство иностранных дел</t>
  </si>
  <si>
    <t xml:space="preserve">Осуществление управления в сфере иностранных дел  
</t>
  </si>
  <si>
    <t xml:space="preserve">Эффективная реализация внешнеполитического курса Кыргызской Республики
</t>
  </si>
  <si>
    <t>Эффективная реализация внешнеполитического курса Кыргызской Республики</t>
  </si>
  <si>
    <t>Обеспечение дипломатическими средствами национальной безопасности и участие в реализации экономической и социальной  политики Кыргызской Республики</t>
  </si>
  <si>
    <t>Эффективное продвижение экономической дипломатии</t>
  </si>
  <si>
    <t>Продвижение экспорта и туристических возможностей Кыргызской Республики, привлечение иностранных инвестиций, новых технологий и инноваций в экономику Кыргызской Республики</t>
  </si>
  <si>
    <t xml:space="preserve">Деятельность Полномочного представительства Министерства иностранных дел Кыргызской Республики в Ошской, Джалал-Абадской и Баткенской областях </t>
  </si>
  <si>
    <t>Участие в рамках своей компетенции в эффективной реализации внешнеполитического курса Кыргызской Республики, а также защита суверенитета, территориальной целостности и других национальных интересов Кыргызской Республики в международных отношениях.</t>
  </si>
  <si>
    <t>Деятельность загранучреждений Кыргызской Республики</t>
  </si>
  <si>
    <t>Проведение единого внешнеполитического курса Кыргызской Республики в отношениях с государством пребывания, обеспечение дипломатическими средствами защиты суверенитета, территориальной целостности и других интересов Кыргызской Республики в международных отношениях</t>
  </si>
  <si>
    <t>Проведение единого внешнеполитического курса Кыргызской Республики в отношениях с государством пребывания, обеспечение дипломатическими средствами защиты суверенитета, территориальной целосности и других интересов Кыргызской Республики в международных отношениях</t>
  </si>
  <si>
    <t>Защита прав и интересов граждан и юридических лиц Кыргызской Республики в государстве пребывания</t>
  </si>
  <si>
    <t>Деятельность Дипломатической Академии Министерства иностранных дел Кыргызской Республики имени Казы Дикамбаевича Дикамбаева</t>
  </si>
  <si>
    <t>Предоставление высшего профессонального, послевузовского и дополнительного профессионального  образования в области международных отношений</t>
  </si>
  <si>
    <t>Качественное предоставление высшего профессионального, послевузовского и дополнительного профессионального образования в области международных отношений</t>
  </si>
  <si>
    <t>24. Резервные и другие фонды территорий</t>
  </si>
  <si>
    <t>Резервные и другие фонды территорий</t>
  </si>
  <si>
    <t>Фонд развития Иссык-Кульской области</t>
  </si>
  <si>
    <t>Фонды развития районов</t>
  </si>
  <si>
    <t>Фонды развития областей</t>
  </si>
  <si>
    <t>Резервный фонд полномочного представителя Правительства Кыргызской Республики в областях</t>
  </si>
  <si>
    <t>Резервный фонд акимов</t>
  </si>
  <si>
    <t>Фонд финансирования подготовки проектов государственно-частного партнерства</t>
  </si>
  <si>
    <t>25. Министерство финансов Кыргызской Республики</t>
  </si>
  <si>
    <t>Отношение расходов на заработную плату по Программе 001 к сумме расходов на заработную плату по Центральному аппарату министерства/ведомства</t>
  </si>
  <si>
    <t xml:space="preserve">Доля сотрудников служб обеспечения от общей численности сотрудников </t>
  </si>
  <si>
    <t>.024</t>
  </si>
  <si>
    <t>Своевременное представление проекта республиканского бюджета в Правительство КР и Жогорку Кенеш КР</t>
  </si>
  <si>
    <t>Согласно графику</t>
  </si>
  <si>
    <t>не менне      80 %</t>
  </si>
  <si>
    <t xml:space="preserve">Формирование и представление Основных направлений фискальной политики Кыргызской Республики в Совет Правительства Кыргызской Республики </t>
  </si>
  <si>
    <t xml:space="preserve">Количество министерств и ведомств, представивших Среднесрочные стратегии бюджетных расходов к Основным направлениям фискальной политики Кыргызской Республики </t>
  </si>
  <si>
    <t xml:space="preserve">ед. </t>
  </si>
  <si>
    <t>Объем доходов республиканского бюджета</t>
  </si>
  <si>
    <t>млн.сом</t>
  </si>
  <si>
    <t>Количество заверешенных объектов, финансируемых из республиканского бюджета</t>
  </si>
  <si>
    <t>шт</t>
  </si>
  <si>
    <t>Объем привлеченной грантовой помощи</t>
  </si>
  <si>
    <t>Объем привлеченных кредитных средств на льготной основе</t>
  </si>
  <si>
    <t>количество ОМСУ</t>
  </si>
  <si>
    <t>Финансирование за счет стимулирующих грантов</t>
  </si>
  <si>
    <t>количество районов, ОМСУ</t>
  </si>
  <si>
    <t>Уровень государственного внешнего долга к ВВП</t>
  </si>
  <si>
    <t xml:space="preserve">≤ 60% </t>
  </si>
  <si>
    <t xml:space="preserve">Объем просроченной задолженности по государственному долгу </t>
  </si>
  <si>
    <t>сом</t>
  </si>
  <si>
    <t>Уровень льготности новых внешних заимствований (% грант-элемента)</t>
  </si>
  <si>
    <t>≥ 35%</t>
  </si>
  <si>
    <t>Доля выпуска ГЦБ на аукционной основе</t>
  </si>
  <si>
    <t>Положительный рост ГЦБ со сроком обращения более 2 лет в общей структуре эмиссии ГЦБ</t>
  </si>
  <si>
    <t>изменение в % к пред. году</t>
  </si>
  <si>
    <t>Положительный рост</t>
  </si>
  <si>
    <t xml:space="preserve">Объем просроченной задолженности по государственному внутреннему долгу </t>
  </si>
  <si>
    <t xml:space="preserve">Доля ГРБС  (РБС, ПБС) и органов местного самоуправления, для которых органами казначейства осуществляется ведение лицевых счетов бюджетополучателей и предоставление других услуг, связанных с кассовым обслуживанием исполнения бюджета </t>
  </si>
  <si>
    <t xml:space="preserve">Доля ПБС республиканского бюджета, до которых органами казначейства доводятся информация о бюджетных ассигнованиях, лимитах бюджетных средств и кассовых планах </t>
  </si>
  <si>
    <t>Доля статей экономической классификации расходов республиканского бюджета, по которым осуществляется учет бюджетных обязательств</t>
  </si>
  <si>
    <t>Доля средств ГРБС,ПБС и органов местного самоуправления, обслуживаемых органами казначейства через ЕКС</t>
  </si>
  <si>
    <t>Установленный срок предоставления ежемесячной отчетности об исполнении государственного бюджета</t>
  </si>
  <si>
    <t>Дата</t>
  </si>
  <si>
    <t>25 число, следующее за отчетным</t>
  </si>
  <si>
    <t>26 число, следующее за отчетным</t>
  </si>
  <si>
    <t>Установленный срок предоставления годового отчета об исполнении государственного бюджета</t>
  </si>
  <si>
    <t>1 мая</t>
  </si>
  <si>
    <t>Установленный Срок предоставления годовой консолидированной бухгалтерской отчетности по государственному  бюджету</t>
  </si>
  <si>
    <t>15 мая</t>
  </si>
  <si>
    <t xml:space="preserve">Доля ГРБС(РБС, ПБС) и органов местного самоуправления, для которых органами казначейства осуществляется ведение лицевых счетов бюджетополучателей и предоставление других услуг, связанных с кассовым обслуживанием исполнения бюджета </t>
  </si>
  <si>
    <t>Доля экспертных заключений, подготовленных в установленные сроки</t>
  </si>
  <si>
    <t xml:space="preserve">Количество проведенных проверок </t>
  </si>
  <si>
    <t>Доля выявленных нарушений физическими и юридическими лицами от числа проведенных проверок</t>
  </si>
  <si>
    <t>Объем взысканных штрафов</t>
  </si>
  <si>
    <t>тыс.сом</t>
  </si>
  <si>
    <t>Исполнение годового плана по сбору пробирной платы</t>
  </si>
  <si>
    <t>4 раза</t>
  </si>
  <si>
    <t>2 раза</t>
  </si>
  <si>
    <t>3 раза</t>
  </si>
  <si>
    <t xml:space="preserve">день </t>
  </si>
  <si>
    <t xml:space="preserve">Степень удовлетворенности закупающих организаций и поставщиков (подрядчиков) оказанной помощью </t>
  </si>
  <si>
    <t>Количество мониторингов гос.программ</t>
  </si>
  <si>
    <t>Количество разработанных/усовершенствованных инструктивно-методологических документов по программному бюджетированию</t>
  </si>
  <si>
    <t>единиц</t>
  </si>
  <si>
    <t>"А"</t>
  </si>
  <si>
    <t xml:space="preserve">Доля объявлений о государственных закупках на Портале госзакупок от общего числа предоставленной информации в Департамент     </t>
  </si>
  <si>
    <t xml:space="preserve">Среднее количество участников в процессе закупок (отношение общего количества поданных заявок к общему количеству объявлений о госзакупках) </t>
  </si>
  <si>
    <t>8 к 1</t>
  </si>
  <si>
    <t>9 к 1</t>
  </si>
  <si>
    <t>10 к 1</t>
  </si>
  <si>
    <t>Общее время бесперебойного функционирования Портала в течение года</t>
  </si>
  <si>
    <t>Количество специалистов, прошедших обучение  по внутреннему аудиту, бухгалтерскому учету.</t>
  </si>
  <si>
    <t>Внешняя оценка служб внутреннего аудита</t>
  </si>
  <si>
    <t>26. Министерство финансов  Кыргызской Республики</t>
  </si>
  <si>
    <t xml:space="preserve">ФОМС Кыргызской Республики </t>
  </si>
  <si>
    <t>Охват населения обязательным медицинским страхованием</t>
  </si>
  <si>
    <t>Уровень исполнения индикаторов Плана реализации Стратегии развития Фонда ОМС на 2019-2023 годы</t>
  </si>
  <si>
    <t>не менее 90%</t>
  </si>
  <si>
    <t>не менее 95%</t>
  </si>
  <si>
    <t>Обеспечение планирования, утверждения и исполнения бюджета Фонда обязательного медицинского страхования</t>
  </si>
  <si>
    <t>Исполнение плана консолидированного бюджета системы Единого плательщика</t>
  </si>
  <si>
    <t>Обеспечение учета и отчетности по бюджету Фонда ОМС при ПКР</t>
  </si>
  <si>
    <t xml:space="preserve">Процент охвата организаций здравоохранения автоматизированным учетом 1С бухгалтерия </t>
  </si>
  <si>
    <t>Обеспечение проведения оценки качества медицинских услуг, предоставляемых организациями здравоохранения в системе Единого плательщика</t>
  </si>
  <si>
    <t xml:space="preserve">Количество ОЗ ПМСП, в которых проведена оценка качества деятельности ОЗ по оценочной карте </t>
  </si>
  <si>
    <t>абс ч.</t>
  </si>
  <si>
    <t xml:space="preserve"> не  менее 95</t>
  </si>
  <si>
    <t xml:space="preserve">Количество ОЗ , в которых проведена оценка качества деятельности ОЗ стационарного уровня по оценочной карте </t>
  </si>
  <si>
    <t>не менее 83,0</t>
  </si>
  <si>
    <t>Обеспечение принятия комплекса мер по эффективному и рациональныму исполнению бюджета Фонда обязательного медицинского страхования</t>
  </si>
  <si>
    <t xml:space="preserve">Соотношение выполненных ОЗ рекомендаций к общему числу рекомендаций, указанных в Заключении внутреннего аудита </t>
  </si>
  <si>
    <t xml:space="preserve"> не менее 90%</t>
  </si>
  <si>
    <t>Обеспечение работы по повышению уровня информированности населения о правах при получении медицинских услуг в рамках реализуемых Фондом ОМС программ</t>
  </si>
  <si>
    <t xml:space="preserve">Количество проведенных встреч и выступлений в СМИ             </t>
  </si>
  <si>
    <t>Количество распространенной печатной продукции</t>
  </si>
  <si>
    <t>Количество показанных информационных и социальных роликов</t>
  </si>
  <si>
    <t>Обеспечение сопровождения информационных систем и баз данных Фонда обязательного медицинского страхования</t>
  </si>
  <si>
    <t>Количество сопровождаемых баз данных Фондом ОМС</t>
  </si>
  <si>
    <t>Развитие информационных систем и баз данных Фонда обязательного медицинского страхования</t>
  </si>
  <si>
    <t>Доля организаций здравоохранения, обеспеченных компьютерами и доступом к интернету</t>
  </si>
  <si>
    <t xml:space="preserve">Доля организаций здравоохранения внедривших электронные медицинские карты пациента </t>
  </si>
  <si>
    <t>Обеспечение деятельности организации и службы обеспечения</t>
  </si>
  <si>
    <t>Соотношение количества младшего и технического персонала к общему числу основного персонала Фонда ОМС</t>
  </si>
  <si>
    <t>не более 20%</t>
  </si>
  <si>
    <t>Средний показатель Индекса доверия населения</t>
  </si>
  <si>
    <t>не менее 35%</t>
  </si>
  <si>
    <t>не менее 36%</t>
  </si>
  <si>
    <t>не менее 37%</t>
  </si>
  <si>
    <t>Соотношение фактического количества врачей (физических лиц) к утвержденным врачебным должностям по штатному расписанию в организации здравоохранения</t>
  </si>
  <si>
    <t>не менее 80%</t>
  </si>
  <si>
    <t>Уровень средней заработной платы семейных врачей к средней заработной плате врачей по республике</t>
  </si>
  <si>
    <t>не ниже 80%</t>
  </si>
  <si>
    <t>не ниже 100%</t>
  </si>
  <si>
    <t>Итого по Программе 1</t>
  </si>
  <si>
    <t>Доля расходов на ПМСП в общих расходах по другим программам</t>
  </si>
  <si>
    <t>Количество посещений к врачам ГСВ на 1 жителя</t>
  </si>
  <si>
    <t>Доля организаций ПМСП внедривших сервис "Электронная очередь"</t>
  </si>
  <si>
    <t>Уровень удовлетворенности пациентов (по оценочной карте)</t>
  </si>
  <si>
    <t>Обеспечение доступности экстренной (скорой) медицинской помощи населению республики</t>
  </si>
  <si>
    <t>Процент соответствия количества фактически функционирующих бригад СМП к утвержденному количеству</t>
  </si>
  <si>
    <t>Количество обслуженных вызовов ЭМП на 1000 населения</t>
  </si>
  <si>
    <t>случаев</t>
  </si>
  <si>
    <t>Обеспечение доступности базовых медицинских услуг на уровне первичной медико-санитарной помощи (ПМСП) населению республики</t>
  </si>
  <si>
    <t>Доля новорожденных, обслуженных семейным  врачом(врача общей практики)  в первые 3 дня после выписки из родильного дома , %</t>
  </si>
  <si>
    <t>Доля женщин, вставших на учет по поводу беременности в сроке до  12 недель, %</t>
  </si>
  <si>
    <t xml:space="preserve">Доля беременных женщин, получивших базовый пакет антенатальных услуг на уровне ПМСП </t>
  </si>
  <si>
    <t>Обеспечение доступности населению стоматологической помощи в рамках ПГГ</t>
  </si>
  <si>
    <t>Охват беременных женщин, вставших на учет по поводу беременности профилактическими осмотрами у стоматолога</t>
  </si>
  <si>
    <t>Доля санированных беременных женщин, вставших на учет по поводу беременности из числа выявленных при профилактическом осмотре</t>
  </si>
  <si>
    <t>Доля детей до 10 лет, прошедших профилактический осмотр из числа организованной группы (школы, детсады)</t>
  </si>
  <si>
    <t>Доля детей до 10 лет, прошедших санацию полости рта из числа выявленных при профилактическом осмотре</t>
  </si>
  <si>
    <t xml:space="preserve">Обеспечение доступности к медицинской помощи по борьбе с туберкулезом, оказываемой организациями ПМСП </t>
  </si>
  <si>
    <t xml:space="preserve">Количество случаев туберкулеза, успешно завершивших  лечение на амбулаторном уровне в пилотных ОЗ ПМСП   </t>
  </si>
  <si>
    <t xml:space="preserve">Обеспечение доступа  населению республики к льготному лекарственному обеспечению по ПГГ (онкологическим больным в терминальной стадии; больным параноидной шизофренией и хроническими бредовыми расстройствами; аффективными расстройствами различного генеза; эпилепсией; бронхиальной астмой) </t>
  </si>
  <si>
    <t xml:space="preserve">Уровень возмещения реализованных лекарств по рецептам ПГГ на амбулаторном  уровне </t>
  </si>
  <si>
    <t>не менее 94%</t>
  </si>
  <si>
    <t>Обеспечение доступа  застрахованному населению республики к льготному лекарственному обеспечению по ОМС</t>
  </si>
  <si>
    <t xml:space="preserve">Уровень возмещения реализованных лекарств по рецептам ОМС на амбулаторном  уровне </t>
  </si>
  <si>
    <t>Оказание населению платных медицинских услуг сверх обьема ПГГ</t>
  </si>
  <si>
    <t>Количество ОЗ , в которых проведены стимулирующию выплаты по достижению результатов</t>
  </si>
  <si>
    <t xml:space="preserve">Оказание немедицинских и иных услуг организациями здравоохранения, работающих в системе Единого плательщика </t>
  </si>
  <si>
    <t xml:space="preserve">Процент фактического исполнения к утвержденному плану  </t>
  </si>
  <si>
    <t xml:space="preserve">не менее 85% </t>
  </si>
  <si>
    <t>Улучшение качества предоставления медицинской помощи населению путем стимулирования групп семейных врачей за достижение целевых показателей качества деятельности</t>
  </si>
  <si>
    <t>Доля ОЗ ПМСП которым были произведены выплаты по результатам оценки качества с использованием оценочной карты</t>
  </si>
  <si>
    <t>Итого по Программе 2</t>
  </si>
  <si>
    <t>Уровень госпитализаций на 100 тыс. населения</t>
  </si>
  <si>
    <t>не более 13,6%</t>
  </si>
  <si>
    <t>не более 13,5%</t>
  </si>
  <si>
    <t>не более 13,4%</t>
  </si>
  <si>
    <t>не более 13,2%</t>
  </si>
  <si>
    <t>Уровень удовлетворенности (по оценочной карте)</t>
  </si>
  <si>
    <t>не менее 85,0%</t>
  </si>
  <si>
    <t>Доля прямых расходов на пациента в общих расходах консолидированного бюджета стационаров:</t>
  </si>
  <si>
    <t>медикаменты</t>
  </si>
  <si>
    <t>питание</t>
  </si>
  <si>
    <t>Обеспечение доступности медицинских услуг на уровне стационарной помощи в рамках ПГГ населению республики</t>
  </si>
  <si>
    <t xml:space="preserve">Доля   населения, получивших лечение по социальным льготам </t>
  </si>
  <si>
    <t>не менее 50%</t>
  </si>
  <si>
    <t>Доля пациентов,получивших лечение в отделениях краткосрочного пребывания (детей и беременных женщин) к общему количеству пролеченных пациентов в общепрофильных стационарах</t>
  </si>
  <si>
    <t>Соотношение фактически пролеченных случаев к согласованному плану</t>
  </si>
  <si>
    <t xml:space="preserve">Доля   населения, получивших льготное лечение по медицинским показаниям   </t>
  </si>
  <si>
    <t>не менее 20%</t>
  </si>
  <si>
    <t>не более 100,0%</t>
  </si>
  <si>
    <t xml:space="preserve">Обеспечение доступности к медицинской помощи по борьбе с туберкулезом, оказываемой  организациями здравоохранения стационарного уровня </t>
  </si>
  <si>
    <t xml:space="preserve">Обеспечение доступности к медицинским услугам на уровне специализированной онкологической и гематологической помощи </t>
  </si>
  <si>
    <t xml:space="preserve">Обеспечение доступности к медицинским услугам на уровне специализированной кардиохирургической помощи </t>
  </si>
  <si>
    <t>Обеспечение доступности к медицинским услугам на уровне специализированной психиатрической помощи</t>
  </si>
  <si>
    <t xml:space="preserve">Количество ОЗ ПМСП, в которых проведена оценка качества с использованием Оценочной карты </t>
  </si>
  <si>
    <t xml:space="preserve">Количество ОЗ стационарного уровня, в которых проведена оценка качества с использованием Оценочной карты </t>
  </si>
  <si>
    <t>Улучшение качества предоставления медицинской помощи населению путем предоставления стимулирующей оплаты за достижение целевых показателей качества от деятельности организации</t>
  </si>
  <si>
    <t>Количество ОЗ , в которых проведена оценка качества деятельности ОЗ по оценочной карте для стимулирующих выплат</t>
  </si>
  <si>
    <t>Итого по Программе 3</t>
  </si>
  <si>
    <t xml:space="preserve">Соотношение  пациентов с терминальной стадией хронической почечной недостаточности охваченых льготным гемодиализным лечением к общему числу пациентов состоящих на учете </t>
  </si>
  <si>
    <t>Обеспечение доступа к льготному гемодиализному лечению остронуждающихся пациентов с терминальной стадией хронической почечной недостаточности пятой стадии</t>
  </si>
  <si>
    <t xml:space="preserve">Количество пациентов с терминальной стадией хронической почечной недостаточности, получающих платное лечение в частных медицинских центрах и ожидающих перевода на полный бюджетный гемодиализ в государственных организациях здравоохранения, а также в целях сокращения бремени затрат пациентами при получении услуг гемодиализа  </t>
  </si>
  <si>
    <t>Обеспечение финансовой устойчивости и надлежащего функционирования организаций здравоохранения (формирование страхового запаса)</t>
  </si>
  <si>
    <t xml:space="preserve">Доля обеспечения финансовой стабильности в объеме не менее месячного финансирования от общего объема средств, направляемых на финансирование медицинских и профилактических услуг, предоставляемых организациями здравоохранения </t>
  </si>
  <si>
    <t>Поддержка, развитие и материально-техническое оснащение организаций здравоохранения</t>
  </si>
  <si>
    <t>Доля направляемая на поддержку и развитие здравоохранения для организаций здравоохранения</t>
  </si>
  <si>
    <t>Поддержка онкологической службы</t>
  </si>
  <si>
    <t xml:space="preserve">Доля утвержденных средств на поддержку онкологической службы от общего объема консолидированного бюджета Фонда ОМС </t>
  </si>
  <si>
    <t xml:space="preserve">Количество договоров заключенных с поставщиками на поставку дорогостоящего оборудования </t>
  </si>
  <si>
    <t>Мероприятия по проекту "Караван здоровья"</t>
  </si>
  <si>
    <t xml:space="preserve">Мероприятия Программы, ориентированной на результат (ПОР) </t>
  </si>
  <si>
    <t>Процент освоения</t>
  </si>
  <si>
    <t>проект АБР</t>
  </si>
  <si>
    <t>Итого по Программе 4</t>
  </si>
  <si>
    <t xml:space="preserve">ВСЕГО </t>
  </si>
  <si>
    <t>Общегосударственные программы</t>
  </si>
  <si>
    <t>Финансирование экспортоориентированных и импортозамещающих предприятий</t>
  </si>
  <si>
    <t>Реализация Национальной программы развития государственного языка и совершенствования языковой политики в КР</t>
  </si>
  <si>
    <t>Цифровая экономика</t>
  </si>
  <si>
    <t>На развитие регионов КР</t>
  </si>
  <si>
    <t>Безопасный город</t>
  </si>
  <si>
    <t>Взносы в международные организации</t>
  </si>
  <si>
    <t>Государственный долг</t>
  </si>
  <si>
    <t>Возмещение и возврат НДС</t>
  </si>
  <si>
    <t>Исполнение решений суда</t>
  </si>
  <si>
    <t>Оплата услуг банков</t>
  </si>
  <si>
    <t>ГА по управлению бюджетными кредитами</t>
  </si>
  <si>
    <t>Субсидирование процентных ставок коммерческих банков</t>
  </si>
  <si>
    <t>Развитие приграничных территорий</t>
  </si>
  <si>
    <t>ОАО "Государственная ипотечная компания"</t>
  </si>
  <si>
    <t>Государственные программы, мероприятия и выплаты</t>
  </si>
  <si>
    <t>Капитальные вложения</t>
  </si>
  <si>
    <t>Мероприятия по ликвидации стихийных бедствий</t>
  </si>
  <si>
    <t>Повышение социальных выплат</t>
  </si>
  <si>
    <t>Выравнивающие трансферты</t>
  </si>
  <si>
    <t>Целевые трансферты</t>
  </si>
  <si>
    <t>Стимулирующие гранты</t>
  </si>
  <si>
    <t>Учреждения, переданные из местного бюджета на республиканский бюджет</t>
  </si>
  <si>
    <t>Учреждения, переданные из районного бюджета на республиканский бюджет</t>
  </si>
  <si>
    <t>Государственный бюджетный резерв</t>
  </si>
  <si>
    <t>Встречные фонды Японии</t>
  </si>
  <si>
    <t>Социальный фонд</t>
  </si>
  <si>
    <t>3</t>
  </si>
  <si>
    <t>Индикатор результативности (целевой индикатор по Программе) снижение численности пенсионеров, получающих пенсии ниже ПМП пенсионера.</t>
  </si>
  <si>
    <t>38*</t>
  </si>
  <si>
    <t>Обеспечение базовой части пенсии</t>
  </si>
  <si>
    <t>Количество нарушений по задержке выплаты пенсий, финансируемых за счёт республиканского бюджета.</t>
  </si>
  <si>
    <t>Выплата компенсации за электроэнергию пенсионерам</t>
  </si>
  <si>
    <t>Пенсионное обеспечение военнослужащих, выплата сотрудникам органов внутренних дел и членам их семей единовременного пособия</t>
  </si>
  <si>
    <t>Льготное (досрочное) пенсионное обеспечение отдельных категорий населения и выплата надбавок к пенсиям</t>
  </si>
  <si>
    <t>28 Министерство экономики КР</t>
  </si>
  <si>
    <t>Цель программы: Формирование единой, согласованной, государственной экономической политики и создание благоприятной среды для ведения предпринимательской деятельности</t>
  </si>
  <si>
    <t>Темп реального роста ВВП, в % к предыдущему году</t>
  </si>
  <si>
    <t>Доля МСП в структуре ВВП</t>
  </si>
  <si>
    <t>39</t>
  </si>
  <si>
    <t>40</t>
  </si>
  <si>
    <t>40,5</t>
  </si>
  <si>
    <t>41</t>
  </si>
  <si>
    <t>Темп роста объемов экспорта, в % к предыдущему году</t>
  </si>
  <si>
    <t xml:space="preserve">в том числе доля золота </t>
  </si>
  <si>
    <t>Приток прямых иностранных инвестиций</t>
  </si>
  <si>
    <t>млн. долл.</t>
  </si>
  <si>
    <t>Поступления в республиканский бюджет</t>
  </si>
  <si>
    <t>млн. сом.</t>
  </si>
  <si>
    <t>Обновление и публикация ежегодного отчета по международным рейтингам страны (Ведение бизнеса и суверенный рейтинг)</t>
  </si>
  <si>
    <t>место</t>
  </si>
  <si>
    <t>Индикатор " Разрешение неплатежеспособности" Ведение Бизнесса</t>
  </si>
  <si>
    <t>Индикатор "налогобложение"  Ведение Бизнесса</t>
  </si>
  <si>
    <t>Внедрение рейтинговой системы оценки социально экономического развития регионов. Повышения системности, обоснованности и объективности управленческих решений и повышения эффективности</t>
  </si>
  <si>
    <t>Доля выданных лицензий на экспорт и импорт товаров, включенных в единый перечень в электронном формате</t>
  </si>
  <si>
    <t>Осуществление закупок товаров, работ, услуг и консультационных услуг без нарушения</t>
  </si>
  <si>
    <t>% сотрудников прошедших обучение из бюджетных средств</t>
  </si>
  <si>
    <t>Цель программы: Cоздание благоприятных средовых условий,  для развития бизнеса</t>
  </si>
  <si>
    <t>Количество введенных новых предприятий</t>
  </si>
  <si>
    <t>±5</t>
  </si>
  <si>
    <t xml:space="preserve">Количество созданных новых рабочих мест </t>
  </si>
  <si>
    <t>Количество предприятий, в отношении которых применена реструктуризация, реабилитация, санация и мировое соглашение</t>
  </si>
  <si>
    <t xml:space="preserve">Количество инициированных проектов ГЧП </t>
  </si>
  <si>
    <t>Количество обученных государственных и муниципальных служащих, представителей бизнеса и всех заинтересованных лиц в областях и регионах</t>
  </si>
  <si>
    <t>Объем внешнеторгового оборота Кыргызской Республики  со странами ВТО</t>
  </si>
  <si>
    <t>млн. долл</t>
  </si>
  <si>
    <t xml:space="preserve">темп роста </t>
  </si>
  <si>
    <t>Количество обученных человек</t>
  </si>
  <si>
    <t>Доля документов выданных по принципу "единого окна" вовлеченными ведомствами, где проведена полная автоматизация внутренних бизнес процессов"</t>
  </si>
  <si>
    <t>Разработка и внедрение Программного обеспечения автоматизированного поиска и выдачи копий электронных документов по обращениям потребителей или самого потребителя по информационному абоненту</t>
  </si>
  <si>
    <t xml:space="preserve">Разработка межгосударственных стандартов на основе национальных стандартов, в целях защиты интересов бизнеса </t>
  </si>
  <si>
    <t>Обеспечение единства измерений и прослеживаемости измерений для соблюдения требований ТР ТС путем рекалибровки дополнительных единиц эталонов по видам измерений с национальных институтах других стран и участие в сличениях эталонов по видам измерений в рамках регионального органа по метрологии</t>
  </si>
  <si>
    <t xml:space="preserve">Уровень гармонизации применяемых в КР стандартов </t>
  </si>
  <si>
    <t>Участие в работах межгосударственных технических комитетах по стандартизации (МТК) по пищевой продукции, связанных с разработкой межгосударственных стандартов.</t>
  </si>
  <si>
    <t>Предоставление подтверждения о соответствии испытательных, калибровочных, медицинских  лабораторий требованиям международных стандартов</t>
  </si>
  <si>
    <t>Предоставление документа о подтверждении соответствия органов по сертификации продукции/услуг,  по сертификации систем менеджмента , по  сертификации персонала, органов контроля  международным стандартам.</t>
  </si>
  <si>
    <t>Подготовка аналитических записок для министерства, Аппарата правительства и Аппарата Президента КР</t>
  </si>
  <si>
    <t>Публикация отчетов, буклетов, брошюр</t>
  </si>
  <si>
    <t>Разработанное технико-экономическое обоснование</t>
  </si>
  <si>
    <t>Реализация проектов государственных инвестиций</t>
  </si>
  <si>
    <t>Всего: (контрольные цифры)</t>
  </si>
  <si>
    <t>29.  Госудаственное агенство по земельным ресурсам при ПКР</t>
  </si>
  <si>
    <t>Всего (контрольные цифры)</t>
  </si>
  <si>
    <t>Цель программы: Современная картографическая основа территории КР для обеспечения нужд силовых структур, хозяйственной деятельности и прогноза развития сырьевой базы</t>
  </si>
  <si>
    <t xml:space="preserve">Реконструкция и поддержание государственной геодезической сети </t>
  </si>
  <si>
    <t>Пункты GPS-сети второго порядка и исходные пункты нулевого и первого порядка повышенной точности</t>
  </si>
  <si>
    <t>пункт</t>
  </si>
  <si>
    <t>Каталоги координат и высот геодезических пунктов в системах координат СК-42, СК-95 и Kyrg-06 на листы карты масштаба 1:200 000</t>
  </si>
  <si>
    <t>каталог</t>
  </si>
  <si>
    <t xml:space="preserve">Обновление и издание топографических карт масштабного ряда </t>
  </si>
  <si>
    <t xml:space="preserve">Топографические карты масштабного ряда при обновлении </t>
  </si>
  <si>
    <t>лист</t>
  </si>
  <si>
    <t>Топографические карты масштабного ряда при подготовке карт к изданию</t>
  </si>
  <si>
    <t>Цель программы: Современная картографическая основа территории КР для обеспечения геополитических интересов страны</t>
  </si>
  <si>
    <t>Рекогносцировка и установка пограничных знаков; спутниковые измерения на пограничных знаках и исходных пунктах</t>
  </si>
  <si>
    <t xml:space="preserve">Пограничные знаки по линии государственной границы Кыргызской Республики </t>
  </si>
  <si>
    <t>знак</t>
  </si>
  <si>
    <t>Площадь выполнения планово-высотной привязки космических снимков</t>
  </si>
  <si>
    <t>кв.км</t>
  </si>
  <si>
    <t>970</t>
  </si>
  <si>
    <t>970,0</t>
  </si>
  <si>
    <t xml:space="preserve">Обновление  топографических карт на приграничные территории </t>
  </si>
  <si>
    <t>Топографические карты необходимого масштабного при обнавлении на приграничные территории</t>
  </si>
  <si>
    <t>Цифровые делимитационные и демаркационные карты необходимого масштаба</t>
  </si>
  <si>
    <t>Корректировка почвенных обследований, мониторинг пахотных земель, проектно-изыскательные, обследовательские работы по землеустройству</t>
  </si>
  <si>
    <t>Мониторинг пастбищ, инвентаризация населенных пунктов</t>
  </si>
  <si>
    <t>кол-во, район/айыл аймаки</t>
  </si>
  <si>
    <t>10 район,    116-айыл аймаки.</t>
  </si>
  <si>
    <t>Баткенская область, Ак-Суйский р/н И-К обл.</t>
  </si>
  <si>
    <t>И-Кульская, Дж.-Абад. области</t>
  </si>
  <si>
    <t>Нарынская,  Ошская области</t>
  </si>
  <si>
    <t>Таласская и Чуйская области</t>
  </si>
  <si>
    <t>32. Государственная служба исполнения наказаний при Правительстве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</si>
  <si>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color indexed="8"/>
        <rFont val="Times New Roman"/>
        <family val="1"/>
        <charset val="204"/>
      </rPr>
      <t>Цели программы:Исправления и содержание осужденных и подследственных</t>
    </r>
  </si>
  <si>
    <t>Руководства и контроль обеспечением деятельности ГСИН и организация деятельности подразделения</t>
  </si>
  <si>
    <t>Обеспечение прозрачности деятельности ГСИН при ПКР</t>
  </si>
  <si>
    <t>Организация деятельности и службы обеспечения подразделений ГСИН</t>
  </si>
  <si>
    <t>Организация порядка и условий отбывания наказаний в УИС</t>
  </si>
  <si>
    <t>Привлечение осужденных к труду и создание условий для их моральной и материальной заинтересованности в результатах труда</t>
  </si>
  <si>
    <t>Организация деятельности по исполнения наказаний осужденных на местах лишения свободы</t>
  </si>
  <si>
    <t>Количество осужденных, количество беглецов, количество убийств</t>
  </si>
  <si>
    <t>Обеспечение инфракструктуры учреждений и привлечение осужденных к труду</t>
  </si>
  <si>
    <t>Строительство, реконструкция, ремонтно-восстановительные работы</t>
  </si>
  <si>
    <t>Обеспечение осужденных продуктами питания</t>
  </si>
  <si>
    <t>Нормы питания по категориям на количество осужденных</t>
  </si>
  <si>
    <t xml:space="preserve">Завершение строительства для осужденных к ПЛС </t>
  </si>
  <si>
    <t>Завершение строительства 2-го корпуса ПЛС</t>
  </si>
  <si>
    <t>Строительство тюрьмы для содержания осужденных-злостных нарушителей установленного порядка отбывания наказания, переведенных из исправительных колоний</t>
  </si>
  <si>
    <t>Градация условий содержания осужденных</t>
  </si>
  <si>
    <t>Организация участков с различными видами режимов в исправительной колонии для содержания лиц мужского пола, женщин, осужденных больных разными инфекционными заболеваниями (участки общего, усиленного режимов и строгого режимов, также для содержания несовершеннолетних лиц мужского и женского пола)</t>
  </si>
  <si>
    <t>Обеспечение права осужденных на получение образования</t>
  </si>
  <si>
    <t>Организационное и методическое обеспечение учебного процесса</t>
  </si>
  <si>
    <t>Реконструкция и оснащение (повышение безопасности) ИУ и СИЗО современными ИТСО</t>
  </si>
  <si>
    <t xml:space="preserve">Оснащенность исправительных учреждений и следственных изоляторов современными инженерно-техническими средствами охраны (радио-лучевыми </t>
  </si>
  <si>
    <t>Строительство и реконструкция объектов социально-культурного и коммунально-бытового назначения</t>
  </si>
  <si>
    <t>Организация социальной помощи лицам, освободившимся из мест лишения свободы</t>
  </si>
  <si>
    <t>обеспечения питанием, одеждой, обувью выдаче единивременного денежного пособия и оплате проезд лиц, освобождаемых из мест лишения (до 1000 человек ежегодно)</t>
  </si>
  <si>
    <r>
      <rPr>
        <b/>
        <sz val="10"/>
        <color indexed="8"/>
        <rFont val="Times New Roman"/>
        <family val="1"/>
        <charset val="204"/>
      </rPr>
      <t xml:space="preserve">Индикатор результативности </t>
    </r>
    <r>
      <rPr>
        <sz val="10"/>
        <color indexed="8"/>
        <rFont val="Times New Roman"/>
        <family val="1"/>
        <charset val="204"/>
      </rPr>
      <t>Снижение общей заболиваемости в лечебных учреждениях</t>
    </r>
  </si>
  <si>
    <t>Организация исполнения наказаний осужденных в лечебных учреждениях</t>
  </si>
  <si>
    <t>Оказание первичной медико-санитарной помощи осужденным</t>
  </si>
  <si>
    <t>Обеспечение осужденных продуктами питания в лечебных учреждений</t>
  </si>
  <si>
    <t>Обеспечение инфракструктуры в лечебных учреждений в ГСИН</t>
  </si>
  <si>
    <r>
      <t xml:space="preserve">Дошкольное образование
</t>
    </r>
    <r>
      <rPr>
        <i/>
        <sz val="10"/>
        <color indexed="8"/>
        <rFont val="Times New Roman"/>
        <family val="1"/>
        <charset val="204"/>
      </rPr>
      <t>Цель программы; Подготовка детей к школе</t>
    </r>
  </si>
  <si>
    <r>
      <rPr>
        <b/>
        <sz val="10"/>
        <color indexed="8"/>
        <rFont val="Times New Roman"/>
        <family val="1"/>
        <charset val="204"/>
      </rPr>
      <t xml:space="preserve">Индикатор результативности </t>
    </r>
    <r>
      <rPr>
        <sz val="10"/>
        <color indexed="8"/>
        <rFont val="Times New Roman"/>
        <family val="1"/>
        <charset val="204"/>
      </rPr>
      <t>П</t>
    </r>
    <r>
      <rPr>
        <i/>
        <sz val="10"/>
        <color indexed="8"/>
        <rFont val="Times New Roman"/>
        <family val="1"/>
        <charset val="204"/>
      </rPr>
      <t>овышение  умственного и физического развития детей дошкольного возраста</t>
    </r>
  </si>
  <si>
    <t>Поддержание дошкольных учреждений и ее расширение</t>
  </si>
  <si>
    <t>Улучшение процента финансирование дошкольных учреждений</t>
  </si>
  <si>
    <t>Повышение программы дошкольной подготовки детей от 2-х до 7-ми лет</t>
  </si>
  <si>
    <t>Улучшение материально-технической базы образовательных учреждений</t>
  </si>
  <si>
    <t>Разшерение вариативных дошкольных образовательных учреждений</t>
  </si>
  <si>
    <t>Обеспечение доступа к качественным услугам дошкольного образования</t>
  </si>
  <si>
    <t>Департамент по охране исправительных учреждений и конвоированию осужденных и лиц, заключенных под стражу, Государственной службы исполнения наказаний при Правительстве Кыргызской Республики</t>
  </si>
  <si>
    <t>Охрана и оборона  исправительных учреждений и конвоирование осужденных</t>
  </si>
  <si>
    <t>0                       2                    5                         0                     0</t>
  </si>
  <si>
    <t>0                       1                    7                         0                     0</t>
  </si>
  <si>
    <t>1                       2                    5                         1                     5</t>
  </si>
  <si>
    <t>2                       2                    5                         1                     5</t>
  </si>
  <si>
    <t>Обеспечение конвоированием судебных учреждений</t>
  </si>
  <si>
    <t xml:space="preserve">количество отконвоированных  осужденных и подсудимых  </t>
  </si>
  <si>
    <t xml:space="preserve">Взаимодействие  с администрациями  исправительных учреждений, судами, органами внутренних дел  и национальной безопасности, учреждениями Министерство обороны </t>
  </si>
  <si>
    <t>34. Министерство образования и науки Кыргызской Республики</t>
  </si>
  <si>
    <t>Наличие  Кодекса КР “Об образовании”</t>
  </si>
  <si>
    <t xml:space="preserve">Закон КР
“Об  образовании” (2003)
</t>
  </si>
  <si>
    <t>Проведены 
профессиональные и экспертные обсуждения по объединению всех законов, регулирующих систему образования в единый Кодекс об Образовании</t>
  </si>
  <si>
    <t xml:space="preserve">Драфт
Кодекса
</t>
  </si>
  <si>
    <t>Общая координация на республиканском  и региональном уровне</t>
  </si>
  <si>
    <t xml:space="preserve">Доработка НПА в целях расширения вариативных форм дошкольного    образования                                       </t>
  </si>
  <si>
    <t xml:space="preserve">Разрабатывается </t>
  </si>
  <si>
    <t>Внесено 
на утверждение</t>
  </si>
  <si>
    <t xml:space="preserve">Реализация </t>
  </si>
  <si>
    <t>Процент покрытия финансирования общеобразовательных организаций согласно минимальным нормативам бюджетного финансирования</t>
  </si>
  <si>
    <t>Наличие обновленного ГОС в школьном образовании</t>
  </si>
  <si>
    <t>Госстандарт
 утвержден ППКР от 21.07.2014 г. № 403</t>
  </si>
  <si>
    <t xml:space="preserve">Обновление </t>
  </si>
  <si>
    <t xml:space="preserve">Внедрение </t>
  </si>
  <si>
    <t>Наличие разработанных и утвержденных ГОС, с учетом требований профстандартов и использования ИКТ-технологий в начальном профессиональном образовании</t>
  </si>
  <si>
    <t>Наличие Программы повышения потенциала педагогов  СПО</t>
  </si>
  <si>
    <t>Разработка 
Программы</t>
  </si>
  <si>
    <t>Апробация 
Программы</t>
  </si>
  <si>
    <t>Утверждение
 программы</t>
  </si>
  <si>
    <t>Доля государственных школ обеспеченных учебниками нового поколения</t>
  </si>
  <si>
    <t>67,97% (доля обеспеченности в 1-6 классах)</t>
  </si>
  <si>
    <t>80% (доля обеспеченности в 1-6 классах)</t>
  </si>
  <si>
    <t>100% (доля обеспеченности в 1-6 классах)</t>
  </si>
  <si>
    <t xml:space="preserve">Охват школ сетью Интернет со скоростью не менее 10Мб.сек и  локальной сетевой инфраструктурой
</t>
  </si>
  <si>
    <t>Разработать и внедрить ключевые показатели и механизмы поддержки трех ведущих университетов страны для вхождения в 200 ведущих университетов мира в мировых рейтингах.</t>
  </si>
  <si>
    <t>Критерии отбора вузов разработаны и утверждены.
Определены ключевые показатели развития для ведущих университетов.
Определены механизмы финансовой и ресурсной поддержки ведущих университетов.</t>
  </si>
  <si>
    <t xml:space="preserve">Проведена комплексная оценка вузов-кандидатов. На конкурсной основе определены три ведущих университета
Разработана методическая база по предоставлению вузами информации в ведущие рейтинговые агентства
</t>
  </si>
  <si>
    <t>Доступность к качественному дошкольному образованию и предшкольной подготовке</t>
  </si>
  <si>
    <t>Доля детей в возрасте от 0 до 3 лет, охваченные всеми формами раннего развития</t>
  </si>
  <si>
    <t xml:space="preserve">Доля детей в возрасте 5,5-7 лет, охваченных предшкольным образованием        </t>
  </si>
  <si>
    <t>Доля детей с ОВЗ (инвалидов) в возрасте от 0 до 7 лет, вовлеченных в дошкольное образование.</t>
  </si>
  <si>
    <t>Качество стандартов/ программ раннего/дошкольного образования  и предшкольной подготовки</t>
  </si>
  <si>
    <t>Наличие системы мониторинга развития детей на базе дошкольных организаций</t>
  </si>
  <si>
    <t>Доработка обучающих материалов</t>
  </si>
  <si>
    <t>Обучение 50% ДОО инструментам мониторинга</t>
  </si>
  <si>
    <t>Наличие обновленной Модели нормативного финансирования в дошкольном образовании</t>
  </si>
  <si>
    <t>Анализ пропилотированной модели нормативного финансирования на базе 40 ДОО</t>
  </si>
  <si>
    <t>Нормативно- правовые документы разработаны и утверждены</t>
  </si>
  <si>
    <t>Охват детей средним общим образованием в городских поселениях и сельской местности (в процентах от населения в возрасте 7-17 лет)</t>
  </si>
  <si>
    <t xml:space="preserve">
Доступность образования,  многоязычие, инклюзивное образование и воспитание школьников и система оценки качества школьного образования</t>
  </si>
  <si>
    <t xml:space="preserve">Количество школ, реализующих программы многоязычного образования </t>
  </si>
  <si>
    <t>Доля детей с ОВЗ (с инвалидностью), вовлеченных в школьное образование в специализированных учебных заведениях</t>
  </si>
  <si>
    <t>Доля детей с ОВЗ, обучающихся по индивидуальным планам обучения и адаптивным программам (инклюзивное образование) в типовых государственных школьных учреждениях с 1-11 класс</t>
  </si>
  <si>
    <t>Доля школ с горячим питанием от общего числа школ в стране</t>
  </si>
  <si>
    <t xml:space="preserve">Показатели среднего балла ОРТ по стране </t>
  </si>
  <si>
    <t>Непрерывное профессиональное развитие педагогов</t>
  </si>
  <si>
    <t>Охват учителей программами повышения квалификации, ежегодно</t>
  </si>
  <si>
    <t>Доступность начального профессионального образования</t>
  </si>
  <si>
    <t>Процент охвата молодежи начальным профессиональным образованием (от населения в возрасте 15- 17 лет )</t>
  </si>
  <si>
    <t>Инклюзивное образование и воспитание учащихся в НПО</t>
  </si>
  <si>
    <t xml:space="preserve">Доля лиц из групп риска (ЛОВЗ, сироты/ полусироты, выпускники детских домов, в численности обучающихся в НПО)  </t>
  </si>
  <si>
    <t xml:space="preserve">% </t>
  </si>
  <si>
    <t>2,3%  (сироты, ЛОВЗ)</t>
  </si>
  <si>
    <t>3% (сироты ЛОВЗ, дети из многодетных семей)</t>
  </si>
  <si>
    <t>3,5% (сироты, ЛОВЗ, дети из многодетных семей)</t>
  </si>
  <si>
    <t>Доля образовательных организаций начального профессионального образования с созданной благоприятной для ЛОВЗ инфраструктурой и средой обучения</t>
  </si>
  <si>
    <t xml:space="preserve">Развитие социального партнерства в НПО </t>
  </si>
  <si>
    <t>Повышение квалификации педагогического персонала и мастеров производственного обучения в НПО</t>
  </si>
  <si>
    <t>Процент педагогических кадров, прошедших повышение квалификации по разработке образовательных программ и модулей (НПО)</t>
  </si>
  <si>
    <t xml:space="preserve">Доступность среднего профессионального образования </t>
  </si>
  <si>
    <t>Процент охвата молодежи средним профессиональным образованием (от населения в возрасте 17- 20 лет)</t>
  </si>
  <si>
    <t>Доля образовательных организаций, заключивших соглашения с отраслевыми организациями и предприятиями о подготовке кадров и оценке навыков выпускников</t>
  </si>
  <si>
    <t>Обновление содержания среднего профессионального образования в соответствии с потребностями рынка труда</t>
  </si>
  <si>
    <t>Создание и наличие  учебных центров передового опыта для реализации программ СПО</t>
  </si>
  <si>
    <t xml:space="preserve">Проведение ремонтных работ в отобранных спузах
</t>
  </si>
  <si>
    <t xml:space="preserve">Создание учебных центров передового опыта </t>
  </si>
  <si>
    <t>Апробация деятельности учебных центров передового опыта</t>
  </si>
  <si>
    <t>Количество организаций СПО, внедривших систему нормативного бюджетного финансирования (подушевого)</t>
  </si>
  <si>
    <t>Разработана модель нормативного финансирования в системе СПО</t>
  </si>
  <si>
    <t>8 колледжей</t>
  </si>
  <si>
    <t>Инклюзивное образование и воспитание учащихся СПО, повышение квалификации преподователей, цифровизация обучения и оценивание.</t>
  </si>
  <si>
    <t>Доля образовательных организаций с созданной благоприятной для ЛОВЗ инфраструктурой и средой обучения</t>
  </si>
  <si>
    <t xml:space="preserve">Наличие Программы повышения потенциала педагогов  СПО </t>
  </si>
  <si>
    <t>Разработка Программы</t>
  </si>
  <si>
    <t>Апробация Программы</t>
  </si>
  <si>
    <t>Утверждение программы</t>
  </si>
  <si>
    <t xml:space="preserve">Доля обеспеченности учебных заведений компьютерной техникой </t>
  </si>
  <si>
    <t>Процент охвата молодежи высшим  профессиональным образованием (от населения в возрасте 17- 24 лет )</t>
  </si>
  <si>
    <t>Развитие группы вузов, по принципу дальнейшей региональной специализации в востребованных направлениях</t>
  </si>
  <si>
    <t>Процент трудоустройства и удержания в профессии выпускников педагогических специальностей, обучавшихся за счет бюджета.</t>
  </si>
  <si>
    <t>Доля образовательных организаций, получающих заказ на подготовку специалистов от работодателей, за счет средств госбюджета</t>
  </si>
  <si>
    <t xml:space="preserve">Управление системы высшего профессионального образования и электронное обучение </t>
  </si>
  <si>
    <t>Наличие  он-лайн регистрации абитуриентов для участия в конкурсе на поступление в вуз</t>
  </si>
  <si>
    <t>Регистрация он-лайн проведена в пилотном режиме</t>
  </si>
  <si>
    <t>Регистрация он-лайн проведена в государственных вузах</t>
  </si>
  <si>
    <t>Доля иностранных студентов в вузах</t>
  </si>
  <si>
    <t>Качество академических программ, имеющих независимую аккредитацию</t>
  </si>
  <si>
    <t xml:space="preserve">Наличие используемого электронного и смешанного обучения при реализации программ очной и иных форм обучения 
Количество вузов и программ, работающих в рамках e-learning 
</t>
  </si>
  <si>
    <t>30% образовательных программ ВПО</t>
  </si>
  <si>
    <t>40% образовательных программ ВПО</t>
  </si>
  <si>
    <t>3 ведущих вуза + 50% образовательных программ</t>
  </si>
  <si>
    <t>Доля средств, выделяемых вузами на развитие научно-исследовательской работы</t>
  </si>
  <si>
    <t xml:space="preserve">Развитие прикладной науки </t>
  </si>
  <si>
    <t xml:space="preserve">Увеличение доли научных проектов, нацеленных на обеспечение позитивных структурных сдвигов в экономике республики </t>
  </si>
  <si>
    <t xml:space="preserve"> ед.</t>
  </si>
  <si>
    <t xml:space="preserve">Развитие институционального потенциала и повышение качества вузовской науки, увеличение в вузах количества НИР, направленных на получение практического применения </t>
  </si>
  <si>
    <t>Доля молодых специалистов, привлеченных к выполнению исследований и разработок</t>
  </si>
  <si>
    <t>5-20</t>
  </si>
  <si>
    <t xml:space="preserve">35.  Интеллектуальная собственность и инновация </t>
  </si>
  <si>
    <t>Количество проведенных закупок</t>
  </si>
  <si>
    <t xml:space="preserve">Количество сотрудников ведомства прошедших обучающие курсы и стажировки </t>
  </si>
  <si>
    <t>Количество судебных дел по защите объектов интеллектуальной собственности</t>
  </si>
  <si>
    <t xml:space="preserve">Количество разработанных проектов НПА в сфере развития интеллектуальной собственнности и нноваций </t>
  </si>
  <si>
    <t xml:space="preserve">Количество подписанных договоров, меморандумов,  соглашений и планов мероприятий с патентными ведомствами зарубежных стран </t>
  </si>
  <si>
    <t>Количество положительных упоминаний ведомства в СМИ или количество материалов, опубликованных на web-ресурсе ведомства</t>
  </si>
  <si>
    <t>Количество медиапродуктов о деятельности Кыргызпатента (видео, баннеры и т.д.)</t>
  </si>
  <si>
    <t>Обеспечение мониторинга, анализа и стратегического планирования (по противодействию коррупции, стратегического панирования и анализа)</t>
  </si>
  <si>
    <t>Оценка деятельности Кыргызпатента и его руководителя</t>
  </si>
  <si>
    <t>151,7-224,7</t>
  </si>
  <si>
    <t>Стимулирование и вовлечение авторов к созданию новых результатов интеллектуальной деятельности и повышению престижа изобретателей, авторов, научных работников  и частные предприятия</t>
  </si>
  <si>
    <t>Количество наград  изобретателям, авторам и научным работникам</t>
  </si>
  <si>
    <t xml:space="preserve">Доля заявок на служебные изобретения </t>
  </si>
  <si>
    <t xml:space="preserve">Развитие инфраструктуры для создания интеллектуальной собственности и поддержка деятельности по использованию интеллектуальной собственности,  создание демонстрационно-опытных площадок для взаимодействия авторов интеллектуальной собственности и бизнес-структур
</t>
  </si>
  <si>
    <t xml:space="preserve">Количество филиалов Центра поддержки технологий и инноваций </t>
  </si>
  <si>
    <t xml:space="preserve">Количество обученных координаторов Центра поддержки технологий и инноваций  по патентному поиску </t>
  </si>
  <si>
    <t>Количество пользователей услуг Центра поддержки технологий и инноваций   в количестве не менее 500 человек в год</t>
  </si>
  <si>
    <t xml:space="preserve">Доля электронных ресурсов Государственой патентно-технической библиотеки </t>
  </si>
  <si>
    <t xml:space="preserve">Количество  премий в области научно-технического творчества детей и молодежи </t>
  </si>
  <si>
    <t>Количество республиканских и областных конкурсов, олимпиад, выставок  научно-технического и творческого направления</t>
  </si>
  <si>
    <t>Количество кружков научно-технического творчества детей</t>
  </si>
  <si>
    <t xml:space="preserve">Охват детей научно-техническим творчеством </t>
  </si>
  <si>
    <t>0,4</t>
  </si>
  <si>
    <t>Количество обученных специалистов - патентоведов для предприятий и бюджетных организаций</t>
  </si>
  <si>
    <t>Количество баз данных патентной и непатентной информации других стран</t>
  </si>
  <si>
    <t>Количество созданных коммуникационных площадок (электронные форумы, технопарки, бизнес-инкубаторы, стартапы)</t>
  </si>
  <si>
    <t>Расширение использования IT-технологий при подаче и рассмотрении заявок</t>
  </si>
  <si>
    <t xml:space="preserve">Система электронного документооборота
</t>
  </si>
  <si>
    <t>Доля заявок на объекты интеллектуальной собственности поданных в электронном формате</t>
  </si>
  <si>
    <t xml:space="preserve">Вовлечение гражданского общества в процесс осуществления прав интеллектуальной собственности, формирование института медиации для досудебного регулирования споров
</t>
  </si>
  <si>
    <t xml:space="preserve">Количество обученных медиаторов по разрешению споров, связанных с интеллектуальной собственостью </t>
  </si>
  <si>
    <t>Создание условий для финансовой поддержки развития инновационной деятельности</t>
  </si>
  <si>
    <t xml:space="preserve">Государственный  инновационный фонд </t>
  </si>
  <si>
    <t xml:space="preserve">Организация процесса профессиональной подготовки и повышения квалификации кадров по инновационным специальностям  </t>
  </si>
  <si>
    <t xml:space="preserve">Количество обученных специалистов в сфере развития инноваций </t>
  </si>
  <si>
    <t>38 Министерство труда и социального развития Кыргызской Республики</t>
  </si>
  <si>
    <t>Службы обеспечения (административная поддержка и т.д.)</t>
  </si>
  <si>
    <t>Обеспечение своевременного и качественного предоставления государственных пособий, денежных компенсаций взамен льгот и других социальных выплат, социального обслуживания лиц с ограниченными возможностями здоровья и пожилым гражданам</t>
  </si>
  <si>
    <t>Предоставление своевременных и качественных социальных услуг, обеспечение эффективной социальной защиты социально незащищенных категорий граждан, семей и детей, находящихся в трудной жизненной ситуации.</t>
  </si>
  <si>
    <t>1000-7000</t>
  </si>
  <si>
    <t>1</t>
  </si>
  <si>
    <t>Обеспечение пособиями детей: при рождении ребенка и нуждающихся семей, имеющих детей в возрасте до 16 лет</t>
  </si>
  <si>
    <t>Сохранение размера единовременной выплаты при рождении ребенка - "балага сүйүнчү" текущего года по отношению к предыдущему году</t>
  </si>
  <si>
    <t>100-600</t>
  </si>
  <si>
    <t>Уровень размера ежемесячного пособия нуждающимся гражданам (семьям), имеющим детей в возрасте до 16 лет - "үй-бүлөгө көмөк" текущего года по отношению к базовому году</t>
  </si>
  <si>
    <t>810 сом</t>
  </si>
  <si>
    <t>15000-20000</t>
  </si>
  <si>
    <t>Соотношение размера гарантированного минимального дохода текущего года по отношению к базовому году</t>
  </si>
  <si>
    <t>1000 сом</t>
  </si>
  <si>
    <t>Обеспечение лиц, не имеющих права на пенсионное обеспечение, ежемесячными социальными пособиями, а также лиц, пострадавшим в событиях 2010 года и  Аксыйского события в 2002г. дополнительными ежемесячными социальными пособиями</t>
  </si>
  <si>
    <t>Соотношение размера ЕСП пожилых граждан к базовой части пенсии</t>
  </si>
  <si>
    <t>Размер дополнительного ежемесячного социального пособия</t>
  </si>
  <si>
    <t>количество расчетных показателей</t>
  </si>
  <si>
    <r>
      <t>Развитие социальных услуг для детей, находящихся в трудной жизненной ситуации (</t>
    </r>
    <r>
      <rPr>
        <i/>
        <sz val="10"/>
        <rFont val="Times New Roman"/>
        <family val="1"/>
        <charset val="204"/>
      </rPr>
      <t>в ст.5 Кодекса КР о детях, определены категории детей ТЖС</t>
    </r>
    <r>
      <rPr>
        <sz val="10"/>
        <rFont val="Times New Roman"/>
        <family val="1"/>
        <charset val="204"/>
      </rPr>
      <t xml:space="preserve">), в рамках государственного социального заказа </t>
    </r>
  </si>
  <si>
    <t xml:space="preserve">Наличие центра </t>
  </si>
  <si>
    <t>количество центров</t>
  </si>
  <si>
    <t>Поддержка созданных ранее центров</t>
  </si>
  <si>
    <t>Повышение потенциала сотрудников территориальных и подведомственных подразделений МТСР КР</t>
  </si>
  <si>
    <t>Охвачены обучением не менее 100 сотрудников по системе МТСР КР</t>
  </si>
  <si>
    <t>Увеличение численности приемных (фостерных) семей</t>
  </si>
  <si>
    <t>Численность подготовленных  приемных семей</t>
  </si>
  <si>
    <t>Численность размещенных детей в приемных семьях</t>
  </si>
  <si>
    <t>Возвращение (репатриация) детей, оставщихся без попечения родителей, являющихся гражданами КР на территории иностранного государства</t>
  </si>
  <si>
    <t>Численность возвращенных детей</t>
  </si>
  <si>
    <t xml:space="preserve">Оказание консультативно-психологической помощи абонентам по телефону, в том числе детям </t>
  </si>
  <si>
    <t>Количество поступивших звонков от абонентов, в том числе от детей</t>
  </si>
  <si>
    <t>абонент</t>
  </si>
  <si>
    <t>Оптимизация административной, функциональной структуры и инфраструктуры системы медико-социальной экспертизы (МСЭ)</t>
  </si>
  <si>
    <t xml:space="preserve">1. Разработана обновленая методика МКФ </t>
  </si>
  <si>
    <t>документ</t>
  </si>
  <si>
    <t>2. Количество обученных врачей-экспертов по МКФ</t>
  </si>
  <si>
    <t>Реабилитация лиц с ограниченными возможностями здоровья (ЛОВЗ)</t>
  </si>
  <si>
    <t xml:space="preserve">Количество ЛОВЗ охваченых реабилитацией </t>
  </si>
  <si>
    <t>Количество обученных врачей</t>
  </si>
  <si>
    <t xml:space="preserve">Предоставление услуг в социальных стационарных  учреждениях 
</t>
  </si>
  <si>
    <t>1. Количество обслуживаемых</t>
  </si>
  <si>
    <t>2. Общая сумма расходов (респ.бюджет)</t>
  </si>
  <si>
    <t>3. Сумма на обслуживание одного получателя услуг в месяц</t>
  </si>
  <si>
    <t>Предоставление социальных услуг пожилым гражданам и лицам с ограниченными возможностями здоровья (ЛОВЗ), в рамках государственного социального заказа</t>
  </si>
  <si>
    <t>1. Разработка подзаконных актов по внедрению госсоцзаказа в новой редакции</t>
  </si>
  <si>
    <t>2. Количество ЛОВЗ охваченых через госсоцзаказ к общему количеству ЛОВЗ</t>
  </si>
  <si>
    <t>человек</t>
  </si>
  <si>
    <t>3. Количество пожилых граждан охваченых  через госсоцзаказ к общему количеству пожилых граждан в системе МТСР</t>
  </si>
  <si>
    <t>Обеспечение ЛОВЗ техническими средствами для реабилитации (протезно-ортопедические изделия, технические вспомогательные средства и иные специализированные средства)</t>
  </si>
  <si>
    <t>1. Количество ЛОВЗ, обеспеченных техническими средствами, (чел.) и потребность в единицах</t>
  </si>
  <si>
    <t>2. Количество обученных специалистов</t>
  </si>
  <si>
    <t>3. Количество изготовленных протезно-ортопедических изделий, (ед.) и потребность в единицах.</t>
  </si>
  <si>
    <t>Обеспечение ЛОВЗ путевками на санаторно-курортное лечение</t>
  </si>
  <si>
    <t>1. Количество ЛОВЗ, обеспеченных путевками на санаторно-курортное лечение на количество обращений</t>
  </si>
  <si>
    <t>Разработан проект постановления Правительства КР</t>
  </si>
  <si>
    <t>Количество детей/ребенка с ОВЗ охваченных альтернативными видами услуг</t>
  </si>
  <si>
    <t>Обеспечение выплат ежемесячных денежных компенсаций 25 категориям граждан, а также ежемесячной стипендии ветеранам Великой Отечественной войны</t>
  </si>
  <si>
    <t xml:space="preserve">Сохранение размера денежных компенсаций 25 категориям граждан на уровне базового года </t>
  </si>
  <si>
    <t xml:space="preserve">Размеры пожизненной стипендии </t>
  </si>
  <si>
    <t>Обеспечение выплат ежегодного единовременного денежного пособия к 9 мая ветеранам Великой Отечественной войны</t>
  </si>
  <si>
    <t xml:space="preserve">Размеры денежного пособия </t>
  </si>
  <si>
    <t xml:space="preserve">Размеры дополнительного денежного пособия  </t>
  </si>
  <si>
    <t>10000-15000</t>
  </si>
  <si>
    <t xml:space="preserve">Обеспечение выплат ритуального пособия (на погребение) </t>
  </si>
  <si>
    <t>Соотношение среднего размера ритуального пособия к среднемесячной заработной плате, в %-х</t>
  </si>
  <si>
    <t>Пассивные и активные меры политики содействия занятости</t>
  </si>
  <si>
    <t>Количество получающих пособия</t>
  </si>
  <si>
    <t>Доля безработных граждан, трудоустроенных после обучения, переобучения повышения квалификации</t>
  </si>
  <si>
    <t>тыс.чел.</t>
  </si>
  <si>
    <t>Количество охваченных самозанятостью</t>
  </si>
  <si>
    <t>семей</t>
  </si>
  <si>
    <t xml:space="preserve">Интеграция безработных в число занятого населения </t>
  </si>
  <si>
    <t>Количество безработных, трудоустроенных в результате посещения Ярмарки вакансий</t>
  </si>
  <si>
    <t xml:space="preserve">Трудоустройство </t>
  </si>
  <si>
    <t xml:space="preserve">Обеспечение выплат пособия по беременности и родам с одиннадцатого рабочего дня </t>
  </si>
  <si>
    <t>Соотношение среднемесячного размера пособия по беременности и родам к 10 расчетным показателям, в % (в условиях не высокогорья)</t>
  </si>
  <si>
    <t>Соотношение среднемесячного размера пособия по беременности и родам к среднемесячной заработной плате, в % ( в условиях высокогорья)</t>
  </si>
  <si>
    <t>Развитие услуг социальных служб/кризисных центров по оказанию помощи лицам, пострадавшим от гендерного и семейного насилия и внедрение коррекционных программ для лиц, совершивших семейное насилие</t>
  </si>
  <si>
    <t>Число действующих кризисных центров, оказывающих услуги пострадавшим и внедряющих коррекционные программы</t>
  </si>
  <si>
    <t>единица</t>
  </si>
  <si>
    <t xml:space="preserve">Создание государственного кризисного центра для оказания помощи пострадавшим от насилия и для внедрения программ поддержки для семей в ситуации семейного насилия </t>
  </si>
  <si>
    <t>Число новых государственных кризисных центров</t>
  </si>
  <si>
    <t>39.  Академия государственного управления при Президенте Кыргызской Республики</t>
  </si>
  <si>
    <t>39. Академия государственного управления При президенте Кыргызской Республики</t>
  </si>
  <si>
    <t>Обьем финансовых и научных работ прошедших анализ и экспертизу</t>
  </si>
  <si>
    <t xml:space="preserve">Доля выпускников высшего профессионального образования, успешно окончивших академию </t>
  </si>
  <si>
    <t>Реализация учебных программ</t>
  </si>
  <si>
    <t>Годовой обьем обучающихся студентов</t>
  </si>
  <si>
    <t>Подготовка квалифицированного кадрового персонала ВПО</t>
  </si>
  <si>
    <t>Доля студентов, занявших призовые места на соревнованиях, конкурсах республиканского и международного уровней</t>
  </si>
  <si>
    <r>
      <t xml:space="preserve">Повышение квалификации государственных и муниципальных служащих
</t>
    </r>
    <r>
      <rPr>
        <i/>
        <sz val="10"/>
        <rFont val="Times New Roman"/>
        <family val="1"/>
        <charset val="204"/>
      </rPr>
      <t>Цель программы: Подготовка, переподготовка и повышение квалификации государственных и муниципальных служащих</t>
    </r>
  </si>
  <si>
    <t>Количество государственных и муниципальных служащих, получивших сертификаты</t>
  </si>
  <si>
    <t>Проведение тренингов</t>
  </si>
  <si>
    <t>Количество привлеченных государственных служащих на повышение квалификации</t>
  </si>
  <si>
    <r>
      <t xml:space="preserve">Предоставление среднего профессионального образования Академией Государственного управления при Президенте Кыргызской Республики
Цель программы: </t>
    </r>
    <r>
      <rPr>
        <i/>
        <sz val="10"/>
        <rFont val="Times New Roman"/>
        <family val="1"/>
        <charset val="204"/>
      </rPr>
      <t>Подготовка кадров с средне-профессиональным образованием в соответствии с потребностями рынка труда</t>
    </r>
  </si>
  <si>
    <t>Доля выпускников среднего профессионального образования, успешно окончивших техникум</t>
  </si>
  <si>
    <t>Подготовка квалифицированного кадрового персонала СПО</t>
  </si>
  <si>
    <t>Доля обучающихся, занявших призовые места на соревнованиях, конкурсах республиканского и международного уровней</t>
  </si>
  <si>
    <t>40. Общественное объединение «Организация ветеранов (пенсионеров) войны, труда, Вооруженных Сил, правоохранительных органов Кыргызской Республики»</t>
  </si>
  <si>
    <t>По обеспечению и по повышению жизненного уровня ветеранов, ветеранских организаций</t>
  </si>
  <si>
    <t>41. Министерство сельского хозяйства, пищевой промышленности  и мелиорации Кыргызской Республики</t>
  </si>
  <si>
    <t>Соотношение расходов на заработную плату по программе 001 к сумме расходов на заработную плату по всем программам</t>
  </si>
  <si>
    <t>66</t>
  </si>
  <si>
    <t xml:space="preserve">Управление и общая координация  развития сельскохозяйственной отрасли </t>
  </si>
  <si>
    <t>Индекс производительности труда в сельском хозяйстве</t>
  </si>
  <si>
    <t xml:space="preserve">ВВП сельского хозяйства </t>
  </si>
  <si>
    <t>млрд.сом</t>
  </si>
  <si>
    <t>Индекс физического обьема, в % к предыдущему году</t>
  </si>
  <si>
    <t>ВВП пищевой промыщленности</t>
  </si>
  <si>
    <t>ВВП продукции растеневодства</t>
  </si>
  <si>
    <t>ВВП продукции животноводства</t>
  </si>
  <si>
    <t>67</t>
  </si>
  <si>
    <t>Планирование, обеспечение, по экономическому , социальному прогнозированию  и инвестиций внешних связей в сфере развития сельского хозяйства, также формирование и мониторинга  финансовых ресурсов, бухгалтерских учетов, отчетностей и контроля</t>
  </si>
  <si>
    <t>Степень выполнения проектов концепций стратегий государственных и ведомственных целевых программ в  сфере развития экономики сельского хозяйства</t>
  </si>
  <si>
    <t>Количество подписанных международных соглашений для сотрудничества и развития экономики сельского хозяйства</t>
  </si>
  <si>
    <t>Разработка технических регламентов Евразийского экономического союза в сфере АПК</t>
  </si>
  <si>
    <t>кол.</t>
  </si>
  <si>
    <t xml:space="preserve">Качество финансового менеджмента главных распорядителей бюджетных средств, участвующих в  сфере развития экономики сельского хозяйства
</t>
  </si>
  <si>
    <t>бал</t>
  </si>
  <si>
    <t>Представление качественной годовой бюджетной отчетности в установленные сроки</t>
  </si>
  <si>
    <t>Количество проведенных мероприятий по внутреннему аудиту</t>
  </si>
  <si>
    <t>кол</t>
  </si>
  <si>
    <t>68</t>
  </si>
  <si>
    <t>по факту</t>
  </si>
  <si>
    <t>6/58</t>
  </si>
  <si>
    <t>Доля государственных служащих Минсельхоза прошедших повышение квалификации</t>
  </si>
  <si>
    <t>Количество положительных упоминаний министерства в средствах массовой информации</t>
  </si>
  <si>
    <t>33</t>
  </si>
  <si>
    <t>Общая координация аграрного развития</t>
  </si>
  <si>
    <t>Соотношение расходов на заработную плату по мере 00133 к сумме расходов на заработную плату по всем программам</t>
  </si>
  <si>
    <t>Соотношение расходов на заработную плату по программе 002 к сумме расходов на заработную плату по всем программам</t>
  </si>
  <si>
    <t>Обеспечение безопасного обращения с пестицидами и агрохимикатами, сокращение потерь сельскохозяйственного производства, наносимых некарантинными вредными организмами, а также повышение продуктивности растениеводства и качества растительной продукции</t>
  </si>
  <si>
    <t>Площади химической обработки сельскохозяйственных угодий против саранчовых вредителей</t>
  </si>
  <si>
    <t>тыс.га</t>
  </si>
  <si>
    <t>Площади химической обработки сельскохозяйственных угодий против карантинного вредителя АББ</t>
  </si>
  <si>
    <t>Площадь обследования сельхозугодий на выявление саранчовых вредителей</t>
  </si>
  <si>
    <t>Площадь обследования сельхозугодий на выявление карантинного  вредителя АББ</t>
  </si>
  <si>
    <t>Потребность и обеспеченность в пестицидах</t>
  </si>
  <si>
    <t>тыс.тонн</t>
  </si>
  <si>
    <t>Обеспечение фитосанитарной и агрохимической безопасности</t>
  </si>
  <si>
    <t>19438,4</t>
  </si>
  <si>
    <t>Количество лабараторных исседований</t>
  </si>
  <si>
    <t>244/ 7392</t>
  </si>
  <si>
    <t>300/ 10000</t>
  </si>
  <si>
    <t>Биологическая борьба с вредителями сельскохозяйственных культур.</t>
  </si>
  <si>
    <t>20391,1</t>
  </si>
  <si>
    <t>19792,3</t>
  </si>
  <si>
    <t>20974,3</t>
  </si>
  <si>
    <t>21353,9</t>
  </si>
  <si>
    <t xml:space="preserve">Обработка площадей земель сельскохозяйственных назначений биологическими средствами по КР                            </t>
  </si>
  <si>
    <t xml:space="preserve"> Объем производства биологических средств</t>
  </si>
  <si>
    <t>Биолигнин</t>
  </si>
  <si>
    <t>тыс.литр</t>
  </si>
  <si>
    <t>Триходермин</t>
  </si>
  <si>
    <t>тонн</t>
  </si>
  <si>
    <t>Амблисейус</t>
  </si>
  <si>
    <t>млн. особ</t>
  </si>
  <si>
    <t>Трихограмма</t>
  </si>
  <si>
    <t>кг.</t>
  </si>
  <si>
    <t>Развития механизации сельского хозяйства</t>
  </si>
  <si>
    <t>Количество сельскохозяйственной техники выданных сельхозсубьектам по лизинговым кредитным проектам</t>
  </si>
  <si>
    <t>Общее количество обновлен.машинно-тракторного парка</t>
  </si>
  <si>
    <t>Полевая инспекция, проведение апробации и сортоиспытаний, тестирование проб семян</t>
  </si>
  <si>
    <t>Общая посевная площадь сельскохозяйственных культур</t>
  </si>
  <si>
    <t>Площадь полевых инспекций семенных посевов</t>
  </si>
  <si>
    <t>Удельный вес, площади, засеваемой элитными семенами</t>
  </si>
  <si>
    <t>Наличие сертифицированных семян</t>
  </si>
  <si>
    <t>Объем сертифицированных семян</t>
  </si>
  <si>
    <t>Проведение экспертизы зерна и хлебных продуктов его переработки</t>
  </si>
  <si>
    <t>Площадь выбороч.обследования образцов зерна фермерских и крестянских хозяйств, на комбинатах хлебных продуктов</t>
  </si>
  <si>
    <t>Обьем анализа образцов  зерна  поступающих их госрезерва, комбинатов хлебных продуктов</t>
  </si>
  <si>
    <t>Сортоопыт, официальные испытания, сохранение генетических ресурсов растений</t>
  </si>
  <si>
    <t>Проведение официальных испытаний сортов и гибридов с/х культур</t>
  </si>
  <si>
    <t>сорто-опыт</t>
  </si>
  <si>
    <t>Проведение качественной  оценки испытываемых сортов и гибридов с/х культур</t>
  </si>
  <si>
    <t>анализ</t>
  </si>
  <si>
    <t>Сохранение генетических ресурсов растений</t>
  </si>
  <si>
    <t>образец</t>
  </si>
  <si>
    <t>Выполнение проектно-изыскательских и обследовательских работ по землеустройству</t>
  </si>
  <si>
    <t>Инвентаризация земельного фонда и установление границ в разрезе районов/айыл аймаков</t>
  </si>
  <si>
    <t xml:space="preserve"> в разрезе районов/айыл аймаков</t>
  </si>
  <si>
    <t>Корректировка почвенных обследований, мотиторинг пахотных земель</t>
  </si>
  <si>
    <t xml:space="preserve">Кооректировка материалов почвенного и геобатанического обследования </t>
  </si>
  <si>
    <t>Реализация проекта "Финансирование поставок сельскохозяйственной техники в КР" (АКФ ЕврАзЭС)</t>
  </si>
  <si>
    <t>Количество  техники выданных сельхозсубьектам по лизинговым кредитным проектам</t>
  </si>
  <si>
    <t>Поддержка развития племенного дела</t>
  </si>
  <si>
    <t>темп реального роста КРС в % к предыдущему году</t>
  </si>
  <si>
    <t>Осеменение КРС</t>
  </si>
  <si>
    <t>голов</t>
  </si>
  <si>
    <t>Осеменение МРС</t>
  </si>
  <si>
    <t>Получение приплода от закупленных КРС по линии ЮСАИД</t>
  </si>
  <si>
    <t>Учет и контроль за качеством и безопасностью ветеринарных  лекарственных средств</t>
  </si>
  <si>
    <t>Государственная регистрация и сертификация ветеринарных лекарственных средств</t>
  </si>
  <si>
    <t>Экспертиза качества ветеринарных лекарственных средств</t>
  </si>
  <si>
    <t>Содержание и увеличение рыбных запасов</t>
  </si>
  <si>
    <t>Количество выданных рыболовных карточек</t>
  </si>
  <si>
    <t>Количество проведенных мероприятий по выявлениям факта наруш.</t>
  </si>
  <si>
    <t>Выпуск молоди (зарыбление) в водоемы Кыргызской Республики</t>
  </si>
  <si>
    <t>млн. шт.</t>
  </si>
  <si>
    <t>Обьем производства товарной рыбы</t>
  </si>
  <si>
    <t>тыс. тонн</t>
  </si>
  <si>
    <t>Организация и осуществление мониторинга над состоянием и использованием пастбищ и пастбищного хозяйства</t>
  </si>
  <si>
    <t>Площадь пастбищ  по республике</t>
  </si>
  <si>
    <t>Площадь пасббищ земель сельскохозяйственного назначения</t>
  </si>
  <si>
    <t>Количество экологически устойчивых жайыт комитетов</t>
  </si>
  <si>
    <t>Количество нормативных правовых  баз, регулирующие управление, использование  и улучшение пастбищ</t>
  </si>
  <si>
    <t>Реализация проекта "Развитие животноводства и рынка- 1,2" донор МФСР</t>
  </si>
  <si>
    <t>Обьем производительности животноводства</t>
  </si>
  <si>
    <t xml:space="preserve"> Заболеваемость животных  бруцеллезом и эхинококкозом</t>
  </si>
  <si>
    <t>Количество оказанных укслуг по повышени потенциала мелких владельцев скота по вопросам животноводства;</t>
  </si>
  <si>
    <t>Количество планов по контролю здоровья животных и возможностей для улучшения пород и селекции скота</t>
  </si>
  <si>
    <t>Реализация проекта "Обеспечения доступа к рынкам"</t>
  </si>
  <si>
    <t>Создание постоянных рабочих мест (40% женщин) за счет работы на фермерском хозяйстве</t>
  </si>
  <si>
    <t>18</t>
  </si>
  <si>
    <t>Научно-исследовательская работа в области животноводства</t>
  </si>
  <si>
    <t>Количество исследований по научно-технической программе пастбищ и животноводства</t>
  </si>
  <si>
    <t>19</t>
  </si>
  <si>
    <t xml:space="preserve">Научно-исследовательская работа в области земледелия, почвоведения, агрохимии и растениеводства </t>
  </si>
  <si>
    <t>Количество исследований по научно-технической программе земледелие</t>
  </si>
  <si>
    <t>20</t>
  </si>
  <si>
    <t xml:space="preserve">Реализация проекта "Комплексное развитие производительности молочного сектора" (ВБ) </t>
  </si>
  <si>
    <t xml:space="preserve">Количество фермеров тренинговых групп по надлежащему ведению молочного животноводства. </t>
  </si>
  <si>
    <t>21</t>
  </si>
  <si>
    <t>Контроль за производством и оборотом этилового спирта, алкогольной продукции и спиртосодержащей продукции</t>
  </si>
  <si>
    <t>Пересечение нелегального оборота  (изъятие алкогольной продукции)</t>
  </si>
  <si>
    <t>шт (0,5 бут)</t>
  </si>
  <si>
    <t xml:space="preserve">Обьем производства алкогольной продукции                                                                     </t>
  </si>
  <si>
    <t>тыс.дал</t>
  </si>
  <si>
    <t>Содержание аппарата</t>
  </si>
  <si>
    <t>11982,5</t>
  </si>
  <si>
    <t xml:space="preserve">Обьем орошаемых земель </t>
  </si>
  <si>
    <t>Процент потери воды при транспортировке</t>
  </si>
  <si>
    <t>Процент забора на производственные ,хозяйственно питьевые, нужды, орошение и сельскохозяйственное водоснабжение и др</t>
  </si>
  <si>
    <r>
      <t xml:space="preserve">Содержание и капитальный ремонт государственных ирригационных и мелиоративных  сооружений, за исключением насосных станций и скважин и  подача поливной воды
</t>
    </r>
    <r>
      <rPr>
        <b/>
        <sz val="11"/>
        <color theme="1"/>
        <rFont val="Calibri"/>
        <family val="2"/>
        <charset val="204"/>
        <scheme val="minor"/>
      </rPr>
      <t/>
    </r>
  </si>
  <si>
    <t>Повышение водобеспеченности земель</t>
  </si>
  <si>
    <t xml:space="preserve"> Улучшение мелиоративного состояния земель</t>
  </si>
  <si>
    <t xml:space="preserve"> га</t>
  </si>
  <si>
    <t>Проведение капитальных и текущих ремонтов на крупные каналы протяженностью</t>
  </si>
  <si>
    <t>км</t>
  </si>
  <si>
    <t>Ремонт ГВС, ГТС, улучшение урегулирования объема подачи воды</t>
  </si>
  <si>
    <t>Ремонт ГП улучшения учета объема воды</t>
  </si>
  <si>
    <t>Очистка каналов</t>
  </si>
  <si>
    <t>Подача поливной воды на орошение</t>
  </si>
  <si>
    <t>млн.куб.м</t>
  </si>
  <si>
    <t>Площадь орошаемых пашни от подачи поливной воды</t>
  </si>
  <si>
    <t>Реализация проекта «Улучшения сельскохозяйственной производительности и питания (Глобальный фонд по с/х и продовольственной безопасности)</t>
  </si>
  <si>
    <t>Увеличение числа ассоциаций водопользователей (АВП) и обслуживание ими земель</t>
  </si>
  <si>
    <t>кол-во ед/тыс. га</t>
  </si>
  <si>
    <t>Реализация Проекта «Управления национальными водными ресурсами, фаза 1» (Швейцарское бюро по развитию и сотрудничеству)</t>
  </si>
  <si>
    <t>Водные ресурсы</t>
  </si>
  <si>
    <t xml:space="preserve">Развитие ирригационной сети Сарымсак в КР (ИБР)
</t>
  </si>
  <si>
    <t xml:space="preserve">Площадь новых орошаемых земель </t>
  </si>
  <si>
    <t>Повышение водобеспеченности земель Кара-Бууринском  районе Таласской области</t>
  </si>
  <si>
    <t xml:space="preserve">42. Государственное агентство водных ресурсов при Правительстве Кыргызской Республики </t>
  </si>
  <si>
    <t>Объем орошаемых земель</t>
  </si>
  <si>
    <t>тыс. га</t>
  </si>
  <si>
    <t>Площадь орошаемых земель по территории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</si>
  <si>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г.Ош-2,6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</si>
  <si>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г.Ош-2,7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</si>
  <si>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г.Ош-2,8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</si>
  <si>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г.Ош-2,9</t>
  </si>
  <si>
    <t>произ.-0,9%, хоз.питье.-2%, орош.-62%, с\х водсноб.-0,7%</t>
  </si>
  <si>
    <r>
      <t xml:space="preserve">Содержание и капитальный ремонт государственных водохозяйственных объектов
</t>
    </r>
    <r>
      <rPr>
        <b/>
        <sz val="11"/>
        <color theme="1"/>
        <rFont val="Calibri"/>
        <family val="2"/>
        <charset val="204"/>
        <scheme val="minor"/>
      </rPr>
      <t/>
    </r>
  </si>
  <si>
    <t>Улучшение мелиоративного состояния земель</t>
  </si>
  <si>
    <t>га</t>
  </si>
  <si>
    <t>Восстановление ирригационных каналов</t>
  </si>
  <si>
    <t>Капитальный ремонт и замена насосных агрегатов</t>
  </si>
  <si>
    <t>108/282</t>
  </si>
  <si>
    <t>57/139</t>
  </si>
  <si>
    <t>64/157</t>
  </si>
  <si>
    <t>60/147</t>
  </si>
  <si>
    <t>млн.куб.</t>
  </si>
  <si>
    <t>Создание условий для устойчивого развития питьевого водоснабжения и водоотведения населенных пунктов</t>
  </si>
  <si>
    <t>Реализация проектов "Реабилитация системы водоснабжения и канализации"</t>
  </si>
  <si>
    <t>Реализация проекта "Дополнительное финансирование для проекта "Улучшение управления национальными водными ресурсами""</t>
  </si>
  <si>
    <t>Разработка окончательной версии Бассейновых планов</t>
  </si>
  <si>
    <t>кол.ед</t>
  </si>
  <si>
    <t>Реализация проекта "Улучшение сельскохозяйственной производительности и питания"</t>
  </si>
  <si>
    <t>реабилитация внутрихозяйственных систем орошения в 30 АВП</t>
  </si>
  <si>
    <t xml:space="preserve">Улучшение водообеспеченности на орошаемых земель </t>
  </si>
  <si>
    <t>Реализация  проекта "Развитие ирригационной сети Сарымсак"</t>
  </si>
  <si>
    <t>Увеличение урожайности основных культур, увеличить доходы фермеров, повышение эффективности ирригационных каналов.</t>
  </si>
  <si>
    <t>Реализация  проекта "Повышение устойчивости водных ресурсов к изменению климата и стихийным бедствиям"</t>
  </si>
  <si>
    <t>Реализация проекта "Развитие орошаемого земледелия в Иссык-Кульской и Нарынской областях"</t>
  </si>
  <si>
    <t>44. Министерство культуры, информации и туризма Кыргызской Республики</t>
  </si>
  <si>
    <t>Обеспечение общего руководства, финансового менеджемента и укрепление международного сотрудничества</t>
  </si>
  <si>
    <t>Процент исполнения запланированных задач</t>
  </si>
  <si>
    <t>Процент исполнения бюджетных ассигнований</t>
  </si>
  <si>
    <t>Количство заключенных международных договоров, соглашений, меморандумов</t>
  </si>
  <si>
    <t>Обеспечение контроля  документооборота, управления человеческими ресурсами и совершенствование нормативно-правовой базы</t>
  </si>
  <si>
    <t>Процент текучести кадров</t>
  </si>
  <si>
    <t>Доля своевременно исполненных поручений к общему числу</t>
  </si>
  <si>
    <t xml:space="preserve">Количество разработанных проектов НПА </t>
  </si>
  <si>
    <t>Количество утвержденных проектов охранной зоны территории объектов историко-культурного наследия</t>
  </si>
  <si>
    <r>
      <t>Индикаторы результативности (</t>
    </r>
    <r>
      <rPr>
        <i/>
        <sz val="10"/>
        <rFont val="Times New Roman"/>
        <family val="1"/>
        <charset val="204"/>
      </rPr>
      <t>целевой индикатор по Программе</t>
    </r>
    <r>
      <rPr>
        <sz val="10"/>
        <rFont val="Times New Roman"/>
        <family val="1"/>
        <charset val="204"/>
      </rPr>
      <t>)</t>
    </r>
  </si>
  <si>
    <t>Повышение доступности и качества услуг библиотек</t>
  </si>
  <si>
    <t>Количество посетителей библиотек</t>
  </si>
  <si>
    <t>Количество произведений, переведенных на цифровые носители</t>
  </si>
  <si>
    <t>Повышение  качества доступности услуг музеев</t>
  </si>
  <si>
    <t>Количество посетителей музеев</t>
  </si>
  <si>
    <t>тыс чел</t>
  </si>
  <si>
    <t>Количество выставок  по изобразительному искусству</t>
  </si>
  <si>
    <t>Расширение возможностей доступа к культурным ценностям, создание условий по обеспечению сохранности и защите объектов историко-культурного наследия</t>
  </si>
  <si>
    <t>Количество проведенных мероприятий республиканского и регионального значения</t>
  </si>
  <si>
    <t>раз</t>
  </si>
  <si>
    <t>Количество отреставрированных памятников истории и культуры</t>
  </si>
  <si>
    <t>Количество обследованных и документированных объектов историко-культурного наследия</t>
  </si>
  <si>
    <t>Повышение качества услуг театрально-зрелищных учреждений (ТЗУ) и приобщения  населения к профессиональному искусству</t>
  </si>
  <si>
    <t>Количество выездных гастролей</t>
  </si>
  <si>
    <t>Количество новых постановок</t>
  </si>
  <si>
    <t>Количество посетителей ТЗУ</t>
  </si>
  <si>
    <t>тыс/чел</t>
  </si>
  <si>
    <t>Обеспечение условий для повышения качества образования в сфере культуры, повышение уровня педагогической готовности детей к школе</t>
  </si>
  <si>
    <t>Количество выпускников</t>
  </si>
  <si>
    <t>Количество обучающихся  в образовательных учреждений</t>
  </si>
  <si>
    <t>Количество педагогов, участвовавших в программах повышения квалификации</t>
  </si>
  <si>
    <t>Реализация государственной политики в сфере  кинематографии</t>
  </si>
  <si>
    <t>Обеспечение условий для создания национальных фильмов</t>
  </si>
  <si>
    <t>Создание условий для доступа граждан к произведениям мирового и отечественного киноискусства</t>
  </si>
  <si>
    <t>Разработка и реализация образовательных и маркетинговых мероприятий, способствующих пропаганде туризма</t>
  </si>
  <si>
    <t>5 300,0</t>
  </si>
  <si>
    <t>5 600,0</t>
  </si>
  <si>
    <t>6 000,0</t>
  </si>
  <si>
    <t>Пропаганда туристических возможностей Кыргызстана</t>
  </si>
  <si>
    <t>млн.долл.</t>
  </si>
  <si>
    <t>Инвестиции в основной капитал в сферу туризма</t>
  </si>
  <si>
    <t>10 000,0</t>
  </si>
  <si>
    <t>20 000,0</t>
  </si>
  <si>
    <t>30 000,0</t>
  </si>
  <si>
    <t>Разработка и реализация государственной политики в сфере  информации</t>
  </si>
  <si>
    <t>Создание благоприятных условий для развития государственных региональных  СМИ</t>
  </si>
  <si>
    <t>Техническое оснащение медиа-центров, подготовка и переподготовка кадров государственных региональных СМИ</t>
  </si>
  <si>
    <t>Формирование Социального пакета телеканалов и его бесперебойное эфирное наземное цифровое и спутниковое вещание</t>
  </si>
  <si>
    <t>Количество телерадиоорганизаций Социального пакета телеканалов</t>
  </si>
  <si>
    <t>Укрепление национального самосознания, активного содействия развитию и заимообогащению духовных, культурных ценностей и традиций, единства и межнационального согласия народов Кыргызской Республики, активизация пропоганды духовно-нравственного наследия эпоса "Манас"</t>
  </si>
  <si>
    <t>тыс.чел</t>
  </si>
  <si>
    <t>Организация экскурсионной, туристической, гостиничной деятельности, научно-просветительской и культурно-массовой работы на территории комплекса</t>
  </si>
  <si>
    <t>тыс.шт</t>
  </si>
  <si>
    <t>экз.</t>
  </si>
  <si>
    <t>Комитет по  государственным премиям КР по имени Токтогул</t>
  </si>
  <si>
    <r>
      <rPr>
        <b/>
        <sz val="10"/>
        <rFont val="Times New Roman"/>
        <family val="1"/>
        <charset val="204"/>
      </rPr>
      <t xml:space="preserve">Предоставление государственных премий в области литературы, искусства и архитектуры          </t>
    </r>
    <r>
      <rPr>
        <sz val="10"/>
        <rFont val="Times New Roman"/>
        <family val="1"/>
        <charset val="204"/>
      </rPr>
      <t xml:space="preserve">                         </t>
    </r>
  </si>
  <si>
    <t xml:space="preserve">Обеспечение общего руководства, финансового менеджмента и учета </t>
  </si>
  <si>
    <t>Отношение расходов на заработную плату по Программе 001 к сумме расходов на заработную плату по всему Комитету</t>
  </si>
  <si>
    <t>Вручение государственной премии Кыргызской Республики им. Токтогула в области литературы, искусства и архитектуры</t>
  </si>
  <si>
    <t>Количество участников, получивших государственную премию</t>
  </si>
  <si>
    <t>КНИА "Кабар"</t>
  </si>
  <si>
    <r>
      <rPr>
        <b/>
        <sz val="10"/>
        <color indexed="8"/>
        <rFont val="Times New Roman"/>
        <family val="1"/>
        <charset val="204"/>
      </rPr>
      <t xml:space="preserve">Индикатор результативности </t>
    </r>
    <r>
      <rPr>
        <sz val="10"/>
        <color indexed="8"/>
        <rFont val="Times New Roman"/>
        <family val="1"/>
        <charset val="204"/>
      </rPr>
      <t>(</t>
    </r>
    <r>
      <rPr>
        <i/>
        <sz val="10"/>
        <color indexed="8"/>
        <rFont val="Times New Roman"/>
        <family val="1"/>
        <charset val="204"/>
      </rPr>
      <t>целевой индикатор по Программе</t>
    </r>
    <r>
      <rPr>
        <sz val="10"/>
        <color indexed="8"/>
        <rFont val="Times New Roman"/>
        <family val="1"/>
        <charset val="204"/>
      </rPr>
      <t>) общее количество выпускаемых информаций агентством</t>
    </r>
  </si>
  <si>
    <t>инф</t>
  </si>
  <si>
    <r>
      <rPr>
        <b/>
        <sz val="10"/>
        <color indexed="8"/>
        <rFont val="Times New Roman"/>
        <family val="1"/>
        <charset val="204"/>
      </rPr>
      <t xml:space="preserve">Индикатор результативности </t>
    </r>
    <r>
      <rPr>
        <sz val="10"/>
        <color indexed="8"/>
        <rFont val="Times New Roman"/>
        <family val="1"/>
        <charset val="204"/>
      </rPr>
      <t>(</t>
    </r>
    <r>
      <rPr>
        <i/>
        <sz val="10"/>
        <color indexed="8"/>
        <rFont val="Times New Roman"/>
        <family val="1"/>
        <charset val="204"/>
      </rPr>
      <t>целевой индикатор по Программе</t>
    </r>
    <r>
      <rPr>
        <sz val="10"/>
        <color indexed="8"/>
        <rFont val="Times New Roman"/>
        <family val="1"/>
        <charset val="204"/>
      </rPr>
      <t>)</t>
    </r>
  </si>
  <si>
    <t>Название бюджетной меры</t>
  </si>
  <si>
    <t>45. Министерство чрезвычайных ситуаций Кыргызской Республики</t>
  </si>
  <si>
    <t xml:space="preserve">Обеспечение и координация деятельности Министерства по реализации единой государственной политики        </t>
  </si>
  <si>
    <t xml:space="preserve">Планирование, управление и администрирование     </t>
  </si>
  <si>
    <t>баллов</t>
  </si>
  <si>
    <t>Осуществление повседневной деятельности подразделений по реализации возложенных задач и функций</t>
  </si>
  <si>
    <t>Выработка и реализация единой государственной политики в области Гражданской защиты, пожарной, радиационной безопасности, безопасности людей на водных объектах и гидрометеорологии</t>
  </si>
  <si>
    <t>Выполнение мероприятий по всестороннему обеспечению функционирования ЦА МЧС</t>
  </si>
  <si>
    <t xml:space="preserve">Осуществление мониторинга, обследования и анализа опасных природных, техногенных процессов и явлений, выполнение научно-исследовательских работ на опасных участках </t>
  </si>
  <si>
    <t xml:space="preserve">Количество проведенных обследований опасных природных/ техногенных процессов и явлений </t>
  </si>
  <si>
    <t>4268/ 12687</t>
  </si>
  <si>
    <t>4614,2/ 12088,4</t>
  </si>
  <si>
    <t>Выпуск всех видов прогнозов, предоставление специализированной гидрометеорологической информации и информация о загрязнении окружающей среды</t>
  </si>
  <si>
    <t xml:space="preserve">Увеличение заблаговременности выпускаемых гидрометеорологических прогнозов </t>
  </si>
  <si>
    <t>сутки</t>
  </si>
  <si>
    <t>Выработка механизма стимулирования местных инвестиций в снижение риска бедствий</t>
  </si>
  <si>
    <t>Освоенных госинвестиции (в сомах)</t>
  </si>
  <si>
    <t>Проведение первоочередных  превентивных, аварийно-восстнановительных, защитных мероприятий; строительство и эксплуатация селезащитных инженерных сооружений.</t>
  </si>
  <si>
    <t>Количество защищенных жилых домов/ сельхозугодий (га)/ год</t>
  </si>
  <si>
    <t>26022/ 17767,4</t>
  </si>
  <si>
    <t>16500/ 7100</t>
  </si>
  <si>
    <t>16800/ 7200</t>
  </si>
  <si>
    <t>17200/ 7400</t>
  </si>
  <si>
    <t>17600/ 7600</t>
  </si>
  <si>
    <t>Проведение комплексного мониторинга хвостохранилищ и горных отвалов бывшего уранодобывающего производства, предупредительных защитных аварийно-восстановительных и реабилитационных работ.</t>
  </si>
  <si>
    <t xml:space="preserve">Количество реабилитированных объектов урановых хвостохранилищ, проведение мониторинга и содержание объектов </t>
  </si>
  <si>
    <t>1/0</t>
  </si>
  <si>
    <t>0/4</t>
  </si>
  <si>
    <t>0/3</t>
  </si>
  <si>
    <t>1/3</t>
  </si>
  <si>
    <t>3/3</t>
  </si>
  <si>
    <t xml:space="preserve">Количество разработанных отраслевых и территориальных планов </t>
  </si>
  <si>
    <t>161,3</t>
  </si>
  <si>
    <t>99878</t>
  </si>
  <si>
    <t>Количество проведенных учений</t>
  </si>
  <si>
    <t>1157</t>
  </si>
  <si>
    <t xml:space="preserve">Развитие автоматизированной системы управления и оповещения единой информационно-управляющей системы в чрезвычайных и кризисных ситуациях </t>
  </si>
  <si>
    <t xml:space="preserve">Количество установленных электросирен/ терминалов видеоинформирования </t>
  </si>
  <si>
    <t>60</t>
  </si>
  <si>
    <t xml:space="preserve">Провести обучение населения способам защиты в ЧС на местах </t>
  </si>
  <si>
    <t xml:space="preserve">Количество обученного населения способам защиты в ЧС </t>
  </si>
  <si>
    <t>25000</t>
  </si>
  <si>
    <t>Количество  разрешенных   трудовых спорах</t>
  </si>
  <si>
    <t xml:space="preserve">Капитальный ремонт лабораторного корпуса </t>
  </si>
  <si>
    <r>
      <t>Индикатор результативности (</t>
    </r>
    <r>
      <rPr>
        <i/>
        <sz val="10"/>
        <color indexed="8"/>
        <rFont val="Times New Roman"/>
        <family val="1"/>
        <charset val="204"/>
      </rPr>
      <t>целевой индикатор по Программе</t>
    </r>
    <r>
      <rPr>
        <sz val="10"/>
        <color indexed="8"/>
        <rFont val="Times New Roman"/>
        <family val="1"/>
        <charset val="204"/>
      </rPr>
      <t>)</t>
    </r>
  </si>
  <si>
    <t>Исследование геодинамических процессов и георисков в Кыргызстане и трансграничных регионах со странами Центрально-Азиатскими странами</t>
  </si>
  <si>
    <t>1  Данные публикации</t>
  </si>
  <si>
    <t>Публ.</t>
  </si>
  <si>
    <t>2  Данные мониторинга</t>
  </si>
  <si>
    <t>Реком.</t>
  </si>
  <si>
    <t>Изучение опорных ледников Кыргызстана  и бассейна озера Иссык-Куль</t>
  </si>
  <si>
    <t xml:space="preserve">3 Тренинги и семинары </t>
  </si>
  <si>
    <t>Конф.</t>
  </si>
  <si>
    <t>4  Расширение и модернизация  сети мониторинга(станции)</t>
  </si>
  <si>
    <t xml:space="preserve">Станция </t>
  </si>
  <si>
    <t>Разработка системы мониторинга и базы геоданных опасных природных процессов</t>
  </si>
  <si>
    <t>5-Пополнение базы данных в реальном времени</t>
  </si>
  <si>
    <t>БД</t>
  </si>
  <si>
    <t>Изучение рисков  стихийных бедствий :  методология социально -экономической оценки уязвимости и адаптации сельских обществ.</t>
  </si>
  <si>
    <t>47. Государственная налоговая служба</t>
  </si>
  <si>
    <t xml:space="preserve">Обеспечение общего руководства </t>
  </si>
  <si>
    <t>ед./ед.</t>
  </si>
  <si>
    <t>81/83</t>
  </si>
  <si>
    <t>Организация детятельности и службы обеспечения</t>
  </si>
  <si>
    <t>не более 20</t>
  </si>
  <si>
    <t>Обеспечение полноты и своевременности поступлений налогов, страховых взносов и других платежей</t>
  </si>
  <si>
    <t>Темп роста налоговых сборов</t>
  </si>
  <si>
    <t>не установлено</t>
  </si>
  <si>
    <t>% выполнения плановых показателей сбора налогов,страховых взносов и других платежей</t>
  </si>
  <si>
    <t xml:space="preserve">Мероприятия, направленные на упрощение налогообложения  . </t>
  </si>
  <si>
    <t>Увеличение количества  налогоплательщиков сдающих отчетность в электронном виде на :</t>
  </si>
  <si>
    <t>Проведение комплекса мероприятий по сокращению недоимки</t>
  </si>
  <si>
    <t>Доля взысканной суммы налоговой задолженности в общем объеме налоговых поступлений</t>
  </si>
  <si>
    <t>Внедрение электронной системы  фискализации налоговых процедур</t>
  </si>
  <si>
    <t>Обеспечение устойчивости доли налоговых сборов и других платежей,мобилизуемых ГНС    к ВВП</t>
  </si>
  <si>
    <t>Расширение спектра услуг ГНС и повышение качества обслуживания налогоплательщиков</t>
  </si>
  <si>
    <t>Количество  услуг/сервисов ГНС, предоставляемых налогоплательщику в электронной форме /дистанционной основе.</t>
  </si>
  <si>
    <t>48. Государственная таможенная служба</t>
  </si>
  <si>
    <t xml:space="preserve">Обеспечение финансового менеджмента и учета </t>
  </si>
  <si>
    <t>Процент исполнения  расходной части бюджета без нарушений</t>
  </si>
  <si>
    <t xml:space="preserve">Управление человеческими ресурсами </t>
  </si>
  <si>
    <t>31//12</t>
  </si>
  <si>
    <t xml:space="preserve">Правовая поддержка </t>
  </si>
  <si>
    <t>190/86</t>
  </si>
  <si>
    <t xml:space="preserve">Поддержание внешних связей и связей с общественностью </t>
  </si>
  <si>
    <t xml:space="preserve">Организация деятельности и службы обеспечения </t>
  </si>
  <si>
    <t xml:space="preserve">Доля сотрудников служб обеспечения от общей численности сотрудников центрального аппарата и подведомственных органов </t>
  </si>
  <si>
    <t xml:space="preserve">Обеспечение мониторинга, анализа и стратегического планирования </t>
  </si>
  <si>
    <t xml:space="preserve">Мониторинг, анализ и стратегическое планирование деятельности развития таможенной службы </t>
  </si>
  <si>
    <r>
      <t>Индикатор результативности (</t>
    </r>
    <r>
      <rPr>
        <sz val="10"/>
        <color indexed="8"/>
        <rFont val="Times New Roman"/>
        <family val="1"/>
        <charset val="204"/>
      </rPr>
      <t>целевой индикатор по Программе)</t>
    </r>
  </si>
  <si>
    <t xml:space="preserve">Сбор таможенных платежей и осуществление таможенных процедур  </t>
  </si>
  <si>
    <t>Процент пополнения доходной чапсти республиканского бюджета %</t>
  </si>
  <si>
    <t xml:space="preserve">Обустройство, оснащение пунктов пропуска </t>
  </si>
  <si>
    <t>Количество построенных/ реконструированных пунктов пропуска таможенных органов</t>
  </si>
  <si>
    <t>количество пунктов пропусков 18 из них:</t>
  </si>
  <si>
    <t xml:space="preserve">Выявление правонарушений </t>
  </si>
  <si>
    <t xml:space="preserve">Предупреждение и пересечение таможенных правонарушений </t>
  </si>
  <si>
    <t xml:space="preserve">Количество переданных материалов  в компетентные органы </t>
  </si>
  <si>
    <t xml:space="preserve">Количество дел об административных правонарушений </t>
  </si>
  <si>
    <t>49. Центральное правление "Кыргызское общество слепых и глухих"</t>
  </si>
  <si>
    <t>Обеспечение книжного фонда для инвалидов по зрению и слуху спецбиблиотеки КОС и КОГ, что позволяет их обучению и трудоустройству.</t>
  </si>
  <si>
    <t>Общий книжный фонд, в т.ч. обеспеченность спецбиблиотеки необходимой литературой по системе Брайля рельефно-точечным шрифтом.</t>
  </si>
  <si>
    <t>шт.         шт.</t>
  </si>
  <si>
    <t>23950    10409</t>
  </si>
  <si>
    <t>26400          10500</t>
  </si>
  <si>
    <t>26500           10500</t>
  </si>
  <si>
    <t>27000    10500</t>
  </si>
  <si>
    <t>27500         10500</t>
  </si>
  <si>
    <t>Содержание библиотеки</t>
  </si>
  <si>
    <t>Создание передвижных спецбиблиотек по Кыргызскому обществу слепых и глухих</t>
  </si>
  <si>
    <t xml:space="preserve">шт.        </t>
  </si>
  <si>
    <t>Посещение цифрового зала</t>
  </si>
  <si>
    <t>Оцифровано и озвучено кыргизским синтезатором речи</t>
  </si>
  <si>
    <t xml:space="preserve">т.шт.        </t>
  </si>
  <si>
    <t>Обеспеченность тифлосурдосредствами -тифлоплеерами инвалидов по зрению и слуху</t>
  </si>
  <si>
    <t xml:space="preserve"> Занятость инвалидов работой на учебно-производственных предприятиях Кыргызского общества слепых и глухих</t>
  </si>
  <si>
    <t>Рост объемов  производства на учебно-производственных предприятиях Кыргызского общества слепых и глухих к фактически выпущенному объему производства  в 2019 году</t>
  </si>
  <si>
    <t>Возмещение налогов и сборов, НДС по Кыргызскому обществу слепых и глухих</t>
  </si>
  <si>
    <t>Получение прибыли от производства в учебно-производственных предприятиях Кыргызского общества слепых и глухих</t>
  </si>
  <si>
    <t>Возмещение отчислений в Социальный фонд от работодателя (17,25%) по Кыргызскому обществу слепых и глухих</t>
  </si>
  <si>
    <t>Процент трудоустройства выпусников по специальности и повышения количества слушателей курсов повышений квалификаций и переподготовки авиаспециалистов</t>
  </si>
  <si>
    <t>Выпуск восстребованных  специалистов со средним профессиональным, высшим авиационными образованием и слушателей повышений квалификаций и переподготовки авиаспециалистов</t>
  </si>
  <si>
    <t>Процент трудоустройства выпускников по специальности</t>
  </si>
  <si>
    <t>Цель: Удовлетворение потребностей предприятий гражданской авиации и водного транспорта КР квалифицированными специалистами в соответствии с потребностями рынка труда</t>
  </si>
  <si>
    <t>60/124/400</t>
  </si>
  <si>
    <t>60/169/400</t>
  </si>
  <si>
    <t>43/154/0</t>
  </si>
  <si>
    <t>Выпуск востребованных специалистов с высшим авиационным и средним профессиональным образованием</t>
  </si>
  <si>
    <t>Рост выполненных  авиаперевозок по внутренним и международным направлениям</t>
  </si>
  <si>
    <t>Совершенствование и внедрение авиационных правил КР в соответствии с  международными требованиями</t>
  </si>
  <si>
    <t xml:space="preserve">Цель программы: Развитие рынка авиаперевозок </t>
  </si>
  <si>
    <t>1 АП на 50000 ч. полетного времени</t>
  </si>
  <si>
    <t xml:space="preserve">количество авиационных проишествий и инцидентов </t>
  </si>
  <si>
    <t>Достижение приемлемого уровня безопасности полетов</t>
  </si>
  <si>
    <t>рейс</t>
  </si>
  <si>
    <t>Увеличение международных грузовых перевозок отечественными автоперевозчиками</t>
  </si>
  <si>
    <t>Обеспечение регулярным пассажирским сообщением населенных пунктов Кыргызской Республики</t>
  </si>
  <si>
    <t>Цель программы: Обеспечение качества и безопасности предоставляемых транспортных услуг и сохранность автомобильных дорог</t>
  </si>
  <si>
    <t>количество жалоб</t>
  </si>
  <si>
    <t xml:space="preserve">Повышение качества предоставляемых транспортных услуг и пресечение фактов нарушения весогабаритных параметров </t>
  </si>
  <si>
    <t>авт./сут.</t>
  </si>
  <si>
    <t>Интенсивность  движения транспортных средств</t>
  </si>
  <si>
    <t>Сокращение времени проезда</t>
  </si>
  <si>
    <t>Протяженность завершенных  дорог</t>
  </si>
  <si>
    <t>Интенсивность движения транспортных средств</t>
  </si>
  <si>
    <t>Протяженность завершенных дорог</t>
  </si>
  <si>
    <t>Исключение ДТП связанных со сходом лавин</t>
  </si>
  <si>
    <t>Строительство галереи</t>
  </si>
  <si>
    <t>01/1</t>
  </si>
  <si>
    <t xml:space="preserve">Цель программы: Повышение интегрированности в мировую экономическую систему, обеспечение доступа населения и экономических субъектов республики к региональным рынкам товаров и услуг, развитие транзитного потенциала.                                                                              </t>
  </si>
  <si>
    <t>Протяженность (км) дорог</t>
  </si>
  <si>
    <t>Обеспеченность техникой</t>
  </si>
  <si>
    <t>Протяженность дорог, требующих повторный ремонт после последнего ремонта</t>
  </si>
  <si>
    <t>Доля установленных светофоров от общего количества необходимых по стандартам</t>
  </si>
  <si>
    <t>Количество установленных дорожных знаков</t>
  </si>
  <si>
    <t>Доля обслуженных и плановых участков дорог</t>
  </si>
  <si>
    <t>150/100</t>
  </si>
  <si>
    <t>257,3/100</t>
  </si>
  <si>
    <t>тыс м2,%</t>
  </si>
  <si>
    <t>км,%</t>
  </si>
  <si>
    <t>шт/м/%</t>
  </si>
  <si>
    <t>шт/%</t>
  </si>
  <si>
    <t>Отремонтированные дороги к плану</t>
  </si>
  <si>
    <t xml:space="preserve">протяженность дорог, соответствующих нормативным требованияям </t>
  </si>
  <si>
    <t xml:space="preserve">Цель программы: Содержание инфраструктуры внутренней сети дорог в должном состоянии в соответствии со стандартами </t>
  </si>
  <si>
    <t>доля дорог, соответствующих нормативным требованиям</t>
  </si>
  <si>
    <t>Степень выполнения отраслевых программ</t>
  </si>
  <si>
    <t>Принятые нормативы НПА и стандарты по регулированию транспорта и дорог</t>
  </si>
  <si>
    <t>Разработка и вступление в силу стратегии развития отрасли</t>
  </si>
  <si>
    <t>коэфф</t>
  </si>
  <si>
    <t>Цели программы: Координирующее и организационное воздействие на реализацию других программ и обеспечение,достижение поставленных задач</t>
  </si>
  <si>
    <t>сумма          балла</t>
  </si>
  <si>
    <t>Оценка деятельности министерства</t>
  </si>
  <si>
    <t>Квалификационные требования</t>
  </si>
  <si>
    <t>Учетно – правовые формы</t>
  </si>
  <si>
    <t>Разработаны и внедрены учетно-отчетных форм, новых алгоритмов и стандартов для всех специалистов семейной медицины и подразделений организаций ПМСП, с учетом расширения функций медицинских сестер (карта пациента, журналы)</t>
  </si>
  <si>
    <t>Улучшение механизмов регулирования профессиональной деятельности медицинских работников через вовлечение профессиональных медицинских ассоциаций и непрерывного профессионального развития.</t>
  </si>
  <si>
    <t>Грантовые места</t>
  </si>
  <si>
    <t>Количество выделенных грантовых мест на обучение по специальности сестринское дело</t>
  </si>
  <si>
    <t>?</t>
  </si>
  <si>
    <t>Человек</t>
  </si>
  <si>
    <t>Количество выпускников медколледжей трудоустроенных в медицинских учреждениях КР (кроме г. Бишкек и г. Ош)</t>
  </si>
  <si>
    <t>Количество выпускников медколледжей трудоустроенных в медицинских учреждениях КР</t>
  </si>
  <si>
    <t>Количество выпускников медколледжей подготовленных за счет республиканского бюджета</t>
  </si>
  <si>
    <t>Реформирование сестринского образования в соответствии с новыми требованиями и потребностями здравоохранения</t>
  </si>
  <si>
    <t>Каталог</t>
  </si>
  <si>
    <t>Разработан каталог компетенций и требований к до- дипломной, после-дипломной подготовке медицинских, фармацевтических кадров и кадров общественного здравоохранения.</t>
  </si>
  <si>
    <t>Количество выпускников, работающих по окончании ВУЗа в отдаленных регионах и сельской местности</t>
  </si>
  <si>
    <t>Количество студентов, переведенных с контрактной на бюджетную основу по стимуляционной программе</t>
  </si>
  <si>
    <t>Количество центров</t>
  </si>
  <si>
    <t>Количество созданных симуляционных центров</t>
  </si>
  <si>
    <t>Количество выпускников КГМА  и КГМИПиПК подготовленных за счет республиканского бюджета на последипломном уровне</t>
  </si>
  <si>
    <t>Количество выпускников КГМА подготовленных за счет республиканского бюджета на додипломном уровне</t>
  </si>
  <si>
    <t>Процент</t>
  </si>
  <si>
    <t>Доля трудоустроенных выпускников в медицинских учреждениях КР (кроме г. Бишкек и г. Ош) от общего количества выпускников, подготовленных за счет республиканского бюджета</t>
  </si>
  <si>
    <t>Подготовка специалистов с высшим медицинским образованием</t>
  </si>
  <si>
    <t>Доля врачей, ежегодно набирающих 50 кредитов, от общего числа врачей</t>
  </si>
  <si>
    <t>Количество специалистов,прошедших курсы повышения квалификации за счет республиканского бюджета</t>
  </si>
  <si>
    <t>Количество специалистов,  прошедших переподготовку за счет республиканского бюджета</t>
  </si>
  <si>
    <t>Повышение обеспеченности медицинскими кадрами отдаленных регионов с акцентом на обеспечение семейными врачами, работниками служб общественного здравоохранения и скорой медицинской помощи.</t>
  </si>
  <si>
    <t>Количество  специалистов службы скорой медицинской помощи улучшивших практические навыки через обучение и практику в симуляционных центрах</t>
  </si>
  <si>
    <t>Количество переобученного среднего медицинского персонала на краткосрочной основе.</t>
  </si>
  <si>
    <t>Количество руководителей прошедших повышение квалификации</t>
  </si>
  <si>
    <t>Система подготовки и повышения квалификации руководителей организаций здравоохранения</t>
  </si>
  <si>
    <t>Утвержденное положение об оценке</t>
  </si>
  <si>
    <t>Система оценки персонала системы здравоохранения</t>
  </si>
  <si>
    <t>Автоматизированная информационная система</t>
  </si>
  <si>
    <t>Информационная система кадровых ресурсов здравоохранения</t>
  </si>
  <si>
    <t>Доля молодых специалистов, продолживших работать в сельской местности после завершения ординатуры</t>
  </si>
  <si>
    <t>увеличение на 2%</t>
  </si>
  <si>
    <t>на 10 тыс.населения</t>
  </si>
  <si>
    <t xml:space="preserve">Количество сертифицированных семейных врачей </t>
  </si>
  <si>
    <t>Количество врачебных кадров в регионах</t>
  </si>
  <si>
    <t>Улучшение системы управления кадровыми ресурсами в здравоохранении на основе межведомственного и межсекторального взаимодействия.</t>
  </si>
  <si>
    <t>Количество пациентов,  получающих дорогостоящую и высокотехнологичной помощи в рамках программы ФВТ (медикаменты для больных с пересаженной почкой, эндопротезы, клапаны сердца, стенды, оклюдеры,оксигинираторы, сосудистые протезы)</t>
  </si>
  <si>
    <t>Предоставление дорогостоящей и высокотехнологичной помощи, а также сопроводительных и консультативных мероприятий</t>
  </si>
  <si>
    <t>количество НПА</t>
  </si>
  <si>
    <t>На 100 тыс.человек</t>
  </si>
  <si>
    <t>Рспространенность энедемического зоба</t>
  </si>
  <si>
    <t>Распространенность анемии</t>
  </si>
  <si>
    <t>Доля беременных, вставших на учет в первые 12 недель беременности</t>
  </si>
  <si>
    <t>Охват женщин репродуктивного возраста услугами безопасного аборта по методам.</t>
  </si>
  <si>
    <t>процент</t>
  </si>
  <si>
    <t>Процент беременных, не состоящих на учете</t>
  </si>
  <si>
    <t>годовых курсов</t>
  </si>
  <si>
    <t>Охват женщин из медико-социальных уязвимых слоев населения КОК</t>
  </si>
  <si>
    <t>Охват женщин из медико-социальных уязвимых слоев населения ВМС</t>
  </si>
  <si>
    <t>Доля родов, принятых квалифицированными медицинскими работниками</t>
  </si>
  <si>
    <t>20 
(2023 год)</t>
  </si>
  <si>
    <t>На 1 000 родившихся живыми</t>
  </si>
  <si>
    <t>Смертность детей в возрасте до пяти лет (ЦУР 3.2.1)</t>
  </si>
  <si>
    <t>13 
(2023 год)</t>
  </si>
  <si>
    <t>Показатель неонатальной смертности (ЦУР 3.2.2)</t>
  </si>
  <si>
    <t>30 
(2023 год)</t>
  </si>
  <si>
    <t>На 100 000 живорожденных</t>
  </si>
  <si>
    <t>Коэффициент материнской смертности (ЦУР 3.1.1)</t>
  </si>
  <si>
    <t>Охрана здоровья матери и ребенка</t>
  </si>
  <si>
    <t>Доля детей с онкологическими заболеваниями охваченные химиопрепаратами</t>
  </si>
  <si>
    <t>Доля  больных с онкологическими заболеваниями, которым предоставляются химиопрепараты</t>
  </si>
  <si>
    <t>10 млн./200</t>
  </si>
  <si>
    <t>млн. сом/флаконы</t>
  </si>
  <si>
    <t>Увеличение финансирования для приобретения антигемофильных препаратов, охват, количество нуждающихся</t>
  </si>
  <si>
    <t>Профилактика, диагностика, лечение и уход при неинфекционных заболеваниях</t>
  </si>
  <si>
    <t>Литр</t>
  </si>
  <si>
    <t>Объем заготовленных компонентов и препаратов крови</t>
  </si>
  <si>
    <t>Заготовка компонентов и препаратов крови</t>
  </si>
  <si>
    <t>Индикатор по признанию в КР перечня лекарственных средств переквалифицированных ВОЗ</t>
  </si>
  <si>
    <t>Лекарственная политика</t>
  </si>
  <si>
    <t>Доля населения, использующие онлайн-сервисы при обращении за услугами здравоохранения</t>
  </si>
  <si>
    <t>Доля организаций здравоохранения, внедривших электронные медицинские карты пациента на всех уровнях здравоохранения</t>
  </si>
  <si>
    <t>Доля организаций здравоохранения, обеспеченных компьютерами и широкополосным доступом к Интернету</t>
  </si>
  <si>
    <t>Уровень удовлетворенности населения оказанными услугами ПМСП (доступность услуг, качество услуг)</t>
  </si>
  <si>
    <t>Улучшение качества медицинских услуг, а также неотложной и экстренной медицинской помощи, оказываемых государственными организациями здравоохранения с упором на развитие ПМСП</t>
  </si>
  <si>
    <t>Ед.</t>
  </si>
  <si>
    <t xml:space="preserve">Количество аккредитованных лабораторий </t>
  </si>
  <si>
    <t>Лабораторные услуги</t>
  </si>
  <si>
    <t>Количество получателей услуг, связанных с психическими расстройствами</t>
  </si>
  <si>
    <t>Количество получателей услуг, связанных с паллиативной помощью</t>
  </si>
  <si>
    <t>Количество получателей услуг амбулаторного ухода, связанного с туберкулезом</t>
  </si>
  <si>
    <t>ЛЖВ-4000 ЛУИН-4000, МСМ-4000, СР-3000.</t>
  </si>
  <si>
    <t>ЛЖВ-3000 ЛУИН-3000, МСМ-3000, СР-2000.</t>
  </si>
  <si>
    <t>ЛЖВ-2000 ЛУИН-2000, МСМ-2000, СР-1000.</t>
  </si>
  <si>
    <t>количество</t>
  </si>
  <si>
    <t>Предоставление комплексного пакета  услуг для ЛЖВ, ЛУИН, МСМ, СР, ТГ в г.Бишкек, Ош, Чуйской области (восток и запад), Джалалабадской области</t>
  </si>
  <si>
    <t>Предоставление комплексного пакета услуг в рамках осуществления Государственного социального заказа</t>
  </si>
  <si>
    <t>т/га</t>
  </si>
  <si>
    <t xml:space="preserve">Площадь обработанных территорий  в природно-очаговых зонах от чумы </t>
  </si>
  <si>
    <t>Профилактические меры по санитарной охране и обеспечение эпидемиологического и зоо-энтомологического надзора в природно-очаговых территориях страны</t>
  </si>
  <si>
    <t>Процент продиагностированных/пролечанных инфекционных заболеваний по возрастным группам (ВГВ, ВГС)  бруцеллез, ИППП (хламидиоз, микоплазмоз, уреаплазмоз, сифилис)</t>
  </si>
  <si>
    <t>Обеспеченность ЛС</t>
  </si>
  <si>
    <t>Обеспеченность СИЗ</t>
  </si>
  <si>
    <t>Доля беременных женщин, прошедших полное консультирование и тестирование на ВИЧ-инфекцию и знающих свои результаты</t>
  </si>
  <si>
    <t>тыс. доз</t>
  </si>
  <si>
    <t>Случаев на 1000 человек</t>
  </si>
  <si>
    <t>Заболеваемость туберкулезом в год</t>
  </si>
  <si>
    <t>&gt;90%</t>
  </si>
  <si>
    <t>Процент от подлежащего контингента</t>
  </si>
  <si>
    <t>Доля вакцинированных лиц по эпидемиологическим  показаниям для предотвращения особо опасных и карантинных инфекций (от бешенства, чумы, клещевого вирусного энцефалита)</t>
  </si>
  <si>
    <t>Индикаторы по след. болезням: грипп, БЦЖ -(туберкулез,гепатит В, ) (АКДС - дифтерия, коклюш, столбняк),  эпидемический паротит, пневмококковая инфекция, корь и краснуха</t>
  </si>
  <si>
    <t>&gt;95</t>
  </si>
  <si>
    <t>Политика иммунизации населения</t>
  </si>
  <si>
    <t>Процент от опрошенных</t>
  </si>
  <si>
    <t>Доля населения, осведомленного о вопросах охраны и укрепления здоровья</t>
  </si>
  <si>
    <t>Населенный пункт</t>
  </si>
  <si>
    <t>Количество городов, включенных в проект ВОЗ "Здоровые города"</t>
  </si>
  <si>
    <t>Количество приоритетных заболеваний, охваченных информационными кампаниями.</t>
  </si>
  <si>
    <t>Cтандартизированный по возрасту коэффициент излишнего веса/ожирение/ недостатка веса</t>
  </si>
  <si>
    <t>Информационная работа с населением по вопросам укрепления здоровья</t>
  </si>
  <si>
    <t>Организация деятельности и службы обеспечения.</t>
  </si>
  <si>
    <t>Обеспечение внутреннего мониторинга и контроля (службa внутреннего аудита)</t>
  </si>
  <si>
    <t>Индекс</t>
  </si>
  <si>
    <t xml:space="preserve">Индекс доверия населения </t>
  </si>
  <si>
    <t>Обеспеченность врачами по стране на 10 тыс. населения</t>
  </si>
  <si>
    <t xml:space="preserve">37  Министерство Здравоохранения Кыргызской Республики </t>
  </si>
  <si>
    <t>2023 год</t>
  </si>
  <si>
    <t>2022 год</t>
  </si>
  <si>
    <t>2021 год</t>
  </si>
  <si>
    <t>2020 год</t>
  </si>
  <si>
    <t>2019 год</t>
  </si>
  <si>
    <t>Базовый год</t>
  </si>
  <si>
    <t>Финансирование (по программам/мерам) (тыс.сом)</t>
  </si>
  <si>
    <t>Приложение 11-2</t>
  </si>
  <si>
    <t>кг</t>
  </si>
  <si>
    <t>50. Национальная комиссия по государственному языку при Президенте КР</t>
  </si>
  <si>
    <t>500 экз</t>
  </si>
  <si>
    <t>Издание печатной продукции художественные каталоги</t>
  </si>
  <si>
    <t>Создание специальных программ, социальных рекламных роликов, направленных на повышение престижа языка</t>
  </si>
  <si>
    <t>Перевод на государственный язык новых образцов мировой литературы и их издание: произведения лауреатов Нобелевской премии, классическая литература Востока и Запада, лингвистический справочник кыргызского языка</t>
  </si>
  <si>
    <t>Издание словарей кыргызского языка</t>
  </si>
  <si>
    <t>Издание переводных словарей</t>
  </si>
  <si>
    <t>Выпуск методических изданий по стилистическим нормам и реквизитам деловых бумаг на госязыке</t>
  </si>
  <si>
    <t>Перевод Интернет порталов и сайтов на госязык, применение Интернет-ресурсов для обучения</t>
  </si>
  <si>
    <t xml:space="preserve">51. Государственное агентство по делам местного самоуправления и межэтнических отношений </t>
  </si>
  <si>
    <t>Организационная работа (управление человеческими ресурсами)</t>
  </si>
  <si>
    <t xml:space="preserve">Поддержка внешних связей и связей с общественностью.           </t>
  </si>
  <si>
    <t xml:space="preserve">Правовое обеспечение </t>
  </si>
  <si>
    <t xml:space="preserve">Развитие местного самоуправления в Кыргызской Республике </t>
  </si>
  <si>
    <t>Полнота реализации государственных программ в сфере местного самоуправления</t>
  </si>
  <si>
    <t xml:space="preserve">Межэтнические отношения </t>
  </si>
  <si>
    <t xml:space="preserve">Сокращение конфликтов в сфере межэтнических отношений </t>
  </si>
  <si>
    <t>52. Государственное агентство охраны окружающей среды и лесного хозяйства при Правительстве Кыргызской Республики</t>
  </si>
  <si>
    <t>Отношение расходов на заработную плату по  Программе 001 к сумме расходов на заработную плату по Центральному аппарату ГАООСЛХ</t>
  </si>
  <si>
    <t xml:space="preserve">Пропаганда бережного отношения к окружающей среде и рационального природопользования </t>
  </si>
  <si>
    <t xml:space="preserve">Количество мероприятий, акций, публикаций в СМИ по пропаганде бережного отношения к окружающей среде и рационального природопользования </t>
  </si>
  <si>
    <t xml:space="preserve">Проведение мероприятий за счет средств РФОП </t>
  </si>
  <si>
    <t xml:space="preserve">по факту </t>
  </si>
  <si>
    <t xml:space="preserve">Позиция Кыргызской Республики в рейтинге «Индекс экологической эффективности» </t>
  </si>
  <si>
    <t>Координация деятельности по экологической политике</t>
  </si>
  <si>
    <t xml:space="preserve">Количество заседаний межведомственных координационных механизмов в области охраны окружающей среды и изменения климата  </t>
  </si>
  <si>
    <t xml:space="preserve">Количество специализированных разделов по охране окружающей среды и/или снижению негативного воздействия на нее в принятых национальных и секторальных стратегических документах </t>
  </si>
  <si>
    <t>Проведение государственной экологической экспертизы и регулирование природопользования</t>
  </si>
  <si>
    <t>Количество выданных заключений к объектам, поступивших на  государственную экологическую экспертизу</t>
  </si>
  <si>
    <t>по мере поступления</t>
  </si>
  <si>
    <t>Количество положительных заключений, выданных по итогам проведения государственной экологической экспертизы</t>
  </si>
  <si>
    <t>по итогам экспертизы</t>
  </si>
  <si>
    <t xml:space="preserve">Количество отрицательных заключений, выданных по итогам проведения государственной экологической экспертизы </t>
  </si>
  <si>
    <t>Количество рассмотренных заявлений на выбросы загрязняющих атмосферу веществ от стационарных источников</t>
  </si>
  <si>
    <t>Количество рассмотренных заявлений на разрешение на сброс загрязненных сточных вод</t>
  </si>
  <si>
    <t xml:space="preserve">Количество  рассмотренных заявлений на разрешение на озоноразрушающие вещества </t>
  </si>
  <si>
    <t>Количество рассмотренных заявлений на утилизацию, хранение, захоронение, уничтожение отходов токсич.матер.и веществ, в том числе радиоактивных</t>
  </si>
  <si>
    <t>Развитие системы мониторинга за состоянием окружающей среды</t>
  </si>
  <si>
    <t xml:space="preserve">Количество  отобранных проб на качество компонентов окружающей среды  </t>
  </si>
  <si>
    <t xml:space="preserve">Количество  проведенных лабораторных  исследований  </t>
  </si>
  <si>
    <t xml:space="preserve">Количество проведенных комиссионных обследований участков </t>
  </si>
  <si>
    <t>Количество точек наблюдения за загрязнением прибрежных вод на оз. Иссык-Куль</t>
  </si>
  <si>
    <t>Количество индикаторов, отслеживаемых в информационной системе "Кереге"</t>
  </si>
  <si>
    <t xml:space="preserve">Координация деятельности по радиационной, биологической и химической безопасности. </t>
  </si>
  <si>
    <t>Количество сниженных рисков для окружающей среды и здоровья населения от стойких органических загрязнителей  - могильников устаревших пестицидов</t>
  </si>
  <si>
    <t>Количество сниженных рисков для окружающей среды и здоровья населения от стойких органических загрязнителей - складов устаревших пестицидов</t>
  </si>
  <si>
    <t xml:space="preserve">Количество сниженных рисков для окружающей среды и здоровья населения от радиоактивных хвостохранилищ и источников ионизирующего излучения </t>
  </si>
  <si>
    <t xml:space="preserve">Управление отходами производства и потребления. </t>
  </si>
  <si>
    <t>Обеспеченность контейнерами для твердых бытовых отходов, % от потребности</t>
  </si>
  <si>
    <t>Обеспеченность спецтехникой для вывоза твердых бытовых отходов, % от потребности</t>
  </si>
  <si>
    <t>Количество очищенного мусора</t>
  </si>
  <si>
    <t xml:space="preserve">куб.м </t>
  </si>
  <si>
    <t>Обеспеченность пылеулавливателями , % от потребности</t>
  </si>
  <si>
    <t xml:space="preserve">шт. </t>
  </si>
  <si>
    <t xml:space="preserve">Количество одобренных проектов (с описанием при отчетности) </t>
  </si>
  <si>
    <t xml:space="preserve">Покрытая лесом площадь государственного лесного фонда </t>
  </si>
  <si>
    <t>Охрана лесов от лесонарушений и пожара</t>
  </si>
  <si>
    <t>Площадь государственного лесного фонда, подлежащий к охране от лесонарушений и пожаров</t>
  </si>
  <si>
    <t>Отношение количества вовремя потушенных лесных пожаров к общему количеству пожаров</t>
  </si>
  <si>
    <t>Защита лесов от вредителей и болезней</t>
  </si>
  <si>
    <t xml:space="preserve">Отношение площади обработанных против вредителей лесов к общей площади зараженных вредителями лесов </t>
  </si>
  <si>
    <t>Воспроизводство лесных ресурсов</t>
  </si>
  <si>
    <t>Приживаемость лесных культур, %</t>
  </si>
  <si>
    <t>Площадь ежегодной посадки лесных культур на землях государственного лесного фонда</t>
  </si>
  <si>
    <t>Количество выращенных посадочных материалов</t>
  </si>
  <si>
    <t>Сохранение и повышение продуктивности лесов</t>
  </si>
  <si>
    <t>Площадь, пройденная рубками ухода</t>
  </si>
  <si>
    <t>Организация лесопользования</t>
  </si>
  <si>
    <t>Количество лесопользователей, сдающих государственную статистическую отчетность в НСК</t>
  </si>
  <si>
    <t>тыс. человек</t>
  </si>
  <si>
    <t xml:space="preserve">Численность населения, получающая доход от леса  </t>
  </si>
  <si>
    <t>Координация и организация ведения лесного хозяйства</t>
  </si>
  <si>
    <t xml:space="preserve">Доля сотрудников руководства, бухгалтерии, кадров, ТОП и МОП от общей численности сотрудников Департамента лесных хозяйств </t>
  </si>
  <si>
    <t>Организация ведения лесного хозяйства на региональном уровне</t>
  </si>
  <si>
    <t xml:space="preserve">Доля сотрудников руководства, бухгалтерии,ТОП и МОП лесных хозяйств от общей численности сотрудников лесных хозяйств </t>
  </si>
  <si>
    <t>Охват базами данных по инвентаризации леса, по планированию лесохозяйственных мероприятий, по учету диких животных, по типологии и бонитировке, цифровые модели картографических материалов, лесоустроительные проекты, стратегический план охотхозяйственной деятельности, проекты межхозяйственного охотустройства, %</t>
  </si>
  <si>
    <t>Управление и организация лесоохотустроительных работ</t>
  </si>
  <si>
    <t>Доля сотрудников руководства, бухгалтерии, кадров, ТОП и МОП от общей численности сотрудников ГУ "Лесохотустройство"</t>
  </si>
  <si>
    <t>Проведение инвентаризации лесов</t>
  </si>
  <si>
    <t>Площадь, пройденная Национальной инвентаризацией лесов</t>
  </si>
  <si>
    <t>Проведение лесоустройства</t>
  </si>
  <si>
    <t>Площадь, пройденная лесоустройством</t>
  </si>
  <si>
    <t>Оценка выделов</t>
  </si>
  <si>
    <t>Количество пробных площадей инвентаризации лесов</t>
  </si>
  <si>
    <t>Лесоустроительные проекты</t>
  </si>
  <si>
    <t>Проведение охотустройства</t>
  </si>
  <si>
    <t>Площадь, пройденная межхозяйственным охотустройством</t>
  </si>
  <si>
    <t>Наблюдательные пункты учета диких животных</t>
  </si>
  <si>
    <t>Длина пройденных маршрутов по учету диких животных</t>
  </si>
  <si>
    <t>км.</t>
  </si>
  <si>
    <t xml:space="preserve">Проекты межхозяйственного охотустройства </t>
  </si>
  <si>
    <t xml:space="preserve"> Проведение камеральных работ</t>
  </si>
  <si>
    <t>Камеральные работы (цифрование)</t>
  </si>
  <si>
    <t xml:space="preserve">Ввод карточки, оценка выделов и инвентаризация лесов </t>
  </si>
  <si>
    <t>Выпуск таксацинные описание</t>
  </si>
  <si>
    <t>Выпуск картографических материалов</t>
  </si>
  <si>
    <t xml:space="preserve">Число охраняемых видов зверей (позвоночных и беспозвоночных), занесенных в Красную книгу </t>
  </si>
  <si>
    <t xml:space="preserve">Число охраняемых видов птиц, занесенных в Красную книгу </t>
  </si>
  <si>
    <t>Число охраняемых видов растений и грибов, занесенных в Красную книгу</t>
  </si>
  <si>
    <t xml:space="preserve">Координация деятельности ООПТ и пропаганда вопросов по сохранению экосистем  </t>
  </si>
  <si>
    <t xml:space="preserve">Количество ООПТ, на которых внедрена международная оценка эффективности управления </t>
  </si>
  <si>
    <t xml:space="preserve">Доля особо охраняемых природных территорий к общей площади страны </t>
  </si>
  <si>
    <t xml:space="preserve">%  </t>
  </si>
  <si>
    <t>Площадь природных национальных парков и заповедников</t>
  </si>
  <si>
    <t>Количество разработанных экологических троп в ООПТ</t>
  </si>
  <si>
    <t>Количество информационных центров в ООПТ</t>
  </si>
  <si>
    <t xml:space="preserve">Количество проведенных мероприятий по пропаганде вопросов сохранения биоразнообразия </t>
  </si>
  <si>
    <t xml:space="preserve">Мероприятия по сохранению биоразнообразия на территории ООПТ  </t>
  </si>
  <si>
    <t>Количество устроенных солонцов для охотничьих животных в ООПТ</t>
  </si>
  <si>
    <t>Количество очищенных родников на территории охотничьих хозяйств в ООПТ</t>
  </si>
  <si>
    <t>Количество пожаров</t>
  </si>
  <si>
    <t xml:space="preserve">Отношение площади деградированных экосистем к общей площади ООПТ (заповедники и нацпарки) </t>
  </si>
  <si>
    <t>Отношение раскрытых нарушений на территории ООПТ (браконьерство, лесонарушения, незаконная пастьба скота, нарушения режима ООПТ и др.) к количеству случаев</t>
  </si>
  <si>
    <t xml:space="preserve"> Проведение научно-исследовательских работ в ООПТ </t>
  </si>
  <si>
    <t xml:space="preserve">Количество проведенных научных работ  </t>
  </si>
  <si>
    <t>Ведение мониторинга, учёта и кадастра объектов животного мира и национальной базы данных диких животных</t>
  </si>
  <si>
    <t xml:space="preserve">Количество  охотничьих видов/подвидов диких животных, охватываемых учетом  </t>
  </si>
  <si>
    <t xml:space="preserve">Количество  видов/подвидов диких животных, занесенных в Красную книгу КР, охватываемых учетом  </t>
  </si>
  <si>
    <t>Количество мониторинговых площадок</t>
  </si>
  <si>
    <t xml:space="preserve">Количество  видов/подвидов диких животных, сведения о которых занесены в базу данных диких животных Кыргызстана  </t>
  </si>
  <si>
    <t>Поддержание, сохранение и воспроизводство объектов животного мира</t>
  </si>
  <si>
    <t xml:space="preserve">Количество добытых "вредных" животных </t>
  </si>
  <si>
    <t xml:space="preserve">Количество устроенных солонцов для охотничьих животных </t>
  </si>
  <si>
    <t xml:space="preserve">Количество очищенных родников на территории охотничьих хозяйств </t>
  </si>
  <si>
    <t xml:space="preserve">Количество мероприятий по выявлению и предотвращению распространения заболеваний диких животных </t>
  </si>
  <si>
    <t>Охрана природных ресурсов животного и растительного мира и среды их обитания/произрастания, координация и контроль использования</t>
  </si>
  <si>
    <t>Количество установленных информационных  аншлагов и панно за год/всего</t>
  </si>
  <si>
    <t>18/70</t>
  </si>
  <si>
    <t>20/90</t>
  </si>
  <si>
    <t>20/91</t>
  </si>
  <si>
    <t>20/92</t>
  </si>
  <si>
    <t>Отношение раскрытых нарушений правил охоты и случаев браконьерства к количеству случаев</t>
  </si>
  <si>
    <t>Отношение  взысканных сумм к предъявленным на возмещение причиненного ущерба</t>
  </si>
  <si>
    <t>Количество рассмотренных заявок на предоставление права ведения охотхозяйственной деятельности</t>
  </si>
  <si>
    <t>Количество местных сообществ, вовлеченных в совместную охрану ресурсов животного мира</t>
  </si>
  <si>
    <t>Координация деятельности охотпользователей</t>
  </si>
  <si>
    <t>кол-во охотпользователей</t>
  </si>
  <si>
    <t>Количество выданных государственных охотничьих удостоверений</t>
  </si>
  <si>
    <t>53. Государственная регистрационная служба при ПКР</t>
  </si>
  <si>
    <t>Планирование, управление и администрирование</t>
  </si>
  <si>
    <t>34,5</t>
  </si>
  <si>
    <t>Процент исполнения бюджета</t>
  </si>
  <si>
    <t>8/33 (из них 3 проигрыша 22 в процессе)</t>
  </si>
  <si>
    <t>Количество информационных сообщений о деятельности Службы</t>
  </si>
  <si>
    <t>Реализация стратегии развития ГРС при ПКР</t>
  </si>
  <si>
    <t>Регистрация населения и актов гражданского состояния</t>
  </si>
  <si>
    <t>Индикатор результативности</t>
  </si>
  <si>
    <t>Регистрация населения</t>
  </si>
  <si>
    <t>Кол-во персонифицированных паспортов</t>
  </si>
  <si>
    <t>тыс. шт.</t>
  </si>
  <si>
    <t>Регистрация актов гражданского состояния</t>
  </si>
  <si>
    <t>Количество зарегистрированных актов гражданского состояния</t>
  </si>
  <si>
    <t>Регистрация транспортных средств и водительского состава</t>
  </si>
  <si>
    <t>Регистрация транспортных средств</t>
  </si>
  <si>
    <t>Зарегистрировано транспортных средств</t>
  </si>
  <si>
    <t>Регистрация водительского состава</t>
  </si>
  <si>
    <t>Выдано водительских удостоверений</t>
  </si>
  <si>
    <t>Обеспечение сохранности документов архивного фонда КР</t>
  </si>
  <si>
    <t>Формирование, комплектование, сохранение и использование Национального архивного фонда КР в интересах государства и общества</t>
  </si>
  <si>
    <t>ед. хранения</t>
  </si>
  <si>
    <t>Повышение качества и безопасности при хранении архивных документов</t>
  </si>
  <si>
    <t>Прием и хранение архивных документов</t>
  </si>
  <si>
    <t xml:space="preserve">Закартонированно документов </t>
  </si>
  <si>
    <t>ед.хранение</t>
  </si>
  <si>
    <t>Оцифровка архивных документов</t>
  </si>
  <si>
    <t xml:space="preserve">Оцифровано документов </t>
  </si>
  <si>
    <t>Программа по выявлению и сбору документов и материалов о кыргызах и Кыргызстане в архивах, музеях и библиотеках зарубежных стран на 2015-2025 годы</t>
  </si>
  <si>
    <t>Пополнение архивного фонда ценными историческими документами</t>
  </si>
  <si>
    <t>листы/ед. хранения</t>
  </si>
  <si>
    <t>1424/585</t>
  </si>
  <si>
    <t>1424/586</t>
  </si>
  <si>
    <t>1424/587</t>
  </si>
  <si>
    <t>1424/588</t>
  </si>
  <si>
    <t>1424/589</t>
  </si>
  <si>
    <t>Исследование документальной истории кыргызов и Кыргызстана в зарубежных архивах</t>
  </si>
  <si>
    <t>Исследовано и выявлено</t>
  </si>
  <si>
    <t>листы</t>
  </si>
  <si>
    <t>Исследовано и  выявлено  фотофонодокументов</t>
  </si>
  <si>
    <t>Копирование и доставка в Кыргызскую Республику документов, имеющих историческое наследие</t>
  </si>
  <si>
    <t>Развитие финансового сектора (ВБ) (грант)</t>
  </si>
  <si>
    <t>Развитие финансового сектора (ВБ) (кредит)</t>
  </si>
  <si>
    <t>54. Государственная инспекция по экологической и технической безопасности при ПКР</t>
  </si>
  <si>
    <t>120/440</t>
  </si>
  <si>
    <t>110/410</t>
  </si>
  <si>
    <t>130/450</t>
  </si>
  <si>
    <t>150/450</t>
  </si>
  <si>
    <t>200/450</t>
  </si>
  <si>
    <t>Внутренний контроль и устранение коррупционных проявлений</t>
  </si>
  <si>
    <t xml:space="preserve">Позиция Кыргызской Республики в рейтинге Индекса экологической эффективности </t>
  </si>
  <si>
    <t>Государственный контроль охраны окружающей среды, рационального использования природных ресурсов, использования и охраны биоресурсов, химической безопасности.</t>
  </si>
  <si>
    <t>Содействие в приведении в нормативное состояние объектов размещения отходов</t>
  </si>
  <si>
    <t xml:space="preserve">Осуществление надзора и контроля за использованием водных ресурсов и объектов </t>
  </si>
  <si>
    <t xml:space="preserve">Осуществление надзора, контроля и охрана земель </t>
  </si>
  <si>
    <t xml:space="preserve">Осуществление надзора и контроля за радиоактивными и ядерными материалами и объектами </t>
  </si>
  <si>
    <t xml:space="preserve">общее количество смертельных случаев, по контролируемым видам рисков </t>
  </si>
  <si>
    <t>снижение на 1%</t>
  </si>
  <si>
    <t>Охрана труда и трудовых отношений</t>
  </si>
  <si>
    <t>снижение на 1 %</t>
  </si>
  <si>
    <t> Обеспечение промышленной безопасности</t>
  </si>
  <si>
    <t xml:space="preserve">Осуществление горного надзора </t>
  </si>
  <si>
    <t>Рациональное использование недр</t>
  </si>
  <si>
    <t>Обеспечение качества и надежности строящихся и реконструируемых зданий и сооружений</t>
  </si>
  <si>
    <t>Расследование технологических нарушений в энергосистеме и несчастных случаев электротравматизма</t>
  </si>
  <si>
    <t>Осуществление надзора и контроля за исполнением требований, норм и правил пожарной безопасности</t>
  </si>
  <si>
    <t>Осуществление контроля и надзора в сфере транспортной безопасности</t>
  </si>
  <si>
    <t>55. Государственный комитет промышленности, энергетики и недропользования Кыргызской Республики</t>
  </si>
  <si>
    <t>Оценка деятельности комитета</t>
  </si>
  <si>
    <t>Индекс доверия</t>
  </si>
  <si>
    <t>коэф</t>
  </si>
  <si>
    <t xml:space="preserve">Разработка и вступление в силу стратегии развития отрасли </t>
  </si>
  <si>
    <t xml:space="preserve">Принятые НПА и стандарты по регулированию промышленности, энергетики и недропользования </t>
  </si>
  <si>
    <t>Исполнение доходной части РБ по поступлению СУЛ</t>
  </si>
  <si>
    <t xml:space="preserve">Доля месторождения,  подготовленные  для геолого-разведочных работ от общего количества </t>
  </si>
  <si>
    <t>Площадь проведения геолого-разведочных работ</t>
  </si>
  <si>
    <t xml:space="preserve">Количество завершенных геологоразведочных работ  </t>
  </si>
  <si>
    <t xml:space="preserve">Количество обследованных объектов      водопользования за состоянием качества подземных вод  </t>
  </si>
  <si>
    <t xml:space="preserve">Количество обследованных участков проявления екзогенных геологических процессов  </t>
  </si>
  <si>
    <t>55</t>
  </si>
  <si>
    <t xml:space="preserve">Перенос геологических материалов на цифровые носители и их обработка </t>
  </si>
  <si>
    <t>Создание базы данных по всем видам геолого-геохимических поисков</t>
  </si>
  <si>
    <t>тыс.проб</t>
  </si>
  <si>
    <t>Реконструкция Атбашинской ГЭС (Швейцария) (грант)</t>
  </si>
  <si>
    <t>185380,00</t>
  </si>
  <si>
    <t>Реконструкция ГЭС</t>
  </si>
  <si>
    <t>Генератор 4 шт</t>
  </si>
  <si>
    <t xml:space="preserve">Проект CASA-1000 </t>
  </si>
  <si>
    <t>2935069,15</t>
  </si>
  <si>
    <t xml:space="preserve">Начало строительства ЛЭП 500 кВ  </t>
  </si>
  <si>
    <t>ПИР-1</t>
  </si>
  <si>
    <t xml:space="preserve">Проект «Повышение подотчетности и надежности электроснабжения» </t>
  </si>
  <si>
    <t>20658,51</t>
  </si>
  <si>
    <t>Строительство подстанций и установка прибора учета</t>
  </si>
  <si>
    <t>Улучшение электроснабжения Аркинского массива Лейлекского района (ИБР) (кредит)</t>
  </si>
  <si>
    <t>219473,8</t>
  </si>
  <si>
    <t>Строительство ЛЭП 110 кВ и ПС 110 кВ, реконструкция ПС 110 кВ</t>
  </si>
  <si>
    <t xml:space="preserve">ЛЭП- 51км, ПС-2 шт </t>
  </si>
  <si>
    <t xml:space="preserve">Ввод в эксплуатацию второго гидроагрегата Камбаратинской ГЭС-2 </t>
  </si>
  <si>
    <t>38688,00</t>
  </si>
  <si>
    <t>Установка гидроагрегата мощностью 120 МВт</t>
  </si>
  <si>
    <t>агрегат-1шт</t>
  </si>
  <si>
    <t>Вторая, третья фазы реабилитации Токтогульской ГЭС</t>
  </si>
  <si>
    <t>606304,28</t>
  </si>
  <si>
    <t>Замена 2-х генераторов</t>
  </si>
  <si>
    <t>Генератор 1штук</t>
  </si>
  <si>
    <t>Проект «Улучшение теплоснабжения»</t>
  </si>
  <si>
    <t>161200,00</t>
  </si>
  <si>
    <t>Модернизация индивидуальных общедомовых тепловых пунктов, замена и реконструкция магистральной тепловой сети «Восток».</t>
  </si>
  <si>
    <t>ед. ИТП</t>
  </si>
  <si>
    <t xml:space="preserve">231 новых ИТП 1700 действ. </t>
  </si>
  <si>
    <t>ед приб учета и ед. водомера</t>
  </si>
  <si>
    <t>2000 приборов учета  и 2000 водомеров </t>
  </si>
  <si>
    <t>Реконструкция и строительство насосных станций</t>
  </si>
  <si>
    <t>Модернизация системы теплоснабжения г. Бишкек: (реконструкция насосных станций), (модернизация и расширение существующей системы СКАДА)</t>
  </si>
  <si>
    <t>ед. насосов</t>
  </si>
  <si>
    <t>установка на 13 насосных станциях 36 насосов с регулируемым числом оборотов</t>
  </si>
  <si>
    <t>2 п. сьема иые насосн станций</t>
  </si>
  <si>
    <t xml:space="preserve"> на 14 насосных станциях и 2 пунктах съема показаний и оснащение дополнительно 5 насосных станций </t>
  </si>
  <si>
    <t>Реабилитация ОАО «Востокэлектро»</t>
  </si>
  <si>
    <t>Сокращение потерь ОАО "Востокэлектро". Внедрение систем АСКУЭ</t>
  </si>
  <si>
    <t xml:space="preserve">АСКУЭ тыс. штук , СИП кабели </t>
  </si>
  <si>
    <t xml:space="preserve">32 тыс. штук, СИП кабель -258 км </t>
  </si>
  <si>
    <t>Реабилитация ОАО «Ошэлектро»</t>
  </si>
  <si>
    <t>40129,24</t>
  </si>
  <si>
    <t>Сокращение потерь ОАО "Ошэлектро". Внедрение систем АСКУЭ</t>
  </si>
  <si>
    <t>АСКУЭ тыс. штук, СИП кабуль</t>
  </si>
  <si>
    <t xml:space="preserve">22 тыс. шт., СИП кабель - 335 км </t>
  </si>
  <si>
    <t>Повышение эффективности электрораспределительных сетей</t>
  </si>
  <si>
    <t>6689,2</t>
  </si>
  <si>
    <t>35795,28</t>
  </si>
  <si>
    <t>Сокращение потерь ОАО "Северэлектро"</t>
  </si>
  <si>
    <t>Реабилитация сектора энергетики</t>
  </si>
  <si>
    <t>502804,4</t>
  </si>
  <si>
    <t>49524,00</t>
  </si>
  <si>
    <t>Модернизация ТЭЦ г. Бишкек</t>
  </si>
  <si>
    <t>1782378,3</t>
  </si>
  <si>
    <t>Реконструкция ТЭЦ</t>
  </si>
  <si>
    <t>Развитие сектора энергетики</t>
  </si>
  <si>
    <t>Внедрение систем АСКУЭ и SKADA на ПС, замена выключателей</t>
  </si>
  <si>
    <t>Улучшение электроснабжения г. Бишкек и Ош</t>
  </si>
  <si>
    <t>83834,0</t>
  </si>
  <si>
    <t>Реконструкция ПС 220 кВ и строительство ВЛ 220 кВ</t>
  </si>
  <si>
    <t>Модернизация Уч-Курганской ГЭС</t>
  </si>
  <si>
    <t>21728,0</t>
  </si>
  <si>
    <t>26569,1</t>
  </si>
  <si>
    <t>Повышение надежности и эффективности функционирования технических средств топливно- энергетического комплекса</t>
  </si>
  <si>
    <t>Разработка практических рекомендаций по повышению надежности и эффективности функционирования электротехнического оборудования</t>
  </si>
  <si>
    <t>кол. отчет</t>
  </si>
  <si>
    <t xml:space="preserve">1 отчет </t>
  </si>
  <si>
    <t>Проведения энергетического обследования эффективности использования электроэнергии в бюджетных организациях</t>
  </si>
  <si>
    <t xml:space="preserve">Количество обследованных бюджетных организаций и мониторинг энергетических паспортов и технических паспортов котельных в обследованных бюджетных организациях </t>
  </si>
  <si>
    <t>объект шт.</t>
  </si>
  <si>
    <t>(150 объект) 1 отчет</t>
  </si>
  <si>
    <t>Установление достоверных величин потребления энергетических ресурсов бюджетными потребителями КР</t>
  </si>
  <si>
    <t>кол-во отчетов</t>
  </si>
  <si>
    <t>ГП "Кыргызтеплоэнерго"</t>
  </si>
  <si>
    <t>Кол-во абоентов, обеспеченных ЦО</t>
  </si>
  <si>
    <t>Выработка и реализация тепловой энергии населению</t>
  </si>
  <si>
    <t>Уд расход топлива на выработку 1 Гкал тепловой энрегии</t>
  </si>
  <si>
    <t>уголь</t>
  </si>
  <si>
    <t xml:space="preserve">кг/Гкал </t>
  </si>
  <si>
    <t>мазут</t>
  </si>
  <si>
    <t xml:space="preserve">кг./Гкал </t>
  </si>
  <si>
    <t xml:space="preserve">газ </t>
  </si>
  <si>
    <t>м3</t>
  </si>
  <si>
    <t>эл.энерг</t>
  </si>
  <si>
    <t>кВт/ч</t>
  </si>
  <si>
    <t>Потери тепловой энергии на 1 км тепловых сетей</t>
  </si>
  <si>
    <t>Гкал</t>
  </si>
  <si>
    <t>ремонт котельных</t>
  </si>
  <si>
    <t>повышение КПД</t>
  </si>
  <si>
    <t>Предоставление услуг населению по реализации воды</t>
  </si>
  <si>
    <t>тыс.м3</t>
  </si>
  <si>
    <t xml:space="preserve"> Бюджетные меры. Удовлетворение потребностей жителей с.Мин-Куш в качественных услугах по тепловодоснабжению и водоотведению с наименьшими затратами</t>
  </si>
  <si>
    <t xml:space="preserve">  ВСЕГО (контрольные цифры)</t>
  </si>
  <si>
    <t>56. Государственное агентство по делам молодежи, физической культуры и спорта при ПКР</t>
  </si>
  <si>
    <t xml:space="preserve">Процент реализациии программ  Правительства </t>
  </si>
  <si>
    <t>Обеспечение развития физической культуры и спорта в регинох</t>
  </si>
  <si>
    <t xml:space="preserve">Обеспечение развития спорта высших достижений </t>
  </si>
  <si>
    <t xml:space="preserve">Проведение спортивно-массовых и комплексных мероприятий </t>
  </si>
  <si>
    <t>Развитие спортивной инфраструктуры</t>
  </si>
  <si>
    <t>Привлечение населения к занятиям национальными видами спорта</t>
  </si>
  <si>
    <t>КПД отечественного спорта (соотношение профинансированных спортсменов к спортсменам завоевавшим медали)</t>
  </si>
  <si>
    <t xml:space="preserve">Предоставление общего, среднеспециального образованиясо спортивным уклоном </t>
  </si>
  <si>
    <t>Обучение детей и молодежи  видам спорта</t>
  </si>
  <si>
    <t>Завоевание призовых мест  на международной спортивной арене,  подготовка олимпийского резерва</t>
  </si>
  <si>
    <t xml:space="preserve">Антидопинговое обеспечение </t>
  </si>
  <si>
    <t>Повышение социальной защищенности ведущих спортсменов Кыргызской Республики</t>
  </si>
  <si>
    <t>Созданные молодежные центры в регионах</t>
  </si>
  <si>
    <t>Мероприятия в рамках государственного социального заказа направленные на реализацию молодежной политики</t>
  </si>
  <si>
    <t xml:space="preserve">Количество мероприятий реализованных посредством ГСЗ </t>
  </si>
  <si>
    <t>Количество мероприятий направленных на формирование в молодежной среде духовно-нравственных и патриотических ценностей, воспитание молодежи, поддержка молодежных инициатив</t>
  </si>
  <si>
    <t xml:space="preserve">Проведение региональных мероприятий   в сфере молодежной политики </t>
  </si>
  <si>
    <t xml:space="preserve">Количество проведенных мероприятий в регионах республики </t>
  </si>
  <si>
    <t>57. Агентство по продвижению и защите инвестиций КР</t>
  </si>
  <si>
    <t>Исполнение Плана законопроектных работ Агентства</t>
  </si>
  <si>
    <t>Осуществление закупок товаров, работ, услуг в установленном порядке</t>
  </si>
  <si>
    <t>Цель программы: Продвижение и сопровождение инвестиций</t>
  </si>
  <si>
    <t>Проведение международных форумов и B2B встреч. Реализация инвестиционных проектов.</t>
  </si>
  <si>
    <t>Заключение контрактов на экспорт</t>
  </si>
  <si>
    <t>58. Государственная служба регулирования и надзора за финансовым рынком при ПКР</t>
  </si>
  <si>
    <t>Организационная работа (Управление человеческими ресурсами, Поддержка внешних связей, анализ и стратегическое планирование)</t>
  </si>
  <si>
    <t>Доля выигранных трудовых процессов по трудовым спорам</t>
  </si>
  <si>
    <t>Количество положительных упоминаний в СМИ</t>
  </si>
  <si>
    <t>4/2</t>
  </si>
  <si>
    <t>5/3</t>
  </si>
  <si>
    <t>5/6</t>
  </si>
  <si>
    <t xml:space="preserve"> Развитие рынка ценных бумаг</t>
  </si>
  <si>
    <t>Перевод государственных ценных бумаг на биржу</t>
  </si>
  <si>
    <t>Объем биржовых торгов</t>
  </si>
  <si>
    <t>млрд, сом</t>
  </si>
  <si>
    <t>Повышение финансовой  грамотности населения</t>
  </si>
  <si>
    <t xml:space="preserve">Количество биржевых сделок с ценными бумагами </t>
  </si>
  <si>
    <t>Стимулирование увеличения объема инвестиций через фондовый рынок</t>
  </si>
  <si>
    <t>Объем эмиссии на фондовом рынке</t>
  </si>
  <si>
    <t>Развитие рынка страхования и деятельности небанковских финансовых организаций</t>
  </si>
  <si>
    <t>Развитие обязательного и добровольного страхование страхования</t>
  </si>
  <si>
    <t>Объем собранных страховых премий по обязательными добровольным видам страхования</t>
  </si>
  <si>
    <t>Создание национальной системы перестрахования</t>
  </si>
  <si>
    <t>Доля национального перестрахования</t>
  </si>
  <si>
    <t>Объем средств пенсионных накоплений НПФ</t>
  </si>
  <si>
    <t>млн, сом</t>
  </si>
  <si>
    <t>Увеличение размер уставного капитала ломбардных организации</t>
  </si>
  <si>
    <t>Повышение качества, своевременности и прозрачности аудита</t>
  </si>
  <si>
    <t>Количество аудиторов, получивших сертификат</t>
  </si>
  <si>
    <t>Увеличение доли внедрения МСФО на предприятиях Кыргызской Республики</t>
  </si>
  <si>
    <t>Количество предприятий, использующих МСФО</t>
  </si>
  <si>
    <t>59. Государственная кадровая служба КР</t>
  </si>
  <si>
    <t>% исполнения плана ГКС</t>
  </si>
  <si>
    <t>Доля сотрудников, повысивших квалификацию, от общего количества сотрудников</t>
  </si>
  <si>
    <t>Количество сотрудников, повышенных в должности по карьерному планированию и служебному продвижению</t>
  </si>
  <si>
    <t>Количество сотрудников, включенных в состав внутреннего резерва кадров ГКС</t>
  </si>
  <si>
    <t>Организация деятельности и службы обеспечения (ТОП, МОП)</t>
  </si>
  <si>
    <t>201</t>
  </si>
  <si>
    <t>Совершенствование нормативной  правовой базы в сфере государственной и муниципальной службы</t>
  </si>
  <si>
    <t>Анализ действия нормативно-правовых актов и выработка предложений по совершенствованию</t>
  </si>
  <si>
    <t>Экпертиза внутренних и внешних НПА на соответствие законодательству о государственной гражданской службе и муниципальной службе</t>
  </si>
  <si>
    <t>Обеспечение равного доступа при поступлении и прохождении  государственной гражданской службы</t>
  </si>
  <si>
    <t>Доля вакантных административных государственных должностей, замещенных в соответствии с законодательством</t>
  </si>
  <si>
    <t>Доля вакантных административных государственных должностей, замещенных в рамках карьерного продвижения</t>
  </si>
  <si>
    <t>Доля  государственных органов, утвердивших квалификационные требования и должностные инструкции к административным государственным должностям, и своевременное внесение изменений</t>
  </si>
  <si>
    <t>Внедрение антикоррупционных мер на государственной гражданской службе</t>
  </si>
  <si>
    <t>Доля  государственных органов, внедривших систему оценки деятельности служащих</t>
  </si>
  <si>
    <t>х</t>
  </si>
  <si>
    <t>Доля государственных органов, в которых действует комиссия по этике</t>
  </si>
  <si>
    <t>Обеспечение равного доступа при поступлении и прохождении  муниципальной службы</t>
  </si>
  <si>
    <t>Доля вакантных административных муниципальных  должностей, замещенных в соответствии с законодательством</t>
  </si>
  <si>
    <t>Доля вакантных административных муниципальных  должностей, замещенных в рамках карьерного продвижения</t>
  </si>
  <si>
    <t>Доля  органов МСУ, утвердивших квалификационные требования и должностные инструкции к административным муниципальным должностям, и своевременное внесение изменений</t>
  </si>
  <si>
    <t>Внедрение антикоррупционных мер на муниципальной службе</t>
  </si>
  <si>
    <t>Доля  органов МСУ, применивших систему оценки деятельности служащих</t>
  </si>
  <si>
    <t>Доля органов МСУ, в которых действует комиссия по этике</t>
  </si>
  <si>
    <t>Обеспечение объективного и прозрачного компьютерного тестирования на знание законодательства при поступлении и прохождении ГМС</t>
  </si>
  <si>
    <t>Количество участников тестирования</t>
  </si>
  <si>
    <t>Внедрение (анализ, поддержка и сопрвождение)  информационной системы управления человеческими ресурсами в сфере государственной гражданской службы и муниципальной службы КР</t>
  </si>
  <si>
    <t>Техническое задание программы информационной системы управления человеческими ресурсами</t>
  </si>
  <si>
    <t xml:space="preserve">модулей (ед) </t>
  </si>
  <si>
    <t>Количество автоматизированных задач</t>
  </si>
  <si>
    <t>Интеграция с автоматизированными системами</t>
  </si>
  <si>
    <t>Карьерное планирование</t>
  </si>
  <si>
    <t xml:space="preserve">Количество лиц, зачисленных в НРК </t>
  </si>
  <si>
    <t>Количество лиц, назначенных на должности из состава НРК</t>
  </si>
  <si>
    <t>Количество положительных упоминаний ГКС КР в СМИ</t>
  </si>
  <si>
    <t>Количество разъяснительных и у консультативных публикаций</t>
  </si>
  <si>
    <t>Реализация Госзаказа на обучение  государственных и муниципальных служащих за счет средств госбюджета</t>
  </si>
  <si>
    <t>Доля  обученных государственных и муниципальных служащих от числа запланированных в Госзаказе</t>
  </si>
  <si>
    <t>Мониторинг соблюдения законодательства в сфере государственной гражданской службы и муниципальной службы</t>
  </si>
  <si>
    <t>Доля государственных органов и органов МСУ, где проведен мониторинг, согласно утвержденному плану</t>
  </si>
  <si>
    <t>Доля рассмотренных жалоб и заявлений, от числа поступивших</t>
  </si>
  <si>
    <t>Реализация Национальных (государственных) программ в сфере государственной и муниципальной службы</t>
  </si>
  <si>
    <t>Доля реализованных мероприятий национальных (государственных) программ(НПА) в сфере государственной и муниципальной службы</t>
  </si>
  <si>
    <t xml:space="preserve">Свод и анализ квартальной и годовой статистической информации о качественном составе государственных и муниципальных служащих </t>
  </si>
  <si>
    <t xml:space="preserve">Доля государственных органов и органов МСУ предоставивш. статист. данные 
</t>
  </si>
  <si>
    <t>Координация деяательности ГКС по реализации государственной политики в сфере предупреждения коррупции</t>
  </si>
  <si>
    <t>Доля исполненных мероприятий Плана по противодействию коррупции</t>
  </si>
  <si>
    <t>Реализация кадровой политики на территориальном уровне (ЦТП,ЮТП,СТП)</t>
  </si>
  <si>
    <t>Доля органов МСУ, где проведен мониторинг, согласно утвержденному плану</t>
  </si>
  <si>
    <t>Доля проведенных обучающих и практических семинаров от числа запланированных</t>
  </si>
  <si>
    <t>Доля расммотренных жалоб и заявлений от числа поступивших</t>
  </si>
  <si>
    <t>60. Государственное агентство архитектуры, строительства и жилищно-коммунального хозяйства при ПКР</t>
  </si>
  <si>
    <t xml:space="preserve">61. Государственная служба по борьбе с эконмическими преступлениями при ПКР </t>
  </si>
  <si>
    <t xml:space="preserve">Доля экономических и коррупционных правонарушений, выявленных оперативным путем к общему числу зарегистрированных </t>
  </si>
  <si>
    <t xml:space="preserve">Доля возбужденных уголовных дел оперативным путем к общему числу зарегистрированных </t>
  </si>
  <si>
    <t>Повышение эффективности предупреждения и своевременного пресечения экономических и коррупционных правонарушений</t>
  </si>
  <si>
    <t xml:space="preserve">Доля материалов, переданных СМИ для информирования общественности от общего числа раскрытых преступлений </t>
  </si>
  <si>
    <t>62. Государственная инспекция  по ветеринарной и фитосанитарной безопасности при Правительстве Кыргызской Республики</t>
  </si>
  <si>
    <t>Обеспечение соблюдения требований технических регламентов ЕАЭС. Увеличение экспорта продукции животноводства, в том числе сырого мяса.</t>
  </si>
  <si>
    <t>Контроль, надзор и обеспечениеветеринарной и фитосанитарной безопасности</t>
  </si>
  <si>
    <t>Включение новых предприятий Кыргызской Республики (в том числе убойных пунктов) в реестр предприятий ЕАЭС и третьих стран.</t>
  </si>
  <si>
    <t>Надзор за организацией ветеринарно-санитарной экспертизы продуктов животного происхождения</t>
  </si>
  <si>
    <t>Обеспечение эпизоотического благополучия, пищевой безопасности, а также контроля болезней, общих для человека и животных.</t>
  </si>
  <si>
    <t>Кол-во пров-х суьектов</t>
  </si>
  <si>
    <t>Повышение эффективности ветеринарного и фитосанитарного надзора</t>
  </si>
  <si>
    <t>Контроль за противоэпизоотическими мероприятиями</t>
  </si>
  <si>
    <t>Обеспечение эпизоотического благополучия, пищевой безопасности, а также контроля болезней общих для человека и животных</t>
  </si>
  <si>
    <t>Кол-во вспышек</t>
  </si>
  <si>
    <t>вакцинацияМлн.голов</t>
  </si>
  <si>
    <t>Проведение ветеринарной диагностики животных</t>
  </si>
  <si>
    <t>Количество проведенных ветеринарно-диагностических исследований</t>
  </si>
  <si>
    <t>Тыс.голов</t>
  </si>
  <si>
    <t>Количество прошедших ветеринарную диагностику животных</t>
  </si>
  <si>
    <t>Млн. голов</t>
  </si>
  <si>
    <t>Проведение идентификации сельскохозяйственных животных</t>
  </si>
  <si>
    <t>Обеспечение учета сельскохозяйственных животных и повышение экспортного потенциала</t>
  </si>
  <si>
    <t>63. Государственный комитет информационных технологий и связи КР</t>
  </si>
  <si>
    <t>Отношение текущих расходов по Программе 1 к сумме текущих расходов по другим программам</t>
  </si>
  <si>
    <t>Реализация государственной политики и осуществление межотраслевой координации в области информатизации, электронного управления, электронной подписи, электронного правительства, электронных услуг, электрической и почтовой связи, включая радио- и телевизионное вещание</t>
  </si>
  <si>
    <t>Количество функционирующих информационных систем, порталов</t>
  </si>
  <si>
    <t>Создание, модернизация, эксплуатация и техническая поддержка информационных систем</t>
  </si>
  <si>
    <t>Количество управленческих процессов государственных органов модернизированных путем цифровой трансформации</t>
  </si>
  <si>
    <t>Исполнение мероприятий по цифровой экономике</t>
  </si>
  <si>
    <t>Средний охват услугами связи (сотовая) населенных пунктов Кыргызстана %</t>
  </si>
  <si>
    <t>Осуществление регулирования в области электрической и почтовой связи</t>
  </si>
  <si>
    <t>Количество лицензиатов в области электрической и почтовой связи</t>
  </si>
  <si>
    <t>319</t>
  </si>
  <si>
    <t>324</t>
  </si>
  <si>
    <t>344</t>
  </si>
  <si>
    <t>354</t>
  </si>
  <si>
    <t>Выдача сертификатов соответствия на оборудование и услуги связи</t>
  </si>
  <si>
    <t>Количество выданных сертификатов соответствия за год</t>
  </si>
  <si>
    <t>Подбор радиочастот доступных к выделению</t>
  </si>
  <si>
    <t>Количество подобранных запросов на получение информации по подбору радиочастот доступных к выделению</t>
  </si>
  <si>
    <t>Проект "Digital CASA - Кыргызская Республика"</t>
  </si>
  <si>
    <t>64. Государственная комиссия по делам религии</t>
  </si>
  <si>
    <t>Доля сотрудников служб обеспечения от общей численности сотрудников</t>
  </si>
  <si>
    <t>66 %</t>
  </si>
  <si>
    <t>66. Центр судебного представительства при ПКР</t>
  </si>
  <si>
    <t>Принятие участие в международных и местных судах для наиболее благоприятного разрешения споров</t>
  </si>
  <si>
    <t>Количество выигранных судебных дел</t>
  </si>
  <si>
    <t>68. Секретариат Национальной комиссии по делам ЮНЕСКО</t>
  </si>
  <si>
    <t>Организация общего руководства</t>
  </si>
  <si>
    <t>70. Национальный институт стратегических исследований КР</t>
  </si>
  <si>
    <t>Обеспечение общего руководства и обеспечение финансового менеджмента и учета</t>
  </si>
  <si>
    <t>Процент исполнения индикаторов результативности программ НИСИ КР</t>
  </si>
  <si>
    <t xml:space="preserve">Аналитическая,научная и информационная поддержка деятельности высших органов власти </t>
  </si>
  <si>
    <t>Проведение исследований приоритетных  сферах экономики внутренней и внешной политики</t>
  </si>
  <si>
    <t>Количество опубликованных материалов в СМИ, проведенных заседаний с ОС</t>
  </si>
  <si>
    <t>по мере необ-ти</t>
  </si>
  <si>
    <t>Количество подготовленных документов (аналитических документов и планов действий ведомства)</t>
  </si>
  <si>
    <t>Повышение результативности мер по ПФТД/ЛПД за счет улучш.качества матер.направляемых</t>
  </si>
  <si>
    <t>Колличество подготовленных и направленных обобщенных материалов и доп.обобщенных материалов в правоохран.органы</t>
  </si>
  <si>
    <t>Совершенствование нормативно-правовой базы в сфере</t>
  </si>
  <si>
    <t>Количество нормативно правовых актов,которые необходимо разработать и в которые необходимо внести соответс.изменения и дополнения</t>
  </si>
  <si>
    <t>НПА</t>
  </si>
  <si>
    <t>Совершенство правовой и институциональной основ по надлежащ.выполнению м/народ</t>
  </si>
  <si>
    <t>Усиление взаимодействия с подразделениями финансовой разведки иностранных государств и международными организациями (ОБСЕ,УНП ООН,ЕАГ и др.) в сфере ПФТД/ЛПД.</t>
  </si>
  <si>
    <t>Введение новых систем АРМ, каналов связи,электрон.документооборота  и аналитич.инструментов для</t>
  </si>
  <si>
    <t>Развитие подсистемы сбора и хранения информационной Единой информац.системы</t>
  </si>
  <si>
    <t>72. Государственное агентство антимонопольного регулирования при ПКР</t>
  </si>
  <si>
    <t>не опубликован</t>
  </si>
  <si>
    <t xml:space="preserve">Обеспечение  правовой поддержки и осуществление гос.закупок </t>
  </si>
  <si>
    <t xml:space="preserve">Количество судебных дел. Количество разработанных проектов нормативно правовых актов. Количество проведенных конкурсных процедур и заключенных договоров. Экономия по итогам заключенных  договоров. </t>
  </si>
  <si>
    <t>Предупреждение коррупции</t>
  </si>
  <si>
    <t>Взаимодействия с Евразийской экономической комиссией</t>
  </si>
  <si>
    <t>Количество экспертиз хоз.суб на соответствующие требования ст. 11 ЗКР "О корупции"</t>
  </si>
  <si>
    <t>Количество исполненных актов (протоколов решений) ЕЭК</t>
  </si>
  <si>
    <t>37/9</t>
  </si>
  <si>
    <t>Обеспечение соблюдения законодательства в области антимонопольного и ценового регулирования</t>
  </si>
  <si>
    <t xml:space="preserve">Анализ состояния конкуренции среды </t>
  </si>
  <si>
    <t>согласно плану</t>
  </si>
  <si>
    <t>Количество субьектов доминантов, исключенных из Госресстра доминантов</t>
  </si>
  <si>
    <t>Защита прав хозяйствующих субьектов и граждан недобросовестной конкуренции и действий государственных органов и органов МСУ, направленных на ограничение конкуренции</t>
  </si>
  <si>
    <t>Доля положительно рассмотренных заявлений от общего количества поступивших заявлений от гражданского общества</t>
  </si>
  <si>
    <t>Доля выявленных нарушений, ограничивающих конкуренцию среди хозяйствующих субъектов</t>
  </si>
  <si>
    <t>Доля положительно рассмотренных заявлений по недобросовестной конкуренции от общего количества поступивших заявлений</t>
  </si>
  <si>
    <t>Доля устраненых нарушений законодательства КР "О рекламе" от общего количества выявленных нарушений</t>
  </si>
  <si>
    <t>Доля устраненых нарушений законодательства КР "О защите прав потребителей" от общего количества выявленных нарушений</t>
  </si>
  <si>
    <t>Взаимодействие с конкурентными ведомствами стран СНГ и дальнего зарубежья</t>
  </si>
  <si>
    <t>по мере необходимости состовления соответствующих документов</t>
  </si>
  <si>
    <t>Повышение эффективности регулирования субьектов монополий</t>
  </si>
  <si>
    <t>73. Государственная служба миграции при ПКР</t>
  </si>
  <si>
    <t xml:space="preserve">Обеспечение и организация общего руководства, управление человеческими ресурсами, правовая поддержка,планирование, учет, финансовый менеджмент, связь с общественностью, службы обеспечения  </t>
  </si>
  <si>
    <t>Количество освещений  деятельности вед-ва в СМИ</t>
  </si>
  <si>
    <t xml:space="preserve">Выполнение плана по демонтажу системной политической коррупции </t>
  </si>
  <si>
    <t xml:space="preserve">Количество статегических документов (стратегия,концепция, гос.программы)                                                                         </t>
  </si>
  <si>
    <t>1        61370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</si>
  <si>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60000              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</si>
  <si>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50000              </t>
  </si>
  <si>
    <t xml:space="preserve">Регулирование процессов привлечения и использования  иностранной рабочей силы,рассмотрение статуса иммигранта, внедрение современных цифровых инструментов,оказание гос.услуг </t>
  </si>
  <si>
    <t>Количество рассмотренных разрешительных документов иностранным гражданам и лицам без гражданства,   количество предоставленных статуса иммигранта</t>
  </si>
  <si>
    <t>12481   205</t>
  </si>
  <si>
    <t>17410   600</t>
  </si>
  <si>
    <t>Обеспечение защиты и  прав иммигрантов(этнических кыргызов,кайрылманов) и беженцев</t>
  </si>
  <si>
    <t>Кол-во рассмотренных и выданных документов ( статус беженца)</t>
  </si>
  <si>
    <t xml:space="preserve">Кол-во выданных документов (удостоверение  кайрылманов),                </t>
  </si>
  <si>
    <t>Защита законных прав , интересов граждан КР и   оказание содействия по вопросам миграции и трудовой деятельности в Российской Федерации,вывод из черного списка граждан КР</t>
  </si>
  <si>
    <t>Количество граждан Кыргызской Республики, обратившихся за получением поддержки и консультаций</t>
  </si>
  <si>
    <t>Количество  взысканных сумм при содействии Представительства</t>
  </si>
  <si>
    <t>мл.сом</t>
  </si>
  <si>
    <t>74. Национальный статистический комитете КР</t>
  </si>
  <si>
    <t>Организация и координация деятельности системы Нацстаткома. (Обеспечение финансовым, человеческим и правовым менеджментом)</t>
  </si>
  <si>
    <t xml:space="preserve">Доля своевременной выпускаемой статистической информации в соответствии с графиком выпуска. </t>
  </si>
  <si>
    <t>Доля пользователей статистической информации от общего числа населения.</t>
  </si>
  <si>
    <t>Индекс доверия пользователей к официальной статистической информации</t>
  </si>
  <si>
    <t>Общая координация на  областном и региональном уровне.</t>
  </si>
  <si>
    <t xml:space="preserve">Количество собираемой первичной информации (хозяйствующих субъектов)                                                                                                                                     </t>
  </si>
  <si>
    <t>тыс. ед.</t>
  </si>
  <si>
    <t>Подготовка и проведение государственных статистических переписей</t>
  </si>
  <si>
    <t>Количество собираемой информации (субъектов переписи)</t>
  </si>
  <si>
    <t>Сбор и техническая обработка статистических показателей (ГВЦ НСК КР)</t>
  </si>
  <si>
    <t xml:space="preserve"> Введение, сопровождение и контроль базы данных в ЕГРСЕ (Единый государственный регистр статистических единиц) классификаторов технико-экономической и социальной информации. Число хозяйствующих субъектов включенных в статистический регистр.</t>
  </si>
  <si>
    <t xml:space="preserve">Качество статистической информации. </t>
  </si>
  <si>
    <t xml:space="preserve"> Анализ информации по базовым статистическим показателям, статистика потребительского рынка,  домашних хозяйств,  сельского хозяйства, труда и занятости,  промышленности,  строительства и инвестиций,  внешней торговли , экономического развития, социального развития и статистика окружающей среды </t>
  </si>
  <si>
    <t>Формирование показателей системы национальных счетов по видам экономической деятельности и институциональным секторам экономики, количество респондентов по потребительскому рынку, домашних хозяйств,  по труду и занятости, по промышленности, по строительству и инвестициям, по экономическому развитию, реальному и финансовому сектору,  и социальному развитию, по окружающей среде, статистика туризма и чрезвычайных ситуаций, и количество обрабатываемой информации.   Количество публикаций</t>
  </si>
  <si>
    <t>тыс.ед.</t>
  </si>
  <si>
    <t>Освоение международных стандартов (заполняемость гармонизированными показателями статистических опросников, составленных международными организациями)</t>
  </si>
  <si>
    <t>Внедрение новых современных методов статистического наблюдения для сбора статистической информации</t>
  </si>
  <si>
    <t>Совершенствование методики сбора, обработки и анализа статистической информации</t>
  </si>
  <si>
    <t>Доля новых методик, внедренных в повседневную работу стат.органов от общего количества разработанных методик и предложений</t>
  </si>
  <si>
    <t>Повышение квалификации работников стат.органов</t>
  </si>
  <si>
    <t>Доля работников стат.органов, повысивших квалификацию от потребности</t>
  </si>
  <si>
    <t>Количество  мероприятий</t>
  </si>
  <si>
    <t>Реализация государственной политики по эффективному управлению и приватизации государственного имущества</t>
  </si>
  <si>
    <t xml:space="preserve">Процент исполнения бюджета </t>
  </si>
  <si>
    <t>Обзор и оценка системы внутреннего контроля, разработка стратегических, долгосрочных и годовых планов развития</t>
  </si>
  <si>
    <t>Поступление дивидендов на государственный пакет акций акционерных обществ с государственным участием в республиканский бюджет</t>
  </si>
  <si>
    <t>млн.сомов</t>
  </si>
  <si>
    <t>Поступление чистой прибыли государственных предприятий в республиканский бюджет</t>
  </si>
  <si>
    <t>Поступление средств от приватизации государственного имущества</t>
  </si>
  <si>
    <t>Поступление средств от аренды государственного имущества</t>
  </si>
  <si>
    <t>Охват государственного имущества в системе единого автоматизированного учета</t>
  </si>
  <si>
    <t>76. Фонд государственных материальных резервов при ПКР</t>
  </si>
  <si>
    <t>56/111</t>
  </si>
  <si>
    <t xml:space="preserve"> 1/1</t>
  </si>
  <si>
    <t>Степень выполнения мероприятий Правительства и плана действий/обязательств председателя</t>
  </si>
  <si>
    <t>Доля сотрудников в регионе от общей численности сотрудников</t>
  </si>
  <si>
    <t>Обеспечение мобилизационных нужд Кыргызской Республики.</t>
  </si>
  <si>
    <t>Управление материальными ценностями государственного резерва</t>
  </si>
  <si>
    <t>Накопления материальных ценностей (гос.резерв)</t>
  </si>
  <si>
    <t>Управление материальными ценностями мобилизационного резерва</t>
  </si>
  <si>
    <t>Накопления материальных ценностей (моб.резерв)</t>
  </si>
  <si>
    <t>Организация закладок, накопления, хранения и использования госматрезервов (ФГМР-"Продовольственная программа")</t>
  </si>
  <si>
    <t>Доведение до нормы закладки материальных ценностей</t>
  </si>
  <si>
    <t>77. Высшая аттестационная комиссия КР</t>
  </si>
  <si>
    <t xml:space="preserve">Доля выигранных судебных процессов по трудовым спорам/организация кадрового учета с проведением без нарушений процедур по приему/перемещению/увольнению сотрудников </t>
  </si>
  <si>
    <t xml:space="preserve">Отношение выигранных судебных дел к их общему количеству/процент рассмотрения в установленные сроки поданных апелляций на решения Президиума ВАК </t>
  </si>
  <si>
    <t>ед/ед  %</t>
  </si>
  <si>
    <t xml:space="preserve">1 --1 </t>
  </si>
  <si>
    <t>1 --1</t>
  </si>
  <si>
    <t>1 --1 100%</t>
  </si>
  <si>
    <t xml:space="preserve">Организация работы диссертационных и экспертных советов, присуждение ученых степеней, присвоение ученых званий </t>
  </si>
  <si>
    <t>Отношение количества рассмотренных в срок диссертационных работ и аттестационных дел к общему количеству поступивших дел</t>
  </si>
  <si>
    <t>Подготовка и заключение международных договоров по вопросам аттестации научных и научно-педагогических кадров.</t>
  </si>
  <si>
    <t>Количество заключенных международных договоров</t>
  </si>
  <si>
    <t xml:space="preserve">Внедрение и использование электронных программ, Баз данных, программы «Антиплагиат» </t>
  </si>
  <si>
    <t>Количество оцифрованного и введенного в Базу Данных материалов и диссертационных работ/ Отношение количества проверенных в срок диссертационных работ по программе "Антиплагиат"  к общему количеству поступивших дел на проверку</t>
  </si>
  <si>
    <t>ЕИ/%</t>
  </si>
  <si>
    <t>3000 /100</t>
  </si>
  <si>
    <t xml:space="preserve"> 79. Секретариат Совета безопасности КР</t>
  </si>
  <si>
    <t>Обеспечение деятельности Совета безопасности КР по проведению единой государственной политики в сфере обеспечения национальной безопасности</t>
  </si>
  <si>
    <t>Количество вопросов рассмотренных на заседании Совета безопасности КР</t>
  </si>
  <si>
    <t>Количество двухстрононних и многосторонних встреч в рамках сотрудничества со странами ШОС, ОДКБ и СНГ</t>
  </si>
  <si>
    <t>80. Национальная академия наук КР</t>
  </si>
  <si>
    <t>% исполнение индикаторов результативности по бюджетным программам НАН КР</t>
  </si>
  <si>
    <t>Привлечение молодых кадров</t>
  </si>
  <si>
    <t>Координация научно-организованной деятельности научных учреждений НАН КР</t>
  </si>
  <si>
    <t>Количество выпущенных постановлений</t>
  </si>
  <si>
    <t>Организация международного научного сотрудничества ученых НАН КР</t>
  </si>
  <si>
    <t>Развитие физико-технических, математических и горно-геологических исследований</t>
  </si>
  <si>
    <t>Внедрение технологических разработок в производство</t>
  </si>
  <si>
    <t>Оценка сейсмического опасности и создание инженерно-сейсмометрической службы в районах расположения крупных ГЭС</t>
  </si>
  <si>
    <t xml:space="preserve">Количество проведенных землетрясений </t>
  </si>
  <si>
    <t>Изучение водных ресурсов и создание методов и средств контроля управления водными ресурсами. Научные основы рационального освоения гидроэнергетических ресурсов р.Сары-Джаз</t>
  </si>
  <si>
    <t>Количество проведенных экспертиз по расчету гидроэнергетического потенциала с учетом изменения климата для различных сценариев по отдельным рекам</t>
  </si>
  <si>
    <t>Разработка автоматизированной системы мониторинга оборудования высоковольтных энергетических объектов. Исследование и разработка структур и методов обработки и хранения аэрокосмической видеоинформации</t>
  </si>
  <si>
    <t>Количество положительных решений по выдаче патентов на разработку систем автоматизированного учета потребления электроэнергии с предоплатой и изготовление макета датчика измерения уровня горных водотоков. Обработка аэрокосмической информации для конкретных народнохозяйственных задач</t>
  </si>
  <si>
    <t>Развитие химико-технологических, медико-биологических и сельскохозяйственных исследований</t>
  </si>
  <si>
    <t xml:space="preserve">Количество лабораторных исследований </t>
  </si>
  <si>
    <t>Количество реализованной продукции (посадочный материал, эфирные масла) / Пополнение коллекционного гербарного фонда</t>
  </si>
  <si>
    <t>тыс.сом/вид</t>
  </si>
  <si>
    <t>Проведение биоаттестации коров. Пополнение коллекционных фондов.</t>
  </si>
  <si>
    <t>90                    18</t>
  </si>
  <si>
    <t>80             18</t>
  </si>
  <si>
    <t>90             18</t>
  </si>
  <si>
    <t>100          18</t>
  </si>
  <si>
    <t xml:space="preserve">Разработка инновационных технологий комплексной переработки минерального и органического сырья; поиск средств оптимизации адаптационных возможностей и повышения качества жизни населения гор </t>
  </si>
  <si>
    <t>Количество проведенных госэкспертиз и международных региональных проектов по разработке нового способа активизации карбонизатов (угля-сырца) с получением активированного угля, получению топливных брикетов из рисовой шелухи</t>
  </si>
  <si>
    <t>5                        60</t>
  </si>
  <si>
    <t>5                    60</t>
  </si>
  <si>
    <t>5           60</t>
  </si>
  <si>
    <t>Развитие гуманитарных исследований</t>
  </si>
  <si>
    <t>Публикации (статьи, монографии, учебные пособии)</t>
  </si>
  <si>
    <t>Проведение госэкспертиз законов, нормативных актов</t>
  </si>
  <si>
    <t>2              5</t>
  </si>
  <si>
    <t>2                 2</t>
  </si>
  <si>
    <t>2                   2</t>
  </si>
  <si>
    <t>2                      2</t>
  </si>
  <si>
    <t>Исследование вопросов методологии наук и  проведение социологических исследований в горных районах. Развитие гуманитарных исследований</t>
  </si>
  <si>
    <t>Исследование региональных историко-философских, этно-лингвистических и социально-экономических проблем</t>
  </si>
  <si>
    <t xml:space="preserve">Количество проведенных научных конференций и организаций </t>
  </si>
  <si>
    <t>81. Клиническая больница УД Президента и Правительства КР</t>
  </si>
  <si>
    <t>Оптимизация системы предоставления медицинских услуг и повышение качества медицинских услуг, оказываемых КБ.</t>
  </si>
  <si>
    <t>Число пролеченных больных</t>
  </si>
  <si>
    <t>82. Национальный центр Кыргызской Республики по предупреждению пыток  и  других  жестоких,   бесчеловечных  или  унижающих  достоинство  видов обращения и наказания</t>
  </si>
  <si>
    <t>Доля результатов мониторинга принятых к исполнению в официальных внутренних документах от общего количества результатов мониторинга</t>
  </si>
  <si>
    <t>Процентное соотношение количества превентивных посещений в регионах к посещениям в ЦА Национального центра</t>
  </si>
  <si>
    <t>Динамика снижения (увеличения) фактов пыток в местах лишения и ограничения свободы, детских учреждениях и психоневрологических диспансерах</t>
  </si>
  <si>
    <t>Формирование в обществе нетерпимости к пыткам и жестокому обращению</t>
  </si>
  <si>
    <t>Количество проведенных мероприятий (круглых столов, семинаров, тренингов)</t>
  </si>
  <si>
    <t>Обеспечение законных прав в местах лишения и ограничения свободы</t>
  </si>
  <si>
    <t>Количество выработанных Нац. Центром рекомендаций по искоренению пыток и улучшению условий содержания, принятых к реализации другими гос. Органами</t>
  </si>
  <si>
    <t>Содействие улучшению условий содержания в местах лишения и ограничения свободы, детских учреждениях и психоневрологических диспансерах</t>
  </si>
  <si>
    <t>Удовлетворенность положительными изменениями условий содержания в местах лишения и ограничения свободы, детских учреждениях и психоневрологических диспансерах(результаты опросов)</t>
  </si>
  <si>
    <t>Обеспечение проведения регулярных превентивных посещений мест лишения и ограничения свободы, детских учреждений и психоневрологических диспансеров</t>
  </si>
  <si>
    <t>Общее количество превентивных посещений по республике по сообщениям, заявлениям</t>
  </si>
  <si>
    <t>Из них количество превентивных посещений согласно ежегодному плану Национального центра</t>
  </si>
  <si>
    <t>Процент исполнения требований международных договоров в области предупреждения пыток</t>
  </si>
  <si>
    <t>83. Государственное агентство по регулированию топливно-энергетического комплекса при ПКР</t>
  </si>
  <si>
    <t xml:space="preserve"> Тарифное регулирование сектора энергетики</t>
  </si>
  <si>
    <t>Установление тарифов в секторе энергетики</t>
  </si>
  <si>
    <t xml:space="preserve"> Осуществление контроля соблюдения законодательства в сфере ТЭК</t>
  </si>
  <si>
    <t>Сумма отчислений по выявленным нарушениям</t>
  </si>
  <si>
    <t>тыс. сом</t>
  </si>
  <si>
    <t>84. Редакция журналов и газет</t>
  </si>
  <si>
    <t>Опубликование нормативных правовых актов Правительства, Президента, Жогорку Кенеша Кыргызской Республики в газете "Эркин-Тоо"</t>
  </si>
  <si>
    <t xml:space="preserve">доля своевременно опубликованных нормативно-правовых актов </t>
  </si>
  <si>
    <t>85. Телерадиовещательные компании Кыргызской Республики</t>
  </si>
  <si>
    <t>Общественная телерадиовещательная корпорация Кыргызской Республики</t>
  </si>
  <si>
    <t>3/5</t>
  </si>
  <si>
    <t>3/4</t>
  </si>
  <si>
    <t>2/3</t>
  </si>
  <si>
    <t>Обеспечение Технического Контроля (ОТК)</t>
  </si>
  <si>
    <t>Контроль качества объектов вещания</t>
  </si>
  <si>
    <t>Информационно-аналитическая, социально-экономическая программа</t>
  </si>
  <si>
    <t xml:space="preserve">Рейтинг по всем показателям исследования </t>
  </si>
  <si>
    <t>2/10</t>
  </si>
  <si>
    <t>Детская, культурно-развлекательная, спортивная программа</t>
  </si>
  <si>
    <t>3/10</t>
  </si>
  <si>
    <t>4/10</t>
  </si>
  <si>
    <t>Дирекция программ ТВ</t>
  </si>
  <si>
    <t>Объем вещания</t>
  </si>
  <si>
    <t>час</t>
  </si>
  <si>
    <t>49275</t>
  </si>
  <si>
    <t>Распространения ТВ программ на всю республику</t>
  </si>
  <si>
    <t>Охват населения</t>
  </si>
  <si>
    <t>Техническое обеспечение ТВ программ (РРТЦ)</t>
  </si>
  <si>
    <t>Качество оказываемых технических услуг</t>
  </si>
  <si>
    <t>Информационно-аналитическая программа</t>
  </si>
  <si>
    <t>1/10</t>
  </si>
  <si>
    <t>Детская, культурно-развлекательная программа</t>
  </si>
  <si>
    <t>Обеспечение технического контроля выпуска радиопрограмм</t>
  </si>
  <si>
    <t>Программирование выпуска радиопрограмм</t>
  </si>
  <si>
    <t>21900</t>
  </si>
  <si>
    <t>26280</t>
  </si>
  <si>
    <t>Распространения РВ программ на всю республику</t>
  </si>
  <si>
    <t>Техническое обеспечение РВ программ (РРТЦ)</t>
  </si>
  <si>
    <t>Качество оказываемых технических  услуг</t>
  </si>
  <si>
    <t>Прокат кино-видео продукции</t>
  </si>
  <si>
    <t>Производство художественных, хроникально - документальных телефильмов, телепередач</t>
  </si>
  <si>
    <t>Количество фильмов, телепередач</t>
  </si>
  <si>
    <t xml:space="preserve">Государственная телерадиовещательная компания Кыргызской Республики "ЭлТР"        </t>
  </si>
  <si>
    <t>Индикатор результативности: Охват телевещанием в % от общего числа населения</t>
  </si>
  <si>
    <t>Производство и выпуск в эфир телепрограмм</t>
  </si>
  <si>
    <t>Рейтинг телепрограмм</t>
  </si>
  <si>
    <t>Техническое обеспечение телевещания</t>
  </si>
  <si>
    <t>Удельный вес территории КР, охваченной телевещанием</t>
  </si>
  <si>
    <t>Индикатор результативности: Охват радиовещанием в % от общего числа населения</t>
  </si>
  <si>
    <t>Производство и выпуск в эфир радиопрограмм</t>
  </si>
  <si>
    <t>Рейтинг радипрограмм</t>
  </si>
  <si>
    <t>Национальный филиал в КР ЗАО "Межгосударственная телерадиокомпания Мир"</t>
  </si>
  <si>
    <t>Охват ТВ и РВ вещанием населения КР</t>
  </si>
  <si>
    <t>Учет кадров, ведение делопроизводства</t>
  </si>
  <si>
    <t>Юридическое обслуживание Компании, подготовка договоров</t>
  </si>
  <si>
    <t>Общее кол-во созданных филиалом ТВ и РВ программ в консолидированном эфире МТРК "Мир"</t>
  </si>
  <si>
    <t>541ч06м20</t>
  </si>
  <si>
    <t>Создание ТВ программ</t>
  </si>
  <si>
    <t>Хронометраж созданных филиалом ТВ программ для МТРК "Мир"</t>
  </si>
  <si>
    <t>41ч46м20с</t>
  </si>
  <si>
    <t>Создание РВ программ</t>
  </si>
  <si>
    <t>Хронометраж созданных филиалом РВ программ для МТРК "Мир"</t>
  </si>
  <si>
    <t>501ч</t>
  </si>
  <si>
    <t>Техническое обеспечение и распрстранение ТВ и РВ программ</t>
  </si>
  <si>
    <t>98</t>
  </si>
  <si>
    <t>86. Государственная судебно-экспертная служба при ПКР</t>
  </si>
  <si>
    <t>Повышение качества проведенных судебных экспертиз</t>
  </si>
  <si>
    <t>Осуществление судебных экспертиз</t>
  </si>
  <si>
    <t>Кол-во проведенных судебных экспертиз</t>
  </si>
  <si>
    <t>87. Государственное учреждение Кыргызтест при ПКР</t>
  </si>
  <si>
    <t>Процент своевременного обеспечения</t>
  </si>
  <si>
    <t>Проведение тестирования по республике</t>
  </si>
  <si>
    <t>Количество протестированных</t>
  </si>
  <si>
    <t>Разработка и издание нормативно- методических документов по оценке уровня владения официальным языком (А2)</t>
  </si>
  <si>
    <t xml:space="preserve"> Разработка тестовых заданий и экспертиза по государственному и официальным языкам</t>
  </si>
  <si>
    <t>Разработка электронного учебника по государственному языку  (А2)</t>
  </si>
  <si>
    <t>Количество наименований учебников</t>
  </si>
  <si>
    <t>Обучение разработчиков тестовых заданий и экспертов путем привлечения международных специалистов</t>
  </si>
  <si>
    <t>Разработка первой части учебника(процент завершонности)</t>
  </si>
  <si>
    <t>Применение Интернет-ресурсов для пробного тестирования  владения государственным, официальным языками</t>
  </si>
  <si>
    <t>Техническая поддержка и развитие мобильного приложения системы "Кыргызтест" для дистанционного тестирования</t>
  </si>
  <si>
    <t>88. ГУ "Нациоанльная академия "Манас" и Чингиза Айтматова"</t>
  </si>
  <si>
    <t>Обеспечение финансового менеджмента и  учета</t>
  </si>
  <si>
    <t xml:space="preserve">Организация и проведение культурных мероприятий, междурадных симпозиумов, конгрессов по проблемам эпоса "Манас" и наследия Ч.Айтматова. Публикация научных материалов в области манасаведения и чингизоведения                    </t>
  </si>
  <si>
    <t xml:space="preserve">17. Счетная палата Кыргызской Республики </t>
  </si>
  <si>
    <t>Представление отчета СП КР в ЖК КР</t>
  </si>
  <si>
    <t>оценка</t>
  </si>
  <si>
    <t>Обеспечение финансирования мероприятий</t>
  </si>
  <si>
    <t>Доля сотрудников, прошедших оценку деятельности с высоким баллом от общего количества сотрудников;</t>
  </si>
  <si>
    <t xml:space="preserve">Доля сотрудников, повысивших квалификацию от общего количества сотрудников; </t>
  </si>
  <si>
    <t>Количество рассмотренных  проектов НПА, проектов межведомственных соглашений</t>
  </si>
  <si>
    <t>Количество рассмотренных проектов постановлений Совета Счетной палаты</t>
  </si>
  <si>
    <t>Количество рассмотренных запросов правоохранительных органов, органов прокуратуры</t>
  </si>
  <si>
    <t>Материально-техническое обеспечение</t>
  </si>
  <si>
    <t xml:space="preserve">Аудит и аудит эффективности: оценка исполнения республиканского бюджета, составления и исполнения местного бюджета, внебюджетных и специальных средств, использования государственной и муниципальной собственности, обеспечение и реализация международных стандартов государственного аудита.
</t>
  </si>
  <si>
    <t>Количество запланированных аудиторских мероприятий</t>
  </si>
  <si>
    <t xml:space="preserve"> % фактического  исполнения запланированных аудиторских мероприятий</t>
  </si>
  <si>
    <t>16 Верховный суд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</si>
  <si>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b/>
        <i/>
        <sz val="10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</si>
  <si>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ГП "Центр электронного взаимодействия" при ГКИТиС</t>
  </si>
  <si>
    <t xml:space="preserve"> к Закону Кыргызской Республики</t>
  </si>
  <si>
    <r>
      <t xml:space="preserve">Выражение интересов и воли народа через представительную функцию Жогорку Кенеша Кыргызской Республики
</t>
    </r>
    <r>
      <rPr>
        <i/>
        <sz val="10"/>
        <rFont val="Times New Roman"/>
        <family val="1"/>
        <charset val="204"/>
      </rPr>
      <t xml:space="preserve">Цель программы: Учет волеизъявления народа при принятии решений, определяющих приоритеты развития страны, высокий уровень защиты прав и интересов всех категорий граждан, прозрачность работы и подотчетность Жогорку Кенеша перед обществом </t>
    </r>
  </si>
  <si>
    <r>
      <rPr>
        <b/>
        <sz val="10"/>
        <rFont val="Times New Roman"/>
        <family val="1"/>
        <charset val="204"/>
      </rPr>
      <t xml:space="preserve">Формирование правовой системы государства через законодательную функцию Жогорку Кенеша 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Высокое качество и действенность принимаемых законов и решений</t>
    </r>
  </si>
  <si>
    <r>
      <rPr>
        <b/>
        <sz val="10"/>
        <rFont val="Times New Roman"/>
        <family val="1"/>
        <charset val="204"/>
      </rPr>
      <t>Обеспечение исполнения законов через контрольную функцию Жогорку Кенеша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Эффективное исполнение Конституции и законов Кыргызской Республики, высокий уровень подотчетности и прозрачности деятельности Правительства и других госорганов</t>
    </r>
  </si>
  <si>
    <r>
      <rPr>
        <b/>
        <sz val="10"/>
        <rFont val="Times New Roman"/>
        <family val="1"/>
        <charset val="204"/>
      </rPr>
      <t>Планирование, управление и администрирование</t>
    </r>
    <r>
      <rPr>
        <sz val="10"/>
        <rFont val="Times New Roman"/>
        <family val="1"/>
        <charset val="204"/>
      </rPr>
      <t xml:space="preserve"> 
</t>
    </r>
    <r>
      <rPr>
        <i/>
        <sz val="10"/>
        <rFont val="Times New Roman"/>
        <family val="1"/>
        <charset val="204"/>
      </rPr>
      <t>Цель программы: Обеспечение  деятельности системы Верховного суда, координация реализации других программ ведомства</t>
    </r>
  </si>
  <si>
    <r>
      <rPr>
        <b/>
        <sz val="10"/>
        <rFont val="Times New Roman"/>
        <family val="1"/>
        <charset val="204"/>
      </rPr>
      <t>Обеспечение доступа населения к качественному правосудию</t>
    </r>
    <r>
      <rPr>
        <sz val="10"/>
        <rFont val="Times New Roman"/>
        <family val="1"/>
        <charset val="204"/>
      </rPr>
      <t xml:space="preserve"> 
</t>
    </r>
    <r>
      <rPr>
        <i/>
        <sz val="10"/>
        <rFont val="Times New Roman"/>
        <family val="1"/>
        <charset val="204"/>
      </rPr>
      <t>Цель программы: обеспечение справедливости, неотвративности и исполнения судебных решений</t>
    </r>
  </si>
  <si>
    <r>
      <rPr>
        <b/>
        <sz val="10"/>
        <rFont val="Times New Roman"/>
        <family val="1"/>
        <charset val="204"/>
      </rPr>
      <t>Обеспечение независимости судей ВС КР</t>
    </r>
    <r>
      <rPr>
        <sz val="10"/>
        <rFont val="Times New Roman"/>
        <family val="1"/>
        <charset val="204"/>
      </rPr>
      <t xml:space="preserve"> 
</t>
    </r>
    <r>
      <rPr>
        <i/>
        <sz val="10"/>
        <rFont val="Times New Roman"/>
        <family val="1"/>
        <charset val="204"/>
      </rPr>
      <t xml:space="preserve">Цель программы: Обеспечение правосудия в Кыргызской Республике в соотвествии с руководящими принципами судопроизводства </t>
    </r>
  </si>
  <si>
    <r>
      <rPr>
        <b/>
        <sz val="10"/>
        <rFont val="Times New Roman"/>
        <family val="1"/>
        <charset val="204"/>
      </rPr>
      <t xml:space="preserve">Обеспечение прозрачности работы Верховного суда 
</t>
    </r>
    <r>
      <rPr>
        <i/>
        <sz val="10"/>
        <rFont val="Times New Roman"/>
        <family val="1"/>
        <charset val="204"/>
      </rPr>
      <t>Цель программы: Борьба с коррупционными явлениями</t>
    </r>
  </si>
  <si>
    <t>Количество нарушений, связанных с должностными обязанностями сотрудников аппарата Верховного суда</t>
  </si>
  <si>
    <t>Поддержание рабочего состояния технического оборудования  (мебель, ПК, МФУ, ксерокопии)</t>
  </si>
  <si>
    <t>Развитие международных связей (СНГ, страны дальнего зарубежья) Высшей школы правосудия и Совета судей в сфере профессиональной подготовки судей, проведению тематических конференций и семинаров</t>
  </si>
  <si>
    <t xml:space="preserve">Выпуск Вестника, публикация годового доклада, профайла, календаря, создание видеороликов и трансляции на ТВ </t>
  </si>
  <si>
    <t>Количество жалоб на нарушения в учебном процессе (как со стороны преподователей, так и со стороны участников)</t>
  </si>
  <si>
    <t>Место Кыргызстана в рейтинге Глобального индекса конкурентоспособности Всемирного экономического форума (в т.ч. по показателю "независимость судов")</t>
  </si>
  <si>
    <r>
      <t>Количество судов, оснащенных информационными системами (видео запись и трансляция судебных процессов, аудио и видео протоколирование и т.д.) /</t>
    </r>
    <r>
      <rPr>
        <i/>
        <sz val="10"/>
        <rFont val="Times New Roman"/>
        <family val="1"/>
        <charset val="204"/>
      </rPr>
      <t xml:space="preserve"> Обеспечена полная гласность и прозрачность судебных разбирательств</t>
    </r>
  </si>
  <si>
    <t>Количество судов, оснащенных системами аудио-видеофиксации и протоколирования судебных заседаний</t>
  </si>
  <si>
    <t>количество судов, в которых внедрены информационные технологии, обеспечивающие быстрое разрешение судебных дел</t>
  </si>
  <si>
    <t>Доля решений, вынесенных под давлением общественного мнения, политических партий, лиц, в общем объеме рассмотренных дел (оценка)</t>
  </si>
  <si>
    <t>Количество судов, к которым нанесен ущерб (участники процесса судебных заседаний, митингующие у ворот в здании судов)</t>
  </si>
  <si>
    <t>Доля решений, принятых и исполненных в общем количестве рассмотренных дел</t>
  </si>
  <si>
    <t>Доля отмененных и измененных судебных постановлений из-за нарушения процессуальных норм в общем количестве</t>
  </si>
  <si>
    <t>Количество нарушений, связанных с должностными обязанностями</t>
  </si>
  <si>
    <t>Количество судов, соответствующих стандартам и санитарным нормам</t>
  </si>
  <si>
    <t>Доля дел, распределенных автоматизированной системой распределения судебных дел и материалов между судьями в общем  количестве дел</t>
  </si>
  <si>
    <t>Количество административных  судов, рассматривающих судебные дела с участием присяжных заседателей</t>
  </si>
  <si>
    <t>Реализация мероприятий по аудио-видеофиксации судебных заседаний, реестра лиц совершивщих преступления, проступки, нарушения</t>
  </si>
  <si>
    <t>Создание Call-центра судебной системы КР и внедрение корпоративной системы ip-телефонии</t>
  </si>
  <si>
    <t>Создание ситуационного центра для обеспечения контроля, мониторинга, управления информационно-технической инфраструктуры судебной системы КР</t>
  </si>
  <si>
    <t>Развитие и сопровождение программно-аппаратного комплекса "Аудио-видеофиксации и протоколирования судебных заседаний"</t>
  </si>
  <si>
    <t>Обеспечение информционной безопасности в судебной системе КР</t>
  </si>
  <si>
    <t>Подведение итогов голосований и определения результата выборов</t>
  </si>
  <si>
    <t>Количество проведенных проверок, количество проверенных материалов об отказе возбуждении уголовных дел, количество выявленных укрытых пресуплений,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органов, привлеченных к уголовной отвественности.</t>
  </si>
  <si>
    <t>Количество проведенных проверок, количество проверенных материалов об отказе возбуждении уголовных дел, количество выявленных укрытых пресуплений,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органов, привлеченных к уголовной ответственности.</t>
  </si>
  <si>
    <t>Количество проведенных проверок, количество проверенных материалов об отказе возбуждении уголовных дел, количество выявленных укрытых преступлений,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органов, привлеченных к уголовной ответственности.</t>
  </si>
  <si>
    <t>Обеспечение инфомацией о деятельности, контроля исполнения,кадров, организация и  взаимодействие со СМИ.</t>
  </si>
  <si>
    <t>Предупреждение и раскрытие уголовных дел в Вооруженных силах</t>
  </si>
  <si>
    <t xml:space="preserve">Надзор за соответствием издаваемых в Вооруженных силах нормативных актов </t>
  </si>
  <si>
    <t>Количество государственных обвинений поддержанных решением суда</t>
  </si>
  <si>
    <t xml:space="preserve"> Контроль за соблюдением свобод,прав человека и всех форм дискриминаций
</t>
  </si>
  <si>
    <t>Увеличение колич. удовлетворенных заявителей услугами Аппарата Омбудсмена (Акыйкатчы) КР (к общему количеству заявителей (целевой индикатор по Программе)</t>
  </si>
  <si>
    <t>Соблюдение прав человека правоохранительными органами в местах лищения и ограничения свободы</t>
  </si>
  <si>
    <t>Защита прав свободы человека</t>
  </si>
  <si>
    <t>Улучшение условий содержания пациентов в психиатрических стационарах</t>
  </si>
  <si>
    <t>Защита гражданско-политических прав, прав мигрантов и инастранных граждан</t>
  </si>
  <si>
    <t>Поездка сотрудников МЮКР для участия в заседаниях Совещания министров юстиции государств-членов ШОС и Совета министров юстиции государств-участников СНГ. (Министр и 2 эксперта)</t>
  </si>
  <si>
    <t xml:space="preserve">Количество гос.регистрации, перерегистрации и прекращение деятельности юридических лиц, количество совершенных нотариальных действий                   </t>
  </si>
  <si>
    <t>Обеспечение функции по выработке и реализация государственной политики в области нормативно-правового регулирования, судебно-экспертной, адвокатской, нотариально пробационной деятельности</t>
  </si>
  <si>
    <t>Исправление и переобучение граждан, совершивших правонарушение, а также социальная интеграция осужденных лиц</t>
  </si>
  <si>
    <t xml:space="preserve">Количество гос.регистрации, перерегистрации и прекращение                   </t>
  </si>
  <si>
    <t>Проведение обучающих семинаров для сотрудников МЮ и территориальных органов юстиции, задействованных в процессе регистрации юридических лиц, филиалов (представительств)</t>
  </si>
  <si>
    <t>Осуществление государственной гарантированной юридической помощи</t>
  </si>
  <si>
    <t>Размещение результатов мониторинга на официальном сайте МФ КР</t>
  </si>
  <si>
    <t>Количество проведенных аудитов</t>
  </si>
  <si>
    <t>Количество районных фин.подразделений (доля) и ОМСУ, в которых применяется автоматизированное программное обеспечение</t>
  </si>
  <si>
    <t>Доля местных бюджетов не получающих межбюджетные трансферты</t>
  </si>
  <si>
    <t>Доля просроченной кредиторской задолженности в расходах местных бюджетов (на 01.01.15 г 183,2 млн. от 16751,1 млн утвердены)</t>
  </si>
  <si>
    <t>Количество проверок ОМСУ в год</t>
  </si>
  <si>
    <t xml:space="preserve">Доля расходов республиканского бюджета,  представленные в програмном формате </t>
  </si>
  <si>
    <t xml:space="preserve">Индекс бюджетной прозрачности   </t>
  </si>
  <si>
    <t>Количество слушателей</t>
  </si>
  <si>
    <t>Количество принятых НПА</t>
  </si>
  <si>
    <t>Своевременность  рассмотрения и подготовки заключений к проектам НПА по вопросам управления</t>
  </si>
  <si>
    <t>Оценка PEFA "D"</t>
  </si>
  <si>
    <t>Объем исполнения плановых показателей по возврату государственных заемных средств</t>
  </si>
  <si>
    <r>
      <t xml:space="preserve">Обеспечение здоровья спецконтингента
Цель программы: </t>
    </r>
    <r>
      <rPr>
        <sz val="10"/>
        <color indexed="8"/>
        <rFont val="Times New Roman"/>
        <family val="1"/>
        <charset val="204"/>
      </rPr>
      <t>П</t>
    </r>
    <r>
      <rPr>
        <i/>
        <sz val="10"/>
        <color indexed="8"/>
        <rFont val="Times New Roman"/>
        <family val="1"/>
        <charset val="204"/>
      </rPr>
      <t>редоставления необходимых медицинских услуг осужденным и подследственным</t>
    </r>
  </si>
  <si>
    <t xml:space="preserve">*  количество побегов                                             *  кол-во предотвр.  побегов осужденных                                     *кол-во  проникн.  во внутрен. зону                                                 * количество нападений на часового                   * кол-во проник. во внеш. запрет. зону </t>
  </si>
  <si>
    <t xml:space="preserve"> *количество обеспечения процессов                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</si>
  <si>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sz val="10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</si>
  <si>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 xml:space="preserve">Предоставление дошкольного образования и предшкольной подготовки (формальных и неформальных) для определения охвата от числа детей соответствующего возраста </t>
  </si>
  <si>
    <t>Доработка, обсуждение и согласование обновленной модели</t>
  </si>
  <si>
    <t>Количество профессиональных объединений и ассоциаций, заключивших с системой НПО меморандумы (соглашения) о совместной работе</t>
  </si>
  <si>
    <t>Соотношение размера пособий для детей с ОВЗ к базовой части пенсии</t>
  </si>
  <si>
    <t>Соотношение размеров пособий для ЛОВЗ с детства  к базовой части пенсии</t>
  </si>
  <si>
    <t>Социальная поддержка матерям, ухаживающим за детьми с ОВЗ, нуждающихся в постоянном уходе и надзоре</t>
  </si>
  <si>
    <t>Реализация инфраструктурных проектов</t>
  </si>
  <si>
    <t>Количество безработных, охваченных по линии оплачиваемых общественных работ (ООР)</t>
  </si>
  <si>
    <t>Внесение предложений в государственные органы по повышению жизненного уровня ветеранов, а также совершенствованию законодательства в области социальной защиты ветеранов и ветеранских организаций</t>
  </si>
  <si>
    <t>Индекс "Оценка деятельности государственных органов исполнительной власти и органов местного самоуправления"</t>
  </si>
  <si>
    <t>Профилактика, диагностика, лечение и уход социально-значимых инфекционных заболеваний</t>
  </si>
  <si>
    <t>Доля детей до 2 лет, охваченных  вакцинным комплексом</t>
  </si>
  <si>
    <t>Закупка туберкулина для диагностики туберкулеза</t>
  </si>
  <si>
    <t>Доля лиц, живущих с ВИЧ-инфекцией , знающих свой статус и получающих антиретровирусную терапию</t>
  </si>
  <si>
    <t xml:space="preserve">Доля пациентов с ТБ успешно завершивших лечение на уровне ПМСП  </t>
  </si>
  <si>
    <t>Количество лабораторий, участвующих в программах   внешней   оценки, обеспечивающие качественные и достоверные исследования по ВИЧ, бруцеллез, гепатиты, сифилис качества социально-значимых инфекционных заболеваний.</t>
  </si>
  <si>
    <t>Количество больных, обеспеченных инсулинами.</t>
  </si>
  <si>
    <t>Доля больных, охваченных имуносупрессорами</t>
  </si>
  <si>
    <t>Восстановление здоровья населения и интеграция в обществе</t>
  </si>
  <si>
    <t>Количество пациентов, получивших  реабилитационную помощь</t>
  </si>
  <si>
    <t>Принятые НПА по дородовому и после родовому патронажу беременных, основанных на консультации профессиональными сообществами</t>
  </si>
  <si>
    <t>Количество врачей, включенных в программу по дополнительному стимулированию врачей, работающих в отдаленных регионах сельской местности и малых городах</t>
  </si>
  <si>
    <t>Разработаны и внедрены квалификационных требований к медицинским специалистам службы скорой медицинской помощи</t>
  </si>
  <si>
    <r>
      <rPr>
        <b/>
        <sz val="10"/>
        <rFont val="Times New Roman"/>
        <family val="1"/>
        <charset val="204"/>
      </rPr>
      <t xml:space="preserve">Координация, экспертиза законопроектной деятельности государственных органов,   систематизации и кодификации нормативных актов. 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Нормативное правовое обеспечение, координация законопроектной деятельности и повышение качества экспертиз</t>
    </r>
  </si>
  <si>
    <r>
      <t xml:space="preserve">Делимитация и демаркация государственной границы Кыргызской Республики
</t>
    </r>
    <r>
      <rPr>
        <i/>
        <sz val="10"/>
        <rFont val="Times New Roman"/>
        <family val="1"/>
        <charset val="204"/>
      </rPr>
      <t xml:space="preserve">Цель программы: Современная картографическая и геодезическая основа территории КР для обеспечения геополитических интересов страны </t>
    </r>
  </si>
  <si>
    <r>
      <t>Содержание осужденных и подследственных</t>
    </r>
    <r>
      <rPr>
        <sz val="10"/>
        <color indexed="8"/>
        <rFont val="Times New Roman"/>
        <family val="1"/>
        <charset val="204"/>
      </rPr>
      <t xml:space="preserve"> 
</t>
    </r>
    <r>
      <rPr>
        <i/>
        <sz val="10"/>
        <color indexed="8"/>
        <rFont val="Times New Roman"/>
        <family val="1"/>
        <charset val="204"/>
      </rPr>
      <t xml:space="preserve">Цель программы: Создание и поддержание условий отбывания наказания, обеспечивающих достижение целей наказанияя и способствующих ресоциализации осужденных после освобождения от наказания </t>
    </r>
  </si>
  <si>
    <r>
      <rPr>
        <b/>
        <sz val="10"/>
        <rFont val="Times New Roman"/>
        <family val="1"/>
        <charset val="204"/>
      </rPr>
      <t xml:space="preserve">Охрана в исправительных учреждениях и  конвоирование осужденных                 </t>
    </r>
    <r>
      <rPr>
        <sz val="10"/>
        <rFont val="Times New Roman"/>
        <family val="1"/>
        <charset val="204"/>
      </rPr>
      <t xml:space="preserve">                                                                 
</t>
    </r>
    <r>
      <rPr>
        <i/>
        <sz val="10"/>
        <rFont val="Times New Roman"/>
        <family val="1"/>
        <charset val="204"/>
      </rPr>
      <t xml:space="preserve">Цель программы : обеспечение соблюдения заключенными и осужденными режима в исправительных учреждениях. </t>
    </r>
  </si>
  <si>
    <r>
      <t xml:space="preserve">Школьное образование. 
</t>
    </r>
    <r>
      <rPr>
        <i/>
        <sz val="10"/>
        <color theme="1"/>
        <rFont val="Times New Roman"/>
        <family val="1"/>
        <charset val="204"/>
      </rPr>
      <t>Цель программы: Повышение качества соответствующего требованиям развивающейся экономики и сохранение широкого доступа школьного образования</t>
    </r>
    <r>
      <rPr>
        <b/>
        <sz val="10"/>
        <color theme="1"/>
        <rFont val="Times New Roman"/>
        <family val="1"/>
        <charset val="204"/>
      </rPr>
      <t xml:space="preserve">
</t>
    </r>
  </si>
  <si>
    <r>
      <t xml:space="preserve">Начальное и среднее профессиональное образование 
</t>
    </r>
    <r>
      <rPr>
        <i/>
        <sz val="10"/>
        <color theme="1"/>
        <rFont val="Times New Roman"/>
        <family val="1"/>
        <charset val="204"/>
      </rPr>
      <t>Цель программы: Создание новой системы профессионального образования, отвечающей требованиям рынка труда, общества и государства.</t>
    </r>
  </si>
  <si>
    <r>
      <t xml:space="preserve">Высшее профессиональное образование                                                                                                                            </t>
    </r>
    <r>
      <rPr>
        <i/>
        <sz val="10"/>
        <color theme="1"/>
        <rFont val="Times New Roman"/>
        <family val="1"/>
        <charset val="204"/>
      </rPr>
      <t>Цель программы: Повышение качества образования в соответствии с международными стандартами и изменяющимися требованиями к навыкам и знаниям выпускников.</t>
    </r>
  </si>
  <si>
    <r>
      <t xml:space="preserve">Государственная поддержка развития  приоритетных отраслей  науки   
</t>
    </r>
    <r>
      <rPr>
        <i/>
        <sz val="10"/>
        <color theme="1"/>
        <rFont val="Times New Roman"/>
        <family val="1"/>
        <charset val="204"/>
      </rPr>
      <t xml:space="preserve">Цель программы: Развитие прикладной (вузовской) науки и повышение качества вузовской науки, увеличение в вузах количества НИР, направленных на получение практического применения.  </t>
    </r>
    <r>
      <rPr>
        <b/>
        <i/>
        <sz val="10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</t>
    </r>
  </si>
  <si>
    <r>
      <t xml:space="preserve">Дошкольное образование и предшкольная подготовка 
</t>
    </r>
    <r>
      <rPr>
        <i/>
        <sz val="10"/>
        <color theme="1"/>
        <rFont val="Times New Roman"/>
        <family val="1"/>
        <charset val="204"/>
      </rPr>
      <t>Цель программы: Расширение доступа к качественному дошкольному образованию и программам раннего развития детей</t>
    </r>
  </si>
  <si>
    <t>Кодекс об образовании принят</t>
  </si>
  <si>
    <t>Внедрение</t>
  </si>
  <si>
    <t>Внедрение 
программы</t>
  </si>
  <si>
    <t>Разработаны 
дорожные карты для каждого университета.</t>
  </si>
  <si>
    <t>Запуск внедрения</t>
  </si>
  <si>
    <t>4% (сироты, ЛОВЗ, дети из многодетных семей)</t>
  </si>
  <si>
    <t>Внесение изменений в   учебные центры передового опыта с учетом апробации</t>
  </si>
  <si>
    <t>Внедрение программы</t>
  </si>
  <si>
    <t>Регистрация он-лайн проведена во всех вузах КР</t>
  </si>
  <si>
    <t>3 ведущих вуза и 5 региональных вузов – 100% + 60% образовательных программ</t>
  </si>
  <si>
    <r>
      <rPr>
        <b/>
        <sz val="10"/>
        <rFont val="Times New Roman"/>
        <family val="1"/>
        <charset val="204"/>
      </rPr>
      <t xml:space="preserve">Реализация Государственной программы развития системы интеллектуальной собственности в КР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програмы: Создание условий для функционирования рынка ИС к 2021 году</t>
    </r>
  </si>
  <si>
    <r>
      <rPr>
        <b/>
        <sz val="10"/>
        <rFont val="Times New Roman"/>
        <family val="1"/>
        <charset val="204"/>
      </rPr>
      <t xml:space="preserve">Планирование, управление и администрирование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</si>
  <si>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0"/>
        <rFont val="Times New Roman"/>
        <family val="1"/>
        <charset val="204"/>
      </rPr>
      <t xml:space="preserve">Реализация Концепции  научно-инновационного развития  КР на период до 2022 года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Выстраивание системы целей, приоритетов и инструментов государственной инновационной политики</t>
    </r>
  </si>
  <si>
    <r>
      <rPr>
        <b/>
        <sz val="10"/>
        <rFont val="Times New Roman"/>
        <family val="1"/>
        <charset val="204"/>
      </rPr>
      <t>Планирование, управление и администрирование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Координация и организация для обеспечения эффективной реализации бюджетных программ, включенных в настоящую стратегию</t>
    </r>
  </si>
  <si>
    <r>
      <rPr>
        <b/>
        <sz val="10"/>
        <rFont val="Times New Roman"/>
        <family val="1"/>
        <charset val="204"/>
      </rPr>
      <t xml:space="preserve">Планирование, управление и администрирование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</si>
  <si>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0"/>
        <rFont val="Times New Roman"/>
        <family val="1"/>
        <charset val="204"/>
      </rPr>
      <t>Общественное здравоохранение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Создание устойчивой службы общественного здравоохранения, основанной на интеграции программ профилактики заболеваний и укрепления здоровья, широком межсекторальном взаимодействии и активном участии общества в вопросах охраны и укрепления здоровья</t>
    </r>
  </si>
  <si>
    <r>
      <rPr>
        <b/>
        <sz val="10"/>
        <rFont val="Times New Roman"/>
        <family val="1"/>
        <charset val="204"/>
      </rPr>
      <t xml:space="preserve">Организация предоставления услуг здравоохранения 
</t>
    </r>
    <r>
      <rPr>
        <i/>
        <sz val="10"/>
        <rFont val="Times New Roman"/>
        <family val="1"/>
        <charset val="204"/>
      </rPr>
      <t>Цель программы: Улучшение качества предоставления медицинских услуг для всех групп населения и повышение доступности населения республики к высокотехнологичным методам лечения.</t>
    </r>
  </si>
  <si>
    <r>
      <rPr>
        <b/>
        <sz val="10"/>
        <rFont val="Times New Roman"/>
        <family val="1"/>
        <charset val="204"/>
      </rPr>
      <t>Медицинское образование и управление человеческими ресурсами в здравоохранении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Обеспечение квалифицированными медицинскими кадрами организаций здравоохранения республики.</t>
    </r>
  </si>
  <si>
    <r>
      <rPr>
        <b/>
        <sz val="10"/>
        <rFont val="Times New Roman"/>
        <family val="1"/>
        <charset val="204"/>
      </rPr>
      <t>Планирование, управление и администрирование</t>
    </r>
    <r>
      <rPr>
        <sz val="10"/>
        <rFont val="Times New Roman"/>
        <family val="1"/>
        <charset val="204"/>
      </rPr>
      <t xml:space="preserve"> 
</t>
    </r>
    <r>
      <rPr>
        <i/>
        <sz val="10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</si>
  <si>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r>
      <rPr>
        <b/>
        <sz val="10"/>
        <rFont val="Times New Roman"/>
        <family val="1"/>
        <charset val="204"/>
      </rPr>
      <t xml:space="preserve">Отправление конституционного правосудия и повышение потенциала Конституционной палаты
</t>
    </r>
    <r>
      <rPr>
        <i/>
        <sz val="10"/>
        <rFont val="Times New Roman"/>
        <family val="1"/>
        <charset val="204"/>
      </rPr>
      <t>Цель программы: Повышение эффективности отправления конституционного правосудия, изучение и применение международных стандартов конституционного правосудия</t>
    </r>
  </si>
  <si>
    <r>
      <rPr>
        <b/>
        <sz val="10"/>
        <rFont val="Times New Roman"/>
        <family val="1"/>
        <charset val="204"/>
      </rPr>
      <t xml:space="preserve">Обеспечение открытости и прозрачности деятельности Коституционной палаты 
</t>
    </r>
    <r>
      <rPr>
        <i/>
        <sz val="10"/>
        <rFont val="Times New Roman"/>
        <family val="1"/>
        <charset val="204"/>
      </rPr>
      <t>Цель программы: Повышение доверия общества к КП</t>
    </r>
  </si>
  <si>
    <r>
      <rPr>
        <b/>
        <sz val="10"/>
        <rFont val="Times New Roman"/>
        <family val="1"/>
        <charset val="204"/>
      </rPr>
      <t>Повышение эффективности, прозрачности и независимости судебной системы Кырыгзской Республики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Обеспечение качественного правосудия в КР</t>
    </r>
  </si>
  <si>
    <r>
      <rPr>
        <b/>
        <sz val="10"/>
        <rFont val="Times New Roman"/>
        <family val="1"/>
        <charset val="204"/>
      </rPr>
      <t>Обучение претендентов на должность судей местных судов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Обеспечение качественного правосудия в КР</t>
    </r>
  </si>
  <si>
    <r>
      <rPr>
        <b/>
        <sz val="10"/>
        <rFont val="Times New Roman"/>
        <family val="1"/>
        <charset val="204"/>
      </rPr>
      <t>Обеспечение учебного процесса - прозрачности и эффективности</t>
    </r>
    <r>
      <rPr>
        <sz val="10"/>
        <rFont val="Times New Roman"/>
        <family val="1"/>
        <charset val="204"/>
      </rPr>
      <t xml:space="preserve"> 
</t>
    </r>
    <r>
      <rPr>
        <i/>
        <sz val="10"/>
        <rFont val="Times New Roman"/>
        <family val="1"/>
        <charset val="204"/>
      </rPr>
      <t>Цель программы: Обеспечение качества правосудия в КР</t>
    </r>
  </si>
  <si>
    <r>
      <rPr>
        <b/>
        <sz val="10"/>
        <rFont val="Times New Roman"/>
        <family val="1"/>
        <charset val="204"/>
      </rPr>
      <t>Повышение квалификации работников ВШП ВС КР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Обеспечение высокого качества работы сотрудников ВШП ВС КР</t>
    </r>
  </si>
  <si>
    <r>
      <rPr>
        <b/>
        <sz val="10"/>
        <rFont val="Times New Roman"/>
        <family val="1"/>
        <charset val="204"/>
      </rPr>
      <t>Планирование, управление и администрирование</t>
    </r>
    <r>
      <rPr>
        <sz val="10"/>
        <rFont val="Times New Roman"/>
        <family val="1"/>
        <charset val="204"/>
      </rPr>
      <t xml:space="preserve"> 
</t>
    </r>
    <r>
      <rPr>
        <i/>
        <sz val="10"/>
        <rFont val="Times New Roman"/>
        <family val="1"/>
        <charset val="204"/>
      </rPr>
      <t>Цель программы: Обеспечение  деятельности системы судебного департамента, координация реализации других программ ведомства</t>
    </r>
  </si>
  <si>
    <r>
      <rPr>
        <b/>
        <sz val="10"/>
        <rFont val="Times New Roman"/>
        <family val="1"/>
        <charset val="204"/>
      </rPr>
      <t xml:space="preserve">Повышение эффективности, прозрачности и независимости местных судов Кыргызской Республики
</t>
    </r>
    <r>
      <rPr>
        <i/>
        <sz val="10"/>
        <rFont val="Times New Roman"/>
        <family val="1"/>
        <charset val="204"/>
      </rPr>
      <t>Цель программы: Повышение доверия к судебной системе Кыргызской Республики</t>
    </r>
  </si>
  <si>
    <r>
      <rPr>
        <b/>
        <sz val="10"/>
        <rFont val="Times New Roman"/>
        <family val="1"/>
        <charset val="204"/>
      </rPr>
      <t>Обеспечение реальной независимости местных судов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Обеспечение правосудия в Кыргызской Республике в соответствии с руководящими принципами судопроизводства</t>
    </r>
  </si>
  <si>
    <r>
      <rPr>
        <b/>
        <sz val="10"/>
        <rFont val="Times New Roman"/>
        <family val="1"/>
        <charset val="204"/>
      </rPr>
      <t xml:space="preserve">Обеспечение прозрачности и подотчетности  местных судов 
</t>
    </r>
    <r>
      <rPr>
        <i/>
        <sz val="10"/>
        <rFont val="Times New Roman"/>
        <family val="1"/>
        <charset val="204"/>
      </rPr>
      <t xml:space="preserve">Цель программы: Борьба с коррупционными явлениями в судебной системе </t>
    </r>
  </si>
  <si>
    <r>
      <rPr>
        <b/>
        <sz val="10"/>
        <rFont val="Times New Roman"/>
        <family val="1"/>
        <charset val="204"/>
      </rPr>
      <t xml:space="preserve">Эффективное и доступное правосудие 
</t>
    </r>
    <r>
      <rPr>
        <i/>
        <sz val="10"/>
        <rFont val="Times New Roman"/>
        <family val="1"/>
        <charset val="204"/>
      </rPr>
      <t>Цель программы: Обеспечение спрведливости и неотвративности судебных решений</t>
    </r>
  </si>
  <si>
    <r>
      <rPr>
        <b/>
        <sz val="10"/>
        <rFont val="Times New Roman"/>
        <family val="1"/>
        <charset val="204"/>
      </rPr>
      <t xml:space="preserve">Гуманизация правосудия 
</t>
    </r>
    <r>
      <rPr>
        <i/>
        <sz val="10"/>
        <rFont val="Times New Roman"/>
        <family val="1"/>
        <charset val="204"/>
      </rPr>
      <t>Цель программы: Избежание чрезмерно суровых судебных решений</t>
    </r>
  </si>
  <si>
    <r>
      <rPr>
        <b/>
        <sz val="10"/>
        <rFont val="Times New Roman"/>
        <family val="1"/>
        <charset val="204"/>
      </rPr>
      <t>В рамках судебно-правовойреформы</t>
    </r>
    <r>
      <rPr>
        <sz val="10"/>
        <rFont val="Times New Roman"/>
        <family val="1"/>
        <charset val="204"/>
      </rPr>
      <t xml:space="preserve"> 
</t>
    </r>
    <r>
      <rPr>
        <i/>
        <sz val="10"/>
        <rFont val="Times New Roman"/>
        <family val="1"/>
        <charset val="204"/>
      </rPr>
      <t>Цель программы: Обеспечение условий для реализации прав человека на справедливое правосудие на основе верховенства права  в соответствии с международными стандартами</t>
    </r>
  </si>
  <si>
    <t>В рамках Концепции цифровой трансформации "Цифровой Кыргызстан 2019-2023"</t>
  </si>
  <si>
    <t xml:space="preserve">Проведение государственного аудита
</t>
  </si>
  <si>
    <t>Цель программы: Координирующее и организационное воздействие на реализацию других программ</t>
  </si>
  <si>
    <t>Цель программы: Высокий уровень явки избирателей на референдумах и выборах</t>
  </si>
  <si>
    <r>
      <rPr>
        <b/>
        <sz val="10"/>
        <rFont val="Times New Roman"/>
        <family val="1"/>
        <charset val="204"/>
      </rPr>
      <t xml:space="preserve">Планирование, управление и администрирование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</si>
  <si>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rPr>
        <b/>
        <sz val="10"/>
        <rFont val="Times New Roman"/>
        <family val="1"/>
        <charset val="204"/>
      </rPr>
      <t xml:space="preserve">Оказание государственных нотариальных услуг, осуществление деятельности в сфере апостилирования. 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Цели программы: Координирующее воздействие на адвокатскую,  нотариальную деятельность и апостилирование</t>
    </r>
  </si>
  <si>
    <r>
      <rPr>
        <b/>
        <sz val="10"/>
        <rFont val="Times New Roman"/>
        <family val="1"/>
        <charset val="204"/>
      </rPr>
      <t>Проведение единой государственной политики в области регистрации юридических лиц и залоговых сделок.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Обеспечение регистрации юридических лиц и залоговых сделок в пределах предоставленных полномочий</t>
    </r>
  </si>
  <si>
    <r>
      <rPr>
        <b/>
        <sz val="10"/>
        <rFont val="Times New Roman"/>
        <family val="1"/>
        <charset val="204"/>
      </rPr>
      <t>Государственная гарантированная юридическая помощь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Государственная гарантированная юридическая помощь</t>
    </r>
  </si>
  <si>
    <r>
      <rPr>
        <b/>
        <sz val="10"/>
        <rFont val="Times New Roman"/>
        <family val="1"/>
        <charset val="204"/>
      </rPr>
      <t>Осуществление функции обслуживания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Осуществление обслуживающей и технической деятельности, не связанной с функциями государственных служащих</t>
    </r>
  </si>
  <si>
    <r>
      <rPr>
        <b/>
        <sz val="10"/>
        <rFont val="Times New Roman"/>
        <family val="1"/>
        <charset val="204"/>
      </rPr>
      <t xml:space="preserve">Планирование, управление, администрирование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</si>
  <si>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Переподготовка и повышение квалификации сотрудников госуправления и органов МСУ по вопросам  эффективного управления госфинансвми</t>
  </si>
  <si>
    <r>
      <rPr>
        <b/>
        <sz val="10"/>
        <rFont val="Times New Roman"/>
        <family val="1"/>
        <charset val="204"/>
      </rPr>
      <t xml:space="preserve">Формирование бюджета, и обеспечение  сбалансированности и устойчивости бюджета           </t>
    </r>
    <r>
      <rPr>
        <sz val="10"/>
        <rFont val="Times New Roman"/>
        <family val="1"/>
        <charset val="204"/>
      </rPr>
      <t xml:space="preserve">                                           
</t>
    </r>
    <r>
      <rPr>
        <i/>
        <sz val="10"/>
        <rFont val="Times New Roman"/>
        <family val="1"/>
        <charset val="204"/>
      </rPr>
      <t>Цель программы: Повышение бюджетной прозрачности и подготовка реалистичного бюджета, включая улучшение прогноза доходной части и определение стоимости бюджетных мероприятий</t>
    </r>
  </si>
  <si>
    <t xml:space="preserve">Внедрение программно-целевых подходов бюджетирования и анализ расходов республиканского бюджета </t>
  </si>
  <si>
    <t xml:space="preserve">Обеспечение бюджетной прозрачности </t>
  </si>
  <si>
    <t>Среднесрочное прогнозирование бюджета</t>
  </si>
  <si>
    <t>Анализ и оценка ресурсной базы республиканского бюджета</t>
  </si>
  <si>
    <t>Планирование капитальных расходов и стимулирующих (долевых) грантов</t>
  </si>
  <si>
    <t>Планирование  и привлечение государственных инвестиций</t>
  </si>
  <si>
    <t>Мониторинг планирования и исполнения местных бюджетов</t>
  </si>
  <si>
    <t>Проведение плановых, внеплановых и тематических проверок планирования и исполнения местных бюджетов</t>
  </si>
  <si>
    <t>Поддержание устойчивости внешнего долга в среднесрочной перспективе</t>
  </si>
  <si>
    <t>Наращивание потенциала рынка государственных ценных бумаг (ГЦБ) как источника государственных заимствований</t>
  </si>
  <si>
    <t>Доведение до заинтересованных пользователей информации о бюджетных ассигнованиях, лимитах бюджетных обязательств и кассовых планах</t>
  </si>
  <si>
    <t>Санкционирование и осуществление платежей</t>
  </si>
  <si>
    <t>Формирование отчетности об исполнении государственного бюджета</t>
  </si>
  <si>
    <t>Ведение лицевых счетов и предоставление других услуг, связанных с кассовым обслуживанием исполнения бюджета Кыргызской Республики</t>
  </si>
  <si>
    <t>Осуществление государственного контроля  и надзора за операциями с драгоценными металлами и драгоценными  камнями на территории  КР</t>
  </si>
  <si>
    <t>Оказание пробирных услуг по клеймению ювелирных и других изделий из драгоценных металлов и драгоценных камней</t>
  </si>
  <si>
    <t>Подготовка экспертных заключений на получение лицензии по экспорту, импорту драгоценных металлов и драгоценных камней в установленном порядке</t>
  </si>
  <si>
    <t>Осуществление внутреннего аудита</t>
  </si>
  <si>
    <t>Реализация плана мероприятий по противодействию коррупции на соответствующий год</t>
  </si>
  <si>
    <t>Оказание методологической и консультативной помощи закупающим организациям и поставщикам (подрядчикам)</t>
  </si>
  <si>
    <t>Мониторинг выполнения государственных программ, по вопросам Министерства финансов КР</t>
  </si>
  <si>
    <t>Совершенствование методологической базы по программному бюджетированию</t>
  </si>
  <si>
    <t>Совершенствование и администрирование неналоговых  доходов</t>
  </si>
  <si>
    <t>Обеспечение эффективной системы закупок</t>
  </si>
  <si>
    <t>Развитие методологической и нормативной базы государственных закупок"</t>
  </si>
  <si>
    <t>Развитие официального Портала государственных закупок Кыргызской Республики</t>
  </si>
  <si>
    <t>Мероприятия по повышению квалификации и организация повышения квалификации специалистов по внутреннему аудиту и бухгалтерскому учету сектора государственного управления Кыргызской Республики.</t>
  </si>
  <si>
    <t>Оказание консультационной поддержки, мониторинг и оценка развития системы внутреннего аудита в государственном секторе Кыргызской Республики.</t>
  </si>
  <si>
    <t>Осуществление мониторинга, учета и анализа государственных заемных средств</t>
  </si>
  <si>
    <r>
      <rPr>
        <b/>
        <sz val="10"/>
        <rFont val="Times New Roman"/>
        <family val="1"/>
        <charset val="204"/>
      </rPr>
      <t xml:space="preserve">Межбюджетные отношения                 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Совершенствование системы межбюджетных отношений</t>
    </r>
  </si>
  <si>
    <t xml:space="preserve">Планирование капитальных расходов и стимулирующих (долевых) грантов </t>
  </si>
  <si>
    <t>Автоматизация бюджетной отчетности местных бюджетов</t>
  </si>
  <si>
    <r>
      <rPr>
        <b/>
        <sz val="10"/>
        <rFont val="Times New Roman"/>
        <family val="1"/>
        <charset val="204"/>
      </rPr>
      <t xml:space="preserve">Управление государственным долгом  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Устойчивость государственного долга Кыргызской Республики</t>
    </r>
  </si>
  <si>
    <r>
      <rPr>
        <b/>
        <sz val="10"/>
        <rFont val="Times New Roman"/>
        <family val="1"/>
        <charset val="204"/>
      </rPr>
      <t xml:space="preserve">Кассовое обслуживание исполнения бюджета по доходам и расходам     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Совершенствование процесса исполнения бюджета и отчетности</t>
    </r>
  </si>
  <si>
    <r>
      <rPr>
        <b/>
        <sz val="10"/>
        <rFont val="Times New Roman"/>
        <family val="1"/>
        <charset val="204"/>
      </rPr>
      <t xml:space="preserve">Реализация госполитики по операциям с драгоценными металлами и драгоценными камнями и изделиями из них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Организация эффективного государственного контроля и регулирования операций с драгоценными металлами и драгоценными камнями на территории Кыргызской Республики</t>
    </r>
  </si>
  <si>
    <r>
      <rPr>
        <b/>
        <sz val="10"/>
        <rFont val="Times New Roman"/>
        <family val="1"/>
        <charset val="204"/>
      </rPr>
      <t xml:space="preserve">Реализация бюджетной политики и совершенствование методологии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Реализация реформ в системе управления государственными финансами Кыргызской Республики.</t>
    </r>
  </si>
  <si>
    <r>
      <rPr>
        <b/>
        <sz val="10"/>
        <rFont val="Times New Roman"/>
        <family val="1"/>
        <charset val="204"/>
      </rPr>
      <t xml:space="preserve">Формирование условий для экономического роста   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Цель программы: Возврат государственных заемных средств</t>
    </r>
  </si>
  <si>
    <r>
      <rPr>
        <b/>
        <sz val="10"/>
        <rFont val="Times New Roman"/>
        <family val="1"/>
        <charset val="204"/>
      </rPr>
      <t xml:space="preserve">Планирование, управление и администрирование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Цели программы: Институциональное усиление ФОМС в качестве Единого плательщика. Координирующее и организационное воздействие на реализацию других программ</t>
    </r>
  </si>
  <si>
    <r>
      <rPr>
        <b/>
        <sz val="10"/>
        <rFont val="Times New Roman"/>
        <family val="1"/>
        <charset val="204"/>
      </rPr>
      <t xml:space="preserve">Предоставление услуг первичной медико-санитарной помощи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Цели программы: Раннее выявление, диагностика заболеваний, повышение качества и эффективности предоставления медицинской и профилактической помощи на уровне ПМСП</t>
    </r>
  </si>
  <si>
    <r>
      <rPr>
        <b/>
        <sz val="10"/>
        <rFont val="Times New Roman"/>
        <family val="1"/>
        <charset val="204"/>
      </rPr>
      <t xml:space="preserve">Предоставление услуг медицинскими учреждениями на стационарном уровне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Повышение качества и эффективности предоставления гарантированной медицинской помощи на стационарном уровне</t>
    </r>
  </si>
  <si>
    <r>
      <rPr>
        <b/>
        <sz val="10"/>
        <rFont val="Times New Roman"/>
        <family val="1"/>
        <charset val="204"/>
      </rPr>
      <t xml:space="preserve">Обеспечение доступности  медицинских и иных услуг, оказываемых сверх объема ПГГ населению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Повышение удовлетворенности граждан посредством предоставления расширенного спектра услуг организациями здравоохранения, независимо от формы собственности.</t>
    </r>
  </si>
  <si>
    <t xml:space="preserve">
Пенсионное обеспечение и компенсации за счет бюджетных средств</t>
  </si>
  <si>
    <t>Обеспечение социально-экономического развития Кыргызской Республики</t>
  </si>
  <si>
    <t>Создание среды развития для бизнеса</t>
  </si>
  <si>
    <r>
      <rPr>
        <b/>
        <sz val="10"/>
        <rFont val="Times New Roman"/>
        <family val="1"/>
        <charset val="204"/>
      </rPr>
      <t xml:space="preserve">Планирование, управление и администрирование            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
</t>
    </r>
  </si>
  <si>
    <t xml:space="preserve">Обеспечение территории КР и ее регионов в топографо-геодезическом и картографическом отношении </t>
  </si>
  <si>
    <r>
      <rPr>
        <b/>
        <sz val="10"/>
        <rFont val="Times New Roman"/>
        <family val="1"/>
        <charset val="204"/>
      </rPr>
      <t xml:space="preserve">Реализация Национальной Стратегии по достижению гендерного равенства до 2030 года.
</t>
    </r>
    <r>
      <rPr>
        <i/>
        <sz val="10"/>
        <rFont val="Times New Roman"/>
        <family val="1"/>
        <charset val="204"/>
      </rPr>
      <t>Цель программы: Развитие системы оказания помощи пострадавшим от гендерной дискриминации и насилия</t>
    </r>
  </si>
  <si>
    <r>
      <rPr>
        <b/>
        <sz val="10"/>
        <rFont val="Times New Roman"/>
        <family val="1"/>
        <charset val="204"/>
      </rPr>
      <t>Труд и занятость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1. Эффективное содействие занятости населения (реализация мер активной политики занятости), оказание услуг по поиску подходящей работы и соц.поддержки безработных граждан и лиц ищущих работу через органы гос.службы занятости; 2. Обеспечение выплат пособий по беременности и родам.</t>
    </r>
  </si>
  <si>
    <r>
      <rPr>
        <b/>
        <sz val="10"/>
        <rFont val="Times New Roman"/>
        <family val="1"/>
        <charset val="204"/>
      </rPr>
      <t xml:space="preserve">Семья и дети, находящиеся в трудной жизненной ситуации 
</t>
    </r>
    <r>
      <rPr>
        <i/>
        <sz val="10"/>
        <rFont val="Times New Roman"/>
        <family val="1"/>
        <charset val="204"/>
      </rPr>
      <t>Цель: 1. Повышение благосостояние лиц, находящихся в трудной жизненной ситуации (ТЖС), включая лиц с ограниченными возможностями здоровья и пожилых граждан, а также обеспечение детей государственными пособиями; 2. Развитие института приемной семьи, оказавщихся в ТЖС; 3. Возвращение в КР детей граждан КР оставщихся без попечения родителей на территории иностранного государства.</t>
    </r>
  </si>
  <si>
    <r>
      <rPr>
        <b/>
        <sz val="10"/>
        <rFont val="Times New Roman"/>
        <family val="1"/>
        <charset val="204"/>
      </rPr>
      <t xml:space="preserve">Социальная защита лиц с ограничеными возможностями здоровья (ЛОВЗ) и пожилых граждан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Обеспечение равноправного доступа к базовым услугам и создание доступной среды жизнедеятельности для лиц с ограниченными возможностями здоровья в целях эффективной интеграции их в общество</t>
    </r>
  </si>
  <si>
    <r>
      <rPr>
        <b/>
        <sz val="10"/>
        <rFont val="Times New Roman"/>
        <family val="1"/>
        <charset val="204"/>
      </rPr>
      <t xml:space="preserve">Предоставление денежных компенсаций отдельным категориям граждан и социальные гарантии 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Сохранение размера денежных компенсаций 25 категориям граждан на уровне базового года. Обеспечение выплат ежегодных единовременных денежных пособий к 9 мая и ежемесячной пожизненной стипендии ветеранам ВОВ, а также ритуальных пособий</t>
    </r>
  </si>
  <si>
    <r>
      <rPr>
        <b/>
        <sz val="10"/>
        <rFont val="Times New Roman"/>
        <family val="1"/>
        <charset val="204"/>
      </rPr>
      <t xml:space="preserve">Планирование, управление и администрирование  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</si>
  <si>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rPr>
        <b/>
        <sz val="10"/>
        <rFont val="Times New Roman"/>
        <family val="1"/>
        <charset val="204"/>
      </rPr>
      <t>Предоставление высшего профессионального образования Академией Государственного управления при Президенте Кыргызской Республики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</t>
    </r>
    <r>
      <rPr>
        <sz val="10"/>
        <rFont val="Times New Roman"/>
        <family val="1"/>
        <charset val="204"/>
      </rPr>
      <t xml:space="preserve"> </t>
    </r>
    <r>
      <rPr>
        <i/>
        <sz val="10"/>
        <rFont val="Times New Roman"/>
        <family val="1"/>
        <charset val="204"/>
      </rPr>
      <t>Подготовка кадров с высшим профессиональным образованием в соответствии с потребностями рынка труда</t>
    </r>
  </si>
  <si>
    <t>Внесение предложений по защите материальных и социальных прав ветеранов и ветеранских организаций</t>
  </si>
  <si>
    <t xml:space="preserve">Планирование, управление и администрирование   </t>
  </si>
  <si>
    <t>Обеспечение  правовой, кадровой, антикоруппционной организационной работы и делопроизводства</t>
  </si>
  <si>
    <t>Государственная поддержка сельского хозяйства.</t>
  </si>
  <si>
    <t>Стоимость продукции животноводства, продаваемая целевыми фермерами в зоне реализации проекта</t>
  </si>
  <si>
    <t>Увеличение числа пунктов переработки и новых сельских предприятий</t>
  </si>
  <si>
    <t>Лицензирование субьектов предпринимательства</t>
  </si>
  <si>
    <t xml:space="preserve">Поддержка и развитие государственного ирригационного фонда и мелиорации. </t>
  </si>
  <si>
    <t>169</t>
  </si>
  <si>
    <t>170</t>
  </si>
  <si>
    <t xml:space="preserve">Устойчивое развитие водоснабжения и водоотведения
</t>
  </si>
  <si>
    <t xml:space="preserve">Степень выполнения национальных и государственных программ  странового уровня </t>
  </si>
  <si>
    <t>Количество реализованных кинопроектов</t>
  </si>
  <si>
    <t>Количество реализованных киномероприятий республиканского и международного значения</t>
  </si>
  <si>
    <t>Количество выпущенных национальных фильмов</t>
  </si>
  <si>
    <t>Уровень посещаемости зрителей от общего  населения страны</t>
  </si>
  <si>
    <t>Количество бесплатных сеансов для социально уязвимых слоев населения</t>
  </si>
  <si>
    <t>Валовый сбор</t>
  </si>
  <si>
    <t>Количество прибывших из стран дальнего и ближнего зарубежья, попадающих под классификацию Всемирной Туристской Организации</t>
  </si>
  <si>
    <t>Доля сферы туристической деятельности в ВВП</t>
  </si>
  <si>
    <t>Экспорт туристических услуг (доходы от приема иностранных граждан)</t>
  </si>
  <si>
    <t>Кыргызский национальный комплеквс "Манас Ордо"</t>
  </si>
  <si>
    <t>Количество посетителей комплекса</t>
  </si>
  <si>
    <t>Количество экспонатов</t>
  </si>
  <si>
    <t>Количество экскурсий</t>
  </si>
  <si>
    <t>Количество видов публикуемой информации (деловые папки, настенный календарь , блокнот, буклет, брошюры( на русском и на кыргызском языке), книги</t>
  </si>
  <si>
    <t>Количество публикаций</t>
  </si>
  <si>
    <t>Бесперебойная подготовка информации о жизни Кыргызстана и работе Президента КР</t>
  </si>
  <si>
    <t>Хронометраж созданных ежедневных информаций, выпускаемых каждым журналистом 9-12 информаций на кыргызском и русском языках</t>
  </si>
  <si>
    <t>Доведение информации о нашей стране до зарубежного читателя</t>
  </si>
  <si>
    <t>Перевод информаций и аналитических материалов на английский и турецкий языки</t>
  </si>
  <si>
    <t>Проведение анализа</t>
  </si>
  <si>
    <t>Хронометраж посещаемости сайта в среднем в год</t>
  </si>
  <si>
    <t xml:space="preserve">Организация разработки и реализация отраслевых и территориальных программ/планов по снижению риска бедствий </t>
  </si>
  <si>
    <t xml:space="preserve">Реализация «Зеленого проекта» по снижению уровня угрозы на потенциально опасных участках </t>
  </si>
  <si>
    <t>Количество посаженных зеленых насаждений/год</t>
  </si>
  <si>
    <t>Повышение готовности государственной системы Гражданской защиты на всех уровнях управления</t>
  </si>
  <si>
    <t>46 Центрально-Азиатский Институт прикладных Исследований Земли             (ЦАИИЗ)</t>
  </si>
  <si>
    <t xml:space="preserve">Исследование опасных природных ресурсов, климата и водных ресурсов и геоэкологии и создание системы мониторинга
</t>
  </si>
  <si>
    <t xml:space="preserve">Управление  человеческими ресурсами </t>
  </si>
  <si>
    <t>Приобретение тифлосурдосредств инвалидам по зрению и слуху для реабилитации  и интеграции в здоровое общество</t>
  </si>
  <si>
    <t>Студия звукозаписи, создание  книжного фонда аудио книгами на СД и жестких дисках на кыргызском и русском языках</t>
  </si>
  <si>
    <t>Рост среднемесячной оплаты труда инвалидов по зрению и слуху  к 2019 году</t>
  </si>
  <si>
    <t xml:space="preserve">Создание и развитие Национального корпуса кыргызского языка , формирование и развитие научного стиля кыргызского языка </t>
  </si>
  <si>
    <t>Цель программы: Стандартизация и совершенствование  технологий преподавния языков</t>
  </si>
  <si>
    <t>Издание учебно-методической литературы по изучению языка: кыргызский язык для русскоязычных групп, издание на конкурсной основе детской и юношеской литературы на госязыке, литература для детей 5-6 лет, киига "Кыргыз эл жомоктору"</t>
  </si>
  <si>
    <t>Издание печатной продукции "Словари народов мира"</t>
  </si>
  <si>
    <t>Согласно программам передач</t>
  </si>
  <si>
    <t>Каждая по 500 экз</t>
  </si>
  <si>
    <t xml:space="preserve">Создание веб-портала для электронной формы терминов </t>
  </si>
  <si>
    <t>1 веб-портал</t>
  </si>
  <si>
    <t xml:space="preserve">Развитие местного самоуправления, создание и укрепление межэтнического  согласия </t>
  </si>
  <si>
    <t>992</t>
  </si>
  <si>
    <t>Копировано и доставлено</t>
  </si>
  <si>
    <t>Копировано и доставлено фотофонодокументов</t>
  </si>
  <si>
    <t xml:space="preserve">Доля сотрудников прошедших в течение последних 3 лет программы переобучения или повышения квалификации </t>
  </si>
  <si>
    <t>Количество НПА разработанных ГИЭТБ</t>
  </si>
  <si>
    <t xml:space="preserve">Восприятие общественности к уровню коррупции </t>
  </si>
  <si>
    <t xml:space="preserve">Количество показанных видеороликов по работе ГИЭТБ </t>
  </si>
  <si>
    <t>Доля профилактических мероприятий в общем объеме контрольно-надзорной деятельности</t>
  </si>
  <si>
    <t xml:space="preserve">Количество проведенных семинаров, конференций, разъяснительной работы в средствах массовой информации, горячих линий и подобных мероприятий </t>
  </si>
  <si>
    <t xml:space="preserve">Количество привлеченных грантов </t>
  </si>
  <si>
    <t xml:space="preserve">Доля сотрудников служб обеспечения от общей численности сотрудников центрального аппарата и региональных управлений </t>
  </si>
  <si>
    <t>1)Степень достижения результатов, установленных в Плане действий ПКР по реализации Программы ПКР, утвержденной ЖК КР на текущий год (могут применяться весовые значения результатов);                              2) Степень достижения результатов в личном плане руководителя;  3) Индекс доверия населения;         4)Уровень исполнительской дисциплины.</t>
  </si>
  <si>
    <t>Содействие в изменении категории земель под свалками и полигонами</t>
  </si>
  <si>
    <t>Количесство проверок лесных хозяйств и ООПТ в борьбе с незаконными посягательствами на лесные ресурсы</t>
  </si>
  <si>
    <t>Обеспечение сохранности лесном покрытой площади страны</t>
  </si>
  <si>
    <t>Количество объектов нарушивших в процессе контроля и надзора водными ресурсами и объектами</t>
  </si>
  <si>
    <t>Количество пунктов предписаний по предупреждению и недопущению в области водных ресурсов и объектов</t>
  </si>
  <si>
    <t>Мониторинг по водным ресурсам и объектам по обеспечению безопасности жизнедеятельности населения и консультация граждан</t>
  </si>
  <si>
    <t>Объем рекультивированных земель по отношению к общей площади земель подлежащих рекултивации</t>
  </si>
  <si>
    <t>Собюлдение норм и правил по радиационной безопасности на радиационных объектах и на предприятиях использующие источники ионизирующего излучения</t>
  </si>
  <si>
    <t xml:space="preserve">Общее количество пострадавших и травмированных случаев, по контролируемым видам рисков </t>
  </si>
  <si>
    <t>Коэффициент частоты травматизма(отношение количества пострадавщих за год к среднесписочной численности работающиж в расчете на 1000 работающих)</t>
  </si>
  <si>
    <t>Коэффициент частоты травматизма со смертельным исходом (отношение количества погтбщих за год к среднесписочной численности работающих в 1000 работающих)</t>
  </si>
  <si>
    <t>Предотвращение инцидентов, аварий и несчастных случаев на опасных производственных объектов</t>
  </si>
  <si>
    <t>Количество несчастных случаев, связанных с нарушениями в сфере горного надзора</t>
  </si>
  <si>
    <t xml:space="preserve">Количество нарушений, связанных с нарушениями правил эксплуатации производственных объектов </t>
  </si>
  <si>
    <t>Количество отклонений проводимых работ от проекта</t>
  </si>
  <si>
    <t>Количество инцидентов, связанных с нарушениями лицензионных соглашений</t>
  </si>
  <si>
    <t>Снижение доли самовольно строящихся и эксплуатирующихся объектов</t>
  </si>
  <si>
    <t>Увеличение доли построенных и реконстрируемых зданий и сооружений, всех форм собственности, кроме индивидуальных жилых домов, соответствующих параметрам сейсмостойкости и надежности</t>
  </si>
  <si>
    <t>Мониторинг и ведение разъяснительных работ в целях недопущения правонарушений в сфере архитектуры и градостроительства</t>
  </si>
  <si>
    <t>Количество инцидентов, связанных с нарушениями технологий и норм (аварийные отключения)</t>
  </si>
  <si>
    <t>Количество несчастных случаев на производстве в энергетической отрасли</t>
  </si>
  <si>
    <t>Предотвращение возможных черезвычайных ситуаций (пожар)</t>
  </si>
  <si>
    <t>Предотвращение доступа на рынка продукции, не соответствующей требованиям технических регламентов ЕАЭС</t>
  </si>
  <si>
    <t>Предотвращение нарушений продукции, не соответствующей требованиям технических регламентов ЕАЭС в процессе эксплуатации</t>
  </si>
  <si>
    <t>Предотвращение нарушений в сфере деятельности водного транспорта</t>
  </si>
  <si>
    <t>Защита интересов государства и граждан от последствий недостоверных результатов измерения</t>
  </si>
  <si>
    <t>Общее количество проверок</t>
  </si>
  <si>
    <t>Количество нарушений требований закона КР "ОЕИ" (количество непроверенных СИ)</t>
  </si>
  <si>
    <t>Выявление нарушений связанных с несоблюдением требований технических регламентов Таможенного союза</t>
  </si>
  <si>
    <t>001.</t>
  </si>
  <si>
    <t xml:space="preserve">Степень выполнения отраслевых программ </t>
  </si>
  <si>
    <t>002.</t>
  </si>
  <si>
    <t xml:space="preserve">Поиск и оценка  месторождений различных видов полезных ископаемых.
</t>
  </si>
  <si>
    <t xml:space="preserve">Мониторинг геологической среды в части наблюдения за режимом и качеством подземных вод и развитием опасных экзогенных геологических процессов
</t>
  </si>
  <si>
    <t xml:space="preserve">Обеспечение доступности геологической информации, анализ и обобщение геологических материалов.   
</t>
  </si>
  <si>
    <t>17</t>
  </si>
  <si>
    <t>Обеспечение населения тепловой энергией</t>
  </si>
  <si>
    <t>983</t>
  </si>
  <si>
    <t>Поддержание инфраструктуры с.Мин-Куш</t>
  </si>
  <si>
    <t>Саночистка и благоустройство</t>
  </si>
  <si>
    <t>984</t>
  </si>
  <si>
    <t>Захоронение радиоактивных отходов</t>
  </si>
  <si>
    <t>Захоронение радиоактивных отходов и дезактивация белья</t>
  </si>
  <si>
    <t>Дезактивации загрязненного белья радиоактивными веществами</t>
  </si>
  <si>
    <t>172</t>
  </si>
  <si>
    <t>Массовость занятий физической культурой и спортом</t>
  </si>
  <si>
    <t>Количество проведенных спортивно-массовых мероприятий</t>
  </si>
  <si>
    <t>Количество учреждений обеспеченных спортивным инвентарем</t>
  </si>
  <si>
    <t xml:space="preserve">Проведение Всемирных игр </t>
  </si>
  <si>
    <t>Количество занимающихся национальными видами спорта</t>
  </si>
  <si>
    <t>Количество учащихся получивших диплом, спортивное звание</t>
  </si>
  <si>
    <t xml:space="preserve">Количество занимающихся детей и молодежи </t>
  </si>
  <si>
    <t>Количество завоеванных призовых мест на спортивной арене</t>
  </si>
  <si>
    <t xml:space="preserve">Количество правовых актов в сфере антидопинговой политики </t>
  </si>
  <si>
    <t>Количество спортсменов, получающих стипендию</t>
  </si>
  <si>
    <t>Мероприятия, направленные на  воспитание молодежи и поддержку молодежных инициатив</t>
  </si>
  <si>
    <t xml:space="preserve">Цель программы: Обеспечение  деятельности системы Агентства и координация реализации других программ </t>
  </si>
  <si>
    <t xml:space="preserve">Обеспечения общего руководства </t>
  </si>
  <si>
    <t xml:space="preserve">Организация финансовой деятельности, правовой поддержки  и организационного обеспечения  </t>
  </si>
  <si>
    <t xml:space="preserve">Привлечение инвестиций и продвижение экпорта </t>
  </si>
  <si>
    <t>Привлечение инвестиций</t>
  </si>
  <si>
    <t>Способствование продвижению экспорта отечественных товаров</t>
  </si>
  <si>
    <t>Развитие небанковских финансовых организаций(НПФ,ломбарды,лотереии)</t>
  </si>
  <si>
    <t>Индекс эффективности исполнения задач</t>
  </si>
  <si>
    <t>Разработка Генеральной схемы Иссык-Кульской курортно-рекрационной зоны</t>
  </si>
  <si>
    <t>Создание условий для устойчивого разития питьевовго водоснабжения и водоотведения населенных пунктов</t>
  </si>
  <si>
    <t>99</t>
  </si>
  <si>
    <t>Реализация проектов гос.инвестиций</t>
  </si>
  <si>
    <t xml:space="preserve">Создание социальных видеороликов антикоррупционной направленности </t>
  </si>
  <si>
    <t>176</t>
  </si>
  <si>
    <t>177</t>
  </si>
  <si>
    <t>Программа государственных инвестиций</t>
  </si>
  <si>
    <t xml:space="preserve"> Защита и представление прав и интересов Правительства Кыргызской Республики, а также интересов Кыргызской Республики   в международных и местных судебных органах
</t>
  </si>
  <si>
    <t>Количество исследовательских продуктов (отчеты,аналитические записки,справки,рекомендации,статьи,доклады(тезисы к докладам) методические вклады и.т.д.)в области  социально экономической сферы, внутренней и внешней политики</t>
  </si>
  <si>
    <t>Количество исследовательских продуктов (отчеты,аналитические записки,справки,рекомендации,статьи,доклады(тезисы к докладам) методические вклады и.т.д.)в области  социально  экономической сферы, внутренней и внешней политики</t>
  </si>
  <si>
    <t xml:space="preserve">71. Государственная служба финансовой разведки Кыргызской Республики </t>
  </si>
  <si>
    <t>Обеспечение надлежащей деятельности ГСФР</t>
  </si>
  <si>
    <t xml:space="preserve">Модернизация деятельности Государственная служба финансовой разведки Кыргызской Республики 
</t>
  </si>
  <si>
    <t>Количество обработанных сообщений, операций (сделок), подлежащих контролю и сообщению.</t>
  </si>
  <si>
    <t>Количество сотрудников, прошедших курсы повышения квалификации от общего количества сотрудников</t>
  </si>
  <si>
    <t>Количество мероприятий реализованных по итогам исполнения  детализированного плана по демонтажу системной коррупции в сфере антимонопольного регулирования</t>
  </si>
  <si>
    <t>Количество реализованных мероприятий по итогам исполнения ведомственного плана мероприятий по противодействию коррупции</t>
  </si>
  <si>
    <t>Среднее количество сотрудников региональных представительств на область КР</t>
  </si>
  <si>
    <t>Количество рассмотренных дел по уменьшению борьеров и монополистических действий с целью увеличения конкурентоспособности</t>
  </si>
  <si>
    <t>Количество установленных цен (тарифов)</t>
  </si>
  <si>
    <t>Количество согласованных форм контрактов</t>
  </si>
  <si>
    <t>Количество согласованных услуг по обоснованным ценам (тарифам)</t>
  </si>
  <si>
    <t>Разработка пятилетнего плана мероприятий по реализации первого этапа Концепции миграциионной политики Кыргызской Республики. Разработка и реализация мер единой политики в области поддержки соотечественников и диаспор за рубежом, проведение форума "Мекендештер"</t>
  </si>
  <si>
    <t>Количество граждан имеющих ограничения на въезд на территорию РФ (черный список)</t>
  </si>
  <si>
    <t xml:space="preserve">Оказание содействия в трудоустройстве гражданам КР  на внешнем рынке труда,  выплата компенсации расходов, связанных с доставкой на родину тел граждан КР,внедрение цифровых инструментов </t>
  </si>
  <si>
    <t xml:space="preserve">Количество проконсультированных граждан по вопросам внешней трудовой миграции и организованного трудоустройства </t>
  </si>
  <si>
    <t>Сумма выплаченных компенсаций</t>
  </si>
  <si>
    <t xml:space="preserve">75. Фонд по управлению государственным имуществом при Правительстве Кыргызской Республики </t>
  </si>
  <si>
    <t>Предоствление государственного имущества в аренду и обеспечение поступления денежных средств в республиканский бюджет</t>
  </si>
  <si>
    <t xml:space="preserve">Членство НАН КР в международных научных организаций </t>
  </si>
  <si>
    <t>Разработка методов и средств прогноза, предотвращения природных и техногенных катастроф. Разработка техники для бурения шпуров и скважин. Региональная геология и полезные ископаемые Кыргызстана</t>
  </si>
  <si>
    <t>Количество внедрений геологических карт</t>
  </si>
  <si>
    <t>Интродукция и селекция и сохранение растений в Кыргызстане.  Изучение лесных растительных ресурсов Кыргызстана с целью их сохранения и устойчивого использования.  Изучение природных запасов и разработка технологий получения биоактивных соединений из полезных и лекарственных растений Кыргызстана</t>
  </si>
  <si>
    <t>Биотестирование животных номинированных в банк генетических ресурсов Кыргызстана.  Разработка научных основ мониторинга,  состояние биологических компонентов природы Кыргызстана</t>
  </si>
  <si>
    <t>Изучение истории кыргызов и Кыргызстана с древности до современности; проблемы изучения,использования культурного наследия Кыргызстана. Особенности развития и проблемы совершенствования рыночных институтов Кыргызской Республики</t>
  </si>
  <si>
    <t>Количество выпущенных работ по теме "Межэтнические конфликты в КР: социологический анализ", "Экономика Кыргызстана: проблемы рационального использования природных ресурсов"</t>
  </si>
  <si>
    <t>Мониторинг и анализ исполнения КР требований международных конвенций в области искоренения пыток и жестокого обращения</t>
  </si>
  <si>
    <t xml:space="preserve">        </t>
  </si>
  <si>
    <t xml:space="preserve"> Издание газеты "Эркин- Тоо"</t>
  </si>
  <si>
    <t>Производство телевизионных и радиопрограмм, их распространение</t>
  </si>
  <si>
    <t>Количество экз.</t>
  </si>
  <si>
    <t>Кол-во тестовых заданий</t>
  </si>
  <si>
    <t>1 веб-портал (% завершонности)</t>
  </si>
  <si>
    <t xml:space="preserve"> Планирование, управление и администрирование                                                                                                        </t>
  </si>
  <si>
    <t xml:space="preserve"> Управление и координация  развития транспортной, дорожной отрасли и гражданской авиации</t>
  </si>
  <si>
    <t>.Улучшение качества предоставления государственных услуг в секторе транспорта   и дорог через разработку НПА</t>
  </si>
  <si>
    <t xml:space="preserve">Планирование финансовых ресурсов, необходимых для поддержания и развития транспортной, дорожной отрасли и гражданской авиации </t>
  </si>
  <si>
    <t xml:space="preserve">Реабилитация и сохранение автомобильных дорог внутреннего назначения </t>
  </si>
  <si>
    <t xml:space="preserve">Подготовка проектно - изыскательских работ и экспертизы для ремонтных работ </t>
  </si>
  <si>
    <t>8/133,4</t>
  </si>
  <si>
    <t xml:space="preserve"> Капитальный ремонт (строительство мостов и дорог)</t>
  </si>
  <si>
    <t>Средний  ремонт (асфальтобетонные покрытия, ШПО, черногравийные покрытия, гравийные покрытия)</t>
  </si>
  <si>
    <t>Текущий ремонт (ямочный ремонт, профилировка, планировка и т.д.)</t>
  </si>
  <si>
    <t>293/100</t>
  </si>
  <si>
    <t>Зимнее и летнее содержание автомобильных дорог</t>
  </si>
  <si>
    <t>Количество жалоб по содержанию дорог</t>
  </si>
  <si>
    <t>Разметка проезжей части, установка дорожных знаков и светофоров.</t>
  </si>
  <si>
    <t>.Проверка качества автомобильных дорог на соответствие стандартам  (ЗП)</t>
  </si>
  <si>
    <t>Материально-техническое обеспечение необходимое для сохранения автомобильных дорог</t>
  </si>
  <si>
    <t xml:space="preserve">Реабилитация международных транспортных коридоров
</t>
  </si>
  <si>
    <t>Реабилитация международных транспортных коридоров восточного направления (Бишкек-Нарын-Торугарт)</t>
  </si>
  <si>
    <t xml:space="preserve"> Реабилитация международных транспортных коридоров восточного направления (Балыкчи-Каракол-Балыкчи)</t>
  </si>
  <si>
    <t>Реабилитация международных транспортных коридоров западного направления (Ош-Баткен-Исфана)</t>
  </si>
  <si>
    <t>Проект "Противолавинная защита автодороги Бишкек-Ош" (JICA) (Грант) ВБ</t>
  </si>
  <si>
    <t xml:space="preserve"> Реабилитация международных транспортных коридоров западного направления (Бишкек-Ош)</t>
  </si>
  <si>
    <t>Реабилитация международных транспортных коридоров (Север-Юг)</t>
  </si>
  <si>
    <t>Проект "Реабилитация а/д Тараз-Талас-Суусамыр" Ф-4 ,км 105-199 (ИБР,СФР)</t>
  </si>
  <si>
    <t xml:space="preserve">Третья фаза  Проект по улучшению дорожных путей сообщения в Центральной Азии ( уч.Туп-Кеген км 39 -76  и развите туризма) </t>
  </si>
  <si>
    <t xml:space="preserve">Регулирование отраслей автомобильного, водного транспорта  и проведение мероприятий направленных на сохранение автомобильных дорог общего пользования Кыргызской Республики  </t>
  </si>
  <si>
    <t>Регулирование и лицензирование деятельности в области автомобильного и водного транспорта</t>
  </si>
  <si>
    <t>Усиление транспортного контроля</t>
  </si>
  <si>
    <t>Пресечение нарушений в сфере транспорта и дорожного хозяйства</t>
  </si>
  <si>
    <t xml:space="preserve">Обеспечение  безопасности полетов </t>
  </si>
  <si>
    <t>Удовлетворение спроса населения  в  воздушных перевозках</t>
  </si>
  <si>
    <t xml:space="preserve">Подготовка квалифицированных специалистов для авиационного и водного транспорта   </t>
  </si>
  <si>
    <t xml:space="preserve">Среднее профессиональное образование для гражданской авиации в соответствии  с государственным заказом на бюджетной основе </t>
  </si>
  <si>
    <t>Высшее профессиональное образование  для гражданской авиации и водного транспорта Кыргызской Республики (контракт)</t>
  </si>
  <si>
    <t xml:space="preserve">Среднее  профессиональное образование для гражданской авиации и повышение квалификаций и переподготовка авиационных специалистов (контракт) </t>
  </si>
  <si>
    <t>количество выявленных нарушений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</si>
  <si>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color theme="1"/>
        <rFont val="Times New Roman"/>
        <family val="1"/>
        <charset val="204"/>
      </rPr>
      <t>Цели про</t>
    </r>
    <r>
      <rPr>
        <sz val="10"/>
        <color theme="1"/>
        <rFont val="Times New Roman"/>
        <family val="1"/>
        <charset val="204"/>
      </rPr>
      <t>граммы: Координирующее и организационное воздействи</t>
    </r>
    <r>
      <rPr>
        <i/>
        <sz val="10"/>
        <color theme="1"/>
        <rFont val="Times New Roman"/>
        <family val="1"/>
        <charset val="204"/>
      </rPr>
      <t>е на реализацию других программ</t>
    </r>
  </si>
  <si>
    <r>
      <rPr>
        <b/>
        <sz val="10"/>
        <color theme="1"/>
        <rFont val="Times New Roman"/>
        <family val="1"/>
        <charset val="204"/>
      </rPr>
      <t xml:space="preserve">Индикатор результативности </t>
    </r>
    <r>
      <rPr>
        <sz val="10"/>
        <color theme="1"/>
        <rFont val="Times New Roman"/>
        <family val="1"/>
        <charset val="204"/>
      </rPr>
      <t>(</t>
    </r>
    <r>
      <rPr>
        <sz val="10"/>
        <color indexed="8"/>
        <rFont val="Times New Roman"/>
        <family val="1"/>
        <charset val="204"/>
      </rPr>
      <t>целевой индикатор по Программе)</t>
    </r>
  </si>
  <si>
    <r>
      <rPr>
        <b/>
        <sz val="10"/>
        <rFont val="Times New Roman"/>
        <family val="1"/>
        <charset val="204"/>
      </rPr>
      <t>Поддержка и развитие государственного ирригационного фонда и мелиорации</t>
    </r>
    <r>
      <rPr>
        <sz val="10"/>
        <rFont val="Times New Roman"/>
        <family val="1"/>
        <charset val="204"/>
      </rPr>
      <t xml:space="preserve">
</t>
    </r>
    <r>
      <rPr>
        <i/>
        <sz val="10"/>
        <rFont val="Times New Roman"/>
        <family val="1"/>
        <charset val="204"/>
      </rPr>
      <t>Цель программы: Обеспечение потребностей в водных ресурсах всех субъектов водопользования для поддержания эффективного функционирования аграрного сектора</t>
    </r>
  </si>
  <si>
    <r>
      <rPr>
        <b/>
        <sz val="10"/>
        <rFont val="Times New Roman"/>
        <family val="1"/>
        <charset val="204"/>
      </rPr>
      <t xml:space="preserve">Планирование, управление и администрирование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</si>
  <si>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0"/>
        <rFont val="Times New Roman"/>
        <family val="1"/>
        <charset val="204"/>
      </rPr>
      <t xml:space="preserve">Сохранение и развитие культуры и искусства, образование в сфере культуры и искусства          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
</t>
    </r>
    <r>
      <rPr>
        <i/>
        <sz val="10"/>
        <rFont val="Times New Roman"/>
        <family val="1"/>
        <charset val="204"/>
      </rPr>
      <t xml:space="preserve">Цели программы: сохранение, развитие культурного наслдеия, создание благоприятных условий для культурного развития, духовного обогащения народа.
</t>
    </r>
  </si>
  <si>
    <r>
      <rPr>
        <b/>
        <sz val="10"/>
        <rFont val="Times New Roman"/>
        <family val="1"/>
        <charset val="204"/>
      </rPr>
      <t xml:space="preserve">Развитие туристической отрасли               </t>
    </r>
    <r>
      <rPr>
        <sz val="10"/>
        <rFont val="Times New Roman"/>
        <family val="1"/>
        <charset val="204"/>
      </rPr>
      <t xml:space="preserve">                   </t>
    </r>
    <r>
      <rPr>
        <i/>
        <sz val="10"/>
        <rFont val="Times New Roman"/>
        <family val="1"/>
        <charset val="204"/>
      </rPr>
      <t>Цель: Кыргызстан должен стать одним из региональных центров туризма в Центральной Азии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</si>
  <si>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</si>
  <si>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Название программы-Информационные услуги
</t>
    </r>
    <r>
      <rPr>
        <i/>
        <sz val="10"/>
        <color indexed="8"/>
        <rFont val="Times New Roman"/>
        <family val="1"/>
        <charset val="204"/>
      </rPr>
      <t>Цель программы: Информационные услуги населению КР и зарубежной аудитории от официальных источников государственной власти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</si>
  <si>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</si>
  <si>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Планирование, управление и администрирование  </t>
    </r>
    <r>
      <rPr>
        <i/>
        <sz val="10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</si>
  <si>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0"/>
        <color theme="1"/>
        <rFont val="Times New Roman"/>
        <family val="1"/>
        <charset val="204"/>
      </rPr>
      <t>Планирование, управление и администрирование</t>
    </r>
    <r>
      <rPr>
        <sz val="10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
</t>
    </r>
    <r>
      <rPr>
        <i/>
        <sz val="10"/>
        <color theme="1"/>
        <rFont val="Times New Roman"/>
        <family val="1"/>
        <charset val="204"/>
      </rPr>
      <t xml:space="preserve">Цель программы:Организация и обеспечение деятельности </t>
    </r>
  </si>
  <si>
    <r>
      <t xml:space="preserve">Фискальная программа 
</t>
    </r>
    <r>
      <rPr>
        <i/>
        <sz val="10"/>
        <rFont val="Times New Roman"/>
        <family val="1"/>
        <charset val="204"/>
      </rPr>
      <t xml:space="preserve">Цель программы:Таможенный контроль </t>
    </r>
  </si>
  <si>
    <r>
      <t xml:space="preserve">Предупреждение и пересечение таможенных правонарушений   
</t>
    </r>
    <r>
      <rPr>
        <i/>
        <sz val="10"/>
        <color theme="1"/>
        <rFont val="Times New Roman"/>
        <family val="1"/>
        <charset val="204"/>
      </rPr>
      <t xml:space="preserve">Цель программы: Обеспечение соблюдения таможенных процедур </t>
    </r>
  </si>
  <si>
    <r>
      <rPr>
        <b/>
        <sz val="10"/>
        <color theme="1"/>
        <rFont val="Times New Roman"/>
        <family val="1"/>
        <charset val="204"/>
      </rPr>
      <t xml:space="preserve">Социальная защита работающих инвалидов по зрению и слуху.           </t>
    </r>
    <r>
      <rPr>
        <sz val="10"/>
        <color theme="1"/>
        <rFont val="Times New Roman"/>
        <family val="1"/>
        <charset val="204"/>
      </rPr>
      <t xml:space="preserve">                                                                   </t>
    </r>
    <r>
      <rPr>
        <i/>
        <sz val="10"/>
        <color theme="1"/>
        <rFont val="Times New Roman"/>
        <family val="1"/>
        <charset val="204"/>
      </rPr>
      <t>Цели программы : приобщение к труду, создание благоприятных условий</t>
    </r>
  </si>
  <si>
    <r>
      <rPr>
        <b/>
        <sz val="10"/>
        <color rgb="FF000000"/>
        <rFont val="Times New Roman"/>
        <family val="1"/>
        <charset val="204"/>
      </rPr>
      <t xml:space="preserve">Планирование, управление и администрирование      </t>
    </r>
    <r>
      <rPr>
        <sz val="10"/>
        <color rgb="FF000000"/>
        <rFont val="Times New Roman"/>
        <family val="1"/>
        <charset val="204"/>
      </rPr>
      <t xml:space="preserve">  </t>
    </r>
    <r>
      <rPr>
        <i/>
        <sz val="10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</si>
  <si>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>Индикатор результативности (</t>
    </r>
    <r>
      <rPr>
        <sz val="10"/>
        <color indexed="8"/>
        <rFont val="Times New Roman"/>
        <family val="1"/>
        <charset val="204"/>
      </rPr>
      <t>индикатор результатов по мере)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</si>
  <si>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Цель программы: Координирование и формирование условий для эффективной работы ГАООСЛХ</t>
    </r>
  </si>
  <si>
    <r>
      <t xml:space="preserve">Обеспечение экологической безопасности
</t>
    </r>
    <r>
      <rPr>
        <i/>
        <sz val="10"/>
        <rFont val="Times New Roman"/>
        <family val="1"/>
        <charset val="204"/>
      </rPr>
      <t xml:space="preserve">Цель программы: Предотвращение воздействия возможных негативных последствий от хозяйственной и иной деятельности на здоровье населения и окружающую среду, в том числе с учетом изменения климата. </t>
    </r>
  </si>
  <si>
    <r>
      <t xml:space="preserve">Развитие лесных экосистем                                      </t>
    </r>
    <r>
      <rPr>
        <i/>
        <sz val="10"/>
        <rFont val="Times New Roman"/>
        <family val="1"/>
        <charset val="204"/>
      </rPr>
      <t>Цель программы: Сохранение лесных экосистем, увеличение лесов и рациональное лесопользование.</t>
    </r>
  </si>
  <si>
    <r>
      <t xml:space="preserve">Учет лесных, охотничьих ресурсов, планирование ведения лесного хозяйства и охотхозяйственной деятельности  
</t>
    </r>
    <r>
      <rPr>
        <i/>
        <sz val="10"/>
        <rFont val="Times New Roman"/>
        <family val="1"/>
        <charset val="204"/>
      </rPr>
      <t>Цель программы: Обеспечение актуальной информацией, о качественной и количественной характеристике лесных ресурсов, охотничьих угодий,  оценка, прогнозирование, планирование и учет</t>
    </r>
  </si>
  <si>
    <r>
      <t xml:space="preserve">Сохранение биоразнообразия  
</t>
    </r>
    <r>
      <rPr>
        <i/>
        <sz val="10"/>
        <rFont val="Times New Roman"/>
        <family val="1"/>
        <charset val="204"/>
      </rPr>
      <t>Цель программы: Сохранение и улучшение биоразнообразия, в т.ч. восстановление численности популяций редких и исчезающих видов животного и растительного мира; устойчивое использование биоразнообразия Кыргызской Республики.</t>
    </r>
  </si>
  <si>
    <r>
      <t xml:space="preserve">Планирование, управление и администрирование.                                               </t>
    </r>
    <r>
      <rPr>
        <i/>
        <sz val="10"/>
        <color indexed="8"/>
        <rFont val="Times New Roman"/>
        <family val="1"/>
        <charset val="204"/>
      </rPr>
      <t xml:space="preserve">Цель программы: Координирование и формирование условий для эффективной работы ГИЭТБ. </t>
    </r>
  </si>
  <si>
    <r>
      <t xml:space="preserve">Мониторинг и контроль экологической безопасности                                   
</t>
    </r>
    <r>
      <rPr>
        <i/>
        <sz val="10"/>
        <rFont val="Times New Roman"/>
        <family val="1"/>
        <charset val="204"/>
      </rPr>
      <t xml:space="preserve">Цель программы: Высший уровень экологической безопасности в Кыргызской Республике </t>
    </r>
  </si>
  <si>
    <r>
      <t xml:space="preserve">Мониторинг и контроль технической безопасности                                     
</t>
    </r>
    <r>
      <rPr>
        <i/>
        <sz val="10"/>
        <rFont val="Times New Roman"/>
        <family val="1"/>
        <charset val="204"/>
      </rPr>
      <t>Цель программы: Высший уровень технической безопасности в Кыргызской Республике</t>
    </r>
  </si>
  <si>
    <r>
      <rPr>
        <b/>
        <sz val="10"/>
        <color theme="1"/>
        <rFont val="Times New Roman"/>
        <family val="1"/>
        <charset val="204"/>
      </rPr>
      <t>Обеспечение общего руководства -</t>
    </r>
    <r>
      <rPr>
        <sz val="10"/>
        <color theme="1"/>
        <rFont val="Times New Roman"/>
        <family val="1"/>
        <charset val="204"/>
      </rPr>
      <t xml:space="preserve"> Управление и координация  развития промышленности, топливно-энергетического комплекса и недропользования (руководство)</t>
    </r>
  </si>
  <si>
    <r>
      <rPr>
        <b/>
        <sz val="10"/>
        <color theme="1"/>
        <rFont val="Times New Roman"/>
        <family val="1"/>
        <charset val="204"/>
      </rPr>
      <t>Совершенствование законодательного регулирования в сфере недропользования, энергетики и промышленности-</t>
    </r>
    <r>
      <rPr>
        <sz val="10"/>
        <color theme="1"/>
        <rFont val="Times New Roman"/>
        <family val="1"/>
        <charset val="204"/>
      </rPr>
      <t xml:space="preserve"> Улучшение качества предоставления государственных услуг в области промышленности, топливно-энергетического комплекса и недропользования  через разработку НПА (сотрудники аппарата)</t>
    </r>
  </si>
  <si>
    <r>
      <rPr>
        <b/>
        <sz val="10"/>
        <color theme="1"/>
        <rFont val="Times New Roman"/>
        <family val="1"/>
        <charset val="204"/>
      </rPr>
      <t xml:space="preserve">Организация деятельности службы обеспечения - </t>
    </r>
    <r>
      <rPr>
        <sz val="10"/>
        <color theme="1"/>
        <rFont val="Times New Roman"/>
        <family val="1"/>
        <charset val="204"/>
      </rPr>
      <t xml:space="preserve">Планирование, управление и администрирования ресурсов, необходимых для поддержания и развития  промышленности, топливно-энергетического комплекса и недропользования </t>
    </r>
  </si>
  <si>
    <r>
      <rPr>
        <b/>
        <sz val="10"/>
        <color theme="1"/>
        <rFont val="Times New Roman"/>
        <family val="1"/>
        <charset val="204"/>
      </rPr>
      <t xml:space="preserve">Государственный заказ  по недропользованию                                                </t>
    </r>
    <r>
      <rPr>
        <sz val="10"/>
        <color theme="1"/>
        <rFont val="Times New Roman"/>
        <family val="1"/>
        <charset val="204"/>
      </rPr>
      <t xml:space="preserve">    </t>
    </r>
    <r>
      <rPr>
        <i/>
        <sz val="10"/>
        <color theme="1"/>
        <rFont val="Times New Roman"/>
        <family val="1"/>
        <charset val="204"/>
      </rPr>
      <t>Цель программ:  Изучение и проведение геолого-разведочных работ,   оказание методической помощи  геологоразведочного процесса</t>
    </r>
  </si>
  <si>
    <r>
      <rPr>
        <b/>
        <sz val="10"/>
        <color theme="1"/>
        <rFont val="Times New Roman"/>
        <family val="1"/>
        <charset val="204"/>
      </rPr>
      <t xml:space="preserve">Стабильное развитие энергетического сектора     </t>
    </r>
    <r>
      <rPr>
        <sz val="10"/>
        <color theme="1"/>
        <rFont val="Times New Roman"/>
        <family val="1"/>
        <charset val="204"/>
      </rPr>
      <t xml:space="preserve">                                           </t>
    </r>
    <r>
      <rPr>
        <i/>
        <sz val="10"/>
        <color theme="1"/>
        <rFont val="Times New Roman"/>
        <family val="1"/>
        <charset val="204"/>
      </rPr>
      <t>Цель программы: Реализация государственной политики в  энергетической сфере</t>
    </r>
  </si>
  <si>
    <r>
      <t xml:space="preserve">Развитие научно-технического потенциала 
</t>
    </r>
    <r>
      <rPr>
        <i/>
        <sz val="10"/>
        <color theme="1"/>
        <rFont val="Times New Roman"/>
        <family val="1"/>
        <charset val="204"/>
      </rPr>
      <t>Цель программы: Поддержание высокого уровня научно-технологического потенциала, направленного на эффективное использование энергетических ресурсов страны.</t>
    </r>
  </si>
  <si>
    <r>
      <rPr>
        <b/>
        <sz val="10"/>
        <color theme="1"/>
        <rFont val="Times New Roman"/>
        <family val="1"/>
        <charset val="204"/>
      </rPr>
      <t>Обеспечение территории КР и ее регионов в топографо-геодезическом и картографическом отношении</t>
    </r>
    <r>
      <rPr>
        <sz val="10"/>
        <color theme="1"/>
        <rFont val="Times New Roman"/>
        <family val="1"/>
        <charset val="204"/>
      </rPr>
      <t xml:space="preserve">
</t>
    </r>
    <r>
      <rPr>
        <i/>
        <sz val="10"/>
        <color theme="1"/>
        <rFont val="Times New Roman"/>
        <family val="1"/>
        <charset val="204"/>
      </rPr>
      <t xml:space="preserve">Цель программы: Современная картографическая и геодезическая основа территории КР для обеспечения геополитических интересов страны </t>
    </r>
  </si>
  <si>
    <r>
      <rPr>
        <b/>
        <sz val="10"/>
        <color theme="1"/>
        <rFont val="Times New Roman"/>
        <family val="1"/>
        <charset val="204"/>
      </rPr>
      <t>Делимитация и демаркация государственной границы Кыргызской Республики</t>
    </r>
    <r>
      <rPr>
        <sz val="10"/>
        <color theme="1"/>
        <rFont val="Times New Roman"/>
        <family val="1"/>
        <charset val="204"/>
      </rPr>
      <t xml:space="preserve">
</t>
    </r>
    <r>
      <rPr>
        <i/>
        <sz val="10"/>
        <color theme="1"/>
        <rFont val="Times New Roman"/>
        <family val="1"/>
        <charset val="204"/>
      </rPr>
      <t xml:space="preserve">Цель программы: Современная картографическая и геодезическая основа территории КР для обеспечения геополитических интересов страны </t>
    </r>
  </si>
  <si>
    <r>
      <t xml:space="preserve">Развитие физической культуры и массового спорта                                                     </t>
    </r>
    <r>
      <rPr>
        <i/>
        <sz val="10"/>
        <rFont val="Times New Roman"/>
        <family val="1"/>
        <charset val="204"/>
      </rPr>
      <t>Цель программы: Доведение массовости занятий физической культурой до 20%</t>
    </r>
  </si>
  <si>
    <r>
      <t xml:space="preserve">Развитие спорта высших достижений                       </t>
    </r>
    <r>
      <rPr>
        <i/>
        <sz val="10"/>
        <rFont val="Times New Roman"/>
        <family val="1"/>
        <charset val="204"/>
      </rPr>
      <t>Цель программы: Повышение имиджа Кыргызской Республики на международной спортивной арене</t>
    </r>
  </si>
  <si>
    <r>
      <t xml:space="preserve">Реализация молодежной  политики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Формирование и развитие новой генерации активной молодежи Кыргызстана</t>
    </r>
  </si>
  <si>
    <r>
      <t xml:space="preserve"> </t>
    </r>
    <r>
      <rPr>
        <b/>
        <sz val="10"/>
        <color theme="1"/>
        <rFont val="Times New Roman"/>
        <family val="1"/>
        <charset val="204"/>
      </rPr>
      <t>Развитие аудита и  бухгалтерского учета</t>
    </r>
  </si>
  <si>
    <r>
      <t xml:space="preserve">Совершенствование государственной кадровой политики
</t>
    </r>
    <r>
      <rPr>
        <i/>
        <sz val="10"/>
        <color theme="1"/>
        <rFont val="Times New Roman"/>
        <family val="1"/>
        <charset val="204"/>
      </rPr>
      <t>Цель программы:Разработка , реализация и обеспечение устойчивого функционирования единой государственной кадровой политики в государственных органах и органах МСУ</t>
    </r>
  </si>
  <si>
    <r>
      <t xml:space="preserve">Повышение эффективности предупреждения и своевременного пресечения экономических и коррупционных правонарушений.
</t>
    </r>
    <r>
      <rPr>
        <i/>
        <sz val="10"/>
        <color theme="1"/>
        <rFont val="Times New Roman"/>
        <family val="1"/>
        <charset val="204"/>
      </rPr>
      <t>Цель программы:Профилактика преступности, устранение причин и условий совершения экономических и коррупционных правонарушений.</t>
    </r>
  </si>
  <si>
    <r>
      <t xml:space="preserve">Планирование, управление и администрирование                        </t>
    </r>
    <r>
      <rPr>
        <i/>
        <sz val="10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</si>
  <si>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Обеспечение ветеринарной, фитосанитарной безопасности  и защита животных от инфекционных заболеваний                                                                                  </t>
    </r>
    <r>
      <rPr>
        <i/>
        <sz val="10"/>
        <rFont val="Times New Roman"/>
        <family val="1"/>
        <charset val="204"/>
      </rPr>
      <t>Цель программы: Обеспечение эпизоотического благополучия, пищевой безопасности, а также контроля болезней, общих для человека и животных.</t>
    </r>
  </si>
  <si>
    <r>
      <t xml:space="preserve">Государственная политика в области информационно-коммуникационных технологий и связи
</t>
    </r>
    <r>
      <rPr>
        <i/>
        <sz val="10"/>
        <rFont val="Times New Roman"/>
        <family val="1"/>
        <charset val="204"/>
      </rPr>
      <t>Цель программы: Создание благоприятных условий для развития электронной подписи и построения современной, высокотехнологичной, конкурентоспособной сети передачи данных для формирования и развития информатизации, электронного управления, рынка услуг в области связи, а также интеграции в общемировое информационное пространство</t>
    </r>
  </si>
  <si>
    <r>
      <t xml:space="preserve">Развитие инфраструктуры электронного управления и электронных услуг
</t>
    </r>
    <r>
      <rPr>
        <i/>
        <sz val="10"/>
        <color theme="1"/>
        <rFont val="Times New Roman"/>
        <family val="1"/>
        <charset val="204"/>
      </rPr>
      <t>Цель программы: Развитие электронного управления, внедрения электронной государственной услуги</t>
    </r>
  </si>
  <si>
    <r>
      <t xml:space="preserve">Регулирование в области электрической и почтовой связи
</t>
    </r>
    <r>
      <rPr>
        <i/>
        <sz val="10"/>
        <color theme="1"/>
        <rFont val="Times New Roman"/>
        <family val="1"/>
        <charset val="204"/>
      </rPr>
      <t>Цель программы: Построение современной высокотехнологичной и конкурентоспособной Национальной сети передачи данных и интеграция Национальной сети в общемировое информационное пространство</t>
    </r>
  </si>
  <si>
    <r>
      <rPr>
        <b/>
        <sz val="10"/>
        <color theme="1"/>
        <rFont val="Times New Roman"/>
        <family val="1"/>
        <charset val="204"/>
      </rPr>
      <t xml:space="preserve">Планирование, управление и администрирование  </t>
    </r>
    <r>
      <rPr>
        <sz val="10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
</t>
    </r>
    <r>
      <rPr>
        <i/>
        <sz val="10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</si>
  <si>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color theme="1"/>
        <rFont val="Times New Roman"/>
        <family val="1"/>
        <charset val="204"/>
      </rPr>
      <t>Цель про</t>
    </r>
    <r>
      <rPr>
        <sz val="10"/>
        <color theme="1"/>
        <rFont val="Times New Roman"/>
        <family val="1"/>
        <charset val="204"/>
      </rPr>
      <t>граммы: Координирующее и организационное воздействи</t>
    </r>
    <r>
      <rPr>
        <i/>
        <sz val="10"/>
        <color theme="1"/>
        <rFont val="Times New Roman"/>
        <family val="1"/>
        <charset val="204"/>
      </rPr>
      <t>е на реализацию других программ</t>
    </r>
  </si>
  <si>
    <r>
      <t xml:space="preserve">Государственная поддержка конкурентных рынков и конкурентной среды в основных отраслях экономики                                                                           </t>
    </r>
    <r>
      <rPr>
        <i/>
        <sz val="10"/>
        <color theme="1"/>
        <rFont val="Times New Roman"/>
        <family val="1"/>
        <charset val="204"/>
      </rPr>
      <t>Цель программы: Эффективное функционирование рынков товаров, работ и услугв условиях здоровой конкуренции</t>
    </r>
  </si>
  <si>
    <r>
      <t xml:space="preserve"> 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</si>
  <si>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Реализация политики в сфере миграции                                                                                                                           </t>
    </r>
    <r>
      <rPr>
        <i/>
        <sz val="10"/>
        <rFont val="Times New Roman"/>
        <family val="1"/>
        <charset val="204"/>
      </rPr>
      <t xml:space="preserve"> Цель программы: Реализации государственной политики в сфере миграции                                     </t>
    </r>
  </si>
  <si>
    <r>
      <t xml:space="preserve">Обеспечение качественного и достоверного статистического учета
</t>
    </r>
    <r>
      <rPr>
        <i/>
        <sz val="10"/>
        <color indexed="8"/>
        <rFont val="Times New Roman"/>
        <family val="1"/>
        <charset val="204"/>
      </rPr>
      <t>Цель программы: Высокий уровень доступности и  достоверности предоставляемой статистической и аналитической информации</t>
    </r>
  </si>
  <si>
    <r>
      <t xml:space="preserve"> Статистический учет и анализ развития отраслей экономики
</t>
    </r>
    <r>
      <rPr>
        <i/>
        <sz val="10"/>
        <color indexed="8"/>
        <rFont val="Times New Roman"/>
        <family val="1"/>
        <charset val="204"/>
      </rPr>
      <t>Цель программы: Высокий уровень информированности субъектов управления для принятия обоснованных управленческих решений</t>
    </r>
  </si>
  <si>
    <r>
      <rPr>
        <b/>
        <sz val="10"/>
        <color indexed="8"/>
        <rFont val="Times New Roman"/>
        <family val="1"/>
        <charset val="204"/>
      </rPr>
      <t>Разработка, совершенствование и внедрение научно-обоснованной методологии в области статистики</t>
    </r>
    <r>
      <rPr>
        <sz val="10"/>
        <color indexed="8"/>
        <rFont val="Times New Roman"/>
        <family val="1"/>
        <charset val="204"/>
      </rPr>
      <t xml:space="preserve">
</t>
    </r>
    <r>
      <rPr>
        <i/>
        <sz val="10"/>
        <color indexed="8"/>
        <rFont val="Times New Roman"/>
        <family val="1"/>
        <charset val="204"/>
      </rPr>
      <t>Цель программы: Высокий уровень качества статистической информации</t>
    </r>
  </si>
  <si>
    <r>
      <t xml:space="preserve">Планирование, управление и администрирование                                  </t>
    </r>
    <r>
      <rPr>
        <i/>
        <sz val="10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</si>
  <si>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Эффективное управление государственным имуществом и систематизированный учет объектов государственной собственности                                           </t>
    </r>
    <r>
      <rPr>
        <i/>
        <sz val="10"/>
        <color theme="1"/>
        <rFont val="Times New Roman"/>
        <family val="1"/>
        <charset val="204"/>
      </rPr>
      <t>Цель программы: Повышение эффективности управления государственной собственностью</t>
    </r>
  </si>
  <si>
    <r>
      <t xml:space="preserve"> Планирование, управление и администрирование                                                                                                                              
</t>
    </r>
    <r>
      <rPr>
        <i/>
        <sz val="10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</si>
  <si>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Управление материальными ценностями государственного и мобилизационного резерва      </t>
    </r>
    <r>
      <rPr>
        <i/>
        <sz val="10"/>
        <color indexed="8"/>
        <rFont val="Times New Roman"/>
        <family val="1"/>
        <charset val="204"/>
      </rPr>
      <t>Цель  программы: Учет и контроль</t>
    </r>
  </si>
  <si>
    <r>
      <t xml:space="preserve">Содействие улучшению качественного состава научных и научно-педагогических кадров, повышению эффективности их подготовки
</t>
    </r>
    <r>
      <rPr>
        <i/>
        <sz val="10"/>
        <color indexed="8"/>
        <rFont val="Times New Roman"/>
        <family val="1"/>
        <charset val="204"/>
      </rPr>
      <t>Цель программы Обеспечение контроля за научным уровнем диссертаций, их научной и практической ценностью, единством требований при аттестации научных и научно-педагогических кадров высшей квалификации</t>
    </r>
  </si>
  <si>
    <r>
      <rPr>
        <b/>
        <sz val="10"/>
        <color indexed="8"/>
        <rFont val="Times New Roman"/>
        <family val="1"/>
        <charset val="204"/>
      </rPr>
      <t xml:space="preserve">Процент решений Президиума ВАК на заключения эекпертных советов и выданных дипломов на положительные решения  </t>
    </r>
    <r>
      <rPr>
        <i/>
        <sz val="9"/>
        <color indexed="8"/>
        <rFont val="Arial"/>
        <family val="2"/>
        <charset val="204"/>
      </rPr>
      <t/>
    </r>
  </si>
  <si>
    <r>
      <rPr>
        <b/>
        <sz val="10"/>
        <color indexed="8"/>
        <rFont val="Times New Roman"/>
        <family val="1"/>
        <charset val="204"/>
      </rPr>
      <t xml:space="preserve">Предоставление медицинских услуг   </t>
    </r>
    <r>
      <rPr>
        <sz val="10"/>
        <color indexed="8"/>
        <rFont val="Times New Roman"/>
        <family val="1"/>
        <charset val="204"/>
      </rPr>
      <t xml:space="preserve">                                          </t>
    </r>
    <r>
      <rPr>
        <i/>
        <sz val="10"/>
        <color indexed="8"/>
        <rFont val="Times New Roman"/>
        <family val="1"/>
        <charset val="204"/>
      </rPr>
      <t xml:space="preserve"> Цель программы:Улучшение качества предоставляемых медицинских услуг.</t>
    </r>
  </si>
  <si>
    <r>
      <t xml:space="preserve">Предупреждение пыток и жестокого обращения в местах лишения и ограничения свободы
</t>
    </r>
    <r>
      <rPr>
        <i/>
        <sz val="10"/>
        <color theme="1"/>
        <rFont val="Times New Roman"/>
        <family val="1"/>
        <charset val="204"/>
      </rPr>
      <t>Цель: Искоренение пыток и жестокого обращения, угрозы их применения  в местах лишения и ограничения свободы, детских учреждениях и психоневрологических диспансерах и т. д.</t>
    </r>
  </si>
  <si>
    <r>
      <rPr>
        <b/>
        <sz val="10"/>
        <color theme="1"/>
        <rFont val="Times New Roman"/>
        <family val="1"/>
        <charset val="204"/>
      </rPr>
      <t>Создание экономических стимулов для развития сектора энергетики</t>
    </r>
    <r>
      <rPr>
        <i/>
        <sz val="10"/>
        <color theme="1"/>
        <rFont val="Times New Roman"/>
        <family val="1"/>
        <charset val="204"/>
      </rPr>
      <t xml:space="preserve">
Цель программы - создание условий повышения экономической эффективности и надежности функционирования действующих в области ТЭК хозяйствующих субъектов</t>
    </r>
  </si>
  <si>
    <r>
      <t xml:space="preserve">Координирование, создание и распространение ТВ
</t>
    </r>
    <r>
      <rPr>
        <i/>
        <sz val="10"/>
        <color theme="1"/>
        <rFont val="Times New Roman"/>
        <family val="1"/>
        <charset val="204"/>
      </rPr>
      <t>Цель программы: Качественное и доступное получение информации по ТВ</t>
    </r>
  </si>
  <si>
    <r>
      <t>Индикатор результативности (</t>
    </r>
    <r>
      <rPr>
        <b/>
        <sz val="10"/>
        <color indexed="8"/>
        <rFont val="Times New Roman"/>
        <family val="1"/>
        <charset val="204"/>
      </rPr>
      <t>целевой индикатор по Программе)</t>
    </r>
  </si>
  <si>
    <r>
      <t xml:space="preserve">Программирование, создание и распространение РВ
</t>
    </r>
    <r>
      <rPr>
        <i/>
        <sz val="10"/>
        <color theme="1"/>
        <rFont val="Times New Roman"/>
        <family val="1"/>
        <charset val="204"/>
      </rPr>
      <t>Цель программы:Качественное и доступное получение информации по РВ</t>
    </r>
  </si>
  <si>
    <r>
      <t xml:space="preserve">Производство ТВ фильмов                                          </t>
    </r>
    <r>
      <rPr>
        <sz val="10"/>
        <color theme="1"/>
        <rFont val="Times New Roman"/>
        <family val="1"/>
        <charset val="204"/>
      </rPr>
      <t xml:space="preserve">  </t>
    </r>
    <r>
      <rPr>
        <i/>
        <sz val="10"/>
        <color theme="1"/>
        <rFont val="Times New Roman"/>
        <family val="1"/>
        <charset val="204"/>
      </rPr>
      <t>Цель программы:Просвещение, пропаганда зрителей</t>
    </r>
  </si>
  <si>
    <r>
      <t xml:space="preserve">Создание и распространение телевещания на территории КР и за ее пределами
</t>
    </r>
    <r>
      <rPr>
        <i/>
        <sz val="10"/>
        <color theme="1"/>
        <rFont val="Times New Roman"/>
        <family val="1"/>
        <charset val="204"/>
      </rPr>
      <t>Цель программы: Оказание информационно-просветительских услуг путем выпуска телепередач в телеэфире</t>
    </r>
  </si>
  <si>
    <r>
      <t xml:space="preserve">Создание и распространение радиовещания на территории КР и за ее пределами
</t>
    </r>
    <r>
      <rPr>
        <i/>
        <sz val="10"/>
        <color theme="1"/>
        <rFont val="Times New Roman"/>
        <family val="1"/>
        <charset val="204"/>
      </rPr>
      <t>Цель программы: Оказание инофрмационно-просветительсикх услуг путем выпуска радиопередач в радиоэфире</t>
    </r>
  </si>
  <si>
    <r>
      <rPr>
        <b/>
        <sz val="10"/>
        <color indexed="8"/>
        <rFont val="Times New Roman"/>
        <family val="1"/>
        <charset val="204"/>
      </rPr>
      <t xml:space="preserve">Планирование, управление и администрирование              </t>
    </r>
    <r>
      <rPr>
        <sz val="10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
</t>
    </r>
    <r>
      <rPr>
        <i/>
        <sz val="10"/>
        <color indexed="8"/>
        <rFont val="Times New Roman"/>
        <family val="1"/>
        <charset val="204"/>
      </rPr>
      <t>Цель программы: Координиция судебно-экспертной деятельности</t>
    </r>
  </si>
  <si>
    <r>
      <rPr>
        <b/>
        <sz val="10"/>
        <color indexed="8"/>
        <rFont val="Times New Roman"/>
        <family val="1"/>
        <charset val="204"/>
      </rPr>
      <t>Осуществление судебно-экспертной деятельности</t>
    </r>
    <r>
      <rPr>
        <sz val="10"/>
        <color indexed="8"/>
        <rFont val="Times New Roman"/>
        <family val="1"/>
        <charset val="204"/>
      </rPr>
      <t xml:space="preserve">
</t>
    </r>
    <r>
      <rPr>
        <i/>
        <sz val="10"/>
        <color indexed="8"/>
        <rFont val="Times New Roman"/>
        <family val="1"/>
        <charset val="204"/>
      </rPr>
      <t>Цель программы: Проведение судебных экспертиз</t>
    </r>
  </si>
  <si>
    <r>
      <t xml:space="preserve">Планирование, управление и администрирование </t>
    </r>
    <r>
      <rPr>
        <i/>
        <sz val="10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</si>
  <si>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Название программы Создание и введение в Кыргызской Республике системы Кыргызтест - как единого измерительного инструмента по определению уровня владения государственным, официальным и международным языками              </t>
    </r>
    <r>
      <rPr>
        <i/>
        <sz val="10"/>
        <color rgb="FF000000"/>
        <rFont val="Times New Roman"/>
        <family val="1"/>
        <charset val="204"/>
      </rPr>
      <t>Цель программы:  Осуществление единой системы оценки уровня владения государственным, официальным и международными языками</t>
    </r>
  </si>
  <si>
    <r>
      <t xml:space="preserve">Организация и планирования мероприятий деятельности Учреждения
</t>
    </r>
    <r>
      <rPr>
        <i/>
        <sz val="10"/>
        <color indexed="8"/>
        <rFont val="Times New Roman"/>
        <family val="1"/>
        <charset val="204"/>
      </rPr>
      <t xml:space="preserve">Цель программы: широкое распространение,сохранение,развитие и популяризация трилогии эпоса "Манас",а также ценностей культурного наследия народного писателя Кыргызской Республики Чингиза Айтматова.  </t>
    </r>
  </si>
  <si>
    <r>
      <rPr>
        <b/>
        <sz val="10"/>
        <rFont val="Times New Roman"/>
        <family val="1"/>
        <charset val="204"/>
      </rPr>
      <t xml:space="preserve">Мониторинг и аудит управления государственными финансами       </t>
    </r>
    <r>
      <rPr>
        <sz val="10"/>
        <rFont val="Times New Roman"/>
        <family val="1"/>
        <charset val="204"/>
      </rPr>
      <t xml:space="preserve">                                                                             
</t>
    </r>
    <r>
      <rPr>
        <i/>
        <sz val="10"/>
        <rFont val="Times New Roman"/>
        <family val="1"/>
        <charset val="204"/>
      </rPr>
      <t>Цель программы: Совершенствование финансового управления и контроля</t>
    </r>
  </si>
  <si>
    <t>Проведение единой согласованной макроэкономической политики</t>
  </si>
  <si>
    <t xml:space="preserve">Развитие экспорта </t>
  </si>
  <si>
    <t xml:space="preserve">Повышение инвестиционной привлекательности и продвижение проектов в рамках ГЧП. </t>
  </si>
  <si>
    <t>Внедрение электронной системы фискализации налоговых процедур</t>
  </si>
  <si>
    <t>Улучшение позиций страны в международных рейтингах</t>
  </si>
  <si>
    <t xml:space="preserve">Разработка системы мониторинга и оценки развития регионов и оценка деятельности Полномочных представителей Правительства Кыргызской Республике, местных государственных администраций, мэрий городов Бишкек, Ош                              </t>
  </si>
  <si>
    <t>Разработка и внедрение автоматизированной информационной системы по выдаче лицензий на экспорт и импорт  товаров, включенных в единый перечень</t>
  </si>
  <si>
    <t>Обеспечение организационно-технической деятельности министерства, а также обучение и повышение квалификации сотрудников</t>
  </si>
  <si>
    <t>Cодействие в разработке программы комплексного развития регионов, в том числе составление экономических прогнозов</t>
  </si>
  <si>
    <t>Осуществление мер по применению оздоровительных процедур банкротства с целью сохранения производства должника</t>
  </si>
  <si>
    <t>Координация и инициирование пректов ГЧП, распространение механизма ГЧП в КР</t>
  </si>
  <si>
    <t>Обеспечение соблюдения международных обязательств Кыргызской Республики перед Всемирной торговой организации и эффективное использование преимуществ участия Кыргызской Республики в рамках многосторонней торговой системы</t>
  </si>
  <si>
    <t>Проведение информационно-разъяснительной работы среди субъектов предприниательства, потребителей продукции о требованиях и правилах устанавливаемых техническими регламентами ТС/ЕАЭС</t>
  </si>
  <si>
    <t>Развитие предоставления услуг по внешнеэкономической деятельности по принципу единого окна</t>
  </si>
  <si>
    <t>Повышение уровня гармонизации  национальных стандартов с международными и европейскими нормами  и защита интересов государства и граждан от последствий недостоверных результатов измерений</t>
  </si>
  <si>
    <t>Подтверждение соответствия КЦА на соответствие ИСО/МЭК 17011</t>
  </si>
  <si>
    <t>Усиление потенциала министерства за счет создания знаний и разработки рекомендаций по совершенствованию экономической политики в приоритетных направлениях, участия в разработке программ и стратегий правительства</t>
  </si>
  <si>
    <t xml:space="preserve">Подготовка технико-экономического обоснования (ТЭО) для строительства мясного халал парка в Кыргызской Республике  с финансированием 50 тыс. долл. США </t>
  </si>
  <si>
    <r>
      <rPr>
        <b/>
        <sz val="10"/>
        <rFont val="Times New Roman"/>
        <family val="1"/>
        <charset val="204"/>
      </rPr>
      <t xml:space="preserve">Сохранение, развитие и популяризация национальной кинематографии                              </t>
    </r>
    <r>
      <rPr>
        <sz val="10"/>
        <rFont val="Times New Roman"/>
        <family val="1"/>
        <charset val="204"/>
      </rPr>
      <t xml:space="preserve">                                                </t>
    </r>
    <r>
      <rPr>
        <i/>
        <sz val="10"/>
        <rFont val="Times New Roman"/>
        <family val="1"/>
        <charset val="204"/>
      </rPr>
      <t>Цель:  Обеспечение прогрессивной динамики роста потенциала и возможнотсей, а также зрительской популярности кыргызского кинематографа</t>
    </r>
  </si>
  <si>
    <r>
      <rPr>
        <b/>
        <sz val="10"/>
        <rFont val="Times New Roman"/>
        <family val="1"/>
        <charset val="204"/>
      </rPr>
      <t xml:space="preserve">Развитие  информационной среды.     </t>
    </r>
    <r>
      <rPr>
        <sz val="10"/>
        <rFont val="Times New Roman"/>
        <family val="1"/>
        <charset val="204"/>
      </rPr>
      <t xml:space="preserve">                                         </t>
    </r>
    <r>
      <rPr>
        <i/>
        <sz val="10"/>
        <rFont val="Times New Roman"/>
        <family val="1"/>
        <charset val="204"/>
      </rPr>
      <t>Цель: Сформировать государственную  информацонную политику</t>
    </r>
  </si>
  <si>
    <r>
      <t xml:space="preserve">Обеспечение равных прав и возможностей в обществе для инвалидов по зрению и слуху.                                                        </t>
    </r>
    <r>
      <rPr>
        <i/>
        <sz val="10"/>
        <color theme="1"/>
        <rFont val="Times New Roman"/>
        <family val="1"/>
        <charset val="204"/>
      </rPr>
      <t>Цель программы : Социальная реабилитация лиц с ограниченными возможностями здоровья</t>
    </r>
  </si>
  <si>
    <r>
      <rPr>
        <b/>
        <sz val="10"/>
        <color theme="1"/>
        <rFont val="Times New Roman"/>
        <family val="1"/>
        <charset val="204"/>
      </rPr>
      <t xml:space="preserve">Государственная политика     </t>
    </r>
    <r>
      <rPr>
        <sz val="10"/>
        <color theme="1"/>
        <rFont val="Times New Roman"/>
        <family val="1"/>
        <charset val="204"/>
      </rPr>
      <t xml:space="preserve">                                              
</t>
    </r>
    <r>
      <rPr>
        <i/>
        <sz val="10"/>
        <color theme="1"/>
        <rFont val="Times New Roman"/>
        <family val="1"/>
        <charset val="204"/>
      </rPr>
      <t xml:space="preserve">Цель программы: Разработка и реализация эффективной государственной политики в области промышленности, топливно-энергетического комплекса и недропользования                  </t>
    </r>
    <r>
      <rPr>
        <sz val="10"/>
        <color theme="1"/>
        <rFont val="Times New Roman"/>
        <family val="1"/>
        <charset val="204"/>
      </rPr>
      <t xml:space="preserve">                  </t>
    </r>
  </si>
  <si>
    <t>Фискализация</t>
  </si>
  <si>
    <t xml:space="preserve">45  Министерство транспорта и дорог Кыргызской Республики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</si>
</sst>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_р_."/>
    <numFmt numFmtId="165" formatCode="#,##0_р_."/>
    <numFmt numFmtId="166" formatCode="###,000__;\-###,000__"/>
    <numFmt numFmtId="167" formatCode="##,#00__;\-##,#00__"/>
    <numFmt numFmtId="168" formatCode="#,##0.0"/>
    <numFmt numFmtId="169" formatCode="0.0"/>
    <numFmt numFmtId="170" formatCode="0.000"/>
    <numFmt numFmtId="171" formatCode="###,000;[Red]\-###,000"/>
    <numFmt numFmtId="172" formatCode="#,##0_ ;[Red]\-#,##0\ "/>
    <numFmt numFmtId="173" formatCode="_-* #,##0.0_р_._-;\-* #,##0.0_р_._-;_-* &quot;-&quot;??_р_._-;_-@_-"/>
    <numFmt numFmtId="174" formatCode="#,##0_ ;\-#,##0\ "/>
    <numFmt numFmtId="175" formatCode="0.0%"/>
    <numFmt numFmtId="176" formatCode="_-* #,##0.0_р_._-;\-* #,##0.0_р_._-;_-* &quot;-&quot;?_р_._-;_-@_-"/>
    <numFmt numFmtId="177" formatCode="_-* #,##0.0\ _с_о_м_-;\-* #,##0.0\ _с_о_м_-;_-* &quot;-&quot;?\ _с_о_м_-;_-@_-"/>
    <numFmt numFmtId="178" formatCode="000000"/>
    <numFmt numFmtId="179" formatCode="0.00;[Red]0.00"/>
    <numFmt numFmtId="180" formatCode="#,##0.0_ ;\-#,##0.0\ "/>
    <numFmt numFmtId="181" formatCode="0;[Red]0"/>
    <numFmt numFmtId="182" formatCode="_ * #,##0.00_ ;_ * \-#,##0.00_ ;_ * &quot;-&quot;??_ ;_ @_ "/>
    <numFmt numFmtId="183" formatCode="_(* #,##0.00_);_(* \(#,##0.00\);_(* &quot;-&quot;??_);_(@_)"/>
    <numFmt numFmtId="184" formatCode="_-* #,##0.00\ _р_._-;\-* #,##0.00\ _р_._-;_-* &quot;-&quot;??\ _р_._-;_-@_-"/>
    <numFmt numFmtId="185" formatCode="_-* #,##0.00\ _₽_-;\-* #,##0.00\ _₽_-;_-* &quot;-&quot;??\ _₽_-;_-@_-"/>
  </numFmts>
  <fonts count="5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u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1"/>
    </font>
    <font>
      <sz val="10"/>
      <color indexed="8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name val="Times New Roman Cyr"/>
      <charset val="204"/>
    </font>
    <font>
      <sz val="12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i/>
      <sz val="9"/>
      <color indexed="8"/>
      <name val="Arial"/>
      <family val="2"/>
      <charset val="204"/>
    </font>
    <font>
      <b/>
      <i/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6" fillId="0" borderId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/>
    <xf numFmtId="0" fontId="7" fillId="0" borderId="0"/>
    <xf numFmtId="0" fontId="13" fillId="0" borderId="0"/>
    <xf numFmtId="0" fontId="11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3" fillId="0" borderId="0"/>
    <xf numFmtId="0" fontId="11" fillId="0" borderId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3" fillId="8" borderId="0" applyNumberFormat="0" applyBorder="0" applyAlignment="0" applyProtection="0"/>
    <xf numFmtId="0" fontId="24" fillId="25" borderId="29" applyNumberFormat="0" applyAlignment="0" applyProtection="0"/>
    <xf numFmtId="0" fontId="24" fillId="25" borderId="29" applyNumberFormat="0" applyAlignment="0" applyProtection="0"/>
    <xf numFmtId="0" fontId="25" fillId="26" borderId="30" applyNumberFormat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8" fillId="0" borderId="31" applyNumberFormat="0" applyFill="0" applyAlignment="0" applyProtection="0"/>
    <xf numFmtId="0" fontId="29" fillId="0" borderId="32" applyNumberFormat="0" applyFill="0" applyAlignment="0" applyProtection="0"/>
    <xf numFmtId="0" fontId="30" fillId="0" borderId="33" applyNumberFormat="0" applyFill="0" applyAlignment="0" applyProtection="0"/>
    <xf numFmtId="0" fontId="30" fillId="0" borderId="0" applyNumberFormat="0" applyFill="0" applyBorder="0" applyAlignment="0" applyProtection="0"/>
    <xf numFmtId="0" fontId="31" fillId="12" borderId="29" applyNumberFormat="0" applyAlignment="0" applyProtection="0"/>
    <xf numFmtId="0" fontId="31" fillId="12" borderId="29" applyNumberFormat="0" applyAlignment="0" applyProtection="0"/>
    <xf numFmtId="0" fontId="32" fillId="0" borderId="34" applyNumberFormat="0" applyFill="0" applyAlignment="0" applyProtection="0"/>
    <xf numFmtId="0" fontId="33" fillId="27" borderId="0" applyNumberFormat="0" applyBorder="0" applyAlignment="0" applyProtection="0"/>
    <xf numFmtId="168" fontId="34" fillId="0" borderId="0"/>
    <xf numFmtId="0" fontId="35" fillId="0" borderId="0"/>
    <xf numFmtId="0" fontId="14" fillId="28" borderId="35" applyNumberFormat="0" applyFont="0" applyAlignment="0" applyProtection="0"/>
    <xf numFmtId="0" fontId="14" fillId="28" borderId="35" applyNumberFormat="0" applyFont="0" applyAlignment="0" applyProtection="0"/>
    <xf numFmtId="0" fontId="36" fillId="25" borderId="36" applyNumberFormat="0" applyAlignment="0" applyProtection="0"/>
    <xf numFmtId="0" fontId="36" fillId="25" borderId="36" applyNumberFormat="0" applyAlignment="0" applyProtection="0"/>
    <xf numFmtId="0" fontId="37" fillId="0" borderId="0" applyNumberFormat="0" applyFill="0" applyBorder="0" applyAlignment="0" applyProtection="0"/>
    <xf numFmtId="0" fontId="38" fillId="0" borderId="37" applyNumberFormat="0" applyFill="0" applyAlignment="0" applyProtection="0"/>
    <xf numFmtId="0" fontId="38" fillId="0" borderId="37" applyNumberFormat="0" applyFill="0" applyAlignment="0" applyProtection="0"/>
    <xf numFmtId="0" fontId="39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/>
    <xf numFmtId="0" fontId="1" fillId="0" borderId="0"/>
    <xf numFmtId="0" fontId="11" fillId="0" borderId="0"/>
    <xf numFmtId="0" fontId="9" fillId="0" borderId="0"/>
    <xf numFmtId="0" fontId="41" fillId="0" borderId="0"/>
    <xf numFmtId="0" fontId="6" fillId="0" borderId="0"/>
    <xf numFmtId="0" fontId="1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42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1" fillId="0" borderId="0"/>
    <xf numFmtId="0" fontId="8" fillId="0" borderId="0"/>
    <xf numFmtId="0" fontId="6" fillId="0" borderId="0"/>
    <xf numFmtId="0" fontId="42" fillId="0" borderId="0"/>
    <xf numFmtId="0" fontId="14" fillId="0" borderId="0"/>
    <xf numFmtId="0" fontId="41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38">
      <alignment vertical="center" wrapText="1"/>
    </xf>
    <xf numFmtId="182" fontId="8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" fillId="0" borderId="0"/>
  </cellStyleXfs>
  <cellXfs count="2313">
    <xf numFmtId="0" fontId="0" fillId="0" borderId="0" xfId="0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right" vertical="center"/>
    </xf>
    <xf numFmtId="164" fontId="4" fillId="0" borderId="0" xfId="0" applyNumberFormat="1" applyFont="1"/>
    <xf numFmtId="164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left" vertical="center" wrapText="1"/>
    </xf>
    <xf numFmtId="164" fontId="4" fillId="0" borderId="0" xfId="0" applyNumberFormat="1" applyFont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164" fontId="4" fillId="3" borderId="0" xfId="0" applyNumberFormat="1" applyFont="1" applyFill="1" applyBorder="1" applyAlignment="1">
      <alignment horizontal="left" vertical="center" wrapText="1"/>
    </xf>
    <xf numFmtId="166" fontId="4" fillId="0" borderId="9" xfId="3" applyNumberFormat="1" applyFont="1" applyFill="1" applyBorder="1" applyAlignment="1">
      <alignment horizontal="center" vertical="center"/>
    </xf>
    <xf numFmtId="164" fontId="4" fillId="3" borderId="0" xfId="0" applyNumberFormat="1" applyFont="1" applyFill="1"/>
    <xf numFmtId="0" fontId="4" fillId="0" borderId="2" xfId="5" applyFont="1" applyFill="1" applyBorder="1" applyAlignment="1">
      <alignment vertical="center" wrapText="1"/>
    </xf>
    <xf numFmtId="0" fontId="4" fillId="3" borderId="2" xfId="4" applyFont="1" applyFill="1" applyBorder="1" applyAlignment="1">
      <alignment horizontal="center" vertical="center" wrapText="1"/>
    </xf>
    <xf numFmtId="166" fontId="4" fillId="0" borderId="6" xfId="3" applyNumberFormat="1" applyFont="1" applyFill="1" applyBorder="1" applyAlignment="1">
      <alignment horizontal="center" vertical="center"/>
    </xf>
    <xf numFmtId="167" fontId="4" fillId="0" borderId="3" xfId="3" applyNumberFormat="1" applyFont="1" applyFill="1" applyBorder="1" applyAlignment="1">
      <alignment horizontal="center" vertical="center"/>
    </xf>
    <xf numFmtId="0" fontId="4" fillId="0" borderId="3" xfId="6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vertical="center" wrapText="1"/>
    </xf>
    <xf numFmtId="0" fontId="4" fillId="3" borderId="3" xfId="6" applyFont="1" applyFill="1" applyBorder="1" applyAlignment="1">
      <alignment horizontal="left" vertical="center" wrapText="1"/>
    </xf>
    <xf numFmtId="167" fontId="4" fillId="0" borderId="2" xfId="3" applyNumberFormat="1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vertical="center" wrapText="1"/>
    </xf>
    <xf numFmtId="0" fontId="4" fillId="0" borderId="1" xfId="3" applyNumberFormat="1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left" vertical="center" wrapText="1"/>
    </xf>
    <xf numFmtId="0" fontId="4" fillId="0" borderId="2" xfId="3" applyFont="1" applyFill="1" applyBorder="1" applyAlignment="1">
      <alignment horizontal="center" vertical="center"/>
    </xf>
    <xf numFmtId="166" fontId="4" fillId="0" borderId="2" xfId="3" applyNumberFormat="1" applyFont="1" applyFill="1" applyBorder="1" applyAlignment="1">
      <alignment horizontal="center" vertical="center"/>
    </xf>
    <xf numFmtId="49" fontId="4" fillId="0" borderId="2" xfId="3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4" fillId="0" borderId="0" xfId="4" applyFont="1" applyAlignment="1"/>
    <xf numFmtId="0" fontId="4" fillId="0" borderId="0" xfId="4" applyFont="1" applyAlignment="1">
      <alignment horizontal="center"/>
    </xf>
    <xf numFmtId="0" fontId="4" fillId="3" borderId="0" xfId="4" applyFont="1" applyFill="1" applyBorder="1" applyAlignment="1">
      <alignment horizontal="center"/>
    </xf>
    <xf numFmtId="168" fontId="4" fillId="3" borderId="0" xfId="4" applyNumberFormat="1" applyFont="1" applyFill="1" applyBorder="1" applyAlignment="1">
      <alignment horizontal="center"/>
    </xf>
    <xf numFmtId="0" fontId="4" fillId="0" borderId="0" xfId="4" applyFont="1"/>
    <xf numFmtId="164" fontId="3" fillId="2" borderId="10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left" vertical="center" wrapText="1"/>
    </xf>
    <xf numFmtId="167" fontId="4" fillId="0" borderId="2" xfId="0" applyNumberFormat="1" applyFont="1" applyFill="1" applyBorder="1" applyAlignment="1">
      <alignment vertical="center"/>
    </xf>
    <xf numFmtId="164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171" fontId="4" fillId="0" borderId="2" xfId="0" applyNumberFormat="1" applyFont="1" applyFill="1" applyBorder="1" applyAlignment="1">
      <alignment horizontal="center" vertical="center"/>
    </xf>
    <xf numFmtId="169" fontId="4" fillId="0" borderId="2" xfId="0" applyNumberFormat="1" applyFont="1" applyFill="1" applyBorder="1" applyAlignment="1">
      <alignment horizontal="center" vertical="center"/>
    </xf>
    <xf numFmtId="172" fontId="4" fillId="0" borderId="2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left"/>
    </xf>
    <xf numFmtId="166" fontId="4" fillId="0" borderId="2" xfId="0" applyNumberFormat="1" applyFont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169" fontId="4" fillId="0" borderId="2" xfId="0" applyNumberFormat="1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vertical="center" wrapText="1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6" applyFont="1" applyFill="1" applyBorder="1" applyAlignment="1">
      <alignment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9" fontId="4" fillId="0" borderId="2" xfId="9" applyFont="1" applyFill="1" applyBorder="1" applyAlignment="1">
      <alignment horizontal="center" vertical="center" wrapText="1"/>
    </xf>
    <xf numFmtId="166" fontId="4" fillId="0" borderId="2" xfId="0" applyNumberFormat="1" applyFont="1" applyFill="1" applyBorder="1" applyAlignment="1">
      <alignment vertical="center"/>
    </xf>
    <xf numFmtId="175" fontId="4" fillId="0" borderId="2" xfId="9" applyNumberFormat="1" applyFont="1" applyFill="1" applyBorder="1" applyAlignment="1">
      <alignment horizontal="center" vertical="center" wrapText="1"/>
    </xf>
    <xf numFmtId="49" fontId="5" fillId="0" borderId="2" xfId="6" applyNumberFormat="1" applyFont="1" applyFill="1" applyBorder="1" applyAlignment="1">
      <alignment horizontal="left" vertical="center" wrapText="1"/>
    </xf>
    <xf numFmtId="49" fontId="4" fillId="0" borderId="2" xfId="6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 wrapText="1"/>
    </xf>
    <xf numFmtId="168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wrapText="1"/>
    </xf>
    <xf numFmtId="0" fontId="4" fillId="0" borderId="11" xfId="0" applyFont="1" applyBorder="1" applyAlignment="1">
      <alignment wrapText="1"/>
    </xf>
    <xf numFmtId="9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49" fontId="4" fillId="0" borderId="2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vertical="top" wrapText="1"/>
    </xf>
    <xf numFmtId="1" fontId="4" fillId="0" borderId="10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wrapText="1"/>
    </xf>
    <xf numFmtId="49" fontId="4" fillId="0" borderId="2" xfId="0" applyNumberFormat="1" applyFont="1" applyBorder="1" applyAlignment="1">
      <alignment horizontal="left" vertical="center" wrapText="1"/>
    </xf>
    <xf numFmtId="164" fontId="4" fillId="4" borderId="5" xfId="10" applyNumberFormat="1" applyFont="1" applyFill="1" applyBorder="1" applyAlignment="1">
      <alignment wrapText="1"/>
    </xf>
    <xf numFmtId="164" fontId="4" fillId="4" borderId="2" xfId="1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horizontal="center"/>
    </xf>
    <xf numFmtId="16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vertical="top" wrapText="1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wrapText="1"/>
    </xf>
    <xf numFmtId="9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9" fontId="4" fillId="0" borderId="6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64" fontId="3" fillId="4" borderId="2" xfId="0" applyNumberFormat="1" applyFont="1" applyFill="1" applyBorder="1" applyAlignment="1">
      <alignment vertical="center"/>
    </xf>
    <xf numFmtId="164" fontId="3" fillId="0" borderId="0" xfId="0" applyNumberFormat="1" applyFont="1" applyFill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/>
    <xf numFmtId="164" fontId="4" fillId="3" borderId="3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top" wrapText="1"/>
    </xf>
    <xf numFmtId="164" fontId="3" fillId="2" borderId="4" xfId="0" applyNumberFormat="1" applyFont="1" applyFill="1" applyBorder="1" applyAlignment="1"/>
    <xf numFmtId="164" fontId="3" fillId="2" borderId="5" xfId="0" applyNumberFormat="1" applyFont="1" applyFill="1" applyBorder="1" applyAlignment="1"/>
    <xf numFmtId="166" fontId="4" fillId="0" borderId="9" xfId="4" applyNumberFormat="1" applyFont="1" applyBorder="1" applyAlignment="1">
      <alignment horizontal="right" vertical="center"/>
    </xf>
    <xf numFmtId="0" fontId="4" fillId="3" borderId="10" xfId="4" applyFont="1" applyFill="1" applyBorder="1" applyAlignment="1">
      <alignment horizontal="right" vertical="center"/>
    </xf>
    <xf numFmtId="0" fontId="4" fillId="3" borderId="10" xfId="4" applyFont="1" applyFill="1" applyBorder="1" applyAlignment="1">
      <alignment vertical="center" wrapText="1"/>
    </xf>
    <xf numFmtId="1" fontId="4" fillId="3" borderId="10" xfId="4" applyNumberFormat="1" applyFont="1" applyFill="1" applyBorder="1" applyAlignment="1">
      <alignment horizontal="center" vertical="center" wrapText="1"/>
    </xf>
    <xf numFmtId="166" fontId="4" fillId="0" borderId="1" xfId="4" applyNumberFormat="1" applyFont="1" applyBorder="1" applyAlignment="1">
      <alignment horizontal="right" vertical="center"/>
    </xf>
    <xf numFmtId="167" fontId="4" fillId="0" borderId="1" xfId="4" applyNumberFormat="1" applyFont="1" applyBorder="1" applyAlignment="1">
      <alignment horizontal="right" vertical="center"/>
    </xf>
    <xf numFmtId="0" fontId="4" fillId="3" borderId="1" xfId="6" applyFont="1" applyFill="1" applyBorder="1" applyAlignment="1">
      <alignment vertical="center" wrapText="1"/>
    </xf>
    <xf numFmtId="169" fontId="4" fillId="3" borderId="2" xfId="4" applyNumberFormat="1" applyFont="1" applyFill="1" applyBorder="1" applyAlignment="1">
      <alignment horizontal="center" vertical="center" wrapText="1"/>
    </xf>
    <xf numFmtId="0" fontId="4" fillId="3" borderId="2" xfId="4" applyFont="1" applyFill="1" applyBorder="1" applyAlignment="1">
      <alignment horizontal="left" vertical="center" wrapText="1"/>
    </xf>
    <xf numFmtId="167" fontId="4" fillId="0" borderId="3" xfId="4" applyNumberFormat="1" applyFont="1" applyBorder="1" applyAlignment="1">
      <alignment horizontal="right" vertical="center"/>
    </xf>
    <xf numFmtId="0" fontId="4" fillId="3" borderId="0" xfId="4" applyFont="1" applyFill="1" applyBorder="1" applyAlignment="1">
      <alignment horizontal="left" vertical="center" wrapText="1"/>
    </xf>
    <xf numFmtId="167" fontId="4" fillId="0" borderId="2" xfId="4" applyNumberFormat="1" applyFont="1" applyBorder="1" applyAlignment="1">
      <alignment horizontal="right" vertical="center"/>
    </xf>
    <xf numFmtId="0" fontId="4" fillId="3" borderId="2" xfId="4" applyFont="1" applyFill="1" applyBorder="1" applyAlignment="1">
      <alignment vertical="center" wrapText="1"/>
    </xf>
    <xf numFmtId="0" fontId="4" fillId="0" borderId="2" xfId="11" applyFont="1" applyBorder="1" applyAlignment="1">
      <alignment horizontal="center" vertical="center"/>
    </xf>
    <xf numFmtId="0" fontId="4" fillId="0" borderId="2" xfId="4" applyFont="1" applyBorder="1" applyAlignment="1">
      <alignment horizontal="center"/>
    </xf>
    <xf numFmtId="0" fontId="4" fillId="3" borderId="2" xfId="11" applyFont="1" applyFill="1" applyBorder="1" applyAlignment="1">
      <alignment vertical="center" wrapText="1"/>
    </xf>
    <xf numFmtId="0" fontId="4" fillId="0" borderId="1" xfId="11" applyFont="1" applyBorder="1" applyAlignment="1">
      <alignment horizontal="center" vertical="center"/>
    </xf>
    <xf numFmtId="0" fontId="4" fillId="3" borderId="1" xfId="11" applyFont="1" applyFill="1" applyBorder="1" applyAlignment="1">
      <alignment vertical="center" wrapText="1"/>
    </xf>
    <xf numFmtId="49" fontId="4" fillId="0" borderId="2" xfId="11" applyNumberFormat="1" applyFont="1" applyBorder="1" applyAlignment="1">
      <alignment horizontal="center" vertical="center"/>
    </xf>
    <xf numFmtId="49" fontId="4" fillId="3" borderId="2" xfId="4" applyNumberFormat="1" applyFont="1" applyFill="1" applyBorder="1" applyAlignment="1">
      <alignment vertical="center"/>
    </xf>
    <xf numFmtId="168" fontId="4" fillId="3" borderId="2" xfId="4" applyNumberFormat="1" applyFont="1" applyFill="1" applyBorder="1" applyAlignment="1">
      <alignment horizontal="center" vertical="center" wrapText="1"/>
    </xf>
    <xf numFmtId="49" fontId="4" fillId="3" borderId="2" xfId="4" applyNumberFormat="1" applyFont="1" applyFill="1" applyBorder="1" applyAlignment="1">
      <alignment horizontal="center" vertical="center"/>
    </xf>
    <xf numFmtId="49" fontId="4" fillId="0" borderId="1" xfId="11" applyNumberFormat="1" applyFont="1" applyBorder="1" applyAlignment="1">
      <alignment horizontal="center" vertical="center"/>
    </xf>
    <xf numFmtId="0" fontId="4" fillId="0" borderId="2" xfId="11" applyFont="1" applyBorder="1" applyAlignment="1">
      <alignment vertical="center" wrapText="1"/>
    </xf>
    <xf numFmtId="49" fontId="4" fillId="3" borderId="1" xfId="4" applyNumberFormat="1" applyFont="1" applyFill="1" applyBorder="1" applyAlignment="1">
      <alignment vertical="center"/>
    </xf>
    <xf numFmtId="168" fontId="4" fillId="3" borderId="1" xfId="4" applyNumberFormat="1" applyFont="1" applyFill="1" applyBorder="1" applyAlignment="1">
      <alignment horizontal="center" vertical="center" wrapText="1"/>
    </xf>
    <xf numFmtId="0" fontId="4" fillId="0" borderId="0" xfId="4" applyFont="1" applyBorder="1" applyAlignment="1">
      <alignment horizontal="justify" vertical="center" wrapText="1"/>
    </xf>
    <xf numFmtId="0" fontId="4" fillId="0" borderId="16" xfId="4" applyFont="1" applyBorder="1" applyAlignment="1">
      <alignment horizontal="justify" vertical="center" wrapText="1"/>
    </xf>
    <xf numFmtId="0" fontId="4" fillId="3" borderId="14" xfId="4" applyFont="1" applyFill="1" applyBorder="1" applyAlignment="1">
      <alignment horizontal="left" vertical="center" wrapText="1"/>
    </xf>
    <xf numFmtId="0" fontId="4" fillId="3" borderId="14" xfId="4" applyFont="1" applyFill="1" applyBorder="1" applyAlignment="1">
      <alignment horizontal="center" vertical="center" wrapText="1"/>
    </xf>
    <xf numFmtId="168" fontId="4" fillId="3" borderId="9" xfId="4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vertical="center" wrapText="1"/>
    </xf>
    <xf numFmtId="164" fontId="4" fillId="2" borderId="8" xfId="0" applyNumberFormat="1" applyFont="1" applyFill="1" applyBorder="1" applyAlignment="1">
      <alignment vertical="center" wrapText="1"/>
    </xf>
    <xf numFmtId="0" fontId="4" fillId="5" borderId="10" xfId="12" applyFont="1" applyFill="1" applyBorder="1" applyAlignment="1">
      <alignment horizontal="right" vertical="center"/>
    </xf>
    <xf numFmtId="0" fontId="4" fillId="5" borderId="10" xfId="12" applyFont="1" applyFill="1" applyBorder="1" applyAlignment="1">
      <alignment horizontal="center" vertical="center" wrapText="1"/>
    </xf>
    <xf numFmtId="0" fontId="4" fillId="5" borderId="2" xfId="12" applyFont="1" applyFill="1" applyBorder="1" applyAlignment="1">
      <alignment vertical="center" wrapText="1"/>
    </xf>
    <xf numFmtId="0" fontId="4" fillId="5" borderId="10" xfId="12" applyFont="1" applyFill="1" applyBorder="1" applyAlignment="1">
      <alignment vertical="center" wrapText="1"/>
    </xf>
    <xf numFmtId="0" fontId="4" fillId="0" borderId="2" xfId="12" applyFont="1" applyBorder="1" applyAlignment="1">
      <alignment horizontal="center"/>
    </xf>
    <xf numFmtId="167" fontId="4" fillId="0" borderId="1" xfId="12" applyNumberFormat="1" applyFont="1" applyBorder="1" applyAlignment="1">
      <alignment horizontal="right" vertical="center"/>
    </xf>
    <xf numFmtId="0" fontId="4" fillId="5" borderId="1" xfId="6" applyFont="1" applyFill="1" applyBorder="1" applyAlignment="1">
      <alignment horizontal="left" vertical="center" wrapText="1"/>
    </xf>
    <xf numFmtId="0" fontId="4" fillId="5" borderId="2" xfId="12" applyFont="1" applyFill="1" applyBorder="1" applyAlignment="1">
      <alignment horizontal="center" vertical="center" wrapText="1"/>
    </xf>
    <xf numFmtId="167" fontId="4" fillId="0" borderId="3" xfId="12" applyNumberFormat="1" applyFont="1" applyBorder="1" applyAlignment="1">
      <alignment horizontal="right" vertical="center"/>
    </xf>
    <xf numFmtId="0" fontId="4" fillId="5" borderId="3" xfId="6" applyFont="1" applyFill="1" applyBorder="1" applyAlignment="1">
      <alignment horizontal="left" vertical="center" wrapText="1"/>
    </xf>
    <xf numFmtId="167" fontId="4" fillId="0" borderId="2" xfId="12" applyNumberFormat="1" applyFont="1" applyBorder="1" applyAlignment="1">
      <alignment horizontal="right" vertical="center"/>
    </xf>
    <xf numFmtId="0" fontId="4" fillId="5" borderId="2" xfId="12" applyFont="1" applyFill="1" applyBorder="1" applyAlignment="1">
      <alignment horizontal="left" vertical="center" wrapText="1"/>
    </xf>
    <xf numFmtId="168" fontId="4" fillId="5" borderId="2" xfId="12" applyNumberFormat="1" applyFont="1" applyFill="1" applyBorder="1" applyAlignment="1">
      <alignment horizontal="center" vertical="center" wrapText="1"/>
    </xf>
    <xf numFmtId="0" fontId="4" fillId="5" borderId="1" xfId="12" applyFont="1" applyFill="1" applyBorder="1" applyAlignment="1">
      <alignment vertical="center" wrapText="1"/>
    </xf>
    <xf numFmtId="49" fontId="4" fillId="5" borderId="1" xfId="12" applyNumberFormat="1" applyFont="1" applyFill="1" applyBorder="1" applyAlignment="1">
      <alignment vertical="center"/>
    </xf>
    <xf numFmtId="0" fontId="4" fillId="5" borderId="1" xfId="12" applyFont="1" applyFill="1" applyBorder="1" applyAlignment="1">
      <alignment horizontal="left" vertical="center" wrapText="1"/>
    </xf>
    <xf numFmtId="0" fontId="4" fillId="5" borderId="2" xfId="6" applyFont="1" applyFill="1" applyBorder="1" applyAlignment="1">
      <alignment vertical="center" wrapText="1"/>
    </xf>
    <xf numFmtId="164" fontId="3" fillId="4" borderId="3" xfId="0" applyNumberFormat="1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vertical="center"/>
    </xf>
    <xf numFmtId="164" fontId="3" fillId="4" borderId="4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3" fillId="2" borderId="7" xfId="0" applyNumberFormat="1" applyFont="1" applyFill="1" applyBorder="1" applyAlignment="1">
      <alignment vertical="center" wrapText="1"/>
    </xf>
    <xf numFmtId="164" fontId="3" fillId="2" borderId="8" xfId="0" applyNumberFormat="1" applyFont="1" applyFill="1" applyBorder="1" applyAlignment="1">
      <alignment vertical="center" wrapText="1"/>
    </xf>
    <xf numFmtId="166" fontId="4" fillId="0" borderId="17" xfId="4" applyNumberFormat="1" applyFont="1" applyBorder="1" applyAlignment="1">
      <alignment horizontal="center" vertical="center"/>
    </xf>
    <xf numFmtId="166" fontId="4" fillId="0" borderId="1" xfId="4" applyNumberFormat="1" applyFont="1" applyBorder="1" applyAlignment="1">
      <alignment horizontal="center" vertical="center"/>
    </xf>
    <xf numFmtId="167" fontId="4" fillId="0" borderId="1" xfId="4" applyNumberFormat="1" applyFont="1" applyBorder="1" applyAlignment="1">
      <alignment horizontal="center" vertical="center"/>
    </xf>
    <xf numFmtId="167" fontId="4" fillId="0" borderId="3" xfId="4" applyNumberFormat="1" applyFont="1" applyBorder="1" applyAlignment="1">
      <alignment horizontal="center" vertical="center"/>
    </xf>
    <xf numFmtId="0" fontId="4" fillId="3" borderId="0" xfId="4" applyFont="1" applyFill="1" applyBorder="1" applyAlignment="1">
      <alignment vertical="center" wrapText="1"/>
    </xf>
    <xf numFmtId="167" fontId="4" fillId="0" borderId="2" xfId="4" applyNumberFormat="1" applyFont="1" applyBorder="1" applyAlignment="1">
      <alignment horizontal="center" vertical="center"/>
    </xf>
    <xf numFmtId="169" fontId="4" fillId="3" borderId="2" xfId="4" applyNumberFormat="1" applyFont="1" applyFill="1" applyBorder="1" applyAlignment="1">
      <alignment vertical="center" wrapText="1"/>
    </xf>
    <xf numFmtId="0" fontId="4" fillId="3" borderId="2" xfId="4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0" fontId="4" fillId="0" borderId="10" xfId="4" applyFont="1" applyFill="1" applyBorder="1" applyAlignment="1">
      <alignment vertical="center" wrapText="1"/>
    </xf>
    <xf numFmtId="0" fontId="4" fillId="0" borderId="10" xfId="4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vertical="center" wrapText="1"/>
    </xf>
    <xf numFmtId="0" fontId="4" fillId="0" borderId="2" xfId="4" applyFont="1" applyFill="1" applyBorder="1" applyAlignment="1">
      <alignment horizontal="center" vertical="center" wrapText="1"/>
    </xf>
    <xf numFmtId="167" fontId="4" fillId="0" borderId="3" xfId="4" applyNumberFormat="1" applyFont="1" applyFill="1" applyBorder="1" applyAlignment="1">
      <alignment horizontal="center" vertical="center"/>
    </xf>
    <xf numFmtId="0" fontId="4" fillId="0" borderId="0" xfId="4" applyFont="1" applyFill="1" applyBorder="1" applyAlignment="1">
      <alignment vertical="center" wrapText="1"/>
    </xf>
    <xf numFmtId="167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left" vertical="center" wrapText="1"/>
    </xf>
    <xf numFmtId="0" fontId="4" fillId="0" borderId="9" xfId="4" applyFont="1" applyFill="1" applyBorder="1" applyAlignment="1">
      <alignment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wrapText="1"/>
    </xf>
    <xf numFmtId="0" fontId="4" fillId="0" borderId="2" xfId="4" applyFont="1" applyFill="1" applyBorder="1" applyAlignment="1">
      <alignment vertical="top" wrapText="1"/>
    </xf>
    <xf numFmtId="0" fontId="4" fillId="0" borderId="0" xfId="4" applyFont="1" applyFill="1" applyBorder="1" applyAlignment="1">
      <alignment wrapText="1"/>
    </xf>
    <xf numFmtId="3" fontId="4" fillId="0" borderId="1" xfId="4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vertical="center" wrapText="1"/>
    </xf>
    <xf numFmtId="164" fontId="3" fillId="2" borderId="6" xfId="0" applyNumberFormat="1" applyFont="1" applyFill="1" applyBorder="1" applyAlignment="1"/>
    <xf numFmtId="164" fontId="3" fillId="2" borderId="7" xfId="0" applyNumberFormat="1" applyFont="1" applyFill="1" applyBorder="1" applyAlignment="1"/>
    <xf numFmtId="164" fontId="3" fillId="2" borderId="8" xfId="0" applyNumberFormat="1" applyFont="1" applyFill="1" applyBorder="1" applyAlignment="1"/>
    <xf numFmtId="164" fontId="4" fillId="0" borderId="18" xfId="0" applyNumberFormat="1" applyFont="1" applyFill="1" applyBorder="1" applyAlignment="1">
      <alignment horizontal="left"/>
    </xf>
    <xf numFmtId="0" fontId="4" fillId="0" borderId="2" xfId="4" applyFont="1" applyBorder="1" applyAlignment="1">
      <alignment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12" xfId="4" applyFont="1" applyBorder="1" applyAlignment="1">
      <alignment vertical="center" wrapText="1"/>
    </xf>
    <xf numFmtId="0" fontId="4" fillId="0" borderId="5" xfId="4" applyFont="1" applyBorder="1" applyAlignment="1">
      <alignment vertical="center" wrapText="1"/>
    </xf>
    <xf numFmtId="0" fontId="4" fillId="0" borderId="5" xfId="4" applyFont="1" applyBorder="1" applyAlignment="1">
      <alignment horizontal="center" vertical="center" wrapText="1"/>
    </xf>
    <xf numFmtId="0" fontId="4" fillId="0" borderId="3" xfId="4" applyFont="1" applyBorder="1" applyAlignment="1">
      <alignment vertical="center" wrapText="1"/>
    </xf>
    <xf numFmtId="0" fontId="4" fillId="3" borderId="5" xfId="4" applyFont="1" applyFill="1" applyBorder="1" applyAlignment="1">
      <alignment vertical="center" wrapText="1"/>
    </xf>
    <xf numFmtId="169" fontId="4" fillId="3" borderId="2" xfId="4" applyNumberFormat="1" applyFont="1" applyFill="1" applyBorder="1" applyAlignment="1">
      <alignment horizontal="center"/>
    </xf>
    <xf numFmtId="0" fontId="4" fillId="0" borderId="6" xfId="4" applyFont="1" applyFill="1" applyBorder="1" applyAlignment="1">
      <alignment horizontal="left" vertical="center" wrapText="1"/>
    </xf>
    <xf numFmtId="164" fontId="3" fillId="4" borderId="19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 wrapText="1"/>
    </xf>
    <xf numFmtId="164" fontId="3" fillId="2" borderId="5" xfId="0" applyNumberFormat="1" applyFont="1" applyFill="1" applyBorder="1" applyAlignment="1">
      <alignment vertical="center" wrapText="1"/>
    </xf>
    <xf numFmtId="164" fontId="4" fillId="3" borderId="2" xfId="0" applyNumberFormat="1" applyFont="1" applyFill="1" applyBorder="1" applyAlignment="1">
      <alignment horizontal="left" vertic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1" fontId="4" fillId="3" borderId="2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vertical="center" wrapText="1"/>
    </xf>
    <xf numFmtId="1" fontId="4" fillId="3" borderId="1" xfId="0" applyNumberFormat="1" applyFont="1" applyFill="1" applyBorder="1" applyAlignment="1">
      <alignment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9" fontId="4" fillId="3" borderId="3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167" fontId="4" fillId="3" borderId="2" xfId="0" applyNumberFormat="1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vertical="center"/>
    </xf>
    <xf numFmtId="168" fontId="4" fillId="3" borderId="2" xfId="11" applyNumberFormat="1" applyFont="1" applyFill="1" applyBorder="1" applyAlignment="1">
      <alignment horizontal="center" vertical="center" wrapText="1"/>
    </xf>
    <xf numFmtId="1" fontId="4" fillId="3" borderId="10" xfId="0" applyNumberFormat="1" applyFont="1" applyFill="1" applyBorder="1" applyAlignment="1">
      <alignment horizontal="right" vertical="center"/>
    </xf>
    <xf numFmtId="169" fontId="4" fillId="3" borderId="2" xfId="0" applyNumberFormat="1" applyFont="1" applyFill="1" applyBorder="1" applyAlignment="1">
      <alignment horizontal="center" vertical="center" wrapText="1"/>
    </xf>
    <xf numFmtId="167" fontId="4" fillId="3" borderId="2" xfId="0" applyNumberFormat="1" applyFont="1" applyFill="1" applyBorder="1" applyAlignment="1">
      <alignment horizontal="right" vertical="center"/>
    </xf>
    <xf numFmtId="0" fontId="4" fillId="3" borderId="11" xfId="0" applyFont="1" applyFill="1" applyBorder="1" applyAlignment="1">
      <alignment horizontal="left" vertical="center" wrapText="1"/>
    </xf>
    <xf numFmtId="167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167" fontId="4" fillId="3" borderId="10" xfId="0" applyNumberFormat="1" applyFont="1" applyFill="1" applyBorder="1" applyAlignment="1">
      <alignment vertical="center" wrapText="1"/>
    </xf>
    <xf numFmtId="1" fontId="4" fillId="3" borderId="10" xfId="0" applyNumberFormat="1" applyFont="1" applyFill="1" applyBorder="1" applyAlignment="1">
      <alignment vertical="center" wrapText="1"/>
    </xf>
    <xf numFmtId="167" fontId="4" fillId="3" borderId="3" xfId="0" applyNumberFormat="1" applyFont="1" applyFill="1" applyBorder="1" applyAlignment="1">
      <alignment horizontal="right" vertical="center"/>
    </xf>
    <xf numFmtId="9" fontId="4" fillId="3" borderId="10" xfId="0" applyNumberFormat="1" applyFont="1" applyFill="1" applyBorder="1" applyAlignment="1">
      <alignment horizontal="center" vertical="center" wrapText="1"/>
    </xf>
    <xf numFmtId="0" fontId="4" fillId="3" borderId="2" xfId="6" applyFont="1" applyFill="1" applyBorder="1" applyAlignment="1">
      <alignment vertical="center" wrapText="1"/>
    </xf>
    <xf numFmtId="167" fontId="4" fillId="3" borderId="2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3" borderId="5" xfId="0" applyFont="1" applyFill="1" applyBorder="1" applyAlignment="1">
      <alignment horizontal="justify" vertical="center" wrapText="1"/>
    </xf>
    <xf numFmtId="0" fontId="4" fillId="3" borderId="5" xfId="0" applyFont="1" applyFill="1" applyBorder="1" applyAlignment="1">
      <alignment horizontal="center" vertical="center" wrapText="1"/>
    </xf>
    <xf numFmtId="167" fontId="4" fillId="3" borderId="10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64" fontId="4" fillId="0" borderId="2" xfId="6" applyNumberFormat="1" applyFont="1" applyFill="1" applyBorder="1" applyAlignment="1">
      <alignment horizontal="center" vertical="center" wrapText="1"/>
    </xf>
    <xf numFmtId="0" fontId="4" fillId="0" borderId="2" xfId="6" applyNumberFormat="1" applyFont="1" applyFill="1" applyBorder="1" applyAlignment="1">
      <alignment horizontal="center" wrapText="1"/>
    </xf>
    <xf numFmtId="9" fontId="4" fillId="0" borderId="2" xfId="6" applyNumberFormat="1" applyFont="1" applyFill="1" applyBorder="1" applyAlignment="1">
      <alignment horizontal="center" vertical="center" wrapText="1"/>
    </xf>
    <xf numFmtId="0" fontId="4" fillId="0" borderId="2" xfId="13" applyFont="1" applyFill="1" applyBorder="1" applyAlignment="1">
      <alignment horizontal="left" vertical="center" wrapText="1"/>
    </xf>
    <xf numFmtId="169" fontId="12" fillId="0" borderId="2" xfId="0" applyNumberFormat="1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horizontal="left" vertical="top" wrapText="1"/>
    </xf>
    <xf numFmtId="0" fontId="4" fillId="0" borderId="2" xfId="6" applyFont="1" applyFill="1" applyBorder="1" applyAlignment="1">
      <alignment wrapText="1"/>
    </xf>
    <xf numFmtId="1" fontId="4" fillId="0" borderId="2" xfId="6" applyNumberFormat="1" applyFont="1" applyFill="1" applyBorder="1" applyAlignment="1">
      <alignment horizontal="center" vertical="center" wrapText="1"/>
    </xf>
    <xf numFmtId="49" fontId="4" fillId="0" borderId="2" xfId="6" applyNumberFormat="1" applyFont="1" applyFill="1" applyBorder="1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4" fillId="0" borderId="2" xfId="6" applyNumberFormat="1" applyFont="1" applyFill="1" applyBorder="1" applyAlignment="1">
      <alignment horizontal="center" vertical="center" wrapText="1"/>
    </xf>
    <xf numFmtId="175" fontId="4" fillId="0" borderId="2" xfId="6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/>
    <xf numFmtId="0" fontId="4" fillId="0" borderId="2" xfId="9" applyNumberFormat="1" applyFont="1" applyFill="1" applyBorder="1" applyAlignment="1">
      <alignment horizontal="center" vertical="center" wrapText="1"/>
    </xf>
    <xf numFmtId="173" fontId="4" fillId="0" borderId="2" xfId="8" applyNumberFormat="1" applyFont="1" applyFill="1" applyBorder="1" applyAlignment="1">
      <alignment horizontal="center" vertical="center" wrapText="1"/>
    </xf>
    <xf numFmtId="0" fontId="4" fillId="0" borderId="10" xfId="9" applyNumberFormat="1" applyFont="1" applyFill="1" applyBorder="1" applyAlignment="1">
      <alignment horizontal="center" vertical="center" wrapText="1"/>
    </xf>
    <xf numFmtId="175" fontId="4" fillId="0" borderId="1" xfId="9" applyNumberFormat="1" applyFont="1" applyFill="1" applyBorder="1" applyAlignment="1">
      <alignment horizontal="center" vertical="center" wrapText="1"/>
    </xf>
    <xf numFmtId="175" fontId="4" fillId="0" borderId="5" xfId="9" applyNumberFormat="1" applyFont="1" applyFill="1" applyBorder="1" applyAlignment="1">
      <alignment horizontal="center" vertical="center" wrapText="1"/>
    </xf>
    <xf numFmtId="0" fontId="4" fillId="0" borderId="3" xfId="6" applyFont="1" applyFill="1" applyBorder="1" applyAlignment="1">
      <alignment vertical="top" wrapText="1"/>
    </xf>
    <xf numFmtId="0" fontId="4" fillId="0" borderId="4" xfId="6" applyFont="1" applyFill="1" applyBorder="1" applyAlignment="1">
      <alignment vertical="top" wrapText="1"/>
    </xf>
    <xf numFmtId="0" fontId="4" fillId="0" borderId="4" xfId="6" applyFont="1" applyFill="1" applyBorder="1" applyAlignment="1">
      <alignment horizontal="center" vertical="top" wrapText="1"/>
    </xf>
    <xf numFmtId="0" fontId="4" fillId="0" borderId="5" xfId="6" applyFont="1" applyFill="1" applyBorder="1" applyAlignment="1">
      <alignment horizontal="center" vertical="top" wrapText="1"/>
    </xf>
    <xf numFmtId="175" fontId="4" fillId="0" borderId="10" xfId="9" applyNumberFormat="1" applyFont="1" applyFill="1" applyBorder="1" applyAlignment="1">
      <alignment horizontal="center" vertical="center" wrapText="1"/>
    </xf>
    <xf numFmtId="175" fontId="4" fillId="0" borderId="9" xfId="9" applyNumberFormat="1" applyFont="1" applyFill="1" applyBorder="1" applyAlignment="1">
      <alignment horizontal="center" vertical="center" wrapText="1"/>
    </xf>
    <xf numFmtId="0" fontId="4" fillId="0" borderId="5" xfId="6" applyFont="1" applyFill="1" applyBorder="1" applyAlignment="1">
      <alignment vertical="top" wrapText="1"/>
    </xf>
    <xf numFmtId="0" fontId="4" fillId="0" borderId="3" xfId="6" applyFont="1" applyFill="1" applyBorder="1" applyAlignment="1">
      <alignment vertical="center" wrapText="1"/>
    </xf>
    <xf numFmtId="1" fontId="4" fillId="0" borderId="2" xfId="9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vertical="center"/>
    </xf>
    <xf numFmtId="166" fontId="4" fillId="0" borderId="3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/>
    <xf numFmtId="167" fontId="4" fillId="0" borderId="2" xfId="0" applyNumberFormat="1" applyFont="1" applyBorder="1" applyAlignment="1">
      <alignment horizontal="right" vertical="center"/>
    </xf>
    <xf numFmtId="164" fontId="4" fillId="4" borderId="3" xfId="0" applyNumberFormat="1" applyFont="1" applyFill="1" applyBorder="1" applyAlignment="1">
      <alignment vertical="center" wrapText="1"/>
    </xf>
    <xf numFmtId="164" fontId="4" fillId="4" borderId="4" xfId="0" applyNumberFormat="1" applyFont="1" applyFill="1" applyBorder="1" applyAlignment="1">
      <alignment vertical="center" wrapText="1"/>
    </xf>
    <xf numFmtId="164" fontId="4" fillId="4" borderId="3" xfId="6" applyNumberFormat="1" applyFont="1" applyFill="1" applyBorder="1" applyAlignment="1">
      <alignment vertical="top" wrapText="1"/>
    </xf>
    <xf numFmtId="164" fontId="4" fillId="4" borderId="4" xfId="6" applyNumberFormat="1" applyFont="1" applyFill="1" applyBorder="1" applyAlignment="1">
      <alignment vertical="top" wrapText="1"/>
    </xf>
    <xf numFmtId="164" fontId="4" fillId="4" borderId="5" xfId="6" applyNumberFormat="1" applyFont="1" applyFill="1" applyBorder="1" applyAlignment="1">
      <alignment vertical="top" wrapText="1"/>
    </xf>
    <xf numFmtId="164" fontId="3" fillId="2" borderId="3" xfId="0" applyNumberFormat="1" applyFont="1" applyFill="1" applyBorder="1" applyAlignment="1"/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vertical="center" wrapText="1"/>
    </xf>
    <xf numFmtId="3" fontId="3" fillId="3" borderId="1" xfId="8" applyNumberFormat="1" applyFont="1" applyFill="1" applyBorder="1" applyAlignment="1">
      <alignment horizontal="right" vertical="center" wrapText="1" indent="1"/>
    </xf>
    <xf numFmtId="0" fontId="4" fillId="3" borderId="18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justify" vertical="center"/>
    </xf>
    <xf numFmtId="0" fontId="4" fillId="3" borderId="1" xfId="0" applyFont="1" applyFill="1" applyBorder="1" applyAlignment="1">
      <alignment horizontal="justify" vertical="center"/>
    </xf>
    <xf numFmtId="0" fontId="4" fillId="3" borderId="10" xfId="0" applyFont="1" applyFill="1" applyBorder="1" applyAlignment="1">
      <alignment horizontal="justify" vertical="center"/>
    </xf>
    <xf numFmtId="0" fontId="4" fillId="3" borderId="9" xfId="0" applyFont="1" applyFill="1" applyBorder="1" applyAlignment="1">
      <alignment horizontal="justify" vertical="center"/>
    </xf>
    <xf numFmtId="3" fontId="4" fillId="3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169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left" vertical="center"/>
    </xf>
    <xf numFmtId="3" fontId="3" fillId="3" borderId="2" xfId="8" applyNumberFormat="1" applyFont="1" applyFill="1" applyBorder="1" applyAlignment="1">
      <alignment horizontal="right" vertical="center" wrapText="1" indent="1"/>
    </xf>
    <xf numFmtId="0" fontId="4" fillId="3" borderId="10" xfId="0" applyFont="1" applyFill="1" applyBorder="1" applyAlignment="1">
      <alignment vertical="top" wrapText="1"/>
    </xf>
    <xf numFmtId="3" fontId="4" fillId="3" borderId="10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vertical="top"/>
    </xf>
    <xf numFmtId="0" fontId="12" fillId="3" borderId="3" xfId="0" applyFont="1" applyFill="1" applyBorder="1" applyAlignment="1">
      <alignment wrapText="1"/>
    </xf>
    <xf numFmtId="0" fontId="1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wrapText="1"/>
    </xf>
    <xf numFmtId="49" fontId="3" fillId="3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top" wrapText="1"/>
    </xf>
    <xf numFmtId="0" fontId="4" fillId="3" borderId="2" xfId="14" applyFont="1" applyFill="1" applyBorder="1" applyAlignment="1">
      <alignment vertical="top" wrapText="1"/>
    </xf>
    <xf numFmtId="0" fontId="4" fillId="3" borderId="2" xfId="14" applyFont="1" applyFill="1" applyBorder="1" applyAlignment="1">
      <alignment horizontal="center" vertical="center" wrapText="1"/>
    </xf>
    <xf numFmtId="3" fontId="4" fillId="3" borderId="2" xfId="14" applyNumberFormat="1" applyFont="1" applyFill="1" applyBorder="1" applyAlignment="1">
      <alignment horizontal="center" vertical="center" wrapText="1"/>
    </xf>
    <xf numFmtId="0" fontId="4" fillId="3" borderId="2" xfId="14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vertical="top" wrapText="1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11" xfId="0" applyNumberFormat="1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left" vertical="center" wrapText="1"/>
    </xf>
    <xf numFmtId="164" fontId="4" fillId="4" borderId="12" xfId="0" applyNumberFormat="1" applyFont="1" applyFill="1" applyBorder="1" applyAlignment="1">
      <alignment horizontal="left" vertical="center" wrapText="1"/>
    </xf>
    <xf numFmtId="165" fontId="4" fillId="0" borderId="2" xfId="15" applyNumberFormat="1" applyFont="1" applyBorder="1" applyAlignment="1">
      <alignment horizontal="center" vertical="center"/>
    </xf>
    <xf numFmtId="165" fontId="4" fillId="5" borderId="2" xfId="15" applyNumberFormat="1" applyFont="1" applyFill="1" applyBorder="1" applyAlignment="1">
      <alignment horizontal="center" vertical="center"/>
    </xf>
    <xf numFmtId="164" fontId="4" fillId="5" borderId="2" xfId="15" applyNumberFormat="1" applyFont="1" applyFill="1" applyBorder="1" applyAlignment="1">
      <alignment horizontal="left" vertical="center" wrapText="1"/>
    </xf>
    <xf numFmtId="164" fontId="4" fillId="5" borderId="2" xfId="15" applyNumberFormat="1" applyFont="1" applyFill="1" applyBorder="1" applyAlignment="1">
      <alignment horizontal="center" vertical="center" wrapText="1"/>
    </xf>
    <xf numFmtId="164" fontId="4" fillId="5" borderId="2" xfId="15" applyNumberFormat="1" applyFont="1" applyFill="1" applyBorder="1" applyAlignment="1">
      <alignment vertical="center" wrapText="1"/>
    </xf>
    <xf numFmtId="164" fontId="4" fillId="5" borderId="2" xfId="16" applyNumberFormat="1" applyFont="1" applyFill="1" applyBorder="1" applyAlignment="1">
      <alignment horizontal="left" vertical="center" wrapText="1"/>
    </xf>
    <xf numFmtId="164" fontId="4" fillId="5" borderId="2" xfId="15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 wrapText="1"/>
    </xf>
    <xf numFmtId="166" fontId="15" fillId="0" borderId="17" xfId="0" applyNumberFormat="1" applyFont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5" fillId="5" borderId="10" xfId="0" applyFont="1" applyFill="1" applyBorder="1" applyAlignment="1">
      <alignment horizontal="left" vertical="center"/>
    </xf>
    <xf numFmtId="0" fontId="15" fillId="5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left" vertical="center" wrapText="1"/>
    </xf>
    <xf numFmtId="164" fontId="4" fillId="0" borderId="0" xfId="0" applyNumberFormat="1" applyFont="1" applyAlignment="1">
      <alignment horizontal="left"/>
    </xf>
    <xf numFmtId="166" fontId="15" fillId="0" borderId="1" xfId="0" applyNumberFormat="1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5" borderId="1" xfId="6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16" fillId="5" borderId="10" xfId="0" applyFont="1" applyFill="1" applyBorder="1" applyAlignment="1">
      <alignment horizontal="left" vertical="center" wrapText="1"/>
    </xf>
    <xf numFmtId="167" fontId="16" fillId="0" borderId="3" xfId="0" applyNumberFormat="1" applyFont="1" applyBorder="1" applyAlignment="1">
      <alignment horizontal="left" vertical="center"/>
    </xf>
    <xf numFmtId="0" fontId="16" fillId="5" borderId="3" xfId="6" applyFont="1" applyFill="1" applyBorder="1" applyAlignment="1">
      <alignment horizontal="left" vertical="center" wrapText="1"/>
    </xf>
    <xf numFmtId="0" fontId="15" fillId="5" borderId="3" xfId="6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167" fontId="16" fillId="0" borderId="2" xfId="0" applyNumberFormat="1" applyFont="1" applyBorder="1" applyAlignment="1">
      <alignment horizontal="left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49" fontId="15" fillId="5" borderId="1" xfId="0" applyNumberFormat="1" applyFont="1" applyFill="1" applyBorder="1" applyAlignment="1">
      <alignment horizontal="left" vertical="center"/>
    </xf>
    <xf numFmtId="49" fontId="16" fillId="5" borderId="1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left" vertical="center" wrapText="1"/>
    </xf>
    <xf numFmtId="164" fontId="4" fillId="4" borderId="4" xfId="0" applyNumberFormat="1" applyFont="1" applyFill="1" applyBorder="1" applyAlignment="1"/>
    <xf numFmtId="164" fontId="4" fillId="4" borderId="5" xfId="0" applyNumberFormat="1" applyFont="1" applyFill="1" applyBorder="1" applyAlignment="1"/>
    <xf numFmtId="0" fontId="4" fillId="5" borderId="10" xfId="0" applyFont="1" applyFill="1" applyBorder="1" applyAlignment="1">
      <alignment horizontal="right" vertical="center"/>
    </xf>
    <xf numFmtId="0" fontId="4" fillId="0" borderId="10" xfId="0" applyFont="1" applyBorder="1" applyAlignment="1">
      <alignment wrapText="1"/>
    </xf>
    <xf numFmtId="0" fontId="4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6" fillId="0" borderId="10" xfId="0" applyFont="1" applyBorder="1"/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center" vertical="top" wrapText="1"/>
    </xf>
    <xf numFmtId="0" fontId="15" fillId="5" borderId="2" xfId="0" applyFont="1" applyFill="1" applyBorder="1" applyAlignment="1">
      <alignment horizontal="center" vertical="top" wrapText="1"/>
    </xf>
    <xf numFmtId="0" fontId="4" fillId="5" borderId="2" xfId="6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center" vertical="center" wrapText="1"/>
    </xf>
    <xf numFmtId="164" fontId="4" fillId="4" borderId="0" xfId="0" applyNumberFormat="1" applyFont="1" applyFill="1" applyAlignment="1">
      <alignment horizontal="center"/>
    </xf>
    <xf numFmtId="164" fontId="3" fillId="2" borderId="12" xfId="0" applyNumberFormat="1" applyFont="1" applyFill="1" applyBorder="1" applyAlignment="1"/>
    <xf numFmtId="164" fontId="3" fillId="2" borderId="13" xfId="0" applyNumberFormat="1" applyFont="1" applyFill="1" applyBorder="1" applyAlignment="1"/>
    <xf numFmtId="0" fontId="18" fillId="3" borderId="2" xfId="18" applyFont="1" applyFill="1" applyBorder="1" applyAlignment="1">
      <alignment vertical="center" wrapText="1"/>
    </xf>
    <xf numFmtId="0" fontId="12" fillId="3" borderId="2" xfId="18" applyFont="1" applyFill="1" applyBorder="1" applyAlignment="1">
      <alignment horizontal="left" vertical="center" wrapText="1"/>
    </xf>
    <xf numFmtId="164" fontId="4" fillId="3" borderId="2" xfId="0" applyNumberFormat="1" applyFont="1" applyFill="1" applyBorder="1"/>
    <xf numFmtId="0" fontId="12" fillId="3" borderId="2" xfId="18" applyFont="1" applyFill="1" applyBorder="1" applyAlignment="1">
      <alignment horizontal="center" vertical="center" wrapText="1"/>
    </xf>
    <xf numFmtId="0" fontId="12" fillId="3" borderId="2" xfId="18" applyFont="1" applyFill="1" applyBorder="1" applyAlignment="1">
      <alignment horizontal="right" vertical="center" wrapText="1"/>
    </xf>
    <xf numFmtId="0" fontId="12" fillId="3" borderId="2" xfId="18" applyFont="1" applyFill="1" applyBorder="1" applyAlignment="1">
      <alignment horizontal="left" vertical="top" wrapText="1"/>
    </xf>
    <xf numFmtId="0" fontId="12" fillId="3" borderId="2" xfId="18" applyFont="1" applyFill="1" applyBorder="1" applyAlignment="1">
      <alignment horizontal="right" vertical="center"/>
    </xf>
    <xf numFmtId="0" fontId="12" fillId="3" borderId="2" xfId="18" applyFont="1" applyFill="1" applyBorder="1" applyAlignment="1">
      <alignment vertical="center" wrapText="1"/>
    </xf>
    <xf numFmtId="3" fontId="12" fillId="3" borderId="2" xfId="18" applyNumberFormat="1" applyFont="1" applyFill="1" applyBorder="1" applyAlignment="1">
      <alignment horizontal="right" vertical="center" wrapText="1"/>
    </xf>
    <xf numFmtId="0" fontId="18" fillId="3" borderId="2" xfId="18" applyFont="1" applyFill="1" applyBorder="1" applyAlignment="1">
      <alignment horizontal="left" vertical="top" wrapText="1"/>
    </xf>
    <xf numFmtId="0" fontId="18" fillId="3" borderId="2" xfId="18" applyFont="1" applyFill="1" applyBorder="1" applyAlignment="1">
      <alignment horizontal="center" vertical="top" wrapText="1"/>
    </xf>
    <xf numFmtId="168" fontId="12" fillId="3" borderId="2" xfId="18" applyNumberFormat="1" applyFont="1" applyFill="1" applyBorder="1" applyAlignment="1">
      <alignment horizontal="right" vertical="center" wrapText="1"/>
    </xf>
    <xf numFmtId="0" fontId="12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/>
    </xf>
    <xf numFmtId="0" fontId="18" fillId="3" borderId="2" xfId="18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/>
    </xf>
    <xf numFmtId="168" fontId="12" fillId="3" borderId="2" xfId="18" applyNumberFormat="1" applyFont="1" applyFill="1" applyBorder="1" applyAlignment="1">
      <alignment horizontal="center" vertical="center" wrapText="1"/>
    </xf>
    <xf numFmtId="4" fontId="12" fillId="3" borderId="2" xfId="18" applyNumberFormat="1" applyFont="1" applyFill="1" applyBorder="1" applyAlignment="1">
      <alignment horizontal="left" vertical="top" wrapText="1"/>
    </xf>
    <xf numFmtId="1" fontId="12" fillId="3" borderId="2" xfId="9" applyNumberFormat="1" applyFont="1" applyFill="1" applyBorder="1" applyAlignment="1">
      <alignment horizontal="center" vertical="center" wrapText="1"/>
    </xf>
    <xf numFmtId="167" fontId="16" fillId="0" borderId="2" xfId="0" applyNumberFormat="1" applyFont="1" applyBorder="1" applyAlignment="1">
      <alignment vertical="center"/>
    </xf>
    <xf numFmtId="0" fontId="18" fillId="3" borderId="2" xfId="18" applyFont="1" applyFill="1" applyBorder="1" applyAlignment="1">
      <alignment vertical="top" wrapText="1"/>
    </xf>
    <xf numFmtId="0" fontId="12" fillId="0" borderId="2" xfId="18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2" xfId="18" applyFont="1" applyFill="1" applyBorder="1" applyAlignment="1">
      <alignment horizontal="center" vertical="center" wrapText="1"/>
    </xf>
    <xf numFmtId="0" fontId="12" fillId="0" borderId="2" xfId="18" applyNumberFormat="1" applyFont="1" applyFill="1" applyBorder="1" applyAlignment="1">
      <alignment horizontal="center" vertical="center" wrapText="1"/>
    </xf>
    <xf numFmtId="1" fontId="12" fillId="0" borderId="2" xfId="18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 wrapText="1"/>
    </xf>
    <xf numFmtId="3" fontId="12" fillId="0" borderId="2" xfId="18" applyNumberFormat="1" applyFont="1" applyFill="1" applyBorder="1" applyAlignment="1">
      <alignment horizontal="center" vertical="center" wrapText="1"/>
    </xf>
    <xf numFmtId="3" fontId="12" fillId="3" borderId="2" xfId="18" applyNumberFormat="1" applyFont="1" applyFill="1" applyBorder="1" applyAlignment="1">
      <alignment horizontal="center" vertical="center" wrapText="1"/>
    </xf>
    <xf numFmtId="9" fontId="12" fillId="3" borderId="2" xfId="18" applyNumberFormat="1" applyFont="1" applyFill="1" applyBorder="1" applyAlignment="1">
      <alignment horizontal="left" vertical="center" wrapText="1"/>
    </xf>
    <xf numFmtId="0" fontId="12" fillId="3" borderId="2" xfId="18" applyFont="1" applyFill="1" applyBorder="1" applyAlignment="1">
      <alignment horizontal="center"/>
    </xf>
    <xf numFmtId="9" fontId="12" fillId="3" borderId="2" xfId="18" applyNumberFormat="1" applyFont="1" applyFill="1" applyBorder="1" applyAlignment="1">
      <alignment horizontal="right" vertical="center" wrapText="1"/>
    </xf>
    <xf numFmtId="9" fontId="12" fillId="3" borderId="2" xfId="18" applyNumberFormat="1" applyFont="1" applyFill="1" applyBorder="1" applyAlignment="1">
      <alignment horizontal="center" vertical="center" wrapText="1"/>
    </xf>
    <xf numFmtId="0" fontId="12" fillId="3" borderId="2" xfId="18" applyFont="1" applyFill="1" applyBorder="1" applyAlignment="1">
      <alignment horizontal="center" vertical="center"/>
    </xf>
    <xf numFmtId="49" fontId="12" fillId="3" borderId="2" xfId="18" applyNumberFormat="1" applyFont="1" applyFill="1" applyBorder="1" applyAlignment="1">
      <alignment horizontal="center" vertical="center" wrapText="1"/>
    </xf>
    <xf numFmtId="164" fontId="4" fillId="4" borderId="2" xfId="18" applyNumberFormat="1" applyFont="1" applyFill="1" applyBorder="1" applyAlignment="1">
      <alignment vertical="top" wrapText="1"/>
    </xf>
    <xf numFmtId="164" fontId="4" fillId="4" borderId="2" xfId="18" applyNumberFormat="1" applyFont="1" applyFill="1" applyBorder="1" applyAlignment="1">
      <alignment horizontal="center" vertical="center" wrapText="1"/>
    </xf>
    <xf numFmtId="164" fontId="4" fillId="4" borderId="2" xfId="18" applyNumberFormat="1" applyFont="1" applyFill="1" applyBorder="1" applyAlignment="1">
      <alignment horizontal="center" vertical="center"/>
    </xf>
    <xf numFmtId="164" fontId="3" fillId="2" borderId="4" xfId="4" applyNumberFormat="1" applyFont="1" applyFill="1" applyBorder="1" applyAlignment="1">
      <alignment vertical="center" wrapText="1"/>
    </xf>
    <xf numFmtId="164" fontId="3" fillId="2" borderId="5" xfId="4" applyNumberFormat="1" applyFont="1" applyFill="1" applyBorder="1" applyAlignment="1">
      <alignment vertical="center" wrapText="1"/>
    </xf>
    <xf numFmtId="166" fontId="4" fillId="0" borderId="2" xfId="4" applyNumberFormat="1" applyFont="1" applyBorder="1" applyAlignment="1">
      <alignment horizontal="center" vertical="top"/>
    </xf>
    <xf numFmtId="49" fontId="4" fillId="0" borderId="2" xfId="7" applyNumberFormat="1" applyFont="1" applyFill="1" applyBorder="1" applyAlignment="1">
      <alignment horizontal="center" vertical="top"/>
    </xf>
    <xf numFmtId="178" fontId="4" fillId="0" borderId="2" xfId="4" applyNumberFormat="1" applyFont="1" applyFill="1" applyBorder="1"/>
    <xf numFmtId="0" fontId="4" fillId="3" borderId="3" xfId="18" applyFont="1" applyFill="1" applyBorder="1" applyAlignment="1">
      <alignment horizontal="left" vertical="center" wrapText="1"/>
    </xf>
    <xf numFmtId="164" fontId="4" fillId="2" borderId="13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18" applyFont="1" applyFill="1" applyBorder="1" applyAlignment="1">
      <alignment horizontal="center" vertical="center" wrapText="1"/>
    </xf>
    <xf numFmtId="0" fontId="4" fillId="0" borderId="2" xfId="18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vertical="top"/>
    </xf>
    <xf numFmtId="49" fontId="4" fillId="0" borderId="1" xfId="0" applyNumberFormat="1" applyFont="1" applyFill="1" applyBorder="1" applyAlignment="1"/>
    <xf numFmtId="49" fontId="4" fillId="0" borderId="10" xfId="0" applyNumberFormat="1" applyFont="1" applyFill="1" applyBorder="1" applyAlignment="1"/>
    <xf numFmtId="0" fontId="4" fillId="0" borderId="2" xfId="0" applyFont="1" applyFill="1" applyBorder="1" applyAlignment="1">
      <alignment vertical="top" wrapText="1"/>
    </xf>
    <xf numFmtId="3" fontId="4" fillId="0" borderId="2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/>
    <xf numFmtId="3" fontId="4" fillId="0" borderId="2" xfId="0" applyNumberFormat="1" applyFont="1" applyFill="1" applyBorder="1" applyAlignment="1">
      <alignment horizontal="right" vertical="center" wrapText="1"/>
    </xf>
    <xf numFmtId="0" fontId="4" fillId="0" borderId="10" xfId="0" applyFont="1" applyFill="1" applyBorder="1" applyAlignment="1"/>
    <xf numFmtId="168" fontId="4" fillId="0" borderId="2" xfId="0" applyNumberFormat="1" applyFont="1" applyFill="1" applyBorder="1" applyAlignment="1">
      <alignment horizontal="right" vertical="center" wrapText="1"/>
    </xf>
    <xf numFmtId="166" fontId="4" fillId="0" borderId="2" xfId="4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/>
    <xf numFmtId="0" fontId="4" fillId="0" borderId="2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left" wrapText="1"/>
    </xf>
    <xf numFmtId="179" fontId="4" fillId="0" borderId="1" xfId="0" applyNumberFormat="1" applyFont="1" applyFill="1" applyBorder="1" applyAlignment="1">
      <alignment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right" vertical="center" wrapText="1"/>
    </xf>
    <xf numFmtId="49" fontId="4" fillId="0" borderId="2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3" fontId="4" fillId="0" borderId="2" xfId="0" applyNumberFormat="1" applyFont="1" applyFill="1" applyBorder="1" applyAlignment="1">
      <alignment horizontal="right" vertical="center"/>
    </xf>
    <xf numFmtId="180" fontId="4" fillId="0" borderId="2" xfId="21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horizontal="right" vertical="center"/>
    </xf>
    <xf numFmtId="179" fontId="4" fillId="0" borderId="2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vertical="top"/>
    </xf>
    <xf numFmtId="49" fontId="4" fillId="0" borderId="2" xfId="0" applyNumberFormat="1" applyFont="1" applyFill="1" applyBorder="1" applyAlignment="1">
      <alignment horizontal="left" vertical="top" wrapText="1"/>
    </xf>
    <xf numFmtId="181" fontId="4" fillId="0" borderId="2" xfId="0" applyNumberFormat="1" applyFont="1" applyFill="1" applyBorder="1" applyAlignment="1">
      <alignment horizontal="center"/>
    </xf>
    <xf numFmtId="181" fontId="4" fillId="0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left"/>
    </xf>
    <xf numFmtId="164" fontId="4" fillId="0" borderId="7" xfId="0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169" fontId="4" fillId="0" borderId="2" xfId="0" applyNumberFormat="1" applyFont="1" applyFill="1" applyBorder="1" applyAlignment="1">
      <alignment horizontal="right" vertical="center" wrapText="1"/>
    </xf>
    <xf numFmtId="1" fontId="4" fillId="0" borderId="10" xfId="0" applyNumberFormat="1" applyFont="1" applyFill="1" applyBorder="1" applyAlignment="1">
      <alignment horizontal="right" vertical="center"/>
    </xf>
    <xf numFmtId="169" fontId="4" fillId="0" borderId="10" xfId="0" applyNumberFormat="1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3" fontId="4" fillId="0" borderId="1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Alignment="1">
      <alignment horizontal="left"/>
    </xf>
    <xf numFmtId="0" fontId="4" fillId="0" borderId="2" xfId="0" applyNumberFormat="1" applyFont="1" applyFill="1" applyBorder="1" applyAlignment="1">
      <alignment horizontal="left" vertical="center" wrapText="1"/>
    </xf>
    <xf numFmtId="1" fontId="4" fillId="0" borderId="2" xfId="0" applyNumberFormat="1" applyFont="1" applyFill="1" applyBorder="1" applyAlignment="1">
      <alignment horizontal="right" vertical="center"/>
    </xf>
    <xf numFmtId="49" fontId="4" fillId="0" borderId="2" xfId="21" applyNumberFormat="1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/>
    </xf>
    <xf numFmtId="10" fontId="4" fillId="3" borderId="2" xfId="2" applyNumberFormat="1" applyFont="1" applyFill="1" applyBorder="1" applyAlignment="1">
      <alignment horizontal="center" vertical="center" wrapText="1"/>
    </xf>
    <xf numFmtId="175" fontId="4" fillId="3" borderId="2" xfId="0" applyNumberFormat="1" applyFont="1" applyFill="1" applyBorder="1" applyAlignment="1">
      <alignment horizontal="center" vertical="center" wrapText="1"/>
    </xf>
    <xf numFmtId="10" fontId="4" fillId="3" borderId="2" xfId="2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right" vertical="center"/>
    </xf>
    <xf numFmtId="49" fontId="4" fillId="0" borderId="2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/>
    <xf numFmtId="164" fontId="4" fillId="2" borderId="0" xfId="0" applyNumberFormat="1" applyFont="1" applyFill="1" applyAlignment="1"/>
    <xf numFmtId="164" fontId="4" fillId="2" borderId="0" xfId="0" applyNumberFormat="1" applyFont="1" applyFill="1" applyAlignment="1">
      <alignment horizontal="center"/>
    </xf>
    <xf numFmtId="164" fontId="4" fillId="3" borderId="7" xfId="0" applyNumberFormat="1" applyFont="1" applyFill="1" applyBorder="1" applyAlignment="1"/>
    <xf numFmtId="166" fontId="4" fillId="0" borderId="24" xfId="0" applyNumberFormat="1" applyFont="1" applyBorder="1" applyAlignment="1">
      <alignment horizontal="right" vertical="center"/>
    </xf>
    <xf numFmtId="49" fontId="4" fillId="3" borderId="2" xfId="0" applyNumberFormat="1" applyFont="1" applyFill="1" applyBorder="1" applyAlignment="1">
      <alignment vertical="center"/>
    </xf>
    <xf numFmtId="10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3" borderId="2" xfId="0" applyFont="1" applyFill="1" applyBorder="1" applyAlignment="1">
      <alignment vertical="top"/>
    </xf>
    <xf numFmtId="0" fontId="4" fillId="3" borderId="2" xfId="6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169" fontId="4" fillId="3" borderId="2" xfId="0" applyNumberFormat="1" applyFont="1" applyFill="1" applyBorder="1" applyAlignment="1">
      <alignment horizontal="center"/>
    </xf>
    <xf numFmtId="168" fontId="4" fillId="3" borderId="2" xfId="0" applyNumberFormat="1" applyFont="1" applyFill="1" applyBorder="1" applyAlignment="1">
      <alignment horizontal="left" vertical="center" wrapText="1"/>
    </xf>
    <xf numFmtId="170" fontId="4" fillId="0" borderId="2" xfId="0" applyNumberFormat="1" applyFont="1" applyFill="1" applyBorder="1" applyAlignment="1">
      <alignment horizontal="center"/>
    </xf>
    <xf numFmtId="16" fontId="4" fillId="0" borderId="2" xfId="0" applyNumberFormat="1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/>
    </xf>
    <xf numFmtId="3" fontId="4" fillId="3" borderId="2" xfId="22" applyNumberFormat="1" applyFont="1" applyFill="1" applyBorder="1" applyAlignment="1">
      <alignment horizontal="center" vertical="center" wrapText="1"/>
    </xf>
    <xf numFmtId="0" fontId="4" fillId="3" borderId="2" xfId="22" applyFont="1" applyFill="1" applyBorder="1" applyAlignment="1">
      <alignment horizontal="center" vertical="center" wrapText="1"/>
    </xf>
    <xf numFmtId="1" fontId="4" fillId="3" borderId="2" xfId="22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right" vertical="center"/>
    </xf>
    <xf numFmtId="0" fontId="18" fillId="3" borderId="10" xfId="0" applyFont="1" applyFill="1" applyBorder="1" applyAlignment="1">
      <alignment horizontal="right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/>
    </xf>
    <xf numFmtId="166" fontId="15" fillId="0" borderId="17" xfId="0" applyNumberFormat="1" applyFont="1" applyBorder="1" applyAlignment="1">
      <alignment horizontal="right" vertical="center"/>
    </xf>
    <xf numFmtId="0" fontId="16" fillId="5" borderId="10" xfId="0" applyFont="1" applyFill="1" applyBorder="1" applyAlignment="1">
      <alignment horizontal="right" vertical="center"/>
    </xf>
    <xf numFmtId="0" fontId="15" fillId="5" borderId="10" xfId="0" applyFont="1" applyFill="1" applyBorder="1" applyAlignment="1">
      <alignment horizontal="right" vertical="center"/>
    </xf>
    <xf numFmtId="0" fontId="15" fillId="5" borderId="10" xfId="0" applyFont="1" applyFill="1" applyBorder="1" applyAlignment="1">
      <alignment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vertical="center" wrapText="1"/>
    </xf>
    <xf numFmtId="3" fontId="16" fillId="5" borderId="2" xfId="0" applyNumberFormat="1" applyFont="1" applyFill="1" applyBorder="1" applyAlignment="1">
      <alignment vertical="center" wrapText="1"/>
    </xf>
    <xf numFmtId="168" fontId="16" fillId="5" borderId="2" xfId="0" applyNumberFormat="1" applyFont="1" applyFill="1" applyBorder="1" applyAlignment="1">
      <alignment vertical="center" wrapText="1"/>
    </xf>
    <xf numFmtId="0" fontId="16" fillId="5" borderId="2" xfId="0" applyFont="1" applyFill="1" applyBorder="1"/>
    <xf numFmtId="166" fontId="4" fillId="3" borderId="2" xfId="4" applyNumberFormat="1" applyFont="1" applyFill="1" applyBorder="1" applyAlignment="1">
      <alignment horizontal="center" vertical="center"/>
    </xf>
    <xf numFmtId="167" fontId="4" fillId="3" borderId="2" xfId="4" applyNumberFormat="1" applyFont="1" applyFill="1" applyBorder="1" applyAlignment="1">
      <alignment horizontal="center" vertical="center"/>
    </xf>
    <xf numFmtId="0" fontId="4" fillId="3" borderId="2" xfId="4" applyFont="1" applyFill="1" applyBorder="1" applyAlignment="1">
      <alignment horizontal="center"/>
    </xf>
    <xf numFmtId="173" fontId="4" fillId="3" borderId="2" xfId="17" applyNumberFormat="1" applyFont="1" applyFill="1" applyBorder="1" applyAlignment="1">
      <alignment horizontal="center" vertical="center" wrapText="1"/>
    </xf>
    <xf numFmtId="49" fontId="4" fillId="3" borderId="2" xfId="4" applyNumberFormat="1" applyFont="1" applyFill="1" applyBorder="1" applyAlignment="1">
      <alignment horizontal="center" vertical="center" wrapText="1"/>
    </xf>
    <xf numFmtId="169" fontId="12" fillId="3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67" fontId="12" fillId="0" borderId="3" xfId="0" applyNumberFormat="1" applyFont="1" applyBorder="1" applyAlignment="1">
      <alignment horizontal="right" vertical="center"/>
    </xf>
    <xf numFmtId="0" fontId="12" fillId="3" borderId="3" xfId="6" applyFont="1" applyFill="1" applyBorder="1" applyAlignment="1">
      <alignment horizontal="left" vertical="center" wrapText="1"/>
    </xf>
    <xf numFmtId="167" fontId="12" fillId="0" borderId="2" xfId="0" applyNumberFormat="1" applyFont="1" applyBorder="1" applyAlignment="1">
      <alignment horizontal="right" vertical="center"/>
    </xf>
    <xf numFmtId="0" fontId="12" fillId="3" borderId="2" xfId="0" applyFont="1" applyFill="1" applyBorder="1" applyAlignment="1">
      <alignment vertical="center" wrapText="1"/>
    </xf>
    <xf numFmtId="0" fontId="12" fillId="3" borderId="2" xfId="0" applyFont="1" applyFill="1" applyBorder="1"/>
    <xf numFmtId="3" fontId="12" fillId="3" borderId="2" xfId="0" applyNumberFormat="1" applyFont="1" applyFill="1" applyBorder="1" applyAlignment="1">
      <alignment vertical="center" wrapText="1"/>
    </xf>
    <xf numFmtId="168" fontId="4" fillId="3" borderId="2" xfId="0" applyNumberFormat="1" applyFont="1" applyFill="1" applyBorder="1" applyAlignment="1">
      <alignment vertical="center" wrapText="1"/>
    </xf>
    <xf numFmtId="169" fontId="12" fillId="3" borderId="2" xfId="0" applyNumberFormat="1" applyFont="1" applyFill="1" applyBorder="1" applyAlignment="1">
      <alignment vertical="center" wrapText="1"/>
    </xf>
    <xf numFmtId="4" fontId="4" fillId="0" borderId="2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right" vertical="center"/>
    </xf>
    <xf numFmtId="167" fontId="4" fillId="0" borderId="2" xfId="0" applyNumberFormat="1" applyFont="1" applyFill="1" applyBorder="1" applyAlignment="1">
      <alignment horizontal="right" vertical="center"/>
    </xf>
    <xf numFmtId="166" fontId="12" fillId="0" borderId="2" xfId="0" applyNumberFormat="1" applyFont="1" applyFill="1" applyBorder="1" applyAlignment="1">
      <alignment horizontal="right" vertical="center"/>
    </xf>
    <xf numFmtId="0" fontId="12" fillId="0" borderId="2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horizontal="left" vertical="center" wrapText="1"/>
    </xf>
    <xf numFmtId="16" fontId="12" fillId="0" borderId="2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Fill="1" applyBorder="1" applyAlignment="1">
      <alignment horizontal="right" vertical="center"/>
    </xf>
    <xf numFmtId="1" fontId="12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vertical="center"/>
    </xf>
    <xf numFmtId="168" fontId="12" fillId="0" borderId="2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68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3" fontId="12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/>
    </xf>
    <xf numFmtId="168" fontId="12" fillId="3" borderId="2" xfId="0" applyNumberFormat="1" applyFont="1" applyFill="1" applyBorder="1" applyAlignment="1">
      <alignment horizontal="center" vertical="center" wrapText="1"/>
    </xf>
    <xf numFmtId="3" fontId="12" fillId="3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/>
    <xf numFmtId="0" fontId="4" fillId="4" borderId="2" xfId="0" applyFont="1" applyFill="1" applyBorder="1" applyAlignment="1">
      <alignment horizontal="right" vertical="center" wrapText="1"/>
    </xf>
    <xf numFmtId="0" fontId="44" fillId="4" borderId="5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vertical="center" wrapText="1"/>
    </xf>
    <xf numFmtId="0" fontId="4" fillId="0" borderId="39" xfId="0" applyFont="1" applyFill="1" applyBorder="1"/>
    <xf numFmtId="49" fontId="4" fillId="3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vertical="center"/>
    </xf>
    <xf numFmtId="164" fontId="4" fillId="0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168" fontId="4" fillId="0" borderId="2" xfId="0" applyNumberFormat="1" applyFont="1" applyFill="1" applyBorder="1" applyAlignment="1">
      <alignment horizontal="left" vertical="center" wrapText="1"/>
    </xf>
    <xf numFmtId="9" fontId="4" fillId="0" borderId="2" xfId="0" applyNumberFormat="1" applyFont="1" applyFill="1" applyBorder="1" applyAlignment="1">
      <alignment horizontal="center" vertical="center"/>
    </xf>
    <xf numFmtId="43" fontId="4" fillId="0" borderId="2" xfId="8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0" fontId="16" fillId="0" borderId="2" xfId="0" applyFont="1" applyBorder="1"/>
    <xf numFmtId="49" fontId="12" fillId="3" borderId="2" xfId="0" applyNumberFormat="1" applyFont="1" applyFill="1" applyBorder="1" applyAlignment="1">
      <alignment horizontal="center" vertical="center" wrapText="1"/>
    </xf>
    <xf numFmtId="3" fontId="16" fillId="5" borderId="2" xfId="0" applyNumberFormat="1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center" vertical="center" wrapText="1"/>
    </xf>
    <xf numFmtId="164" fontId="3" fillId="4" borderId="44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/>
    <xf numFmtId="164" fontId="3" fillId="3" borderId="0" xfId="0" applyNumberFormat="1" applyFont="1" applyFill="1" applyBorder="1"/>
    <xf numFmtId="0" fontId="12" fillId="0" borderId="2" xfId="4" applyFont="1" applyBorder="1" applyAlignment="1">
      <alignment horizontal="left" vertical="center" wrapText="1"/>
    </xf>
    <xf numFmtId="0" fontId="12" fillId="0" borderId="2" xfId="4" applyFont="1" applyBorder="1" applyAlignment="1">
      <alignment vertical="center" wrapText="1"/>
    </xf>
    <xf numFmtId="0" fontId="12" fillId="3" borderId="44" xfId="6" applyFont="1" applyFill="1" applyBorder="1" applyAlignment="1">
      <alignment vertical="center" wrapText="1"/>
    </xf>
    <xf numFmtId="164" fontId="3" fillId="4" borderId="3" xfId="6" applyNumberFormat="1" applyFont="1" applyFill="1" applyBorder="1" applyAlignment="1">
      <alignment vertical="top" wrapText="1"/>
    </xf>
    <xf numFmtId="164" fontId="3" fillId="4" borderId="4" xfId="6" applyNumberFormat="1" applyFont="1" applyFill="1" applyBorder="1" applyAlignment="1">
      <alignment vertical="top" wrapText="1"/>
    </xf>
    <xf numFmtId="164" fontId="3" fillId="4" borderId="5" xfId="6" applyNumberFormat="1" applyFont="1" applyFill="1" applyBorder="1" applyAlignment="1">
      <alignment vertical="top" wrapText="1"/>
    </xf>
    <xf numFmtId="0" fontId="4" fillId="3" borderId="8" xfId="0" applyFont="1" applyFill="1" applyBorder="1" applyAlignment="1">
      <alignment horizontal="left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5" borderId="2" xfId="12" applyFont="1" applyFill="1" applyBorder="1" applyAlignment="1">
      <alignment horizontal="left" vertical="center" wrapText="1"/>
    </xf>
    <xf numFmtId="0" fontId="3" fillId="5" borderId="10" xfId="12" applyFont="1" applyFill="1" applyBorder="1" applyAlignment="1">
      <alignment horizontal="left" vertical="center" wrapText="1"/>
    </xf>
    <xf numFmtId="0" fontId="3" fillId="5" borderId="1" xfId="12" applyFont="1" applyFill="1" applyBorder="1" applyAlignment="1">
      <alignment horizontal="left" vertical="center" wrapText="1"/>
    </xf>
    <xf numFmtId="0" fontId="3" fillId="3" borderId="2" xfId="4" applyFont="1" applyFill="1" applyBorder="1" applyAlignment="1">
      <alignment horizontal="left" vertical="center" wrapText="1"/>
    </xf>
    <xf numFmtId="0" fontId="3" fillId="3" borderId="10" xfId="4" applyFont="1" applyFill="1" applyBorder="1" applyAlignment="1">
      <alignment horizontal="left" vertical="center" wrapText="1"/>
    </xf>
    <xf numFmtId="0" fontId="3" fillId="0" borderId="10" xfId="4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166" fontId="4" fillId="0" borderId="2" xfId="4" applyNumberFormat="1" applyFont="1" applyBorder="1" applyAlignment="1">
      <alignment horizontal="right" vertical="center"/>
    </xf>
    <xf numFmtId="0" fontId="4" fillId="3" borderId="2" xfId="4" applyFont="1" applyFill="1" applyBorder="1" applyAlignment="1">
      <alignment horizontal="right" vertical="center"/>
    </xf>
    <xf numFmtId="0" fontId="3" fillId="0" borderId="10" xfId="3" applyFont="1" applyFill="1" applyBorder="1" applyAlignment="1">
      <alignment horizontal="left" vertical="center" wrapText="1"/>
    </xf>
    <xf numFmtId="0" fontId="3" fillId="0" borderId="2" xfId="3" applyFont="1" applyFill="1" applyBorder="1" applyAlignment="1">
      <alignment horizontal="left" vertical="center" wrapText="1"/>
    </xf>
    <xf numFmtId="0" fontId="3" fillId="0" borderId="10" xfId="5" applyFont="1" applyFill="1" applyBorder="1" applyAlignment="1">
      <alignment vertical="center" wrapText="1"/>
    </xf>
    <xf numFmtId="0" fontId="3" fillId="3" borderId="10" xfId="4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vertical="center" wrapText="1"/>
    </xf>
    <xf numFmtId="0" fontId="3" fillId="0" borderId="2" xfId="5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6" applyFont="1" applyFill="1" applyBorder="1" applyAlignment="1">
      <alignment horizontal="center" vertical="center" wrapText="1"/>
    </xf>
    <xf numFmtId="170" fontId="3" fillId="0" borderId="2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18" fillId="0" borderId="2" xfId="6" applyFont="1" applyFill="1" applyBorder="1" applyAlignment="1">
      <alignment horizontal="left" vertical="center" wrapText="1"/>
    </xf>
    <xf numFmtId="169" fontId="18" fillId="0" borderId="2" xfId="6" applyNumberFormat="1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2" fillId="0" borderId="2" xfId="6" applyFont="1" applyFill="1" applyBorder="1" applyAlignment="1">
      <alignment vertical="center" wrapText="1"/>
    </xf>
    <xf numFmtId="0" fontId="12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/>
    </xf>
    <xf numFmtId="0" fontId="12" fillId="0" borderId="2" xfId="6" applyFont="1" applyFill="1" applyBorder="1" applyAlignment="1">
      <alignment horizontal="left" vertical="top" wrapText="1"/>
    </xf>
    <xf numFmtId="0" fontId="12" fillId="0" borderId="2" xfId="6" applyFont="1" applyFill="1" applyBorder="1" applyAlignment="1">
      <alignment horizontal="center" vertical="center"/>
    </xf>
    <xf numFmtId="3" fontId="12" fillId="0" borderId="2" xfId="6" applyNumberFormat="1" applyFont="1" applyFill="1" applyBorder="1" applyAlignment="1">
      <alignment horizontal="center" vertical="center" wrapText="1"/>
    </xf>
    <xf numFmtId="49" fontId="12" fillId="0" borderId="2" xfId="6" applyNumberFormat="1" applyFont="1" applyFill="1" applyBorder="1" applyAlignment="1">
      <alignment horizontal="center" vertical="center" wrapText="1"/>
    </xf>
    <xf numFmtId="1" fontId="12" fillId="0" borderId="2" xfId="6" applyNumberFormat="1" applyFont="1" applyFill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left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168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49" fontId="4" fillId="3" borderId="1" xfId="4" applyNumberFormat="1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left" vertical="center" wrapText="1"/>
    </xf>
    <xf numFmtId="0" fontId="4" fillId="3" borderId="10" xfId="4" applyFont="1" applyFill="1" applyBorder="1" applyAlignment="1">
      <alignment horizontal="left" vertical="center" wrapText="1"/>
    </xf>
    <xf numFmtId="0" fontId="4" fillId="3" borderId="1" xfId="4" applyFont="1" applyFill="1" applyBorder="1" applyAlignment="1">
      <alignment horizontal="center" vertical="center" wrapText="1"/>
    </xf>
    <xf numFmtId="0" fontId="4" fillId="3" borderId="10" xfId="4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18" fillId="3" borderId="9" xfId="0" applyFont="1" applyFill="1" applyBorder="1" applyAlignment="1">
      <alignment horizontal="center" vertical="center" wrapText="1"/>
    </xf>
    <xf numFmtId="166" fontId="18" fillId="0" borderId="9" xfId="0" applyNumberFormat="1" applyFont="1" applyBorder="1" applyAlignment="1">
      <alignment horizontal="center" vertical="center"/>
    </xf>
    <xf numFmtId="168" fontId="12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9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10" xfId="0" applyNumberFormat="1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64" fontId="4" fillId="4" borderId="3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wrapText="1"/>
    </xf>
    <xf numFmtId="166" fontId="4" fillId="0" borderId="1" xfId="4" applyNumberFormat="1" applyFont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7" fontId="16" fillId="0" borderId="2" xfId="0" applyNumberFormat="1" applyFont="1" applyBorder="1" applyAlignment="1">
      <alignment horizontal="center" vertical="center"/>
    </xf>
    <xf numFmtId="167" fontId="16" fillId="0" borderId="2" xfId="0" applyNumberFormat="1" applyFont="1" applyFill="1" applyBorder="1" applyAlignment="1">
      <alignment horizontal="center" vertical="center"/>
    </xf>
    <xf numFmtId="167" fontId="16" fillId="3" borderId="2" xfId="0" applyNumberFormat="1" applyFont="1" applyFill="1" applyBorder="1" applyAlignment="1">
      <alignment horizontal="center" vertical="center"/>
    </xf>
    <xf numFmtId="166" fontId="15" fillId="0" borderId="2" xfId="0" applyNumberFormat="1" applyFont="1" applyBorder="1" applyAlignment="1">
      <alignment horizontal="right" vertical="center"/>
    </xf>
    <xf numFmtId="167" fontId="16" fillId="0" borderId="2" xfId="0" applyNumberFormat="1" applyFont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left" vertical="top" wrapText="1"/>
    </xf>
    <xf numFmtId="164" fontId="3" fillId="2" borderId="3" xfId="0" applyNumberFormat="1" applyFont="1" applyFill="1" applyBorder="1" applyAlignment="1">
      <alignment horizontal="left"/>
    </xf>
    <xf numFmtId="49" fontId="4" fillId="3" borderId="2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top"/>
    </xf>
    <xf numFmtId="49" fontId="4" fillId="3" borderId="9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49" fontId="4" fillId="3" borderId="9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49" fontId="3" fillId="3" borderId="10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1" xfId="6" applyFont="1" applyFill="1" applyBorder="1" applyAlignment="1">
      <alignment horizontal="left" vertical="center" wrapText="1"/>
    </xf>
    <xf numFmtId="0" fontId="4" fillId="0" borderId="9" xfId="6" applyFont="1" applyFill="1" applyBorder="1" applyAlignment="1">
      <alignment horizontal="left" vertical="center" wrapText="1"/>
    </xf>
    <xf numFmtId="0" fontId="4" fillId="0" borderId="10" xfId="6" applyFont="1" applyFill="1" applyBorder="1" applyAlignment="1">
      <alignment horizontal="left" vertical="center" wrapText="1"/>
    </xf>
    <xf numFmtId="0" fontId="4" fillId="0" borderId="2" xfId="6" applyFont="1" applyFill="1" applyBorder="1" applyAlignment="1">
      <alignment horizontal="left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9" xfId="6" applyFont="1" applyFill="1" applyBorder="1" applyAlignment="1">
      <alignment horizontal="center" vertical="center" wrapText="1"/>
    </xf>
    <xf numFmtId="0" fontId="4" fillId="0" borderId="10" xfId="6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167" fontId="4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right" vertical="center"/>
    </xf>
    <xf numFmtId="0" fontId="4" fillId="3" borderId="2" xfId="6" applyFont="1" applyFill="1" applyBorder="1" applyAlignment="1">
      <alignment horizontal="left" vertical="center" wrapText="1"/>
    </xf>
    <xf numFmtId="167" fontId="4" fillId="3" borderId="2" xfId="0" applyNumberFormat="1" applyFont="1" applyFill="1" applyBorder="1" applyAlignment="1">
      <alignment vertical="center" wrapText="1"/>
    </xf>
    <xf numFmtId="1" fontId="4" fillId="3" borderId="2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left" vertical="center"/>
    </xf>
    <xf numFmtId="166" fontId="4" fillId="0" borderId="1" xfId="4" applyNumberFormat="1" applyFont="1" applyFill="1" applyBorder="1" applyAlignment="1">
      <alignment horizontal="center" vertical="center"/>
    </xf>
    <xf numFmtId="167" fontId="4" fillId="0" borderId="1" xfId="4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left" vertical="center" wrapText="1"/>
    </xf>
    <xf numFmtId="0" fontId="4" fillId="0" borderId="10" xfId="4" applyFont="1" applyFill="1" applyBorder="1" applyAlignment="1">
      <alignment horizontal="left" vertical="center" wrapText="1"/>
    </xf>
    <xf numFmtId="0" fontId="4" fillId="0" borderId="10" xfId="4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168" fontId="4" fillId="3" borderId="10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167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64" fontId="4" fillId="4" borderId="2" xfId="0" applyNumberFormat="1" applyFont="1" applyFill="1" applyBorder="1" applyAlignment="1"/>
    <xf numFmtId="49" fontId="4" fillId="0" borderId="1" xfId="0" applyNumberFormat="1" applyFont="1" applyBorder="1" applyAlignment="1">
      <alignment vertical="center" wrapText="1"/>
    </xf>
    <xf numFmtId="49" fontId="4" fillId="0" borderId="10" xfId="0" applyNumberFormat="1" applyFont="1" applyBorder="1" applyAlignment="1">
      <alignment vertical="center" wrapText="1"/>
    </xf>
    <xf numFmtId="167" fontId="4" fillId="0" borderId="1" xfId="3" applyNumberFormat="1" applyFont="1" applyFill="1" applyBorder="1" applyAlignment="1">
      <alignment horizontal="center" vertical="center"/>
    </xf>
    <xf numFmtId="49" fontId="4" fillId="0" borderId="1" xfId="3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/>
    <xf numFmtId="166" fontId="4" fillId="0" borderId="2" xfId="0" applyNumberFormat="1" applyFont="1" applyFill="1" applyBorder="1" applyAlignment="1">
      <alignment horizontal="center" vertical="center"/>
    </xf>
    <xf numFmtId="166" fontId="4" fillId="0" borderId="1" xfId="3" applyNumberFormat="1" applyFont="1" applyFill="1" applyBorder="1" applyAlignment="1">
      <alignment horizontal="center" vertical="center"/>
    </xf>
    <xf numFmtId="166" fontId="4" fillId="0" borderId="10" xfId="3" applyNumberFormat="1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left" vertical="center" wrapText="1"/>
    </xf>
    <xf numFmtId="164" fontId="3" fillId="4" borderId="2" xfId="0" applyNumberFormat="1" applyFont="1" applyFill="1" applyBorder="1" applyAlignment="1">
      <alignment horizontal="center"/>
    </xf>
    <xf numFmtId="49" fontId="18" fillId="0" borderId="2" xfId="6" applyNumberFormat="1" applyFont="1" applyFill="1" applyBorder="1" applyAlignment="1">
      <alignment horizontal="center" vertical="center"/>
    </xf>
    <xf numFmtId="0" fontId="12" fillId="0" borderId="2" xfId="6" applyFont="1" applyFill="1" applyBorder="1" applyAlignment="1">
      <alignment horizontal="left" vertical="center" wrapText="1"/>
    </xf>
    <xf numFmtId="168" fontId="12" fillId="0" borderId="2" xfId="6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left" vertical="center" wrapText="1"/>
    </xf>
    <xf numFmtId="168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16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" fontId="4" fillId="3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3" borderId="2" xfId="6" applyFont="1" applyFill="1" applyBorder="1" applyAlignment="1">
      <alignment horizontal="left" vertical="center" wrapText="1"/>
    </xf>
    <xf numFmtId="0" fontId="4" fillId="3" borderId="10" xfId="2" applyNumberFormat="1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right" vertical="center"/>
    </xf>
    <xf numFmtId="180" fontId="4" fillId="3" borderId="2" xfId="21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 wrapText="1"/>
    </xf>
    <xf numFmtId="43" fontId="4" fillId="0" borderId="2" xfId="1" applyFont="1" applyFill="1" applyBorder="1" applyAlignment="1">
      <alignment horizontal="center" vertical="center" wrapText="1"/>
    </xf>
    <xf numFmtId="164" fontId="3" fillId="3" borderId="1" xfId="15" applyNumberFormat="1" applyFont="1" applyFill="1" applyBorder="1" applyAlignment="1">
      <alignment vertical="center" wrapText="1"/>
    </xf>
    <xf numFmtId="164" fontId="3" fillId="3" borderId="10" xfId="15" applyNumberFormat="1" applyFont="1" applyFill="1" applyBorder="1" applyAlignment="1">
      <alignment vertical="center" wrapText="1"/>
    </xf>
    <xf numFmtId="164" fontId="3" fillId="5" borderId="2" xfId="15" applyNumberFormat="1" applyFont="1" applyFill="1" applyBorder="1" applyAlignment="1">
      <alignment horizontal="left" vertical="center" wrapText="1"/>
    </xf>
    <xf numFmtId="164" fontId="3" fillId="5" borderId="2" xfId="15" applyNumberFormat="1" applyFont="1" applyFill="1" applyBorder="1" applyAlignment="1">
      <alignment horizontal="center" vertical="center" wrapText="1"/>
    </xf>
    <xf numFmtId="164" fontId="3" fillId="5" borderId="2" xfId="15" applyNumberFormat="1" applyFont="1" applyFill="1" applyBorder="1" applyAlignment="1">
      <alignment vertical="center" wrapText="1"/>
    </xf>
    <xf numFmtId="164" fontId="3" fillId="5" borderId="2" xfId="15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left"/>
    </xf>
    <xf numFmtId="0" fontId="4" fillId="3" borderId="2" xfId="2" applyNumberFormat="1" applyFont="1" applyFill="1" applyBorder="1" applyAlignment="1">
      <alignment horizontal="center" vertical="center" wrapText="1"/>
    </xf>
    <xf numFmtId="170" fontId="4" fillId="3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3" borderId="1" xfId="11" applyFont="1" applyFill="1" applyBorder="1" applyAlignment="1">
      <alignment vertical="center" wrapText="1"/>
    </xf>
    <xf numFmtId="0" fontId="3" fillId="0" borderId="2" xfId="11" applyFont="1" applyBorder="1" applyAlignment="1">
      <alignment horizontal="center" vertical="center"/>
    </xf>
    <xf numFmtId="49" fontId="3" fillId="0" borderId="2" xfId="11" applyNumberFormat="1" applyFont="1" applyBorder="1" applyAlignment="1">
      <alignment horizontal="center" vertical="center"/>
    </xf>
    <xf numFmtId="0" fontId="3" fillId="3" borderId="2" xfId="11" applyFont="1" applyFill="1" applyBorder="1" applyAlignment="1">
      <alignment vertical="center" wrapText="1"/>
    </xf>
    <xf numFmtId="168" fontId="3" fillId="3" borderId="2" xfId="4" applyNumberFormat="1" applyFont="1" applyFill="1" applyBorder="1" applyAlignment="1">
      <alignment horizontal="center" vertical="center" wrapText="1"/>
    </xf>
    <xf numFmtId="49" fontId="3" fillId="3" borderId="1" xfId="4" applyNumberFormat="1" applyFont="1" applyFill="1" applyBorder="1" applyAlignment="1">
      <alignment horizontal="center" vertical="center"/>
    </xf>
    <xf numFmtId="0" fontId="3" fillId="0" borderId="2" xfId="11" applyFont="1" applyBorder="1" applyAlignment="1">
      <alignment vertical="center" wrapText="1"/>
    </xf>
    <xf numFmtId="0" fontId="3" fillId="3" borderId="2" xfId="4" applyFont="1" applyFill="1" applyBorder="1" applyAlignment="1">
      <alignment horizontal="center" vertical="center" wrapText="1"/>
    </xf>
    <xf numFmtId="49" fontId="3" fillId="3" borderId="2" xfId="4" applyNumberFormat="1" applyFont="1" applyFill="1" applyBorder="1" applyAlignment="1">
      <alignment horizontal="center" vertical="center"/>
    </xf>
    <xf numFmtId="0" fontId="3" fillId="0" borderId="15" xfId="4" applyFont="1" applyBorder="1" applyAlignment="1">
      <alignment horizontal="justify" vertical="center" wrapText="1"/>
    </xf>
    <xf numFmtId="0" fontId="3" fillId="0" borderId="0" xfId="4" applyFont="1" applyBorder="1" applyAlignment="1">
      <alignment horizontal="justify" vertical="center" wrapText="1"/>
    </xf>
    <xf numFmtId="49" fontId="3" fillId="3" borderId="2" xfId="4" applyNumberFormat="1" applyFont="1" applyFill="1" applyBorder="1" applyAlignment="1">
      <alignment vertical="center"/>
    </xf>
    <xf numFmtId="166" fontId="3" fillId="0" borderId="17" xfId="12" applyNumberFormat="1" applyFont="1" applyBorder="1" applyAlignment="1">
      <alignment horizontal="right" vertical="center"/>
    </xf>
    <xf numFmtId="166" fontId="3" fillId="0" borderId="1" xfId="12" applyNumberFormat="1" applyFont="1" applyBorder="1" applyAlignment="1">
      <alignment horizontal="right" vertical="center"/>
    </xf>
    <xf numFmtId="49" fontId="3" fillId="5" borderId="1" xfId="12" applyNumberFormat="1" applyFont="1" applyFill="1" applyBorder="1" applyAlignment="1">
      <alignment vertical="center"/>
    </xf>
    <xf numFmtId="166" fontId="3" fillId="0" borderId="1" xfId="4" applyNumberFormat="1" applyFont="1" applyFill="1" applyBorder="1" applyAlignment="1">
      <alignment horizontal="center" vertical="center"/>
    </xf>
    <xf numFmtId="166" fontId="3" fillId="0" borderId="1" xfId="4" applyNumberFormat="1" applyFont="1" applyBorder="1" applyAlignment="1">
      <alignment horizontal="right" vertical="center"/>
    </xf>
    <xf numFmtId="167" fontId="3" fillId="0" borderId="3" xfId="4" applyNumberFormat="1" applyFont="1" applyBorder="1" applyAlignment="1">
      <alignment horizontal="right" vertical="center"/>
    </xf>
    <xf numFmtId="0" fontId="3" fillId="3" borderId="10" xfId="4" applyFont="1" applyFill="1" applyBorder="1" applyAlignment="1">
      <alignment horizontal="right" vertical="center"/>
    </xf>
    <xf numFmtId="0" fontId="3" fillId="0" borderId="2" xfId="4" applyFont="1" applyBorder="1" applyAlignment="1">
      <alignment vertical="center" wrapText="1"/>
    </xf>
    <xf numFmtId="167" fontId="3" fillId="0" borderId="2" xfId="4" applyNumberFormat="1" applyFont="1" applyBorder="1" applyAlignment="1">
      <alignment horizontal="right" vertical="center"/>
    </xf>
    <xf numFmtId="0" fontId="3" fillId="0" borderId="3" xfId="4" applyFont="1" applyBorder="1" applyAlignment="1">
      <alignment vertical="center" wrapText="1"/>
    </xf>
    <xf numFmtId="167" fontId="3" fillId="0" borderId="1" xfId="4" applyNumberFormat="1" applyFont="1" applyBorder="1" applyAlignment="1">
      <alignment horizontal="right" vertical="center"/>
    </xf>
    <xf numFmtId="0" fontId="3" fillId="3" borderId="9" xfId="4" applyFont="1" applyFill="1" applyBorder="1" applyAlignment="1">
      <alignment horizontal="right" vertical="center"/>
    </xf>
    <xf numFmtId="166" fontId="3" fillId="3" borderId="45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vertical="center"/>
    </xf>
    <xf numFmtId="167" fontId="3" fillId="3" borderId="1" xfId="0" applyNumberFormat="1" applyFont="1" applyFill="1" applyBorder="1" applyAlignment="1">
      <alignment horizontal="right" vertical="center"/>
    </xf>
    <xf numFmtId="1" fontId="3" fillId="3" borderId="10" xfId="0" applyNumberFormat="1" applyFont="1" applyFill="1" applyBorder="1" applyAlignment="1">
      <alignment horizontal="right" vertical="center"/>
    </xf>
    <xf numFmtId="0" fontId="3" fillId="3" borderId="1" xfId="6" applyFont="1" applyFill="1" applyBorder="1" applyAlignment="1">
      <alignment vertical="center" wrapText="1"/>
    </xf>
    <xf numFmtId="0" fontId="3" fillId="0" borderId="2" xfId="6" applyFont="1" applyFill="1" applyBorder="1" applyAlignment="1">
      <alignment horizontal="left" vertical="center" wrapText="1"/>
    </xf>
    <xf numFmtId="166" fontId="3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top" wrapText="1"/>
    </xf>
    <xf numFmtId="49" fontId="4" fillId="0" borderId="2" xfId="15" applyNumberFormat="1" applyFont="1" applyBorder="1" applyAlignment="1">
      <alignment horizontal="center" vertical="center"/>
    </xf>
    <xf numFmtId="49" fontId="4" fillId="5" borderId="2" xfId="15" applyNumberFormat="1" applyFont="1" applyFill="1" applyBorder="1" applyAlignment="1">
      <alignment horizontal="center" vertical="center"/>
    </xf>
    <xf numFmtId="49" fontId="3" fillId="0" borderId="2" xfId="15" applyNumberFormat="1" applyFont="1" applyBorder="1" applyAlignment="1">
      <alignment horizontal="center" vertical="center"/>
    </xf>
    <xf numFmtId="49" fontId="15" fillId="0" borderId="2" xfId="0" applyNumberFormat="1" applyFont="1" applyFill="1" applyBorder="1"/>
    <xf numFmtId="49" fontId="16" fillId="0" borderId="2" xfId="0" applyNumberFormat="1" applyFont="1" applyFill="1" applyBorder="1"/>
    <xf numFmtId="49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right" vertical="center"/>
    </xf>
    <xf numFmtId="49" fontId="15" fillId="3" borderId="2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left" vertical="center" wrapText="1"/>
    </xf>
    <xf numFmtId="166" fontId="3" fillId="0" borderId="1" xfId="4" applyNumberFormat="1" applyFont="1" applyBorder="1" applyAlignment="1">
      <alignment horizontal="center" vertical="top"/>
    </xf>
    <xf numFmtId="49" fontId="3" fillId="0" borderId="2" xfId="21" applyNumberFormat="1" applyFont="1" applyFill="1" applyBorder="1" applyAlignment="1">
      <alignment horizontal="center" vertical="center"/>
    </xf>
    <xf numFmtId="166" fontId="3" fillId="0" borderId="24" xfId="0" applyNumberFormat="1" applyFont="1" applyBorder="1" applyAlignment="1">
      <alignment horizontal="right" vertical="center"/>
    </xf>
    <xf numFmtId="164" fontId="4" fillId="4" borderId="10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/>
    <xf numFmtId="164" fontId="4" fillId="4" borderId="10" xfId="0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right" vertical="center"/>
    </xf>
    <xf numFmtId="173" fontId="3" fillId="0" borderId="0" xfId="1" applyNumberFormat="1" applyFont="1" applyAlignment="1">
      <alignment horizontal="center" vertical="center"/>
    </xf>
    <xf numFmtId="173" fontId="3" fillId="0" borderId="2" xfId="1" applyNumberFormat="1" applyFont="1" applyFill="1" applyBorder="1" applyAlignment="1">
      <alignment horizontal="center" vertical="center"/>
    </xf>
    <xf numFmtId="173" fontId="3" fillId="3" borderId="10" xfId="1" applyNumberFormat="1" applyFont="1" applyFill="1" applyBorder="1" applyAlignment="1">
      <alignment horizontal="center" vertical="center" wrapText="1"/>
    </xf>
    <xf numFmtId="173" fontId="4" fillId="3" borderId="2" xfId="1" applyNumberFormat="1" applyFont="1" applyFill="1" applyBorder="1" applyAlignment="1">
      <alignment horizontal="center" vertical="center" wrapText="1"/>
    </xf>
    <xf numFmtId="173" fontId="3" fillId="3" borderId="2" xfId="1" applyNumberFormat="1" applyFont="1" applyFill="1" applyBorder="1" applyAlignment="1">
      <alignment horizontal="center" vertical="center" wrapText="1"/>
    </xf>
    <xf numFmtId="173" fontId="3" fillId="4" borderId="45" xfId="1" applyNumberFormat="1" applyFont="1" applyFill="1" applyBorder="1" applyAlignment="1">
      <alignment horizontal="center" vertical="center"/>
    </xf>
    <xf numFmtId="173" fontId="3" fillId="4" borderId="2" xfId="1" applyNumberFormat="1" applyFont="1" applyFill="1" applyBorder="1" applyAlignment="1">
      <alignment horizontal="center" vertical="center"/>
    </xf>
    <xf numFmtId="173" fontId="4" fillId="3" borderId="1" xfId="1" applyNumberFormat="1" applyFont="1" applyFill="1" applyBorder="1" applyAlignment="1">
      <alignment horizontal="center" vertical="center" wrapText="1"/>
    </xf>
    <xf numFmtId="173" fontId="3" fillId="4" borderId="13" xfId="1" applyNumberFormat="1" applyFont="1" applyFill="1" applyBorder="1" applyAlignment="1">
      <alignment horizontal="center"/>
    </xf>
    <xf numFmtId="173" fontId="3" fillId="4" borderId="1" xfId="1" applyNumberFormat="1" applyFont="1" applyFill="1" applyBorder="1" applyAlignment="1">
      <alignment horizontal="center" vertical="center"/>
    </xf>
    <xf numFmtId="173" fontId="3" fillId="4" borderId="2" xfId="1" applyNumberFormat="1" applyFont="1" applyFill="1" applyBorder="1" applyAlignment="1">
      <alignment horizontal="center" vertical="center" wrapText="1"/>
    </xf>
    <xf numFmtId="173" fontId="3" fillId="4" borderId="44" xfId="1" applyNumberFormat="1" applyFont="1" applyFill="1" applyBorder="1" applyAlignment="1">
      <alignment horizontal="center" vertical="center"/>
    </xf>
    <xf numFmtId="173" fontId="3" fillId="0" borderId="2" xfId="1" applyNumberFormat="1" applyFont="1" applyBorder="1" applyAlignment="1">
      <alignment horizontal="center" vertical="center" wrapText="1"/>
    </xf>
    <xf numFmtId="173" fontId="4" fillId="0" borderId="2" xfId="1" applyNumberFormat="1" applyFont="1" applyBorder="1" applyAlignment="1">
      <alignment horizontal="center" vertical="center" wrapText="1"/>
    </xf>
    <xf numFmtId="173" fontId="4" fillId="0" borderId="1" xfId="1" applyNumberFormat="1" applyFont="1" applyBorder="1" applyAlignment="1">
      <alignment horizontal="center" vertical="center" wrapText="1"/>
    </xf>
    <xf numFmtId="173" fontId="4" fillId="0" borderId="10" xfId="1" applyNumberFormat="1" applyFont="1" applyBorder="1" applyAlignment="1">
      <alignment horizontal="center" vertical="center" wrapText="1"/>
    </xf>
    <xf numFmtId="173" fontId="4" fillId="0" borderId="2" xfId="1" applyNumberFormat="1" applyFont="1" applyFill="1" applyBorder="1" applyAlignment="1">
      <alignment horizontal="center" vertical="center" wrapText="1"/>
    </xf>
    <xf numFmtId="173" fontId="4" fillId="0" borderId="2" xfId="1" applyNumberFormat="1" applyFont="1" applyFill="1" applyBorder="1" applyAlignment="1">
      <alignment horizontal="center"/>
    </xf>
    <xf numFmtId="173" fontId="4" fillId="0" borderId="2" xfId="1" applyNumberFormat="1" applyFont="1" applyFill="1" applyBorder="1" applyAlignment="1">
      <alignment horizontal="center" wrapText="1"/>
    </xf>
    <xf numFmtId="173" fontId="4" fillId="0" borderId="5" xfId="1" applyNumberFormat="1" applyFont="1" applyFill="1" applyBorder="1" applyAlignment="1">
      <alignment horizontal="center" vertical="center" wrapText="1"/>
    </xf>
    <xf numFmtId="173" fontId="3" fillId="0" borderId="2" xfId="1" applyNumberFormat="1" applyFont="1" applyFill="1" applyBorder="1" applyAlignment="1">
      <alignment horizontal="center" vertical="center" wrapText="1"/>
    </xf>
    <xf numFmtId="173" fontId="4" fillId="4" borderId="2" xfId="1" applyNumberFormat="1" applyFont="1" applyFill="1" applyBorder="1" applyAlignment="1">
      <alignment horizontal="center" vertical="center" wrapText="1"/>
    </xf>
    <xf numFmtId="173" fontId="4" fillId="0" borderId="2" xfId="1" applyNumberFormat="1" applyFont="1" applyBorder="1" applyAlignment="1">
      <alignment horizontal="center" wrapText="1"/>
    </xf>
    <xf numFmtId="173" fontId="4" fillId="0" borderId="2" xfId="1" applyNumberFormat="1" applyFont="1" applyBorder="1" applyAlignment="1">
      <alignment horizontal="center"/>
    </xf>
    <xf numFmtId="173" fontId="4" fillId="0" borderId="1" xfId="1" applyNumberFormat="1" applyFont="1" applyBorder="1" applyAlignment="1">
      <alignment horizontal="center"/>
    </xf>
    <xf numFmtId="173" fontId="3" fillId="4" borderId="10" xfId="1" applyNumberFormat="1" applyFont="1" applyFill="1" applyBorder="1" applyAlignment="1">
      <alignment horizontal="center" vertical="center"/>
    </xf>
    <xf numFmtId="173" fontId="4" fillId="3" borderId="2" xfId="1" applyNumberFormat="1" applyFont="1" applyFill="1" applyBorder="1" applyAlignment="1">
      <alignment horizontal="center" vertical="center" wrapText="1"/>
    </xf>
    <xf numFmtId="173" fontId="4" fillId="3" borderId="10" xfId="1" applyNumberFormat="1" applyFont="1" applyFill="1" applyBorder="1" applyAlignment="1">
      <alignment horizontal="center" vertical="center" wrapText="1"/>
    </xf>
    <xf numFmtId="173" fontId="3" fillId="3" borderId="1" xfId="1" applyNumberFormat="1" applyFont="1" applyFill="1" applyBorder="1" applyAlignment="1">
      <alignment horizontal="center" vertical="center" wrapText="1"/>
    </xf>
    <xf numFmtId="173" fontId="4" fillId="5" borderId="10" xfId="1" applyNumberFormat="1" applyFont="1" applyFill="1" applyBorder="1" applyAlignment="1">
      <alignment horizontal="center" vertical="center" wrapText="1"/>
    </xf>
    <xf numFmtId="173" fontId="4" fillId="5" borderId="2" xfId="1" applyNumberFormat="1" applyFont="1" applyFill="1" applyBorder="1" applyAlignment="1">
      <alignment horizontal="center" vertical="center" wrapText="1"/>
    </xf>
    <xf numFmtId="173" fontId="4" fillId="5" borderId="1" xfId="1" applyNumberFormat="1" applyFont="1" applyFill="1" applyBorder="1" applyAlignment="1">
      <alignment horizontal="center" vertical="center" wrapText="1"/>
    </xf>
    <xf numFmtId="173" fontId="18" fillId="3" borderId="11" xfId="1" applyNumberFormat="1" applyFont="1" applyFill="1" applyBorder="1" applyAlignment="1">
      <alignment horizontal="center" vertical="center" wrapText="1"/>
    </xf>
    <xf numFmtId="173" fontId="18" fillId="0" borderId="10" xfId="1" applyNumberFormat="1" applyFont="1" applyBorder="1" applyAlignment="1">
      <alignment horizontal="center" vertical="center"/>
    </xf>
    <xf numFmtId="173" fontId="12" fillId="3" borderId="3" xfId="1" applyNumberFormat="1" applyFont="1" applyFill="1" applyBorder="1" applyAlignment="1">
      <alignment horizontal="center" vertical="center" wrapText="1"/>
    </xf>
    <xf numFmtId="173" fontId="12" fillId="0" borderId="2" xfId="1" applyNumberFormat="1" applyFont="1" applyBorder="1" applyAlignment="1">
      <alignment horizontal="center" vertical="center"/>
    </xf>
    <xf numFmtId="173" fontId="18" fillId="3" borderId="38" xfId="1" applyNumberFormat="1" applyFont="1" applyFill="1" applyBorder="1" applyAlignment="1">
      <alignment horizontal="center" vertical="center" wrapText="1"/>
    </xf>
    <xf numFmtId="173" fontId="18" fillId="0" borderId="2" xfId="1" applyNumberFormat="1" applyFont="1" applyBorder="1" applyAlignment="1">
      <alignment horizontal="center" vertical="center"/>
    </xf>
    <xf numFmtId="173" fontId="12" fillId="3" borderId="38" xfId="1" applyNumberFormat="1" applyFont="1" applyFill="1" applyBorder="1" applyAlignment="1">
      <alignment horizontal="center" vertical="center" wrapText="1"/>
    </xf>
    <xf numFmtId="173" fontId="18" fillId="4" borderId="2" xfId="1" applyNumberFormat="1" applyFont="1" applyFill="1" applyBorder="1" applyAlignment="1">
      <alignment horizontal="center" vertical="center"/>
    </xf>
    <xf numFmtId="173" fontId="4" fillId="0" borderId="10" xfId="1" applyNumberFormat="1" applyFont="1" applyFill="1" applyBorder="1" applyAlignment="1">
      <alignment horizontal="center" vertical="center" wrapText="1"/>
    </xf>
    <xf numFmtId="173" fontId="4" fillId="0" borderId="1" xfId="1" applyNumberFormat="1" applyFont="1" applyFill="1" applyBorder="1" applyAlignment="1">
      <alignment horizontal="center" vertical="center" wrapText="1"/>
    </xf>
    <xf numFmtId="173" fontId="4" fillId="0" borderId="9" xfId="1" applyNumberFormat="1" applyFont="1" applyFill="1" applyBorder="1" applyAlignment="1">
      <alignment horizontal="center" vertical="center" wrapText="1"/>
    </xf>
    <xf numFmtId="173" fontId="4" fillId="0" borderId="2" xfId="1" applyNumberFormat="1" applyFont="1" applyFill="1" applyBorder="1" applyAlignment="1">
      <alignment horizontal="center" vertical="center"/>
    </xf>
    <xf numFmtId="173" fontId="4" fillId="0" borderId="8" xfId="1" applyNumberFormat="1" applyFont="1" applyFill="1" applyBorder="1" applyAlignment="1">
      <alignment horizontal="center" vertical="center" wrapText="1"/>
    </xf>
    <xf numFmtId="173" fontId="3" fillId="4" borderId="2" xfId="1" applyNumberFormat="1" applyFont="1" applyFill="1" applyBorder="1" applyAlignment="1">
      <alignment horizontal="center"/>
    </xf>
    <xf numFmtId="173" fontId="4" fillId="3" borderId="2" xfId="1" applyNumberFormat="1" applyFont="1" applyFill="1" applyBorder="1" applyAlignment="1">
      <alignment horizontal="center" vertical="center"/>
    </xf>
    <xf numFmtId="173" fontId="4" fillId="3" borderId="40" xfId="1" applyNumberFormat="1" applyFont="1" applyFill="1" applyBorder="1" applyAlignment="1">
      <alignment horizontal="center" vertical="center" wrapText="1"/>
    </xf>
    <xf numFmtId="173" fontId="4" fillId="3" borderId="45" xfId="1" applyNumberFormat="1" applyFont="1" applyFill="1" applyBorder="1" applyAlignment="1">
      <alignment horizontal="center" vertical="center" wrapText="1"/>
    </xf>
    <xf numFmtId="173" fontId="3" fillId="3" borderId="40" xfId="1" applyNumberFormat="1" applyFont="1" applyFill="1" applyBorder="1" applyAlignment="1">
      <alignment horizontal="center" vertical="center" wrapText="1"/>
    </xf>
    <xf numFmtId="173" fontId="4" fillId="0" borderId="3" xfId="1" applyNumberFormat="1" applyFont="1" applyFill="1" applyBorder="1" applyAlignment="1">
      <alignment horizontal="center" vertical="center" wrapText="1"/>
    </xf>
    <xf numFmtId="173" fontId="4" fillId="0" borderId="2" xfId="1" applyNumberFormat="1" applyFont="1" applyFill="1" applyBorder="1" applyAlignment="1">
      <alignment horizontal="center" vertical="center" wrapText="1"/>
    </xf>
    <xf numFmtId="173" fontId="4" fillId="0" borderId="10" xfId="1" applyNumberFormat="1" applyFont="1" applyFill="1" applyBorder="1" applyAlignment="1">
      <alignment horizontal="center" vertical="center"/>
    </xf>
    <xf numFmtId="173" fontId="4" fillId="5" borderId="1" xfId="1" applyNumberFormat="1" applyFont="1" applyFill="1" applyBorder="1" applyAlignment="1">
      <alignment horizontal="center" wrapText="1"/>
    </xf>
    <xf numFmtId="173" fontId="4" fillId="5" borderId="10" xfId="1" applyNumberFormat="1" applyFont="1" applyFill="1" applyBorder="1" applyAlignment="1">
      <alignment horizontal="center" wrapText="1"/>
    </xf>
    <xf numFmtId="173" fontId="3" fillId="5" borderId="2" xfId="1" applyNumberFormat="1" applyFont="1" applyFill="1" applyBorder="1" applyAlignment="1">
      <alignment horizontal="center" vertical="center" wrapText="1"/>
    </xf>
    <xf numFmtId="173" fontId="16" fillId="5" borderId="2" xfId="1" applyNumberFormat="1" applyFont="1" applyFill="1" applyBorder="1" applyAlignment="1">
      <alignment horizontal="center" vertical="center" wrapText="1"/>
    </xf>
    <xf numFmtId="173" fontId="15" fillId="5" borderId="2" xfId="1" applyNumberFormat="1" applyFont="1" applyFill="1" applyBorder="1" applyAlignment="1">
      <alignment horizontal="center" vertical="center" wrapText="1"/>
    </xf>
    <xf numFmtId="173" fontId="16" fillId="5" borderId="40" xfId="1" applyNumberFormat="1" applyFont="1" applyFill="1" applyBorder="1" applyAlignment="1">
      <alignment horizontal="center" vertical="center" wrapText="1"/>
    </xf>
    <xf numFmtId="173" fontId="3" fillId="5" borderId="10" xfId="1" applyNumberFormat="1" applyFont="1" applyFill="1" applyBorder="1" applyAlignment="1">
      <alignment horizontal="center" vertical="center" wrapText="1"/>
    </xf>
    <xf numFmtId="173" fontId="12" fillId="0" borderId="2" xfId="1" applyNumberFormat="1" applyFont="1" applyFill="1" applyBorder="1" applyAlignment="1">
      <alignment horizontal="center" vertical="center" wrapText="1"/>
    </xf>
    <xf numFmtId="173" fontId="18" fillId="3" borderId="2" xfId="1" applyNumberFormat="1" applyFont="1" applyFill="1" applyBorder="1" applyAlignment="1">
      <alignment horizontal="center" vertical="center" wrapText="1"/>
    </xf>
    <xf numFmtId="173" fontId="4" fillId="3" borderId="2" xfId="1" applyNumberFormat="1" applyFont="1" applyFill="1" applyBorder="1" applyAlignment="1">
      <alignment horizontal="center" wrapText="1"/>
    </xf>
    <xf numFmtId="173" fontId="4" fillId="3" borderId="2" xfId="1" applyNumberFormat="1" applyFont="1" applyFill="1" applyBorder="1" applyAlignment="1">
      <alignment horizontal="center"/>
    </xf>
    <xf numFmtId="173" fontId="4" fillId="3" borderId="1" xfId="1" applyNumberFormat="1" applyFont="1" applyFill="1" applyBorder="1" applyAlignment="1">
      <alignment horizontal="center"/>
    </xf>
    <xf numFmtId="173" fontId="4" fillId="3" borderId="0" xfId="1" applyNumberFormat="1" applyFont="1" applyFill="1" applyBorder="1" applyAlignment="1">
      <alignment horizontal="center" vertical="center"/>
    </xf>
    <xf numFmtId="173" fontId="4" fillId="3" borderId="1" xfId="1" applyNumberFormat="1" applyFont="1" applyFill="1" applyBorder="1" applyAlignment="1">
      <alignment horizontal="center" wrapText="1"/>
    </xf>
    <xf numFmtId="173" fontId="4" fillId="3" borderId="9" xfId="1" applyNumberFormat="1" applyFont="1" applyFill="1" applyBorder="1" applyAlignment="1">
      <alignment horizontal="center" vertical="center" wrapText="1"/>
    </xf>
    <xf numFmtId="173" fontId="4" fillId="0" borderId="0" xfId="1" applyNumberFormat="1" applyFont="1" applyAlignment="1">
      <alignment horizontal="center" vertical="center"/>
    </xf>
    <xf numFmtId="173" fontId="3" fillId="2" borderId="10" xfId="1" applyNumberFormat="1" applyFont="1" applyFill="1" applyBorder="1" applyAlignment="1">
      <alignment horizontal="center" vertical="center" wrapText="1"/>
    </xf>
    <xf numFmtId="173" fontId="3" fillId="2" borderId="4" xfId="1" applyNumberFormat="1" applyFont="1" applyFill="1" applyBorder="1" applyAlignment="1">
      <alignment horizontal="center"/>
    </xf>
    <xf numFmtId="173" fontId="4" fillId="2" borderId="7" xfId="1" applyNumberFormat="1" applyFont="1" applyFill="1" applyBorder="1" applyAlignment="1">
      <alignment horizontal="center" vertical="center" wrapText="1"/>
    </xf>
    <xf numFmtId="173" fontId="3" fillId="2" borderId="7" xfId="1" applyNumberFormat="1" applyFont="1" applyFill="1" applyBorder="1" applyAlignment="1">
      <alignment horizontal="center" vertical="center" wrapText="1"/>
    </xf>
    <xf numFmtId="173" fontId="3" fillId="2" borderId="7" xfId="1" applyNumberFormat="1" applyFont="1" applyFill="1" applyBorder="1" applyAlignment="1">
      <alignment horizontal="center"/>
    </xf>
    <xf numFmtId="173" fontId="3" fillId="2" borderId="4" xfId="1" applyNumberFormat="1" applyFont="1" applyFill="1" applyBorder="1" applyAlignment="1">
      <alignment horizontal="center" vertical="center" wrapText="1"/>
    </xf>
    <xf numFmtId="173" fontId="4" fillId="0" borderId="7" xfId="1" applyNumberFormat="1" applyFont="1" applyFill="1" applyBorder="1" applyAlignment="1">
      <alignment horizontal="center" vertical="top" wrapText="1"/>
    </xf>
    <xf numFmtId="173" fontId="4" fillId="0" borderId="8" xfId="1" applyNumberFormat="1" applyFont="1" applyFill="1" applyBorder="1" applyAlignment="1">
      <alignment horizontal="center" vertical="top" wrapText="1"/>
    </xf>
    <xf numFmtId="173" fontId="4" fillId="0" borderId="12" xfId="1" applyNumberFormat="1" applyFont="1" applyFill="1" applyBorder="1" applyAlignment="1">
      <alignment horizontal="center" vertical="top" wrapText="1"/>
    </xf>
    <xf numFmtId="173" fontId="4" fillId="0" borderId="13" xfId="1" applyNumberFormat="1" applyFont="1" applyFill="1" applyBorder="1" applyAlignment="1">
      <alignment horizontal="center" vertical="top" wrapText="1"/>
    </xf>
    <xf numFmtId="173" fontId="4" fillId="0" borderId="0" xfId="1" applyNumberFormat="1" applyFont="1" applyFill="1" applyBorder="1" applyAlignment="1">
      <alignment horizontal="center" vertical="top" wrapText="1"/>
    </xf>
    <xf numFmtId="173" fontId="4" fillId="0" borderId="14" xfId="1" applyNumberFormat="1" applyFont="1" applyFill="1" applyBorder="1" applyAlignment="1">
      <alignment horizontal="center" vertical="top" wrapText="1"/>
    </xf>
    <xf numFmtId="173" fontId="4" fillId="0" borderId="4" xfId="1" applyNumberFormat="1" applyFont="1" applyFill="1" applyBorder="1" applyAlignment="1">
      <alignment horizontal="center" vertical="center" wrapText="1"/>
    </xf>
    <xf numFmtId="173" fontId="15" fillId="5" borderId="10" xfId="1" applyNumberFormat="1" applyFont="1" applyFill="1" applyBorder="1" applyAlignment="1">
      <alignment horizontal="center" vertical="center" wrapText="1"/>
    </xf>
    <xf numFmtId="173" fontId="15" fillId="4" borderId="2" xfId="1" applyNumberFormat="1" applyFont="1" applyFill="1" applyBorder="1" applyAlignment="1">
      <alignment horizontal="center"/>
    </xf>
    <xf numFmtId="173" fontId="3" fillId="2" borderId="0" xfId="1" applyNumberFormat="1" applyFont="1" applyFill="1" applyBorder="1" applyAlignment="1">
      <alignment horizontal="center" vertical="center" wrapText="1"/>
    </xf>
    <xf numFmtId="173" fontId="3" fillId="2" borderId="12" xfId="1" applyNumberFormat="1" applyFont="1" applyFill="1" applyBorder="1" applyAlignment="1">
      <alignment horizontal="center"/>
    </xf>
    <xf numFmtId="173" fontId="18" fillId="3" borderId="2" xfId="1" applyNumberFormat="1" applyFont="1" applyFill="1" applyBorder="1" applyAlignment="1">
      <alignment horizontal="center" vertical="top" wrapText="1"/>
    </xf>
    <xf numFmtId="173" fontId="18" fillId="3" borderId="2" xfId="1" applyNumberFormat="1" applyFont="1" applyFill="1" applyBorder="1" applyAlignment="1">
      <alignment horizontal="center" vertical="center"/>
    </xf>
    <xf numFmtId="173" fontId="12" fillId="3" borderId="2" xfId="1" applyNumberFormat="1" applyFont="1" applyFill="1" applyBorder="1" applyAlignment="1">
      <alignment horizontal="center" vertical="center"/>
    </xf>
    <xf numFmtId="173" fontId="12" fillId="3" borderId="2" xfId="1" applyNumberFormat="1" applyFont="1" applyFill="1" applyBorder="1" applyAlignment="1">
      <alignment horizontal="center" vertical="center" wrapText="1"/>
    </xf>
    <xf numFmtId="173" fontId="12" fillId="0" borderId="2" xfId="1" applyNumberFormat="1" applyFont="1" applyFill="1" applyBorder="1" applyAlignment="1">
      <alignment horizontal="center" vertical="center"/>
    </xf>
    <xf numFmtId="173" fontId="4" fillId="2" borderId="12" xfId="1" applyNumberFormat="1" applyFont="1" applyFill="1" applyBorder="1" applyAlignment="1">
      <alignment horizontal="center"/>
    </xf>
    <xf numFmtId="173" fontId="4" fillId="0" borderId="0" xfId="1" applyNumberFormat="1" applyFont="1" applyFill="1" applyBorder="1" applyAlignment="1">
      <alignment horizontal="center" vertical="center" wrapText="1"/>
    </xf>
    <xf numFmtId="173" fontId="4" fillId="0" borderId="1" xfId="1" applyNumberFormat="1" applyFont="1" applyFill="1" applyBorder="1" applyAlignment="1">
      <alignment horizontal="center" vertical="center"/>
    </xf>
    <xf numFmtId="173" fontId="4" fillId="0" borderId="44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9" fontId="4" fillId="3" borderId="2" xfId="0" applyNumberFormat="1" applyFont="1" applyFill="1" applyBorder="1" applyAlignment="1">
      <alignment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4" xfId="4" applyNumberFormat="1" applyFont="1" applyFill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4" fillId="4" borderId="2" xfId="1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4" fillId="0" borderId="4" xfId="6" applyFont="1" applyFill="1" applyBorder="1" applyAlignment="1">
      <alignment horizontal="center" vertical="center" wrapText="1"/>
    </xf>
    <xf numFmtId="164" fontId="3" fillId="4" borderId="4" xfId="6" applyNumberFormat="1" applyFont="1" applyFill="1" applyBorder="1" applyAlignment="1">
      <alignment horizontal="center" vertical="center" wrapText="1"/>
    </xf>
    <xf numFmtId="164" fontId="4" fillId="4" borderId="4" xfId="6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0" fontId="18" fillId="3" borderId="2" xfId="18" applyFont="1" applyFill="1" applyBorder="1" applyAlignment="1">
      <alignment horizontal="center" vertical="center" wrapText="1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6" fontId="4" fillId="3" borderId="45" xfId="0" applyNumberFormat="1" applyFont="1" applyFill="1" applyBorder="1" applyAlignment="1">
      <alignment horizontal="center" vertical="center"/>
    </xf>
    <xf numFmtId="168" fontId="4" fillId="3" borderId="45" xfId="0" applyNumberFormat="1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left" vertical="center" wrapText="1"/>
    </xf>
    <xf numFmtId="0" fontId="4" fillId="3" borderId="45" xfId="0" applyFont="1" applyFill="1" applyBorder="1" applyAlignment="1">
      <alignment horizontal="center" vertical="center" wrapText="1"/>
    </xf>
    <xf numFmtId="49" fontId="4" fillId="3" borderId="45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9" fontId="3" fillId="3" borderId="2" xfId="9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top" wrapText="1"/>
    </xf>
    <xf numFmtId="0" fontId="4" fillId="3" borderId="12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3" borderId="10" xfId="6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168" fontId="3" fillId="3" borderId="9" xfId="0" applyNumberFormat="1" applyFont="1" applyFill="1" applyBorder="1" applyAlignment="1">
      <alignment horizontal="center" vertical="center" wrapText="1"/>
    </xf>
    <xf numFmtId="166" fontId="4" fillId="3" borderId="45" xfId="0" applyNumberFormat="1" applyFont="1" applyFill="1" applyBorder="1" applyAlignment="1">
      <alignment horizontal="right" vertical="center"/>
    </xf>
    <xf numFmtId="0" fontId="4" fillId="3" borderId="41" xfId="0" applyFont="1" applyFill="1" applyBorder="1" applyAlignment="1">
      <alignment vertical="center" wrapText="1"/>
    </xf>
    <xf numFmtId="0" fontId="3" fillId="3" borderId="45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vertical="center" wrapText="1"/>
    </xf>
    <xf numFmtId="0" fontId="3" fillId="3" borderId="45" xfId="0" applyFont="1" applyFill="1" applyBorder="1" applyAlignment="1">
      <alignment horizontal="left" vertical="center" wrapText="1"/>
    </xf>
    <xf numFmtId="0" fontId="3" fillId="3" borderId="45" xfId="11" applyFont="1" applyFill="1" applyBorder="1" applyAlignment="1">
      <alignment vertical="center" wrapText="1"/>
    </xf>
    <xf numFmtId="168" fontId="3" fillId="4" borderId="2" xfId="0" applyNumberFormat="1" applyFont="1" applyFill="1" applyBorder="1" applyAlignment="1">
      <alignment horizontal="center" vertical="center" wrapText="1"/>
    </xf>
    <xf numFmtId="173" fontId="18" fillId="3" borderId="10" xfId="1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173" fontId="12" fillId="3" borderId="9" xfId="1" applyNumberFormat="1" applyFont="1" applyFill="1" applyBorder="1" applyAlignment="1">
      <alignment horizontal="center" vertical="center" wrapText="1"/>
    </xf>
    <xf numFmtId="1" fontId="12" fillId="3" borderId="2" xfId="0" applyNumberFormat="1" applyFont="1" applyFill="1" applyBorder="1" applyAlignment="1">
      <alignment horizontal="center" vertical="center" wrapText="1"/>
    </xf>
    <xf numFmtId="174" fontId="12" fillId="3" borderId="2" xfId="19" applyNumberFormat="1" applyFont="1" applyFill="1" applyBorder="1" applyAlignment="1">
      <alignment horizontal="center" vertical="center"/>
    </xf>
    <xf numFmtId="173" fontId="18" fillId="3" borderId="9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/>
    <xf numFmtId="0" fontId="48" fillId="3" borderId="2" xfId="0" applyFont="1" applyFill="1" applyBorder="1"/>
    <xf numFmtId="175" fontId="12" fillId="3" borderId="2" xfId="0" applyNumberFormat="1" applyFont="1" applyFill="1" applyBorder="1" applyAlignment="1">
      <alignment horizontal="center" vertical="center" wrapText="1"/>
    </xf>
    <xf numFmtId="175" fontId="12" fillId="3" borderId="2" xfId="0" applyNumberFormat="1" applyFont="1" applyFill="1" applyBorder="1" applyAlignment="1">
      <alignment horizontal="center" vertical="center"/>
    </xf>
    <xf numFmtId="9" fontId="12" fillId="3" borderId="2" xfId="9" applyFont="1" applyFill="1" applyBorder="1" applyAlignment="1">
      <alignment horizontal="center" vertical="center" wrapText="1"/>
    </xf>
    <xf numFmtId="173" fontId="12" fillId="3" borderId="44" xfId="1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vertical="center"/>
    </xf>
    <xf numFmtId="175" fontId="12" fillId="3" borderId="2" xfId="9" applyNumberFormat="1" applyFont="1" applyFill="1" applyBorder="1" applyAlignment="1">
      <alignment horizontal="center" vertical="center" wrapText="1"/>
    </xf>
    <xf numFmtId="173" fontId="12" fillId="3" borderId="2" xfId="1" applyNumberFormat="1" applyFont="1" applyFill="1" applyBorder="1" applyAlignment="1">
      <alignment horizontal="center"/>
    </xf>
    <xf numFmtId="173" fontId="12" fillId="0" borderId="2" xfId="1" applyNumberFormat="1" applyFont="1" applyBorder="1" applyAlignment="1">
      <alignment horizontal="center"/>
    </xf>
    <xf numFmtId="173" fontId="12" fillId="0" borderId="2" xfId="1" applyNumberFormat="1" applyFont="1" applyFill="1" applyBorder="1" applyAlignment="1">
      <alignment horizontal="center"/>
    </xf>
    <xf numFmtId="166" fontId="18" fillId="0" borderId="17" xfId="4" applyNumberFormat="1" applyFont="1" applyBorder="1" applyAlignment="1">
      <alignment horizontal="right" vertical="center"/>
    </xf>
    <xf numFmtId="0" fontId="12" fillId="3" borderId="10" xfId="4" applyFont="1" applyFill="1" applyBorder="1" applyAlignment="1">
      <alignment horizontal="right" vertical="center"/>
    </xf>
    <xf numFmtId="0" fontId="18" fillId="3" borderId="10" xfId="4" applyFont="1" applyFill="1" applyBorder="1" applyAlignment="1">
      <alignment horizontal="right" vertical="center"/>
    </xf>
    <xf numFmtId="0" fontId="18" fillId="3" borderId="10" xfId="4" applyFont="1" applyFill="1" applyBorder="1" applyAlignment="1">
      <alignment vertical="center" wrapText="1"/>
    </xf>
    <xf numFmtId="0" fontId="18" fillId="3" borderId="10" xfId="4" applyFont="1" applyFill="1" applyBorder="1" applyAlignment="1">
      <alignment horizontal="left" vertical="center" wrapText="1"/>
    </xf>
    <xf numFmtId="0" fontId="18" fillId="3" borderId="10" xfId="4" applyFont="1" applyFill="1" applyBorder="1" applyAlignment="1">
      <alignment horizontal="center" vertical="center" wrapText="1"/>
    </xf>
    <xf numFmtId="166" fontId="18" fillId="0" borderId="44" xfId="4" applyNumberFormat="1" applyFont="1" applyBorder="1" applyAlignment="1">
      <alignment horizontal="right" vertical="center"/>
    </xf>
    <xf numFmtId="167" fontId="12" fillId="0" borderId="44" xfId="4" applyNumberFormat="1" applyFont="1" applyBorder="1" applyAlignment="1">
      <alignment horizontal="right" vertical="center"/>
    </xf>
    <xf numFmtId="0" fontId="12" fillId="3" borderId="2" xfId="4" applyFont="1" applyFill="1" applyBorder="1" applyAlignment="1">
      <alignment horizontal="center" vertical="center" wrapText="1"/>
    </xf>
    <xf numFmtId="0" fontId="18" fillId="3" borderId="2" xfId="4" applyFont="1" applyFill="1" applyBorder="1" applyAlignment="1">
      <alignment horizontal="center" vertical="center" wrapText="1"/>
    </xf>
    <xf numFmtId="167" fontId="12" fillId="0" borderId="3" xfId="4" applyNumberFormat="1" applyFont="1" applyBorder="1" applyAlignment="1">
      <alignment horizontal="right" vertical="center"/>
    </xf>
    <xf numFmtId="173" fontId="18" fillId="3" borderId="44" xfId="1" applyNumberFormat="1" applyFont="1" applyFill="1" applyBorder="1" applyAlignment="1">
      <alignment horizontal="center" vertical="center" wrapText="1"/>
    </xf>
    <xf numFmtId="167" fontId="12" fillId="0" borderId="2" xfId="4" applyNumberFormat="1" applyFont="1" applyBorder="1" applyAlignment="1">
      <alignment horizontal="right" vertical="center"/>
    </xf>
    <xf numFmtId="0" fontId="12" fillId="3" borderId="2" xfId="4" applyFont="1" applyFill="1" applyBorder="1" applyAlignment="1">
      <alignment vertical="center" wrapText="1"/>
    </xf>
    <xf numFmtId="49" fontId="18" fillId="3" borderId="44" xfId="4" applyNumberFormat="1" applyFont="1" applyFill="1" applyBorder="1" applyAlignment="1">
      <alignment vertical="center"/>
    </xf>
    <xf numFmtId="49" fontId="12" fillId="3" borderId="44" xfId="4" applyNumberFormat="1" applyFont="1" applyFill="1" applyBorder="1" applyAlignment="1">
      <alignment vertical="center"/>
    </xf>
    <xf numFmtId="0" fontId="18" fillId="3" borderId="2" xfId="4" applyFont="1" applyFill="1" applyBorder="1" applyAlignment="1">
      <alignment horizontal="left" vertical="center" wrapText="1"/>
    </xf>
    <xf numFmtId="0" fontId="12" fillId="3" borderId="2" xfId="4" applyFont="1" applyFill="1" applyBorder="1"/>
    <xf numFmtId="173" fontId="18" fillId="3" borderId="28" xfId="1" applyNumberFormat="1" applyFont="1" applyFill="1" applyBorder="1" applyAlignment="1">
      <alignment horizontal="center" vertical="center" wrapText="1"/>
    </xf>
    <xf numFmtId="173" fontId="4" fillId="0" borderId="44" xfId="1" applyNumberFormat="1" applyFont="1" applyFill="1" applyBorder="1" applyAlignment="1">
      <alignment horizontal="center" vertical="center" wrapText="1"/>
    </xf>
    <xf numFmtId="173" fontId="12" fillId="0" borderId="44" xfId="1" applyNumberFormat="1" applyFont="1" applyFill="1" applyBorder="1" applyAlignment="1">
      <alignment horizontal="center" vertical="center" wrapText="1"/>
    </xf>
    <xf numFmtId="173" fontId="12" fillId="0" borderId="10" xfId="1" applyNumberFormat="1" applyFont="1" applyFill="1" applyBorder="1" applyAlignment="1">
      <alignment horizontal="center" vertical="center" wrapText="1"/>
    </xf>
    <xf numFmtId="173" fontId="3" fillId="2" borderId="2" xfId="1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73" fontId="4" fillId="2" borderId="2" xfId="1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left" vertical="center" wrapText="1"/>
    </xf>
    <xf numFmtId="173" fontId="4" fillId="3" borderId="2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/>
    </xf>
    <xf numFmtId="168" fontId="3" fillId="4" borderId="2" xfId="0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49" fontId="4" fillId="3" borderId="2" xfId="9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166" fontId="18" fillId="0" borderId="2" xfId="0" applyNumberFormat="1" applyFont="1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/>
    </xf>
    <xf numFmtId="0" fontId="18" fillId="3" borderId="2" xfId="0" applyFont="1" applyFill="1" applyBorder="1" applyAlignment="1">
      <alignment horizontal="right" vertical="center"/>
    </xf>
    <xf numFmtId="0" fontId="18" fillId="3" borderId="2" xfId="0" applyFont="1" applyFill="1" applyBorder="1" applyAlignment="1">
      <alignment vertical="center" wrapText="1"/>
    </xf>
    <xf numFmtId="173" fontId="18" fillId="4" borderId="2" xfId="1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right" vertical="center"/>
    </xf>
    <xf numFmtId="0" fontId="15" fillId="5" borderId="2" xfId="0" applyFont="1" applyFill="1" applyBorder="1" applyAlignment="1">
      <alignment horizontal="right" vertical="center"/>
    </xf>
    <xf numFmtId="0" fontId="16" fillId="5" borderId="2" xfId="6" applyFont="1" applyFill="1" applyBorder="1" applyAlignment="1">
      <alignment vertical="center" wrapText="1"/>
    </xf>
    <xf numFmtId="0" fontId="16" fillId="5" borderId="2" xfId="6" applyFont="1" applyFill="1" applyBorder="1" applyAlignment="1">
      <alignment horizontal="left" vertical="center" wrapText="1"/>
    </xf>
    <xf numFmtId="49" fontId="15" fillId="5" borderId="2" xfId="0" applyNumberFormat="1" applyFont="1" applyFill="1" applyBorder="1" applyAlignment="1">
      <alignment horizontal="center" vertical="center"/>
    </xf>
    <xf numFmtId="49" fontId="16" fillId="5" borderId="2" xfId="0" applyNumberFormat="1" applyFont="1" applyFill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49" fontId="15" fillId="5" borderId="2" xfId="0" applyNumberFormat="1" applyFont="1" applyFill="1" applyBorder="1" applyAlignment="1">
      <alignment vertical="center"/>
    </xf>
    <xf numFmtId="49" fontId="16" fillId="5" borderId="2" xfId="0" applyNumberFormat="1" applyFont="1" applyFill="1" applyBorder="1" applyAlignment="1">
      <alignment horizontal="center" vertical="center"/>
    </xf>
    <xf numFmtId="166" fontId="3" fillId="3" borderId="2" xfId="4" applyNumberFormat="1" applyFont="1" applyFill="1" applyBorder="1" applyAlignment="1">
      <alignment horizontal="center" vertical="center"/>
    </xf>
    <xf numFmtId="0" fontId="3" fillId="3" borderId="2" xfId="6" applyFont="1" applyFill="1" applyBorder="1" applyAlignment="1">
      <alignment horizontal="left" vertical="center" wrapText="1"/>
    </xf>
    <xf numFmtId="173" fontId="3" fillId="3" borderId="2" xfId="1" applyNumberFormat="1" applyFont="1" applyFill="1" applyBorder="1" applyAlignment="1">
      <alignment horizontal="center" vertical="center"/>
    </xf>
    <xf numFmtId="169" fontId="4" fillId="3" borderId="2" xfId="23" applyNumberFormat="1" applyFont="1" applyFill="1" applyBorder="1" applyAlignment="1">
      <alignment horizontal="center" vertical="center"/>
    </xf>
    <xf numFmtId="173" fontId="4" fillId="3" borderId="2" xfId="17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173" fontId="18" fillId="4" borderId="2" xfId="1" applyNumberFormat="1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/>
    </xf>
    <xf numFmtId="166" fontId="12" fillId="0" borderId="2" xfId="0" applyNumberFormat="1" applyFont="1" applyBorder="1" applyAlignment="1">
      <alignment horizontal="right" vertical="center"/>
    </xf>
    <xf numFmtId="167" fontId="12" fillId="0" borderId="2" xfId="0" applyNumberFormat="1" applyFont="1" applyBorder="1" applyAlignment="1">
      <alignment horizontal="center" vertical="center"/>
    </xf>
    <xf numFmtId="0" fontId="12" fillId="3" borderId="2" xfId="6" applyFont="1" applyFill="1" applyBorder="1" applyAlignment="1">
      <alignment vertical="center" wrapText="1"/>
    </xf>
    <xf numFmtId="0" fontId="12" fillId="3" borderId="2" xfId="6" applyFont="1" applyFill="1" applyBorder="1" applyAlignment="1">
      <alignment horizontal="left" vertical="center" wrapText="1"/>
    </xf>
    <xf numFmtId="49" fontId="18" fillId="3" borderId="2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vertical="center"/>
    </xf>
    <xf numFmtId="173" fontId="15" fillId="4" borderId="2" xfId="1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vertical="center"/>
    </xf>
    <xf numFmtId="4" fontId="3" fillId="0" borderId="2" xfId="0" applyNumberFormat="1" applyFont="1" applyFill="1" applyBorder="1" applyAlignment="1">
      <alignment vertical="center" wrapText="1"/>
    </xf>
    <xf numFmtId="166" fontId="18" fillId="0" borderId="2" xfId="0" applyNumberFormat="1" applyFont="1" applyFill="1" applyBorder="1" applyAlignment="1">
      <alignment horizontal="right" vertical="center"/>
    </xf>
    <xf numFmtId="173" fontId="18" fillId="0" borderId="2" xfId="1" applyNumberFormat="1" applyFont="1" applyFill="1" applyBorder="1" applyAlignment="1">
      <alignment horizontal="center" vertical="center" wrapText="1"/>
    </xf>
    <xf numFmtId="167" fontId="18" fillId="0" borderId="2" xfId="0" applyNumberFormat="1" applyFont="1" applyFill="1" applyBorder="1" applyAlignment="1">
      <alignment horizontal="right" vertical="center"/>
    </xf>
    <xf numFmtId="49" fontId="18" fillId="0" borderId="2" xfId="0" applyNumberFormat="1" applyFont="1" applyFill="1" applyBorder="1" applyAlignment="1">
      <alignment vertical="center"/>
    </xf>
    <xf numFmtId="0" fontId="18" fillId="0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49" fontId="12" fillId="3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49" fillId="29" borderId="2" xfId="0" applyFont="1" applyFill="1" applyBorder="1" applyAlignment="1">
      <alignment vertical="top" wrapText="1"/>
    </xf>
    <xf numFmtId="0" fontId="49" fillId="29" borderId="2" xfId="0" applyFont="1" applyFill="1" applyBorder="1" applyAlignment="1">
      <alignment horizontal="left" wrapText="1"/>
    </xf>
    <xf numFmtId="173" fontId="50" fillId="29" borderId="2" xfId="1" applyNumberFormat="1" applyFont="1" applyFill="1" applyBorder="1" applyAlignment="1">
      <alignment horizontal="center" vertical="center" wrapText="1"/>
    </xf>
    <xf numFmtId="0" fontId="49" fillId="29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49" fontId="49" fillId="29" borderId="2" xfId="0" applyNumberFormat="1" applyFont="1" applyFill="1" applyBorder="1" applyAlignment="1">
      <alignment horizontal="center" wrapText="1"/>
    </xf>
    <xf numFmtId="173" fontId="49" fillId="29" borderId="2" xfId="1" applyNumberFormat="1" applyFont="1" applyFill="1" applyBorder="1" applyAlignment="1">
      <alignment horizontal="center" vertical="top" wrapText="1"/>
    </xf>
    <xf numFmtId="0" fontId="49" fillId="29" borderId="2" xfId="0" applyFont="1" applyFill="1" applyBorder="1" applyAlignment="1">
      <alignment horizontal="right" wrapText="1"/>
    </xf>
    <xf numFmtId="0" fontId="49" fillId="29" borderId="45" xfId="0" applyFont="1" applyFill="1" applyBorder="1" applyAlignment="1">
      <alignment horizontal="left" wrapText="1"/>
    </xf>
    <xf numFmtId="0" fontId="50" fillId="29" borderId="45" xfId="0" applyFont="1" applyFill="1" applyBorder="1" applyAlignment="1">
      <alignment horizontal="left" wrapText="1"/>
    </xf>
    <xf numFmtId="0" fontId="51" fillId="29" borderId="10" xfId="0" applyFont="1" applyFill="1" applyBorder="1" applyAlignment="1">
      <alignment horizontal="left" wrapText="1"/>
    </xf>
    <xf numFmtId="0" fontId="49" fillId="29" borderId="10" xfId="0" applyFont="1" applyFill="1" applyBorder="1" applyAlignment="1">
      <alignment horizontal="left" wrapText="1"/>
    </xf>
    <xf numFmtId="49" fontId="49" fillId="29" borderId="2" xfId="0" applyNumberFormat="1" applyFont="1" applyFill="1" applyBorder="1" applyAlignment="1">
      <alignment horizontal="center" vertical="top" wrapText="1"/>
    </xf>
    <xf numFmtId="9" fontId="49" fillId="29" borderId="2" xfId="0" applyNumberFormat="1" applyFont="1" applyFill="1" applyBorder="1" applyAlignment="1">
      <alignment vertical="top" wrapText="1"/>
    </xf>
    <xf numFmtId="0" fontId="12" fillId="29" borderId="2" xfId="0" applyFont="1" applyFill="1" applyBorder="1" applyAlignment="1">
      <alignment horizontal="left" wrapText="1"/>
    </xf>
    <xf numFmtId="168" fontId="12" fillId="3" borderId="2" xfId="0" applyNumberFormat="1" applyFont="1" applyFill="1" applyBorder="1" applyAlignment="1">
      <alignment vertical="center" wrapText="1"/>
    </xf>
    <xf numFmtId="173" fontId="49" fillId="29" borderId="2" xfId="1" applyNumberFormat="1" applyFont="1" applyFill="1" applyBorder="1" applyAlignment="1">
      <alignment horizontal="center" wrapText="1"/>
    </xf>
    <xf numFmtId="9" fontId="12" fillId="3" borderId="2" xfId="0" applyNumberFormat="1" applyFont="1" applyFill="1" applyBorder="1" applyAlignment="1">
      <alignment horizontal="center" vertical="center" wrapText="1"/>
    </xf>
    <xf numFmtId="168" fontId="12" fillId="3" borderId="2" xfId="0" applyNumberFormat="1" applyFont="1" applyFill="1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2" fillId="29" borderId="2" xfId="0" applyFont="1" applyFill="1" applyBorder="1" applyAlignment="1">
      <alignment horizontal="center" vertical="center" wrapText="1"/>
    </xf>
    <xf numFmtId="173" fontId="49" fillId="29" borderId="2" xfId="1" applyNumberFormat="1" applyFont="1" applyFill="1" applyBorder="1" applyAlignment="1">
      <alignment horizontal="center" vertical="center" wrapText="1"/>
    </xf>
    <xf numFmtId="0" fontId="18" fillId="29" borderId="2" xfId="0" applyFont="1" applyFill="1" applyBorder="1" applyAlignment="1">
      <alignment horizontal="center" vertical="center" wrapText="1"/>
    </xf>
    <xf numFmtId="0" fontId="12" fillId="29" borderId="2" xfId="0" applyFont="1" applyFill="1" applyBorder="1" applyAlignment="1">
      <alignment vertical="center" wrapText="1"/>
    </xf>
    <xf numFmtId="0" fontId="18" fillId="29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69" fontId="4" fillId="3" borderId="2" xfId="0" applyNumberFormat="1" applyFont="1" applyFill="1" applyBorder="1" applyAlignment="1">
      <alignment vertical="center" wrapText="1"/>
    </xf>
    <xf numFmtId="168" fontId="3" fillId="3" borderId="2" xfId="0" applyNumberFormat="1" applyFont="1" applyFill="1" applyBorder="1" applyAlignment="1">
      <alignment vertical="center" wrapText="1"/>
    </xf>
    <xf numFmtId="169" fontId="3" fillId="3" borderId="2" xfId="0" applyNumberFormat="1" applyFont="1" applyFill="1" applyBorder="1" applyAlignment="1">
      <alignment vertical="center" wrapText="1"/>
    </xf>
    <xf numFmtId="0" fontId="12" fillId="4" borderId="2" xfId="0" applyFont="1" applyFill="1" applyBorder="1"/>
    <xf numFmtId="49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/>
    <xf numFmtId="49" fontId="18" fillId="0" borderId="2" xfId="0" applyNumberFormat="1" applyFont="1" applyFill="1" applyBorder="1" applyAlignment="1">
      <alignment horizontal="left" vertical="center"/>
    </xf>
    <xf numFmtId="1" fontId="12" fillId="3" borderId="2" xfId="0" applyNumberFormat="1" applyFont="1" applyFill="1" applyBorder="1" applyAlignment="1">
      <alignment vertical="center" wrapText="1"/>
    </xf>
    <xf numFmtId="1" fontId="12" fillId="3" borderId="2" xfId="7" applyNumberFormat="1" applyFont="1" applyFill="1" applyBorder="1" applyAlignment="1">
      <alignment vertical="center" wrapText="1"/>
    </xf>
    <xf numFmtId="0" fontId="18" fillId="0" borderId="2" xfId="11" applyFont="1" applyFill="1" applyBorder="1" applyAlignment="1">
      <alignment vertical="center" wrapText="1"/>
    </xf>
    <xf numFmtId="0" fontId="12" fillId="3" borderId="2" xfId="11" applyFont="1" applyFill="1" applyBorder="1" applyAlignment="1">
      <alignment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166" fontId="3" fillId="0" borderId="2" xfId="76" applyNumberFormat="1" applyFont="1" applyFill="1" applyBorder="1" applyAlignment="1">
      <alignment horizontal="center" vertical="center"/>
    </xf>
    <xf numFmtId="49" fontId="4" fillId="0" borderId="2" xfId="76" applyNumberFormat="1" applyFont="1" applyFill="1" applyBorder="1" applyAlignment="1">
      <alignment horizontal="center" vertical="center"/>
    </xf>
    <xf numFmtId="49" fontId="4" fillId="0" borderId="2" xfId="76" applyNumberFormat="1" applyFont="1" applyFill="1" applyBorder="1" applyAlignment="1">
      <alignment vertical="center"/>
    </xf>
    <xf numFmtId="0" fontId="3" fillId="0" borderId="2" xfId="76" applyFont="1" applyFill="1" applyBorder="1" applyAlignment="1">
      <alignment horizontal="left" vertical="center" wrapText="1"/>
    </xf>
    <xf numFmtId="168" fontId="18" fillId="4" borderId="2" xfId="0" applyNumberFormat="1" applyFont="1" applyFill="1" applyBorder="1" applyAlignment="1">
      <alignment horizontal="center" vertical="center"/>
    </xf>
    <xf numFmtId="168" fontId="18" fillId="4" borderId="2" xfId="0" applyNumberFormat="1" applyFont="1" applyFill="1" applyBorder="1" applyAlignment="1"/>
    <xf numFmtId="168" fontId="12" fillId="0" borderId="2" xfId="0" applyNumberFormat="1" applyFont="1" applyBorder="1"/>
    <xf numFmtId="166" fontId="15" fillId="0" borderId="2" xfId="154" applyNumberFormat="1" applyFont="1" applyBorder="1" applyAlignment="1">
      <alignment horizontal="right" vertical="center"/>
    </xf>
    <xf numFmtId="0" fontId="15" fillId="5" borderId="2" xfId="154" applyFont="1" applyFill="1" applyBorder="1" applyAlignment="1">
      <alignment vertical="center" wrapText="1"/>
    </xf>
    <xf numFmtId="0" fontId="15" fillId="5" borderId="2" xfId="154" applyFont="1" applyFill="1" applyBorder="1" applyAlignment="1">
      <alignment horizontal="left" vertical="center" wrapText="1"/>
    </xf>
    <xf numFmtId="173" fontId="15" fillId="3" borderId="2" xfId="1" applyNumberFormat="1" applyFont="1" applyFill="1" applyBorder="1" applyAlignment="1">
      <alignment horizontal="center" vertical="center" wrapText="1"/>
    </xf>
    <xf numFmtId="0" fontId="3" fillId="0" borderId="2" xfId="154" applyFont="1" applyFill="1" applyBorder="1" applyAlignment="1">
      <alignment horizontal="center" vertical="center" wrapText="1"/>
    </xf>
    <xf numFmtId="175" fontId="3" fillId="0" borderId="2" xfId="161" applyNumberFormat="1" applyFont="1" applyFill="1" applyBorder="1" applyAlignment="1">
      <alignment horizontal="center" vertical="center" wrapText="1"/>
    </xf>
    <xf numFmtId="166" fontId="16" fillId="0" borderId="2" xfId="154" applyNumberFormat="1" applyFont="1" applyBorder="1" applyAlignment="1">
      <alignment horizontal="right" vertical="center"/>
    </xf>
    <xf numFmtId="167" fontId="16" fillId="0" borderId="2" xfId="154" applyNumberFormat="1" applyFont="1" applyBorder="1" applyAlignment="1">
      <alignment horizontal="center" vertical="center"/>
    </xf>
    <xf numFmtId="0" fontId="16" fillId="5" borderId="2" xfId="154" applyFont="1" applyFill="1" applyBorder="1" applyAlignment="1">
      <alignment horizontal="right" vertical="center"/>
    </xf>
    <xf numFmtId="173" fontId="16" fillId="3" borderId="2" xfId="1" applyNumberFormat="1" applyFont="1" applyFill="1" applyBorder="1" applyAlignment="1">
      <alignment horizontal="center" vertical="center" wrapText="1"/>
    </xf>
    <xf numFmtId="0" fontId="4" fillId="0" borderId="2" xfId="154" applyFont="1" applyFill="1" applyBorder="1" applyAlignment="1">
      <alignment horizontal="center" vertical="center" wrapText="1"/>
    </xf>
    <xf numFmtId="175" fontId="4" fillId="0" borderId="2" xfId="154" applyNumberFormat="1" applyFont="1" applyFill="1" applyBorder="1" applyAlignment="1">
      <alignment horizontal="center" vertical="center" wrapText="1"/>
    </xf>
    <xf numFmtId="9" fontId="4" fillId="0" borderId="2" xfId="154" applyNumberFormat="1" applyFont="1" applyFill="1" applyBorder="1" applyAlignment="1">
      <alignment horizontal="center" vertical="center" wrapText="1"/>
    </xf>
    <xf numFmtId="166" fontId="16" fillId="0" borderId="2" xfId="154" applyNumberFormat="1" applyFont="1" applyFill="1" applyBorder="1" applyAlignment="1">
      <alignment horizontal="center" vertical="center"/>
    </xf>
    <xf numFmtId="167" fontId="16" fillId="0" borderId="2" xfId="154" applyNumberFormat="1" applyFont="1" applyFill="1" applyBorder="1" applyAlignment="1">
      <alignment horizontal="center" vertical="center"/>
    </xf>
    <xf numFmtId="0" fontId="16" fillId="0" borderId="2" xfId="154" applyFont="1" applyFill="1" applyBorder="1" applyAlignment="1">
      <alignment horizontal="center" vertical="center"/>
    </xf>
    <xf numFmtId="0" fontId="16" fillId="0" borderId="2" xfId="6" applyFont="1" applyFill="1" applyBorder="1" applyAlignment="1">
      <alignment horizontal="left" vertical="center" wrapText="1"/>
    </xf>
    <xf numFmtId="173" fontId="16" fillId="0" borderId="2" xfId="1" applyNumberFormat="1" applyFont="1" applyFill="1" applyBorder="1" applyAlignment="1">
      <alignment horizontal="center" vertical="center" wrapText="1"/>
    </xf>
    <xf numFmtId="0" fontId="16" fillId="0" borderId="2" xfId="154" applyFont="1" applyFill="1" applyBorder="1" applyAlignment="1">
      <alignment horizontal="left" vertical="center" wrapText="1"/>
    </xf>
    <xf numFmtId="0" fontId="4" fillId="3" borderId="2" xfId="154" applyFont="1" applyFill="1" applyBorder="1" applyAlignment="1">
      <alignment horizontal="center" vertical="center" wrapText="1"/>
    </xf>
    <xf numFmtId="0" fontId="4" fillId="3" borderId="2" xfId="154" applyNumberFormat="1" applyFont="1" applyFill="1" applyBorder="1" applyAlignment="1">
      <alignment horizontal="center" vertical="center" wrapText="1"/>
    </xf>
    <xf numFmtId="166" fontId="16" fillId="3" borderId="2" xfId="154" applyNumberFormat="1" applyFont="1" applyFill="1" applyBorder="1" applyAlignment="1">
      <alignment horizontal="center" vertical="center"/>
    </xf>
    <xf numFmtId="167" fontId="16" fillId="3" borderId="2" xfId="154" applyNumberFormat="1" applyFont="1" applyFill="1" applyBorder="1" applyAlignment="1">
      <alignment horizontal="center" vertical="center"/>
    </xf>
    <xf numFmtId="0" fontId="16" fillId="3" borderId="2" xfId="154" applyFont="1" applyFill="1" applyBorder="1" applyAlignment="1">
      <alignment horizontal="center"/>
    </xf>
    <xf numFmtId="0" fontId="16" fillId="3" borderId="2" xfId="6" applyFont="1" applyFill="1" applyBorder="1" applyAlignment="1">
      <alignment horizontal="left" vertical="center" wrapText="1"/>
    </xf>
    <xf numFmtId="166" fontId="16" fillId="3" borderId="2" xfId="154" applyNumberFormat="1" applyFont="1" applyFill="1" applyBorder="1" applyAlignment="1">
      <alignment horizontal="right" vertical="center"/>
    </xf>
    <xf numFmtId="0" fontId="16" fillId="3" borderId="2" xfId="154" applyFont="1" applyFill="1" applyBorder="1" applyAlignment="1">
      <alignment horizontal="right" vertical="center"/>
    </xf>
    <xf numFmtId="0" fontId="16" fillId="3" borderId="2" xfId="154" applyFont="1" applyFill="1" applyBorder="1" applyAlignment="1">
      <alignment horizontal="left" vertical="center" wrapText="1"/>
    </xf>
    <xf numFmtId="175" fontId="4" fillId="3" borderId="2" xfId="154" applyNumberFormat="1" applyFont="1" applyFill="1" applyBorder="1" applyAlignment="1">
      <alignment horizontal="center" vertical="center" wrapText="1"/>
    </xf>
    <xf numFmtId="166" fontId="16" fillId="0" borderId="2" xfId="154" applyNumberFormat="1" applyFont="1" applyFill="1" applyBorder="1" applyAlignment="1">
      <alignment horizontal="right" vertical="center"/>
    </xf>
    <xf numFmtId="0" fontId="16" fillId="0" borderId="2" xfId="154" applyFont="1" applyFill="1" applyBorder="1" applyAlignment="1">
      <alignment horizontal="right" vertical="center"/>
    </xf>
    <xf numFmtId="171" fontId="15" fillId="0" borderId="2" xfId="154" applyNumberFormat="1" applyFont="1" applyFill="1" applyBorder="1" applyAlignment="1">
      <alignment horizontal="center" vertical="center" wrapText="1"/>
    </xf>
    <xf numFmtId="0" fontId="16" fillId="0" borderId="2" xfId="154" applyFont="1" applyFill="1" applyBorder="1" applyAlignment="1">
      <alignment horizontal="center" wrapText="1"/>
    </xf>
    <xf numFmtId="0" fontId="3" fillId="0" borderId="2" xfId="154" applyFont="1" applyFill="1" applyBorder="1" applyAlignment="1">
      <alignment horizontal="left" vertical="center" wrapText="1"/>
    </xf>
    <xf numFmtId="173" fontId="15" fillId="0" borderId="2" xfId="1" applyNumberFormat="1" applyFont="1" applyFill="1" applyBorder="1" applyAlignment="1">
      <alignment horizontal="center" vertical="center" wrapText="1"/>
    </xf>
    <xf numFmtId="0" fontId="4" fillId="0" borderId="2" xfId="154" applyFont="1" applyFill="1" applyBorder="1" applyAlignment="1">
      <alignment horizontal="left" vertical="center" wrapText="1"/>
    </xf>
    <xf numFmtId="1" fontId="4" fillId="0" borderId="2" xfId="154" applyNumberFormat="1" applyFont="1" applyFill="1" applyBorder="1" applyAlignment="1">
      <alignment horizontal="center" vertical="center" wrapText="1"/>
    </xf>
    <xf numFmtId="1" fontId="16" fillId="0" borderId="2" xfId="213" applyNumberFormat="1" applyFont="1" applyBorder="1" applyAlignment="1">
      <alignment horizontal="center" vertical="center"/>
    </xf>
    <xf numFmtId="171" fontId="16" fillId="0" borderId="2" xfId="154" applyNumberFormat="1" applyFont="1" applyFill="1" applyBorder="1" applyAlignment="1">
      <alignment horizontal="center" vertical="center" wrapText="1"/>
    </xf>
    <xf numFmtId="49" fontId="16" fillId="0" borderId="2" xfId="154" applyNumberFormat="1" applyFont="1" applyFill="1" applyBorder="1" applyAlignment="1">
      <alignment horizontal="center" vertical="center" wrapText="1"/>
    </xf>
    <xf numFmtId="0" fontId="12" fillId="3" borderId="2" xfId="154" applyFont="1" applyFill="1" applyBorder="1" applyAlignment="1">
      <alignment horizontal="center"/>
    </xf>
    <xf numFmtId="49" fontId="12" fillId="3" borderId="2" xfId="154" applyNumberFormat="1" applyFont="1" applyFill="1" applyBorder="1" applyAlignment="1">
      <alignment horizontal="center" vertical="center"/>
    </xf>
    <xf numFmtId="0" fontId="12" fillId="3" borderId="2" xfId="154" applyFont="1" applyFill="1" applyBorder="1" applyAlignment="1">
      <alignment horizontal="left" vertical="center" wrapText="1"/>
    </xf>
    <xf numFmtId="0" fontId="12" fillId="3" borderId="2" xfId="154" applyFont="1" applyFill="1" applyBorder="1" applyAlignment="1">
      <alignment horizontal="center" vertical="center" wrapText="1"/>
    </xf>
    <xf numFmtId="9" fontId="12" fillId="3" borderId="2" xfId="154" applyNumberFormat="1" applyFont="1" applyFill="1" applyBorder="1" applyAlignment="1">
      <alignment horizontal="center" vertical="center"/>
    </xf>
    <xf numFmtId="49" fontId="16" fillId="0" borderId="2" xfId="154" applyNumberFormat="1" applyFont="1" applyFill="1" applyBorder="1" applyAlignment="1">
      <alignment horizontal="center"/>
    </xf>
    <xf numFmtId="0" fontId="16" fillId="0" borderId="2" xfId="154" applyFont="1" applyFill="1" applyBorder="1" applyAlignment="1">
      <alignment horizontal="center"/>
    </xf>
    <xf numFmtId="173" fontId="15" fillId="0" borderId="2" xfId="1" applyNumberFormat="1" applyFont="1" applyFill="1" applyBorder="1" applyAlignment="1">
      <alignment horizontal="center" vertical="center"/>
    </xf>
    <xf numFmtId="173" fontId="15" fillId="3" borderId="2" xfId="1" applyNumberFormat="1" applyFont="1" applyFill="1" applyBorder="1" applyAlignment="1">
      <alignment horizontal="center" vertical="center"/>
    </xf>
    <xf numFmtId="0" fontId="18" fillId="0" borderId="2" xfId="154" applyFont="1" applyFill="1" applyBorder="1" applyAlignment="1">
      <alignment horizontal="center" vertical="center"/>
    </xf>
    <xf numFmtId="1" fontId="18" fillId="0" borderId="2" xfId="154" applyNumberFormat="1" applyFont="1" applyFill="1" applyBorder="1" applyAlignment="1">
      <alignment horizontal="center" vertical="center"/>
    </xf>
    <xf numFmtId="9" fontId="18" fillId="0" borderId="2" xfId="154" applyNumberFormat="1" applyFont="1" applyFill="1" applyBorder="1" applyAlignment="1">
      <alignment horizontal="center" vertical="center"/>
    </xf>
    <xf numFmtId="0" fontId="4" fillId="0" borderId="2" xfId="154" applyFont="1" applyFill="1" applyBorder="1" applyAlignment="1">
      <alignment horizontal="center" vertical="center"/>
    </xf>
    <xf numFmtId="49" fontId="16" fillId="3" borderId="2" xfId="154" applyNumberFormat="1" applyFont="1" applyFill="1" applyBorder="1" applyAlignment="1">
      <alignment horizontal="center" vertical="center"/>
    </xf>
    <xf numFmtId="0" fontId="4" fillId="3" borderId="2" xfId="154" applyFont="1" applyFill="1" applyBorder="1" applyAlignment="1">
      <alignment horizontal="left" vertical="center" wrapText="1"/>
    </xf>
    <xf numFmtId="9" fontId="4" fillId="3" borderId="2" xfId="163" applyFont="1" applyFill="1" applyBorder="1" applyAlignment="1">
      <alignment horizontal="center" vertical="center"/>
    </xf>
    <xf numFmtId="0" fontId="4" fillId="3" borderId="2" xfId="154" applyFont="1" applyFill="1" applyBorder="1" applyAlignment="1">
      <alignment horizontal="center" vertical="center"/>
    </xf>
    <xf numFmtId="1" fontId="4" fillId="3" borderId="2" xfId="154" applyNumberFormat="1" applyFont="1" applyFill="1" applyBorder="1" applyAlignment="1">
      <alignment horizontal="center" vertical="center"/>
    </xf>
    <xf numFmtId="9" fontId="4" fillId="3" borderId="2" xfId="154" applyNumberFormat="1" applyFont="1" applyFill="1" applyBorder="1" applyAlignment="1">
      <alignment horizontal="center" vertical="center"/>
    </xf>
    <xf numFmtId="175" fontId="4" fillId="3" borderId="2" xfId="154" applyNumberFormat="1" applyFont="1" applyFill="1" applyBorder="1" applyAlignment="1">
      <alignment horizontal="center" vertical="center"/>
    </xf>
    <xf numFmtId="0" fontId="4" fillId="3" borderId="2" xfId="154" applyNumberFormat="1" applyFont="1" applyFill="1" applyBorder="1" applyAlignment="1">
      <alignment horizontal="center" vertical="center"/>
    </xf>
    <xf numFmtId="49" fontId="16" fillId="0" borderId="2" xfId="154" applyNumberFormat="1" applyFont="1" applyFill="1" applyBorder="1" applyAlignment="1">
      <alignment horizontal="center" vertical="center"/>
    </xf>
    <xf numFmtId="9" fontId="4" fillId="0" borderId="2" xfId="154" applyNumberFormat="1" applyFont="1" applyFill="1" applyBorder="1" applyAlignment="1">
      <alignment horizontal="center" vertical="center"/>
    </xf>
    <xf numFmtId="9" fontId="4" fillId="0" borderId="2" xfId="163" applyFont="1" applyFill="1" applyBorder="1" applyAlignment="1">
      <alignment horizontal="center" vertical="center"/>
    </xf>
    <xf numFmtId="168" fontId="18" fillId="2" borderId="2" xfId="0" applyNumberFormat="1" applyFont="1" applyFill="1" applyBorder="1"/>
    <xf numFmtId="0" fontId="18" fillId="3" borderId="2" xfId="0" applyNumberFormat="1" applyFont="1" applyFill="1" applyBorder="1" applyAlignment="1">
      <alignment horizontal="left" vertical="center"/>
    </xf>
    <xf numFmtId="167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wrapText="1"/>
    </xf>
    <xf numFmtId="0" fontId="4" fillId="3" borderId="2" xfId="134" applyFont="1" applyFill="1" applyBorder="1" applyAlignment="1">
      <alignment horizontal="center" vertical="center"/>
    </xf>
    <xf numFmtId="1" fontId="18" fillId="3" borderId="2" xfId="0" applyNumberFormat="1" applyFont="1" applyFill="1" applyBorder="1" applyAlignment="1">
      <alignment horizontal="left" vertical="center"/>
    </xf>
    <xf numFmtId="167" fontId="12" fillId="3" borderId="2" xfId="0" applyNumberFormat="1" applyFont="1" applyFill="1" applyBorder="1" applyAlignment="1">
      <alignment vertical="center"/>
    </xf>
    <xf numFmtId="13" fontId="12" fillId="3" borderId="2" xfId="0" applyNumberFormat="1" applyFont="1" applyFill="1" applyBorder="1" applyAlignment="1">
      <alignment horizontal="center" vertical="center" wrapText="1"/>
    </xf>
    <xf numFmtId="49" fontId="18" fillId="3" borderId="2" xfId="0" applyNumberFormat="1" applyFont="1" applyFill="1" applyBorder="1" applyAlignment="1">
      <alignment vertical="center" wrapText="1"/>
    </xf>
    <xf numFmtId="49" fontId="12" fillId="3" borderId="2" xfId="0" applyNumberFormat="1" applyFont="1" applyFill="1" applyBorder="1" applyAlignment="1">
      <alignment vertical="center" wrapText="1"/>
    </xf>
    <xf numFmtId="49" fontId="12" fillId="3" borderId="2" xfId="0" applyNumberFormat="1" applyFont="1" applyFill="1" applyBorder="1" applyAlignment="1">
      <alignment vertical="top" wrapText="1"/>
    </xf>
    <xf numFmtId="49" fontId="18" fillId="3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/>
    </xf>
    <xf numFmtId="173" fontId="3" fillId="0" borderId="2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49" fontId="18" fillId="3" borderId="2" xfId="0" applyNumberFormat="1" applyFont="1" applyFill="1" applyBorder="1" applyAlignment="1">
      <alignment vertical="center"/>
    </xf>
    <xf numFmtId="166" fontId="18" fillId="3" borderId="2" xfId="0" applyNumberFormat="1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169" fontId="18" fillId="3" borderId="2" xfId="0" applyNumberFormat="1" applyFont="1" applyFill="1" applyBorder="1" applyAlignment="1">
      <alignment horizontal="center" vertical="center" wrapText="1"/>
    </xf>
    <xf numFmtId="0" fontId="16" fillId="3" borderId="2" xfId="18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/>
    </xf>
    <xf numFmtId="0" fontId="3" fillId="3" borderId="2" xfId="18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3" borderId="2" xfId="18" applyFont="1" applyFill="1" applyBorder="1" applyAlignment="1">
      <alignment vertical="center" wrapText="1"/>
    </xf>
    <xf numFmtId="0" fontId="15" fillId="3" borderId="2" xfId="18" applyFont="1" applyFill="1" applyBorder="1" applyAlignment="1">
      <alignment horizontal="center" vertical="center" wrapText="1"/>
    </xf>
    <xf numFmtId="1" fontId="15" fillId="3" borderId="2" xfId="18" applyNumberFormat="1" applyFont="1" applyFill="1" applyBorder="1" applyAlignment="1">
      <alignment horizontal="center" vertical="center" wrapText="1"/>
    </xf>
    <xf numFmtId="1" fontId="16" fillId="3" borderId="2" xfId="18" applyNumberFormat="1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45" xfId="0" applyFont="1" applyFill="1" applyBorder="1" applyAlignment="1">
      <alignment horizontal="justify" vertical="top"/>
    </xf>
    <xf numFmtId="166" fontId="18" fillId="0" borderId="2" xfId="0" applyNumberFormat="1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2" xfId="0" applyNumberFormat="1" applyFont="1" applyFill="1" applyBorder="1" applyAlignment="1">
      <alignment horizontal="center" vertical="center"/>
    </xf>
    <xf numFmtId="168" fontId="18" fillId="3" borderId="2" xfId="0" applyNumberFormat="1" applyFont="1" applyFill="1" applyBorder="1" applyAlignment="1">
      <alignment horizontal="center" vertical="center" wrapText="1"/>
    </xf>
    <xf numFmtId="166" fontId="18" fillId="0" borderId="2" xfId="6" applyNumberFormat="1" applyFont="1" applyFill="1" applyBorder="1" applyAlignment="1">
      <alignment horizontal="right" vertical="center"/>
    </xf>
    <xf numFmtId="0" fontId="12" fillId="0" borderId="2" xfId="6" applyFont="1" applyFill="1" applyBorder="1" applyAlignment="1">
      <alignment horizontal="right" vertical="center"/>
    </xf>
    <xf numFmtId="0" fontId="12" fillId="0" borderId="2" xfId="6" applyFont="1" applyFill="1" applyBorder="1"/>
    <xf numFmtId="167" fontId="12" fillId="0" borderId="2" xfId="6" applyNumberFormat="1" applyFont="1" applyFill="1" applyBorder="1" applyAlignment="1">
      <alignment horizontal="center" vertical="center"/>
    </xf>
    <xf numFmtId="166" fontId="18" fillId="0" borderId="2" xfId="6" applyNumberFormat="1" applyFont="1" applyFill="1" applyBorder="1" applyAlignment="1">
      <alignment horizontal="center" vertical="center"/>
    </xf>
    <xf numFmtId="49" fontId="12" fillId="0" borderId="2" xfId="6" applyNumberFormat="1" applyFont="1" applyFill="1" applyBorder="1" applyAlignment="1">
      <alignment vertical="center"/>
    </xf>
    <xf numFmtId="49" fontId="12" fillId="0" borderId="2" xfId="6" applyNumberFormat="1" applyFont="1" applyFill="1" applyBorder="1" applyAlignment="1">
      <alignment horizontal="center" vertical="center"/>
    </xf>
    <xf numFmtId="49" fontId="18" fillId="0" borderId="2" xfId="6" applyNumberFormat="1" applyFont="1" applyFill="1" applyBorder="1" applyAlignment="1">
      <alignment vertical="center"/>
    </xf>
    <xf numFmtId="0" fontId="18" fillId="0" borderId="45" xfId="0" applyFont="1" applyBorder="1" applyAlignment="1">
      <alignment vertical="center" wrapText="1"/>
    </xf>
    <xf numFmtId="169" fontId="12" fillId="0" borderId="2" xfId="0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173" fontId="12" fillId="0" borderId="2" xfId="1" applyNumberFormat="1" applyFont="1" applyBorder="1" applyAlignment="1">
      <alignment horizontal="center" vertical="center" wrapText="1"/>
    </xf>
    <xf numFmtId="169" fontId="12" fillId="0" borderId="2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173" fontId="18" fillId="0" borderId="2" xfId="1" applyNumberFormat="1" applyFont="1" applyBorder="1" applyAlignment="1">
      <alignment horizontal="center" vertical="center" wrapText="1"/>
    </xf>
    <xf numFmtId="0" fontId="4" fillId="3" borderId="2" xfId="5" applyFont="1" applyFill="1" applyBorder="1" applyAlignment="1">
      <alignment horizontal="left" vertical="center" wrapText="1"/>
    </xf>
    <xf numFmtId="167" fontId="12" fillId="0" borderId="2" xfId="0" applyNumberFormat="1" applyFont="1" applyFill="1" applyBorder="1" applyAlignment="1">
      <alignment horizontal="center" vertical="center"/>
    </xf>
    <xf numFmtId="168" fontId="3" fillId="0" borderId="2" xfId="7" applyNumberFormat="1" applyFont="1" applyBorder="1" applyAlignment="1">
      <alignment horizontal="center" vertical="center" wrapText="1"/>
    </xf>
    <xf numFmtId="168" fontId="3" fillId="0" borderId="2" xfId="7" applyNumberFormat="1" applyFont="1" applyBorder="1" applyAlignment="1">
      <alignment vertical="center" wrapText="1"/>
    </xf>
    <xf numFmtId="0" fontId="12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vertical="center" wrapText="1"/>
    </xf>
    <xf numFmtId="168" fontId="12" fillId="0" borderId="2" xfId="0" applyNumberFormat="1" applyFont="1" applyFill="1" applyBorder="1" applyAlignment="1">
      <alignment vertical="center" wrapText="1"/>
    </xf>
    <xf numFmtId="173" fontId="49" fillId="0" borderId="2" xfId="1" applyNumberFormat="1" applyFont="1" applyFill="1" applyBorder="1" applyAlignment="1">
      <alignment horizontal="center" vertical="center" wrapText="1"/>
    </xf>
    <xf numFmtId="173" fontId="16" fillId="0" borderId="45" xfId="1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9" fontId="12" fillId="3" borderId="2" xfId="161" applyFont="1" applyFill="1" applyBorder="1" applyAlignment="1">
      <alignment horizontal="center" vertical="center" wrapText="1"/>
    </xf>
    <xf numFmtId="9" fontId="18" fillId="0" borderId="2" xfId="161" applyFont="1" applyFill="1" applyBorder="1" applyAlignment="1">
      <alignment horizontal="center" vertical="center" wrapText="1"/>
    </xf>
    <xf numFmtId="9" fontId="18" fillId="0" borderId="2" xfId="161" applyNumberFormat="1" applyFont="1" applyFill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 wrapText="1"/>
    </xf>
    <xf numFmtId="169" fontId="18" fillId="0" borderId="45" xfId="0" applyNumberFormat="1" applyFont="1" applyFill="1" applyBorder="1" applyAlignment="1">
      <alignment horizontal="center" vertical="center" wrapText="1"/>
    </xf>
    <xf numFmtId="49" fontId="12" fillId="0" borderId="45" xfId="0" applyNumberFormat="1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left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9" fontId="18" fillId="3" borderId="2" xfId="0" applyNumberFormat="1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vertical="center" wrapText="1"/>
    </xf>
    <xf numFmtId="0" fontId="18" fillId="3" borderId="10" xfId="0" applyFont="1" applyFill="1" applyBorder="1" applyAlignment="1">
      <alignment horizontal="center" vertical="center" wrapText="1"/>
    </xf>
    <xf numFmtId="166" fontId="18" fillId="0" borderId="45" xfId="0" applyNumberFormat="1" applyFont="1" applyBorder="1" applyAlignment="1">
      <alignment horizontal="right" vertical="center"/>
    </xf>
    <xf numFmtId="167" fontId="12" fillId="0" borderId="45" xfId="0" applyNumberFormat="1" applyFont="1" applyBorder="1" applyAlignment="1">
      <alignment horizontal="center" vertical="center"/>
    </xf>
    <xf numFmtId="0" fontId="12" fillId="3" borderId="45" xfId="6" applyFont="1" applyFill="1" applyBorder="1" applyAlignment="1">
      <alignment vertical="center" wrapText="1"/>
    </xf>
    <xf numFmtId="167" fontId="12" fillId="0" borderId="3" xfId="0" applyNumberFormat="1" applyFont="1" applyBorder="1" applyAlignment="1">
      <alignment horizontal="center" vertical="center"/>
    </xf>
    <xf numFmtId="173" fontId="18" fillId="3" borderId="45" xfId="1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166" fontId="18" fillId="0" borderId="24" xfId="0" applyNumberFormat="1" applyFont="1" applyBorder="1" applyAlignment="1">
      <alignment horizontal="right" vertical="center"/>
    </xf>
    <xf numFmtId="0" fontId="4" fillId="0" borderId="26" xfId="0" applyFont="1" applyFill="1" applyBorder="1" applyAlignment="1">
      <alignment vertical="center" wrapText="1"/>
    </xf>
    <xf numFmtId="166" fontId="12" fillId="0" borderId="24" xfId="0" applyNumberFormat="1" applyFont="1" applyBorder="1" applyAlignment="1">
      <alignment horizontal="right" vertical="center"/>
    </xf>
    <xf numFmtId="0" fontId="18" fillId="3" borderId="26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8" fillId="3" borderId="2" xfId="6" applyFont="1" applyFill="1" applyBorder="1" applyAlignment="1">
      <alignment horizontal="left" vertical="center" wrapText="1"/>
    </xf>
    <xf numFmtId="0" fontId="18" fillId="4" borderId="24" xfId="0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166" fontId="18" fillId="0" borderId="45" xfId="0" applyNumberFormat="1" applyFont="1" applyBorder="1" applyAlignment="1">
      <alignment horizontal="center" vertical="center"/>
    </xf>
    <xf numFmtId="49" fontId="18" fillId="3" borderId="45" xfId="0" applyNumberFormat="1" applyFont="1" applyFill="1" applyBorder="1" applyAlignment="1">
      <alignment horizontal="center" vertical="center"/>
    </xf>
    <xf numFmtId="49" fontId="12" fillId="3" borderId="45" xfId="0" applyNumberFormat="1" applyFont="1" applyFill="1" applyBorder="1" applyAlignment="1">
      <alignment horizontal="center" vertical="center"/>
    </xf>
    <xf numFmtId="166" fontId="18" fillId="0" borderId="24" xfId="0" applyNumberFormat="1" applyFont="1" applyBorder="1" applyAlignment="1">
      <alignment horizontal="center" vertical="center"/>
    </xf>
    <xf numFmtId="0" fontId="12" fillId="0" borderId="26" xfId="0" applyFont="1" applyBorder="1"/>
    <xf numFmtId="49" fontId="18" fillId="3" borderId="24" xfId="0" applyNumberFormat="1" applyFont="1" applyFill="1" applyBorder="1" applyAlignment="1">
      <alignment horizontal="center" vertical="center"/>
    </xf>
    <xf numFmtId="0" fontId="12" fillId="3" borderId="26" xfId="0" applyFont="1" applyFill="1" applyBorder="1"/>
    <xf numFmtId="1" fontId="12" fillId="3" borderId="26" xfId="0" applyNumberFormat="1" applyFont="1" applyFill="1" applyBorder="1" applyAlignment="1">
      <alignment horizontal="center" vertical="center" wrapText="1"/>
    </xf>
    <xf numFmtId="168" fontId="12" fillId="3" borderId="26" xfId="0" applyNumberFormat="1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vertical="center"/>
    </xf>
    <xf numFmtId="0" fontId="12" fillId="3" borderId="26" xfId="0" applyFont="1" applyFill="1" applyBorder="1" applyAlignment="1">
      <alignment vertical="center" wrapText="1"/>
    </xf>
    <xf numFmtId="0" fontId="12" fillId="3" borderId="2" xfId="0" applyNumberFormat="1" applyFont="1" applyFill="1" applyBorder="1" applyAlignment="1">
      <alignment vertical="center" wrapText="1"/>
    </xf>
    <xf numFmtId="0" fontId="12" fillId="3" borderId="26" xfId="0" applyFont="1" applyFill="1" applyBorder="1" applyAlignment="1">
      <alignment vertical="center"/>
    </xf>
    <xf numFmtId="0" fontId="4" fillId="3" borderId="2" xfId="18" applyFont="1" applyFill="1" applyBorder="1" applyAlignment="1">
      <alignment vertical="center" wrapText="1"/>
    </xf>
    <xf numFmtId="168" fontId="12" fillId="3" borderId="26" xfId="0" applyNumberFormat="1" applyFont="1" applyFill="1" applyBorder="1" applyAlignment="1">
      <alignment vertical="center" wrapText="1"/>
    </xf>
    <xf numFmtId="0" fontId="49" fillId="0" borderId="2" xfId="0" applyFont="1" applyBorder="1" applyAlignment="1">
      <alignment vertical="center"/>
    </xf>
    <xf numFmtId="166" fontId="15" fillId="0" borderId="24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top" wrapText="1"/>
    </xf>
    <xf numFmtId="0" fontId="15" fillId="0" borderId="2" xfId="0" applyFont="1" applyFill="1" applyBorder="1" applyAlignment="1">
      <alignment horizontal="center" vertical="center" wrapText="1"/>
    </xf>
    <xf numFmtId="169" fontId="15" fillId="0" borderId="2" xfId="0" applyNumberFormat="1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26" xfId="0" applyFont="1" applyFill="1" applyBorder="1" applyAlignment="1">
      <alignment vertical="center" wrapText="1"/>
    </xf>
    <xf numFmtId="0" fontId="16" fillId="5" borderId="26" xfId="0" applyFont="1" applyFill="1" applyBorder="1" applyAlignment="1">
      <alignment vertical="center" wrapText="1"/>
    </xf>
    <xf numFmtId="171" fontId="15" fillId="0" borderId="24" xfId="0" applyNumberFormat="1" applyFont="1" applyFill="1" applyBorder="1" applyAlignment="1">
      <alignment horizontal="center" vertical="center"/>
    </xf>
    <xf numFmtId="171" fontId="15" fillId="0" borderId="2" xfId="0" applyNumberFormat="1" applyFont="1" applyFill="1" applyBorder="1" applyAlignment="1">
      <alignment horizontal="center" vertical="center"/>
    </xf>
    <xf numFmtId="171" fontId="15" fillId="0" borderId="2" xfId="0" applyNumberFormat="1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center" vertical="center"/>
    </xf>
    <xf numFmtId="1" fontId="15" fillId="0" borderId="2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vertical="center"/>
    </xf>
    <xf numFmtId="166" fontId="15" fillId="3" borderId="24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top" wrapText="1"/>
    </xf>
    <xf numFmtId="0" fontId="16" fillId="0" borderId="2" xfId="0" applyFont="1" applyBorder="1" applyAlignment="1">
      <alignment horizontal="center" vertical="center"/>
    </xf>
    <xf numFmtId="169" fontId="16" fillId="5" borderId="2" xfId="0" applyNumberFormat="1" applyFont="1" applyFill="1" applyBorder="1" applyAlignment="1">
      <alignment vertical="center"/>
    </xf>
    <xf numFmtId="169" fontId="16" fillId="5" borderId="26" xfId="0" applyNumberFormat="1" applyFont="1" applyFill="1" applyBorder="1" applyAlignment="1">
      <alignment vertical="center"/>
    </xf>
    <xf numFmtId="171" fontId="15" fillId="5" borderId="24" xfId="0" applyNumberFormat="1" applyFont="1" applyFill="1" applyBorder="1" applyAlignment="1">
      <alignment horizontal="center" vertical="center"/>
    </xf>
    <xf numFmtId="171" fontId="15" fillId="5" borderId="2" xfId="0" applyNumberFormat="1" applyFont="1" applyFill="1" applyBorder="1" applyAlignment="1">
      <alignment horizontal="center" vertical="center"/>
    </xf>
    <xf numFmtId="173" fontId="16" fillId="5" borderId="2" xfId="1" applyNumberFormat="1" applyFont="1" applyFill="1" applyBorder="1" applyAlignment="1">
      <alignment horizontal="center" vertical="center"/>
    </xf>
    <xf numFmtId="166" fontId="15" fillId="0" borderId="24" xfId="0" applyNumberFormat="1" applyFont="1" applyBorder="1" applyAlignment="1">
      <alignment horizontal="center" vertical="center"/>
    </xf>
    <xf numFmtId="0" fontId="16" fillId="0" borderId="2" xfId="219" applyFont="1" applyFill="1" applyBorder="1" applyAlignment="1">
      <alignment horizontal="left" vertical="top" wrapText="1"/>
    </xf>
    <xf numFmtId="171" fontId="15" fillId="0" borderId="2" xfId="0" applyNumberFormat="1" applyFont="1" applyFill="1" applyBorder="1" applyAlignment="1">
      <alignment vertical="top" wrapText="1"/>
    </xf>
    <xf numFmtId="171" fontId="15" fillId="0" borderId="2" xfId="0" applyNumberFormat="1" applyFont="1" applyFill="1" applyBorder="1" applyAlignment="1">
      <alignment vertical="center"/>
    </xf>
    <xf numFmtId="171" fontId="15" fillId="0" borderId="26" xfId="0" applyNumberFormat="1" applyFont="1" applyFill="1" applyBorder="1" applyAlignment="1">
      <alignment vertical="center"/>
    </xf>
    <xf numFmtId="168" fontId="12" fillId="0" borderId="2" xfId="0" applyNumberFormat="1" applyFont="1" applyBorder="1" applyAlignment="1">
      <alignment vertical="center"/>
    </xf>
    <xf numFmtId="168" fontId="12" fillId="0" borderId="26" xfId="0" applyNumberFormat="1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6" fillId="0" borderId="2" xfId="0" applyFont="1" applyFill="1" applyBorder="1" applyAlignment="1">
      <alignment horizontal="left" vertical="top" wrapText="1"/>
    </xf>
    <xf numFmtId="0" fontId="12" fillId="0" borderId="26" xfId="0" applyFont="1" applyFill="1" applyBorder="1" applyAlignment="1">
      <alignment vertical="center"/>
    </xf>
    <xf numFmtId="0" fontId="12" fillId="0" borderId="2" xfId="0" applyFont="1" applyBorder="1" applyAlignment="1">
      <alignment horizontal="center"/>
    </xf>
    <xf numFmtId="0" fontId="16" fillId="0" borderId="2" xfId="219" applyFont="1" applyFill="1" applyBorder="1" applyAlignment="1">
      <alignment vertical="top" wrapText="1"/>
    </xf>
    <xf numFmtId="0" fontId="16" fillId="0" borderId="2" xfId="219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vertical="center"/>
    </xf>
    <xf numFmtId="2" fontId="12" fillId="0" borderId="2" xfId="0" applyNumberFormat="1" applyFont="1" applyBorder="1" applyAlignment="1">
      <alignment vertical="center"/>
    </xf>
    <xf numFmtId="0" fontId="12" fillId="0" borderId="26" xfId="0" applyFont="1" applyFill="1" applyBorder="1" applyAlignment="1">
      <alignment vertical="center" wrapText="1"/>
    </xf>
    <xf numFmtId="168" fontId="12" fillId="0" borderId="26" xfId="0" applyNumberFormat="1" applyFont="1" applyFill="1" applyBorder="1" applyAlignment="1">
      <alignment vertical="center" wrapText="1"/>
    </xf>
    <xf numFmtId="169" fontId="12" fillId="0" borderId="2" xfId="0" applyNumberFormat="1" applyFont="1" applyFill="1" applyBorder="1" applyAlignment="1">
      <alignment vertical="center" wrapText="1"/>
    </xf>
    <xf numFmtId="169" fontId="12" fillId="0" borderId="26" xfId="0" applyNumberFormat="1" applyFont="1" applyFill="1" applyBorder="1" applyAlignment="1">
      <alignment vertical="center" wrapText="1"/>
    </xf>
    <xf numFmtId="167" fontId="18" fillId="0" borderId="2" xfId="0" applyNumberFormat="1" applyFont="1" applyBorder="1" applyAlignment="1">
      <alignment horizontal="center" vertical="center"/>
    </xf>
    <xf numFmtId="0" fontId="18" fillId="3" borderId="3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169" fontId="18" fillId="0" borderId="2" xfId="0" applyNumberFormat="1" applyFont="1" applyFill="1" applyBorder="1" applyAlignment="1">
      <alignment vertical="center" wrapText="1"/>
    </xf>
    <xf numFmtId="169" fontId="18" fillId="0" borderId="26" xfId="0" applyNumberFormat="1" applyFont="1" applyFill="1" applyBorder="1" applyAlignment="1">
      <alignment vertical="center" wrapText="1"/>
    </xf>
    <xf numFmtId="167" fontId="16" fillId="5" borderId="2" xfId="0" applyNumberFormat="1" applyFont="1" applyFill="1" applyBorder="1" applyAlignment="1">
      <alignment horizontal="right" vertical="center"/>
    </xf>
    <xf numFmtId="0" fontId="15" fillId="5" borderId="2" xfId="0" applyFont="1" applyFill="1" applyBorder="1" applyAlignment="1">
      <alignment horizontal="center" vertical="center"/>
    </xf>
    <xf numFmtId="169" fontId="15" fillId="5" borderId="2" xfId="0" applyNumberFormat="1" applyFont="1" applyFill="1" applyBorder="1" applyAlignment="1">
      <alignment vertical="center" wrapText="1"/>
    </xf>
    <xf numFmtId="169" fontId="15" fillId="5" borderId="26" xfId="0" applyNumberFormat="1" applyFont="1" applyFill="1" applyBorder="1" applyAlignment="1">
      <alignment vertical="center" wrapText="1"/>
    </xf>
    <xf numFmtId="0" fontId="15" fillId="5" borderId="26" xfId="0" applyFont="1" applyFill="1" applyBorder="1" applyAlignment="1">
      <alignment vertical="center" wrapText="1"/>
    </xf>
    <xf numFmtId="171" fontId="16" fillId="5" borderId="2" xfId="0" applyNumberFormat="1" applyFont="1" applyFill="1" applyBorder="1" applyAlignment="1">
      <alignment horizontal="center" vertical="center"/>
    </xf>
    <xf numFmtId="2" fontId="15" fillId="5" borderId="2" xfId="0" applyNumberFormat="1" applyFont="1" applyFill="1" applyBorder="1" applyAlignment="1">
      <alignment vertical="center" wrapText="1"/>
    </xf>
    <xf numFmtId="168" fontId="15" fillId="5" borderId="2" xfId="0" applyNumberFormat="1" applyFont="1" applyFill="1" applyBorder="1" applyAlignment="1">
      <alignment vertical="center"/>
    </xf>
    <xf numFmtId="168" fontId="15" fillId="5" borderId="26" xfId="0" applyNumberFormat="1" applyFont="1" applyFill="1" applyBorder="1" applyAlignment="1">
      <alignment vertical="center"/>
    </xf>
    <xf numFmtId="1" fontId="16" fillId="5" borderId="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6" fontId="15" fillId="5" borderId="2" xfId="0" applyNumberFormat="1" applyFont="1" applyFill="1" applyBorder="1" applyAlignment="1">
      <alignment vertical="center" wrapText="1"/>
    </xf>
    <xf numFmtId="16" fontId="15" fillId="5" borderId="26" xfId="0" applyNumberFormat="1" applyFont="1" applyFill="1" applyBorder="1" applyAlignment="1">
      <alignment vertical="center" wrapText="1"/>
    </xf>
    <xf numFmtId="49" fontId="3" fillId="3" borderId="24" xfId="0" applyNumberFormat="1" applyFont="1" applyFill="1" applyBorder="1" applyAlignment="1">
      <alignment horizontal="left" vertical="center" wrapText="1"/>
    </xf>
    <xf numFmtId="167" fontId="3" fillId="3" borderId="45" xfId="0" applyNumberFormat="1" applyFont="1" applyFill="1" applyBorder="1" applyAlignment="1">
      <alignment horizontal="left" vertical="center" wrapText="1"/>
    </xf>
    <xf numFmtId="167" fontId="3" fillId="3" borderId="3" xfId="0" applyNumberFormat="1" applyFont="1" applyFill="1" applyBorder="1" applyAlignment="1">
      <alignment horizontal="left" vertical="center" wrapText="1"/>
    </xf>
    <xf numFmtId="167" fontId="3" fillId="3" borderId="5" xfId="0" applyNumberFormat="1" applyFont="1" applyFill="1" applyBorder="1" applyAlignment="1">
      <alignment horizontal="left" vertical="center" wrapText="1"/>
    </xf>
    <xf numFmtId="167" fontId="3" fillId="3" borderId="2" xfId="0" applyNumberFormat="1" applyFont="1" applyFill="1" applyBorder="1" applyAlignment="1">
      <alignment horizontal="center" vertical="center" wrapText="1"/>
    </xf>
    <xf numFmtId="167" fontId="3" fillId="3" borderId="2" xfId="0" applyNumberFormat="1" applyFont="1" applyFill="1" applyBorder="1" applyAlignment="1">
      <alignment horizontal="left" vertical="center" wrapText="1"/>
    </xf>
    <xf numFmtId="167" fontId="3" fillId="3" borderId="26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26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vertical="center" wrapText="1"/>
    </xf>
    <xf numFmtId="49" fontId="3" fillId="5" borderId="24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49" fontId="4" fillId="5" borderId="24" xfId="0" applyNumberFormat="1" applyFont="1" applyFill="1" applyBorder="1" applyAlignment="1">
      <alignment vertical="center"/>
    </xf>
    <xf numFmtId="49" fontId="4" fillId="5" borderId="2" xfId="0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 wrapText="1"/>
    </xf>
    <xf numFmtId="168" fontId="4" fillId="5" borderId="26" xfId="0" applyNumberFormat="1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3" fillId="0" borderId="2" xfId="0" applyFont="1" applyBorder="1" applyAlignment="1">
      <alignment wrapText="1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15" fillId="5" borderId="24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5" borderId="26" xfId="0" applyFont="1" applyFill="1" applyBorder="1"/>
    <xf numFmtId="3" fontId="16" fillId="5" borderId="26" xfId="0" applyNumberFormat="1" applyFont="1" applyFill="1" applyBorder="1" applyAlignment="1">
      <alignment vertical="center" wrapText="1"/>
    </xf>
    <xf numFmtId="0" fontId="4" fillId="4" borderId="2" xfId="0" applyFont="1" applyFill="1" applyBorder="1"/>
    <xf numFmtId="169" fontId="18" fillId="3" borderId="2" xfId="0" applyNumberFormat="1" applyFont="1" applyFill="1" applyBorder="1" applyAlignment="1">
      <alignment vertical="center" wrapText="1"/>
    </xf>
    <xf numFmtId="9" fontId="4" fillId="3" borderId="26" xfId="0" applyNumberFormat="1" applyFont="1" applyFill="1" applyBorder="1" applyAlignment="1">
      <alignment vertical="center" wrapText="1"/>
    </xf>
    <xf numFmtId="0" fontId="4" fillId="3" borderId="26" xfId="0" applyFont="1" applyFill="1" applyBorder="1" applyAlignment="1">
      <alignment vertical="center" wrapText="1"/>
    </xf>
    <xf numFmtId="10" fontId="4" fillId="3" borderId="2" xfId="0" applyNumberFormat="1" applyFont="1" applyFill="1" applyBorder="1" applyAlignment="1">
      <alignment vertical="center" wrapText="1"/>
    </xf>
    <xf numFmtId="10" fontId="4" fillId="3" borderId="26" xfId="0" applyNumberFormat="1" applyFont="1" applyFill="1" applyBorder="1" applyAlignment="1">
      <alignment vertical="center" wrapText="1"/>
    </xf>
    <xf numFmtId="171" fontId="12" fillId="3" borderId="2" xfId="0" applyNumberFormat="1" applyFont="1" applyFill="1" applyBorder="1" applyAlignment="1">
      <alignment horizontal="center" vertical="center" wrapText="1"/>
    </xf>
    <xf numFmtId="49" fontId="12" fillId="0" borderId="24" xfId="0" applyNumberFormat="1" applyFont="1" applyBorder="1" applyAlignment="1">
      <alignment horizontal="right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right" vertical="center" wrapText="1"/>
    </xf>
    <xf numFmtId="169" fontId="12" fillId="3" borderId="26" xfId="0" applyNumberFormat="1" applyFont="1" applyFill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2" fillId="0" borderId="0" xfId="0" applyFont="1"/>
    <xf numFmtId="0" fontId="3" fillId="3" borderId="26" xfId="0" applyFont="1" applyFill="1" applyBorder="1" applyAlignment="1">
      <alignment horizontal="center" vertical="center" wrapText="1"/>
    </xf>
    <xf numFmtId="166" fontId="12" fillId="0" borderId="24" xfId="0" applyNumberFormat="1" applyFont="1" applyBorder="1" applyAlignment="1">
      <alignment horizontal="center"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/>
    </xf>
    <xf numFmtId="49" fontId="12" fillId="3" borderId="24" xfId="0" applyNumberFormat="1" applyFont="1" applyFill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9" fontId="12" fillId="3" borderId="2" xfId="0" applyNumberFormat="1" applyFont="1" applyFill="1" applyBorder="1" applyAlignment="1">
      <alignment vertical="center" wrapText="1"/>
    </xf>
    <xf numFmtId="173" fontId="12" fillId="0" borderId="0" xfId="1" applyNumberFormat="1" applyFont="1" applyAlignment="1">
      <alignment horizontal="center" vertical="center"/>
    </xf>
    <xf numFmtId="49" fontId="18" fillId="3" borderId="45" xfId="0" applyNumberFormat="1" applyFont="1" applyFill="1" applyBorder="1" applyAlignment="1">
      <alignment vertical="center"/>
    </xf>
    <xf numFmtId="49" fontId="12" fillId="3" borderId="45" xfId="0" applyNumberFormat="1" applyFont="1" applyFill="1" applyBorder="1" applyAlignment="1">
      <alignment vertical="center"/>
    </xf>
    <xf numFmtId="173" fontId="12" fillId="3" borderId="45" xfId="1" applyNumberFormat="1" applyFont="1" applyFill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 wrapText="1"/>
    </xf>
    <xf numFmtId="49" fontId="16" fillId="5" borderId="24" xfId="0" applyNumberFormat="1" applyFont="1" applyFill="1" applyBorder="1" applyAlignment="1">
      <alignment horizontal="center" vertical="center"/>
    </xf>
    <xf numFmtId="3" fontId="16" fillId="5" borderId="26" xfId="0" applyNumberFormat="1" applyFont="1" applyFill="1" applyBorder="1" applyAlignment="1">
      <alignment horizontal="center" vertical="center" wrapText="1"/>
    </xf>
    <xf numFmtId="49" fontId="50" fillId="29" borderId="24" xfId="0" applyNumberFormat="1" applyFont="1" applyFill="1" applyBorder="1" applyAlignment="1">
      <alignment horizontal="center" wrapText="1"/>
    </xf>
    <xf numFmtId="49" fontId="50" fillId="29" borderId="2" xfId="0" applyNumberFormat="1" applyFont="1" applyFill="1" applyBorder="1" applyAlignment="1">
      <alignment horizontal="center" vertical="top" wrapText="1"/>
    </xf>
    <xf numFmtId="49" fontId="50" fillId="29" borderId="2" xfId="0" applyNumberFormat="1" applyFont="1" applyFill="1" applyBorder="1" applyAlignment="1">
      <alignment horizontal="center" wrapText="1"/>
    </xf>
    <xf numFmtId="0" fontId="50" fillId="29" borderId="2" xfId="0" applyFont="1" applyFill="1" applyBorder="1" applyAlignment="1">
      <alignment horizontal="left" wrapText="1"/>
    </xf>
    <xf numFmtId="173" fontId="50" fillId="29" borderId="2" xfId="1" applyNumberFormat="1" applyFont="1" applyFill="1" applyBorder="1" applyAlignment="1">
      <alignment horizontal="center" wrapText="1"/>
    </xf>
    <xf numFmtId="0" fontId="49" fillId="29" borderId="2" xfId="0" applyFont="1" applyFill="1" applyBorder="1" applyAlignment="1">
      <alignment horizontal="center" wrapText="1"/>
    </xf>
    <xf numFmtId="0" fontId="49" fillId="29" borderId="26" xfId="0" applyFont="1" applyFill="1" applyBorder="1" applyAlignment="1">
      <alignment vertical="top" wrapText="1"/>
    </xf>
    <xf numFmtId="49" fontId="49" fillId="29" borderId="24" xfId="0" applyNumberFormat="1" applyFont="1" applyFill="1" applyBorder="1" applyAlignment="1">
      <alignment horizontal="center" wrapText="1"/>
    </xf>
    <xf numFmtId="0" fontId="49" fillId="29" borderId="26" xfId="0" applyFont="1" applyFill="1" applyBorder="1" applyAlignment="1">
      <alignment horizontal="center" wrapText="1"/>
    </xf>
    <xf numFmtId="0" fontId="12" fillId="3" borderId="26" xfId="0" applyFont="1" applyFill="1" applyBorder="1" applyAlignment="1">
      <alignment horizontal="center" wrapText="1"/>
    </xf>
    <xf numFmtId="49" fontId="50" fillId="29" borderId="24" xfId="0" applyNumberFormat="1" applyFont="1" applyFill="1" applyBorder="1" applyAlignment="1">
      <alignment horizontal="center" vertical="top" wrapText="1"/>
    </xf>
    <xf numFmtId="173" fontId="50" fillId="29" borderId="45" xfId="1" applyNumberFormat="1" applyFont="1" applyFill="1" applyBorder="1" applyAlignment="1">
      <alignment horizontal="center" wrapText="1"/>
    </xf>
    <xf numFmtId="0" fontId="12" fillId="3" borderId="38" xfId="0" applyFont="1" applyFill="1" applyBorder="1" applyAlignment="1">
      <alignment vertical="center" wrapText="1"/>
    </xf>
    <xf numFmtId="0" fontId="12" fillId="3" borderId="41" xfId="0" applyFont="1" applyFill="1" applyBorder="1" applyAlignment="1">
      <alignment vertical="center" wrapText="1"/>
    </xf>
    <xf numFmtId="0" fontId="12" fillId="3" borderId="45" xfId="0" applyFont="1" applyFill="1" applyBorder="1" applyAlignment="1">
      <alignment wrapText="1"/>
    </xf>
    <xf numFmtId="0" fontId="12" fillId="3" borderId="45" xfId="0" applyFont="1" applyFill="1" applyBorder="1" applyAlignment="1">
      <alignment vertical="center" wrapText="1"/>
    </xf>
    <xf numFmtId="49" fontId="49" fillId="29" borderId="24" xfId="0" applyNumberFormat="1" applyFont="1" applyFill="1" applyBorder="1" applyAlignment="1">
      <alignment horizontal="center" vertical="top" wrapText="1"/>
    </xf>
    <xf numFmtId="0" fontId="12" fillId="3" borderId="26" xfId="0" applyNumberFormat="1" applyFont="1" applyFill="1" applyBorder="1" applyAlignment="1">
      <alignment vertical="center" wrapText="1"/>
    </xf>
    <xf numFmtId="3" fontId="12" fillId="3" borderId="2" xfId="0" applyNumberFormat="1" applyFont="1" applyFill="1" applyBorder="1" applyAlignment="1"/>
    <xf numFmtId="168" fontId="12" fillId="3" borderId="26" xfId="0" applyNumberFormat="1" applyFont="1" applyFill="1" applyBorder="1" applyAlignment="1"/>
    <xf numFmtId="166" fontId="15" fillId="0" borderId="45" xfId="0" applyNumberFormat="1" applyFont="1" applyBorder="1" applyAlignment="1">
      <alignment horizontal="right" vertical="center"/>
    </xf>
    <xf numFmtId="49" fontId="16" fillId="0" borderId="3" xfId="0" applyNumberFormat="1" applyFont="1" applyBorder="1" applyAlignment="1">
      <alignment horizontal="right" vertical="center"/>
    </xf>
    <xf numFmtId="0" fontId="12" fillId="5" borderId="10" xfId="0" applyFont="1" applyFill="1" applyBorder="1" applyAlignment="1">
      <alignment horizontal="right" vertical="center"/>
    </xf>
    <xf numFmtId="0" fontId="12" fillId="5" borderId="9" xfId="0" applyFont="1" applyFill="1" applyBorder="1" applyAlignment="1">
      <alignment horizontal="right" vertical="center"/>
    </xf>
    <xf numFmtId="173" fontId="16" fillId="5" borderId="45" xfId="1" applyNumberFormat="1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/>
    </xf>
    <xf numFmtId="1" fontId="16" fillId="5" borderId="45" xfId="0" applyNumberFormat="1" applyFont="1" applyFill="1" applyBorder="1" applyAlignment="1">
      <alignment horizontal="center" vertical="center" wrapText="1"/>
    </xf>
    <xf numFmtId="0" fontId="12" fillId="3" borderId="45" xfId="18" applyFont="1" applyFill="1" applyBorder="1" applyAlignment="1">
      <alignment horizontal="right" vertical="center"/>
    </xf>
    <xf numFmtId="0" fontId="12" fillId="3" borderId="9" xfId="18" applyFont="1" applyFill="1" applyBorder="1" applyAlignment="1">
      <alignment horizontal="right" vertical="center" wrapText="1"/>
    </xf>
    <xf numFmtId="0" fontId="12" fillId="3" borderId="10" xfId="18" applyFont="1" applyFill="1" applyBorder="1" applyAlignment="1">
      <alignment horizontal="right" vertical="center" wrapText="1"/>
    </xf>
    <xf numFmtId="0" fontId="12" fillId="3" borderId="45" xfId="18" applyFont="1" applyFill="1" applyBorder="1" applyAlignment="1">
      <alignment horizontal="right" vertical="center" wrapText="1"/>
    </xf>
    <xf numFmtId="1" fontId="12" fillId="3" borderId="45" xfId="9" applyNumberFormat="1" applyFont="1" applyFill="1" applyBorder="1" applyAlignment="1">
      <alignment horizontal="center" vertical="center" wrapText="1"/>
    </xf>
    <xf numFmtId="173" fontId="12" fillId="3" borderId="10" xfId="1" applyNumberFormat="1" applyFont="1" applyFill="1" applyBorder="1" applyAlignment="1">
      <alignment horizontal="center" vertical="center" wrapText="1"/>
    </xf>
    <xf numFmtId="0" fontId="4" fillId="3" borderId="45" xfId="4" applyFont="1" applyFill="1" applyBorder="1" applyAlignment="1">
      <alignment horizontal="left" vertical="center" wrapText="1"/>
    </xf>
    <xf numFmtId="173" fontId="12" fillId="0" borderId="45" xfId="1" applyNumberFormat="1" applyFont="1" applyBorder="1" applyAlignment="1">
      <alignment horizontal="center" vertical="center"/>
    </xf>
    <xf numFmtId="0" fontId="4" fillId="3" borderId="45" xfId="4" applyFont="1" applyFill="1" applyBorder="1" applyAlignment="1">
      <alignment vertical="center" wrapText="1"/>
    </xf>
    <xf numFmtId="0" fontId="4" fillId="3" borderId="45" xfId="4" applyFont="1" applyFill="1" applyBorder="1" applyAlignment="1">
      <alignment horizontal="center" vertical="center" wrapText="1"/>
    </xf>
    <xf numFmtId="168" fontId="4" fillId="3" borderId="45" xfId="4" applyNumberFormat="1" applyFont="1" applyFill="1" applyBorder="1" applyAlignment="1">
      <alignment horizontal="center" vertical="center" wrapText="1"/>
    </xf>
    <xf numFmtId="164" fontId="3" fillId="2" borderId="12" xfId="0" applyNumberFormat="1" applyFont="1" applyFill="1" applyBorder="1" applyAlignment="1">
      <alignment vertical="center"/>
    </xf>
    <xf numFmtId="173" fontId="3" fillId="2" borderId="12" xfId="1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vertical="center"/>
    </xf>
    <xf numFmtId="166" fontId="3" fillId="0" borderId="9" xfId="4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173" fontId="4" fillId="2" borderId="2" xfId="1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168" fontId="3" fillId="4" borderId="2" xfId="0" applyNumberFormat="1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7" fontId="4" fillId="0" borderId="1" xfId="4" applyNumberFormat="1" applyFont="1" applyFill="1" applyBorder="1" applyAlignment="1">
      <alignment horizontal="center" vertical="center"/>
    </xf>
    <xf numFmtId="167" fontId="4" fillId="0" borderId="10" xfId="4" applyNumberFormat="1" applyFont="1" applyFill="1" applyBorder="1" applyAlignment="1">
      <alignment horizontal="center" vertical="center"/>
    </xf>
    <xf numFmtId="173" fontId="4" fillId="0" borderId="1" xfId="1" applyNumberFormat="1" applyFont="1" applyFill="1" applyBorder="1" applyAlignment="1">
      <alignment horizontal="center" vertical="center" wrapText="1"/>
    </xf>
    <xf numFmtId="173" fontId="4" fillId="0" borderId="10" xfId="1" applyNumberFormat="1" applyFont="1" applyFill="1" applyBorder="1" applyAlignment="1">
      <alignment horizontal="center" vertical="center" wrapText="1"/>
    </xf>
    <xf numFmtId="173" fontId="4" fillId="0" borderId="9" xfId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top"/>
    </xf>
    <xf numFmtId="49" fontId="4" fillId="3" borderId="10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top" wrapText="1"/>
    </xf>
    <xf numFmtId="49" fontId="4" fillId="3" borderId="9" xfId="0" applyNumberFormat="1" applyFont="1" applyFill="1" applyBorder="1" applyAlignment="1">
      <alignment horizontal="center" vertical="top" wrapText="1"/>
    </xf>
    <xf numFmtId="49" fontId="4" fillId="3" borderId="10" xfId="0" applyNumberFormat="1" applyFont="1" applyFill="1" applyBorder="1" applyAlignment="1">
      <alignment horizontal="center" vertical="top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167" fontId="3" fillId="2" borderId="24" xfId="0" applyNumberFormat="1" applyFont="1" applyFill="1" applyBorder="1" applyAlignment="1">
      <alignment horizontal="left" vertical="center" wrapText="1"/>
    </xf>
    <xf numFmtId="167" fontId="3" fillId="2" borderId="2" xfId="0" applyNumberFormat="1" applyFont="1" applyFill="1" applyBorder="1" applyAlignment="1">
      <alignment horizontal="left" vertical="center" wrapText="1"/>
    </xf>
    <xf numFmtId="167" fontId="3" fillId="2" borderId="26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9" fillId="29" borderId="3" xfId="0" applyFont="1" applyFill="1" applyBorder="1" applyAlignment="1">
      <alignment horizontal="left" wrapText="1"/>
    </xf>
    <xf numFmtId="0" fontId="49" fillId="29" borderId="5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18" fillId="3" borderId="3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173" fontId="18" fillId="3" borderId="2" xfId="1" applyNumberFormat="1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horizontal="left" vertical="center" wrapText="1"/>
    </xf>
    <xf numFmtId="173" fontId="15" fillId="5" borderId="2" xfId="1" applyNumberFormat="1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left" vertical="center" wrapText="1"/>
    </xf>
    <xf numFmtId="0" fontId="16" fillId="5" borderId="41" xfId="0" applyFont="1" applyFill="1" applyBorder="1" applyAlignment="1">
      <alignment horizontal="left"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center" vertical="center" wrapText="1"/>
    </xf>
    <xf numFmtId="173" fontId="12" fillId="5" borderId="2" xfId="1" applyNumberFormat="1" applyFont="1" applyFill="1" applyBorder="1" applyAlignment="1">
      <alignment horizontal="center" vertical="center" wrapText="1"/>
    </xf>
    <xf numFmtId="173" fontId="12" fillId="0" borderId="2" xfId="1" applyNumberFormat="1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173" fontId="12" fillId="0" borderId="2" xfId="1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horizontal="left" vertical="top" wrapText="1"/>
    </xf>
    <xf numFmtId="0" fontId="15" fillId="0" borderId="3" xfId="219" applyFont="1" applyFill="1" applyBorder="1" applyAlignment="1">
      <alignment horizontal="left" vertical="top" wrapText="1"/>
    </xf>
    <xf numFmtId="0" fontId="15" fillId="0" borderId="5" xfId="219" applyFont="1" applyFill="1" applyBorder="1" applyAlignment="1">
      <alignment horizontal="left" vertical="top" wrapText="1"/>
    </xf>
    <xf numFmtId="0" fontId="16" fillId="0" borderId="3" xfId="219" applyFont="1" applyFill="1" applyBorder="1" applyAlignment="1">
      <alignment horizontal="left" vertical="top" wrapText="1"/>
    </xf>
    <xf numFmtId="0" fontId="16" fillId="0" borderId="5" xfId="219" applyFont="1" applyFill="1" applyBorder="1" applyAlignment="1">
      <alignment horizontal="left" vertical="top" wrapText="1"/>
    </xf>
    <xf numFmtId="173" fontId="12" fillId="3" borderId="2" xfId="1" applyNumberFormat="1" applyFont="1" applyFill="1" applyBorder="1" applyAlignment="1">
      <alignment horizontal="center" vertical="center" wrapText="1"/>
    </xf>
    <xf numFmtId="173" fontId="18" fillId="3" borderId="45" xfId="1" applyNumberFormat="1" applyFont="1" applyFill="1" applyBorder="1" applyAlignment="1">
      <alignment horizontal="center" vertical="center" wrapText="1"/>
    </xf>
    <xf numFmtId="173" fontId="18" fillId="3" borderId="9" xfId="1" applyNumberFormat="1" applyFont="1" applyFill="1" applyBorder="1" applyAlignment="1">
      <alignment horizontal="center" vertical="center" wrapText="1"/>
    </xf>
    <xf numFmtId="173" fontId="18" fillId="3" borderId="10" xfId="1" applyNumberFormat="1" applyFont="1" applyFill="1" applyBorder="1" applyAlignment="1">
      <alignment horizontal="center" vertical="center" wrapText="1"/>
    </xf>
    <xf numFmtId="173" fontId="12" fillId="3" borderId="45" xfId="1" applyNumberFormat="1" applyFont="1" applyFill="1" applyBorder="1" applyAlignment="1">
      <alignment horizontal="center" vertical="center" wrapText="1"/>
    </xf>
    <xf numFmtId="173" fontId="12" fillId="3" borderId="10" xfId="1" applyNumberFormat="1" applyFont="1" applyFill="1" applyBorder="1" applyAlignment="1">
      <alignment horizontal="center" vertical="center" wrapText="1"/>
    </xf>
    <xf numFmtId="173" fontId="12" fillId="0" borderId="2" xfId="1" applyNumberFormat="1" applyFont="1" applyFill="1" applyBorder="1" applyAlignment="1">
      <alignment horizontal="center" vertical="center" wrapText="1"/>
    </xf>
    <xf numFmtId="173" fontId="12" fillId="0" borderId="45" xfId="1" applyNumberFormat="1" applyFont="1" applyBorder="1" applyAlignment="1">
      <alignment horizontal="center" vertical="center"/>
    </xf>
    <xf numFmtId="173" fontId="12" fillId="0" borderId="9" xfId="1" applyNumberFormat="1" applyFont="1" applyBorder="1" applyAlignment="1">
      <alignment horizontal="center" vertical="center"/>
    </xf>
    <xf numFmtId="173" fontId="12" fillId="0" borderId="10" xfId="1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168" fontId="18" fillId="4" borderId="2" xfId="0" applyNumberFormat="1" applyFont="1" applyFill="1" applyBorder="1" applyAlignment="1">
      <alignment vertical="center"/>
    </xf>
    <xf numFmtId="168" fontId="18" fillId="4" borderId="26" xfId="0" applyNumberFormat="1" applyFont="1" applyFill="1" applyBorder="1" applyAlignment="1">
      <alignment vertical="center"/>
    </xf>
    <xf numFmtId="0" fontId="12" fillId="3" borderId="45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167" fontId="3" fillId="4" borderId="24" xfId="0" applyNumberFormat="1" applyFont="1" applyFill="1" applyBorder="1" applyAlignment="1"/>
    <xf numFmtId="167" fontId="3" fillId="4" borderId="2" xfId="0" applyNumberFormat="1" applyFont="1" applyFill="1" applyBorder="1" applyAlignment="1"/>
    <xf numFmtId="49" fontId="15" fillId="5" borderId="45" xfId="0" applyNumberFormat="1" applyFont="1" applyFill="1" applyBorder="1" applyAlignment="1">
      <alignment vertical="center"/>
    </xf>
    <xf numFmtId="49" fontId="15" fillId="5" borderId="10" xfId="0" applyNumberFormat="1" applyFont="1" applyFill="1" applyBorder="1" applyAlignment="1">
      <alignment vertical="center"/>
    </xf>
    <xf numFmtId="178" fontId="12" fillId="5" borderId="45" xfId="0" applyNumberFormat="1" applyFont="1" applyFill="1" applyBorder="1" applyAlignment="1">
      <alignment vertical="center"/>
    </xf>
    <xf numFmtId="178" fontId="12" fillId="5" borderId="10" xfId="0" applyNumberFormat="1" applyFont="1" applyFill="1" applyBorder="1" applyAlignment="1">
      <alignment vertical="center"/>
    </xf>
    <xf numFmtId="49" fontId="12" fillId="5" borderId="45" xfId="0" applyNumberFormat="1" applyFont="1" applyFill="1" applyBorder="1" applyAlignment="1">
      <alignment vertical="center"/>
    </xf>
    <xf numFmtId="49" fontId="12" fillId="5" borderId="10" xfId="0" applyNumberFormat="1" applyFont="1" applyFill="1" applyBorder="1" applyAlignment="1">
      <alignment vertical="center"/>
    </xf>
    <xf numFmtId="0" fontId="15" fillId="5" borderId="2" xfId="0" applyFont="1" applyFill="1" applyBorder="1" applyAlignment="1">
      <alignment horizontal="left" vertical="center" wrapText="1"/>
    </xf>
    <xf numFmtId="173" fontId="15" fillId="5" borderId="45" xfId="1" applyNumberFormat="1" applyFont="1" applyFill="1" applyBorder="1" applyAlignment="1">
      <alignment horizontal="center" vertical="center" wrapText="1"/>
    </xf>
    <xf numFmtId="173" fontId="12" fillId="0" borderId="10" xfId="1" applyNumberFormat="1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18" fillId="3" borderId="38" xfId="0" applyFont="1" applyFill="1" applyBorder="1" applyAlignment="1">
      <alignment horizontal="left" vertical="center" wrapText="1"/>
    </xf>
    <xf numFmtId="0" fontId="18" fillId="3" borderId="41" xfId="0" applyFont="1" applyFill="1" applyBorder="1" applyAlignment="1">
      <alignment horizontal="left" vertical="center" wrapText="1"/>
    </xf>
    <xf numFmtId="49" fontId="18" fillId="3" borderId="24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vertical="center" wrapText="1"/>
    </xf>
    <xf numFmtId="49" fontId="18" fillId="0" borderId="24" xfId="0" applyNumberFormat="1" applyFont="1" applyBorder="1" applyAlignment="1">
      <alignment horizontal="right" vertical="center"/>
    </xf>
    <xf numFmtId="49" fontId="18" fillId="0" borderId="2" xfId="0" applyNumberFormat="1" applyFont="1" applyBorder="1" applyAlignment="1">
      <alignment horizontal="right" vertical="center"/>
    </xf>
    <xf numFmtId="0" fontId="4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49" fontId="15" fillId="5" borderId="24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1" fontId="15" fillId="5" borderId="2" xfId="0" applyNumberFormat="1" applyFont="1" applyFill="1" applyBorder="1" applyAlignment="1">
      <alignment vertical="center" wrapText="1"/>
    </xf>
    <xf numFmtId="1" fontId="15" fillId="5" borderId="26" xfId="0" applyNumberFormat="1" applyFont="1" applyFill="1" applyBorder="1" applyAlignment="1">
      <alignment vertical="center" wrapText="1"/>
    </xf>
    <xf numFmtId="1" fontId="15" fillId="5" borderId="2" xfId="0" applyNumberFormat="1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5" fillId="5" borderId="2" xfId="0" applyFont="1" applyFill="1" applyBorder="1" applyAlignment="1">
      <alignment vertical="center"/>
    </xf>
    <xf numFmtId="0" fontId="15" fillId="5" borderId="26" xfId="0" applyFont="1" applyFill="1" applyBorder="1" applyAlignment="1">
      <alignment vertical="center"/>
    </xf>
    <xf numFmtId="173" fontId="12" fillId="3" borderId="9" xfId="1" applyNumberFormat="1" applyFont="1" applyFill="1" applyBorder="1" applyAlignment="1">
      <alignment horizontal="center" vertical="center" wrapText="1"/>
    </xf>
    <xf numFmtId="49" fontId="18" fillId="3" borderId="23" xfId="0" applyNumberFormat="1" applyFont="1" applyFill="1" applyBorder="1" applyAlignment="1">
      <alignment horizontal="center" vertical="center"/>
    </xf>
    <xf numFmtId="49" fontId="18" fillId="3" borderId="27" xfId="0" applyNumberFormat="1" applyFont="1" applyFill="1" applyBorder="1" applyAlignment="1">
      <alignment horizontal="center" vertical="center"/>
    </xf>
    <xf numFmtId="49" fontId="12" fillId="3" borderId="45" xfId="0" applyNumberFormat="1" applyFont="1" applyFill="1" applyBorder="1" applyAlignment="1">
      <alignment horizontal="center" vertical="center"/>
    </xf>
    <xf numFmtId="49" fontId="12" fillId="3" borderId="1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66" fontId="15" fillId="0" borderId="24" xfId="0" applyNumberFormat="1" applyFont="1" applyBorder="1" applyAlignment="1">
      <alignment horizontal="center" vertical="center"/>
    </xf>
    <xf numFmtId="167" fontId="16" fillId="0" borderId="2" xfId="0" applyNumberFormat="1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219" applyFont="1" applyFill="1" applyBorder="1" applyAlignment="1">
      <alignment horizontal="left" vertical="top" wrapText="1"/>
    </xf>
    <xf numFmtId="173" fontId="16" fillId="5" borderId="2" xfId="1" applyNumberFormat="1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45" xfId="6" applyFont="1" applyFill="1" applyBorder="1" applyAlignment="1">
      <alignment vertical="center" wrapText="1"/>
    </xf>
    <xf numFmtId="0" fontId="12" fillId="3" borderId="9" xfId="6" applyFont="1" applyFill="1" applyBorder="1" applyAlignment="1">
      <alignment vertical="center" wrapText="1"/>
    </xf>
    <xf numFmtId="0" fontId="12" fillId="3" borderId="10" xfId="6" applyFont="1" applyFill="1" applyBorder="1" applyAlignment="1">
      <alignment vertical="center" wrapText="1"/>
    </xf>
    <xf numFmtId="49" fontId="12" fillId="3" borderId="45" xfId="0" applyNumberFormat="1" applyFont="1" applyFill="1" applyBorder="1" applyAlignment="1">
      <alignment horizontal="left" vertical="center" wrapText="1"/>
    </xf>
    <xf numFmtId="49" fontId="12" fillId="3" borderId="10" xfId="0" applyNumberFormat="1" applyFont="1" applyFill="1" applyBorder="1" applyAlignment="1">
      <alignment horizontal="left" vertical="center" wrapText="1"/>
    </xf>
    <xf numFmtId="0" fontId="12" fillId="0" borderId="2" xfId="6" applyFont="1" applyFill="1" applyBorder="1" applyAlignment="1">
      <alignment horizontal="left" vertical="center" wrapText="1"/>
    </xf>
    <xf numFmtId="173" fontId="4" fillId="3" borderId="2" xfId="1" applyNumberFormat="1" applyFont="1" applyFill="1" applyBorder="1" applyAlignment="1">
      <alignment horizontal="center" vertical="center" wrapText="1"/>
    </xf>
    <xf numFmtId="166" fontId="18" fillId="0" borderId="2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8" fillId="3" borderId="38" xfId="0" applyFont="1" applyFill="1" applyBorder="1" applyAlignment="1">
      <alignment horizontal="center" vertical="center" wrapText="1"/>
    </xf>
    <xf numFmtId="0" fontId="18" fillId="3" borderId="41" xfId="0" applyFont="1" applyFill="1" applyBorder="1" applyAlignment="1">
      <alignment horizontal="center" vertical="center" wrapText="1"/>
    </xf>
    <xf numFmtId="49" fontId="18" fillId="3" borderId="45" xfId="0" applyNumberFormat="1" applyFont="1" applyFill="1" applyBorder="1" applyAlignment="1">
      <alignment vertical="center"/>
    </xf>
    <xf numFmtId="49" fontId="18" fillId="3" borderId="10" xfId="0" applyNumberFormat="1" applyFont="1" applyFill="1" applyBorder="1" applyAlignment="1">
      <alignment vertical="center"/>
    </xf>
    <xf numFmtId="49" fontId="12" fillId="3" borderId="45" xfId="0" applyNumberFormat="1" applyFont="1" applyFill="1" applyBorder="1" applyAlignment="1">
      <alignment vertical="center"/>
    </xf>
    <xf numFmtId="49" fontId="12" fillId="3" borderId="10" xfId="0" applyNumberFormat="1" applyFont="1" applyFill="1" applyBorder="1" applyAlignment="1">
      <alignment vertical="center"/>
    </xf>
    <xf numFmtId="0" fontId="12" fillId="3" borderId="2" xfId="0" applyFont="1" applyFill="1" applyBorder="1" applyAlignment="1">
      <alignment vertical="center" wrapText="1"/>
    </xf>
    <xf numFmtId="0" fontId="12" fillId="0" borderId="38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3" borderId="45" xfId="0" applyFont="1" applyFill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8" fillId="4" borderId="42" xfId="0" applyFont="1" applyFill="1" applyBorder="1" applyAlignment="1">
      <alignment horizontal="left" vertical="center"/>
    </xf>
    <xf numFmtId="0" fontId="18" fillId="4" borderId="4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/>
    </xf>
    <xf numFmtId="49" fontId="18" fillId="3" borderId="45" xfId="0" applyNumberFormat="1" applyFont="1" applyFill="1" applyBorder="1" applyAlignment="1">
      <alignment horizontal="center" vertical="center"/>
    </xf>
    <xf numFmtId="49" fontId="18" fillId="3" borderId="10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left" vertical="center" wrapText="1"/>
    </xf>
    <xf numFmtId="167" fontId="3" fillId="2" borderId="23" xfId="0" applyNumberFormat="1" applyFont="1" applyFill="1" applyBorder="1" applyAlignment="1">
      <alignment horizontal="left" vertical="center" wrapText="1"/>
    </xf>
    <xf numFmtId="0" fontId="18" fillId="3" borderId="43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49" fontId="4" fillId="0" borderId="45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/>
    </xf>
    <xf numFmtId="0" fontId="18" fillId="0" borderId="3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49" fontId="18" fillId="0" borderId="45" xfId="6" applyNumberFormat="1" applyFont="1" applyFill="1" applyBorder="1" applyAlignment="1">
      <alignment horizontal="center" vertical="center"/>
    </xf>
    <xf numFmtId="49" fontId="18" fillId="0" borderId="9" xfId="6" applyNumberFormat="1" applyFont="1" applyFill="1" applyBorder="1" applyAlignment="1">
      <alignment horizontal="center" vertical="center"/>
    </xf>
    <xf numFmtId="49" fontId="18" fillId="0" borderId="10" xfId="6" applyNumberFormat="1" applyFont="1" applyFill="1" applyBorder="1" applyAlignment="1">
      <alignment horizontal="center" vertical="center"/>
    </xf>
    <xf numFmtId="49" fontId="18" fillId="0" borderId="2" xfId="6" applyNumberFormat="1" applyFont="1" applyFill="1" applyBorder="1" applyAlignment="1">
      <alignment horizontal="center" vertical="center"/>
    </xf>
    <xf numFmtId="49" fontId="18" fillId="0" borderId="2" xfId="6" applyNumberFormat="1" applyFont="1" applyFill="1" applyBorder="1" applyAlignment="1">
      <alignment vertical="center"/>
    </xf>
    <xf numFmtId="167" fontId="3" fillId="2" borderId="45" xfId="0" applyNumberFormat="1" applyFont="1" applyFill="1" applyBorder="1" applyAlignment="1">
      <alignment horizontal="left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166" fontId="12" fillId="0" borderId="45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15" fillId="3" borderId="2" xfId="18" applyFont="1" applyFill="1" applyBorder="1" applyAlignment="1">
      <alignment horizontal="left" vertical="center" wrapText="1"/>
    </xf>
    <xf numFmtId="0" fontId="16" fillId="3" borderId="2" xfId="18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wrapText="1"/>
    </xf>
    <xf numFmtId="166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6" fillId="3" borderId="2" xfId="154" applyFont="1" applyFill="1" applyBorder="1" applyAlignment="1">
      <alignment horizontal="center"/>
    </xf>
    <xf numFmtId="0" fontId="4" fillId="0" borderId="2" xfId="154" applyFont="1" applyFill="1" applyBorder="1" applyAlignment="1">
      <alignment horizontal="left" wrapText="1"/>
    </xf>
    <xf numFmtId="0" fontId="16" fillId="0" borderId="2" xfId="154" applyFont="1" applyFill="1" applyBorder="1" applyAlignment="1">
      <alignment horizontal="center"/>
    </xf>
    <xf numFmtId="0" fontId="18" fillId="4" borderId="2" xfId="0" applyFont="1" applyFill="1" applyBorder="1" applyAlignment="1">
      <alignment vertical="center"/>
    </xf>
    <xf numFmtId="171" fontId="16" fillId="0" borderId="2" xfId="154" applyNumberFormat="1" applyFont="1" applyFill="1" applyBorder="1" applyAlignment="1">
      <alignment horizontal="center" vertical="center" wrapText="1"/>
    </xf>
    <xf numFmtId="171" fontId="16" fillId="5" borderId="2" xfId="154" applyNumberFormat="1" applyFont="1" applyFill="1" applyBorder="1" applyAlignment="1">
      <alignment horizontal="center" vertical="center" wrapText="1"/>
    </xf>
    <xf numFmtId="0" fontId="3" fillId="0" borderId="2" xfId="154" applyFont="1" applyFill="1" applyBorder="1" applyAlignment="1">
      <alignment horizontal="left" vertical="center" wrapText="1"/>
    </xf>
    <xf numFmtId="0" fontId="4" fillId="3" borderId="2" xfId="154" applyFont="1" applyFill="1" applyBorder="1" applyAlignment="1">
      <alignment horizontal="left" vertical="center" wrapText="1"/>
    </xf>
    <xf numFmtId="166" fontId="16" fillId="3" borderId="2" xfId="154" applyNumberFormat="1" applyFont="1" applyFill="1" applyBorder="1" applyAlignment="1">
      <alignment horizontal="center" vertical="center"/>
    </xf>
    <xf numFmtId="0" fontId="16" fillId="3" borderId="2" xfId="154" applyFont="1" applyFill="1" applyBorder="1" applyAlignment="1">
      <alignment horizontal="center" vertical="center" wrapText="1"/>
    </xf>
    <xf numFmtId="173" fontId="16" fillId="3" borderId="2" xfId="1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/>
    </xf>
    <xf numFmtId="49" fontId="4" fillId="3" borderId="2" xfId="0" applyNumberFormat="1" applyFont="1" applyFill="1" applyBorder="1" applyAlignment="1">
      <alignment horizontal="center" vertical="center" wrapText="1"/>
    </xf>
    <xf numFmtId="0" fontId="49" fillId="29" borderId="2" xfId="0" applyFont="1" applyFill="1" applyBorder="1" applyAlignment="1">
      <alignment horizontal="left" wrapText="1"/>
    </xf>
    <xf numFmtId="168" fontId="18" fillId="4" borderId="2" xfId="0" applyNumberFormat="1" applyFont="1" applyFill="1" applyBorder="1"/>
    <xf numFmtId="49" fontId="3" fillId="3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49" fontId="18" fillId="3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2" fillId="3" borderId="2" xfId="0" applyNumberFormat="1" applyFont="1" applyFill="1" applyBorder="1" applyAlignment="1">
      <alignment horizontal="center" vertical="center"/>
    </xf>
    <xf numFmtId="0" fontId="3" fillId="4" borderId="2" xfId="13" applyFont="1" applyFill="1" applyBorder="1" applyAlignment="1">
      <alignment vertical="center"/>
    </xf>
    <xf numFmtId="0" fontId="3" fillId="4" borderId="2" xfId="13" applyFont="1" applyFill="1" applyBorder="1" applyAlignment="1">
      <alignment horizontal="center"/>
    </xf>
    <xf numFmtId="168" fontId="4" fillId="4" borderId="2" xfId="13" applyNumberFormat="1" applyFont="1" applyFill="1" applyBorder="1" applyAlignment="1">
      <alignment horizontal="center"/>
    </xf>
    <xf numFmtId="0" fontId="49" fillId="29" borderId="2" xfId="0" applyFont="1" applyFill="1" applyBorder="1" applyAlignment="1">
      <alignment horizontal="center" wrapText="1"/>
    </xf>
    <xf numFmtId="168" fontId="3" fillId="4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left" vertical="center" wrapText="1"/>
    </xf>
    <xf numFmtId="166" fontId="4" fillId="3" borderId="2" xfId="4" applyNumberFormat="1" applyFont="1" applyFill="1" applyBorder="1" applyAlignment="1">
      <alignment horizontal="center" vertical="center"/>
    </xf>
    <xf numFmtId="0" fontId="4" fillId="3" borderId="2" xfId="4" applyFont="1" applyFill="1" applyBorder="1" applyAlignment="1">
      <alignment horizontal="left" vertical="center" wrapText="1"/>
    </xf>
    <xf numFmtId="168" fontId="18" fillId="4" borderId="2" xfId="0" applyNumberFormat="1" applyFont="1" applyFill="1" applyBorder="1" applyAlignment="1">
      <alignment horizontal="center"/>
    </xf>
    <xf numFmtId="49" fontId="12" fillId="3" borderId="2" xfId="0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45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/>
    </xf>
    <xf numFmtId="173" fontId="4" fillId="0" borderId="45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173" fontId="3" fillId="0" borderId="2" xfId="1" applyNumberFormat="1" applyFont="1" applyFill="1" applyBorder="1" applyAlignment="1">
      <alignment horizontal="center" vertical="center" wrapText="1"/>
    </xf>
    <xf numFmtId="173" fontId="4" fillId="0" borderId="2" xfId="1" applyNumberFormat="1" applyFont="1" applyFill="1" applyBorder="1" applyAlignment="1">
      <alignment horizontal="center" vertical="center" wrapText="1"/>
    </xf>
    <xf numFmtId="0" fontId="18" fillId="3" borderId="2" xfId="0" applyNumberFormat="1" applyFont="1" applyFill="1" applyBorder="1" applyAlignment="1">
      <alignment horizontal="center" vertical="center"/>
    </xf>
    <xf numFmtId="49" fontId="18" fillId="3" borderId="2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wrapText="1"/>
    </xf>
    <xf numFmtId="173" fontId="4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173" fontId="18" fillId="0" borderId="2" xfId="1" applyNumberFormat="1" applyFont="1" applyBorder="1" applyAlignment="1">
      <alignment horizontal="center" vertical="center" wrapText="1"/>
    </xf>
    <xf numFmtId="166" fontId="18" fillId="0" borderId="2" xfId="6" applyNumberFormat="1" applyFont="1" applyFill="1" applyBorder="1" applyAlignment="1">
      <alignment horizontal="center" vertical="center"/>
    </xf>
    <xf numFmtId="173" fontId="3" fillId="3" borderId="2" xfId="1" applyNumberFormat="1" applyFont="1" applyFill="1" applyBorder="1" applyAlignment="1">
      <alignment horizontal="center" vertical="center" wrapText="1"/>
    </xf>
    <xf numFmtId="49" fontId="4" fillId="3" borderId="2" xfId="4" applyNumberFormat="1" applyFont="1" applyFill="1" applyBorder="1" applyAlignment="1">
      <alignment horizontal="center" vertical="center" wrapText="1"/>
    </xf>
    <xf numFmtId="166" fontId="12" fillId="0" borderId="2" xfId="0" applyNumberFormat="1" applyFont="1" applyFill="1" applyBorder="1" applyAlignment="1">
      <alignment horizontal="right" vertical="center"/>
    </xf>
    <xf numFmtId="0" fontId="12" fillId="0" borderId="2" xfId="0" applyFont="1" applyFill="1" applyBorder="1" applyAlignment="1">
      <alignment horizontal="right" vertical="center"/>
    </xf>
    <xf numFmtId="166" fontId="12" fillId="0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73" fontId="3" fillId="0" borderId="2" xfId="1" applyNumberFormat="1" applyFont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73" fontId="4" fillId="3" borderId="45" xfId="1" applyNumberFormat="1" applyFont="1" applyFill="1" applyBorder="1" applyAlignment="1">
      <alignment horizontal="center" vertical="center" wrapText="1"/>
    </xf>
    <xf numFmtId="173" fontId="4" fillId="3" borderId="10" xfId="1" applyNumberFormat="1" applyFont="1" applyFill="1" applyBorder="1" applyAlignment="1">
      <alignment horizontal="center" vertical="center" wrapText="1"/>
    </xf>
    <xf numFmtId="173" fontId="4" fillId="3" borderId="45" xfId="1" applyNumberFormat="1" applyFont="1" applyFill="1" applyBorder="1" applyAlignment="1">
      <alignment horizontal="center" vertical="center"/>
    </xf>
    <xf numFmtId="173" fontId="4" fillId="3" borderId="9" xfId="1" applyNumberFormat="1" applyFont="1" applyFill="1" applyBorder="1" applyAlignment="1">
      <alignment horizontal="center" vertical="center"/>
    </xf>
    <xf numFmtId="173" fontId="4" fillId="3" borderId="10" xfId="1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173" fontId="18" fillId="0" borderId="2" xfId="1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2" xfId="6" applyNumberFormat="1" applyFont="1" applyFill="1" applyBorder="1" applyAlignment="1">
      <alignment horizontal="center" vertical="center"/>
    </xf>
    <xf numFmtId="49" fontId="12" fillId="0" borderId="45" xfId="6" applyNumberFormat="1" applyFont="1" applyFill="1" applyBorder="1" applyAlignment="1">
      <alignment horizontal="center" vertical="center"/>
    </xf>
    <xf numFmtId="49" fontId="12" fillId="0" borderId="9" xfId="6" applyNumberFormat="1" applyFont="1" applyFill="1" applyBorder="1" applyAlignment="1">
      <alignment horizontal="center" vertical="center"/>
    </xf>
    <xf numFmtId="49" fontId="12" fillId="0" borderId="10" xfId="6" applyNumberFormat="1" applyFont="1" applyFill="1" applyBorder="1" applyAlignment="1">
      <alignment horizontal="center" vertical="center"/>
    </xf>
    <xf numFmtId="0" fontId="12" fillId="0" borderId="45" xfId="6" applyFont="1" applyFill="1" applyBorder="1" applyAlignment="1">
      <alignment horizontal="left" vertical="center" wrapText="1"/>
    </xf>
    <xf numFmtId="0" fontId="12" fillId="0" borderId="10" xfId="6" applyFont="1" applyFill="1" applyBorder="1" applyAlignment="1">
      <alignment horizontal="left" vertical="center" wrapText="1"/>
    </xf>
    <xf numFmtId="167" fontId="12" fillId="0" borderId="2" xfId="6" applyNumberFormat="1" applyFont="1" applyFill="1" applyBorder="1" applyAlignment="1">
      <alignment horizontal="center" vertical="center"/>
    </xf>
    <xf numFmtId="0" fontId="12" fillId="0" borderId="2" xfId="6" applyFont="1" applyFill="1" applyBorder="1" applyAlignment="1">
      <alignment horizontal="center" vertical="center"/>
    </xf>
    <xf numFmtId="168" fontId="4" fillId="0" borderId="45" xfId="0" applyNumberFormat="1" applyFont="1" applyFill="1" applyBorder="1" applyAlignment="1">
      <alignment horizontal="center" vertical="center" wrapText="1"/>
    </xf>
    <xf numFmtId="168" fontId="4" fillId="0" borderId="10" xfId="0" applyNumberFormat="1" applyFont="1" applyFill="1" applyBorder="1" applyAlignment="1">
      <alignment horizontal="center" vertical="center" wrapText="1"/>
    </xf>
    <xf numFmtId="3" fontId="4" fillId="3" borderId="45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/>
    </xf>
    <xf numFmtId="0" fontId="12" fillId="0" borderId="38" xfId="0" applyFont="1" applyBorder="1" applyAlignment="1">
      <alignment horizontal="left" vertical="center" wrapText="1"/>
    </xf>
    <xf numFmtId="0" fontId="12" fillId="0" borderId="4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center" vertical="top"/>
    </xf>
    <xf numFmtId="49" fontId="4" fillId="0" borderId="3" xfId="0" applyNumberFormat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173" fontId="12" fillId="3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2" xfId="6" applyFont="1" applyFill="1" applyBorder="1" applyAlignment="1">
      <alignment horizontal="center" vertical="center" wrapText="1"/>
    </xf>
    <xf numFmtId="166" fontId="12" fillId="0" borderId="2" xfId="0" applyNumberFormat="1" applyFont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left" vertical="top" wrapText="1"/>
    </xf>
    <xf numFmtId="173" fontId="4" fillId="3" borderId="2" xfId="1" applyNumberFormat="1" applyFont="1" applyFill="1" applyBorder="1" applyAlignment="1">
      <alignment horizontal="center" vertical="center"/>
    </xf>
    <xf numFmtId="167" fontId="12" fillId="3" borderId="2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0" fontId="12" fillId="3" borderId="2" xfId="6" applyFont="1" applyFill="1" applyBorder="1" applyAlignment="1">
      <alignment horizontal="left" vertical="center" wrapText="1"/>
    </xf>
    <xf numFmtId="49" fontId="16" fillId="0" borderId="2" xfId="154" applyNumberFormat="1" applyFont="1" applyFill="1" applyBorder="1" applyAlignment="1">
      <alignment horizontal="center" vertical="center"/>
    </xf>
    <xf numFmtId="0" fontId="4" fillId="0" borderId="2" xfId="154" applyFont="1" applyFill="1" applyBorder="1" applyAlignment="1">
      <alignment horizontal="left" vertical="center" wrapText="1"/>
    </xf>
    <xf numFmtId="49" fontId="16" fillId="3" borderId="2" xfId="154" applyNumberFormat="1" applyFont="1" applyFill="1" applyBorder="1" applyAlignment="1">
      <alignment horizontal="center" vertical="center"/>
    </xf>
    <xf numFmtId="49" fontId="16" fillId="0" borderId="2" xfId="154" applyNumberFormat="1" applyFont="1" applyFill="1" applyBorder="1" applyAlignment="1">
      <alignment horizontal="center" vertical="center" wrapText="1"/>
    </xf>
    <xf numFmtId="171" fontId="16" fillId="0" borderId="2" xfId="154" applyNumberFormat="1" applyFont="1" applyFill="1" applyBorder="1" applyAlignment="1">
      <alignment horizontal="left" vertical="center" wrapText="1"/>
    </xf>
    <xf numFmtId="173" fontId="16" fillId="0" borderId="2" xfId="1" applyNumberFormat="1" applyFont="1" applyFill="1" applyBorder="1" applyAlignment="1">
      <alignment horizontal="center" vertical="center" wrapText="1"/>
    </xf>
    <xf numFmtId="49" fontId="16" fillId="3" borderId="2" xfId="154" applyNumberFormat="1" applyFont="1" applyFill="1" applyBorder="1" applyAlignment="1">
      <alignment horizontal="center" vertical="center" wrapText="1"/>
    </xf>
    <xf numFmtId="167" fontId="16" fillId="3" borderId="2" xfId="154" applyNumberFormat="1" applyFont="1" applyFill="1" applyBorder="1" applyAlignment="1">
      <alignment horizontal="center" vertical="center"/>
    </xf>
    <xf numFmtId="0" fontId="16" fillId="3" borderId="2" xfId="154" applyFont="1" applyFill="1" applyBorder="1" applyAlignment="1">
      <alignment horizontal="center" vertical="center"/>
    </xf>
    <xf numFmtId="0" fontId="16" fillId="3" borderId="2" xfId="6" applyFont="1" applyFill="1" applyBorder="1" applyAlignment="1">
      <alignment horizontal="left" vertical="center" wrapText="1"/>
    </xf>
    <xf numFmtId="49" fontId="49" fillId="29" borderId="2" xfId="0" applyNumberFormat="1" applyFont="1" applyFill="1" applyBorder="1" applyAlignment="1">
      <alignment horizontal="center" vertical="top" wrapText="1"/>
    </xf>
    <xf numFmtId="0" fontId="49" fillId="29" borderId="3" xfId="0" applyFont="1" applyFill="1" applyBorder="1" applyAlignment="1">
      <alignment horizontal="center" vertical="top" wrapText="1"/>
    </xf>
    <xf numFmtId="173" fontId="50" fillId="29" borderId="2" xfId="1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167" fontId="12" fillId="0" borderId="2" xfId="0" applyNumberFormat="1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3" borderId="2" xfId="4" applyFont="1" applyFill="1" applyBorder="1" applyAlignment="1">
      <alignment horizontal="center" vertical="center"/>
    </xf>
    <xf numFmtId="167" fontId="4" fillId="3" borderId="2" xfId="4" applyNumberFormat="1" applyFont="1" applyFill="1" applyBorder="1" applyAlignment="1">
      <alignment horizontal="center" vertical="center"/>
    </xf>
    <xf numFmtId="0" fontId="4" fillId="3" borderId="2" xfId="4" applyFont="1" applyFill="1" applyBorder="1" applyAlignment="1">
      <alignment horizontal="center" vertical="center" wrapText="1"/>
    </xf>
    <xf numFmtId="49" fontId="4" fillId="3" borderId="2" xfId="4" applyNumberFormat="1" applyFont="1" applyFill="1" applyBorder="1" applyAlignment="1">
      <alignment horizontal="center" vertical="center"/>
    </xf>
    <xf numFmtId="168" fontId="18" fillId="4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173" fontId="3" fillId="0" borderId="45" xfId="1" applyNumberFormat="1" applyFont="1" applyFill="1" applyBorder="1" applyAlignment="1">
      <alignment horizontal="center" vertical="center" wrapText="1"/>
    </xf>
    <xf numFmtId="173" fontId="3" fillId="0" borderId="9" xfId="1" applyNumberFormat="1" applyFont="1" applyFill="1" applyBorder="1" applyAlignment="1">
      <alignment horizontal="center" vertical="center" wrapText="1"/>
    </xf>
    <xf numFmtId="173" fontId="3" fillId="0" borderId="10" xfId="1" applyNumberFormat="1" applyFont="1" applyFill="1" applyBorder="1" applyAlignment="1">
      <alignment horizontal="center" vertical="center" wrapText="1"/>
    </xf>
    <xf numFmtId="49" fontId="4" fillId="0" borderId="45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73" fontId="4" fillId="3" borderId="9" xfId="1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/>
    </xf>
    <xf numFmtId="49" fontId="4" fillId="3" borderId="45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9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173" fontId="4" fillId="0" borderId="45" xfId="1" applyNumberFormat="1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/>
    </xf>
    <xf numFmtId="173" fontId="12" fillId="0" borderId="9" xfId="1" applyNumberFormat="1" applyFont="1" applyBorder="1" applyAlignment="1">
      <alignment horizontal="center" vertical="center" wrapText="1"/>
    </xf>
    <xf numFmtId="49" fontId="4" fillId="0" borderId="45" xfId="0" applyNumberFormat="1" applyFont="1" applyFill="1" applyBorder="1" applyAlignment="1">
      <alignment horizontal="left" vertical="center" wrapText="1"/>
    </xf>
    <xf numFmtId="0" fontId="4" fillId="0" borderId="45" xfId="0" applyNumberFormat="1" applyFont="1" applyFill="1" applyBorder="1" applyAlignment="1">
      <alignment horizontal="left" vertical="center" wrapText="1"/>
    </xf>
    <xf numFmtId="166" fontId="3" fillId="0" borderId="45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right" vertical="center"/>
    </xf>
    <xf numFmtId="167" fontId="4" fillId="3" borderId="10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166" fontId="4" fillId="3" borderId="45" xfId="0" applyNumberFormat="1" applyFont="1" applyFill="1" applyBorder="1" applyAlignment="1">
      <alignment horizontal="center" vertical="center"/>
    </xf>
    <xf numFmtId="167" fontId="4" fillId="3" borderId="2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9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167" fontId="4" fillId="3" borderId="2" xfId="0" applyNumberFormat="1" applyFont="1" applyFill="1" applyBorder="1" applyAlignment="1">
      <alignment vertical="center" wrapText="1"/>
    </xf>
    <xf numFmtId="167" fontId="4" fillId="3" borderId="45" xfId="0" applyNumberFormat="1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173" fontId="12" fillId="3" borderId="45" xfId="1" applyNumberFormat="1" applyFont="1" applyFill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12" fillId="3" borderId="45" xfId="18" applyFont="1" applyFill="1" applyBorder="1" applyAlignment="1">
      <alignment horizontal="left" vertical="center" wrapText="1"/>
    </xf>
    <xf numFmtId="167" fontId="12" fillId="0" borderId="45" xfId="0" applyNumberFormat="1" applyFont="1" applyFill="1" applyBorder="1" applyAlignment="1">
      <alignment horizontal="left" vertical="center" wrapText="1"/>
    </xf>
    <xf numFmtId="49" fontId="4" fillId="3" borderId="45" xfId="0" applyNumberFormat="1" applyFont="1" applyFill="1" applyBorder="1" applyAlignment="1">
      <alignment horizontal="left" vertical="center" wrapText="1"/>
    </xf>
    <xf numFmtId="49" fontId="12" fillId="0" borderId="10" xfId="0" applyNumberFormat="1" applyFont="1" applyBorder="1" applyAlignment="1">
      <alignment horizontal="left" vertical="center" wrapText="1"/>
    </xf>
    <xf numFmtId="173" fontId="12" fillId="0" borderId="45" xfId="1" applyNumberFormat="1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49" fontId="12" fillId="0" borderId="9" xfId="0" applyNumberFormat="1" applyFont="1" applyBorder="1" applyAlignment="1">
      <alignment horizontal="left" vertical="center" wrapText="1"/>
    </xf>
    <xf numFmtId="166" fontId="12" fillId="3" borderId="45" xfId="0" applyNumberFormat="1" applyFont="1" applyFill="1" applyBorder="1" applyAlignment="1">
      <alignment horizontal="left" vertical="center" wrapText="1"/>
    </xf>
    <xf numFmtId="167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3" borderId="2" xfId="6" applyFont="1" applyFill="1" applyBorder="1" applyAlignment="1">
      <alignment horizontal="left" vertical="center" wrapText="1"/>
    </xf>
    <xf numFmtId="164" fontId="3" fillId="4" borderId="2" xfId="0" applyNumberFormat="1" applyFont="1" applyFill="1" applyBorder="1" applyAlignment="1">
      <alignment vertical="center"/>
    </xf>
    <xf numFmtId="0" fontId="4" fillId="3" borderId="4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65" fontId="3" fillId="2" borderId="7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166" fontId="4" fillId="0" borderId="1" xfId="4" applyNumberFormat="1" applyFont="1" applyBorder="1" applyAlignment="1">
      <alignment horizontal="center" vertical="top"/>
    </xf>
    <xf numFmtId="166" fontId="4" fillId="0" borderId="10" xfId="4" applyNumberFormat="1" applyFont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 vertical="top"/>
    </xf>
    <xf numFmtId="49" fontId="4" fillId="0" borderId="10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73" fontId="4" fillId="3" borderId="1" xfId="1" applyNumberFormat="1" applyFont="1" applyFill="1" applyBorder="1" applyAlignment="1">
      <alignment horizontal="center" vertical="center" wrapText="1"/>
    </xf>
    <xf numFmtId="166" fontId="4" fillId="0" borderId="9" xfId="4" applyNumberFormat="1" applyFont="1" applyBorder="1" applyAlignment="1">
      <alignment horizontal="center" vertical="top"/>
    </xf>
    <xf numFmtId="49" fontId="4" fillId="0" borderId="9" xfId="0" applyNumberFormat="1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 vertical="top" wrapText="1"/>
    </xf>
    <xf numFmtId="173" fontId="4" fillId="3" borderId="1" xfId="1" applyNumberFormat="1" applyFont="1" applyFill="1" applyBorder="1" applyAlignment="1">
      <alignment horizontal="center"/>
    </xf>
    <xf numFmtId="173" fontId="4" fillId="3" borderId="10" xfId="1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/>
    </xf>
    <xf numFmtId="166" fontId="4" fillId="0" borderId="1" xfId="4" applyNumberFormat="1" applyFont="1" applyFill="1" applyBorder="1" applyAlignment="1">
      <alignment horizontal="left" vertical="center" wrapText="1"/>
    </xf>
    <xf numFmtId="166" fontId="4" fillId="0" borderId="10" xfId="4" applyNumberFormat="1" applyFont="1" applyFill="1" applyBorder="1" applyAlignment="1">
      <alignment horizontal="left" vertical="center" wrapText="1"/>
    </xf>
    <xf numFmtId="173" fontId="4" fillId="3" borderId="1" xfId="1" applyNumberFormat="1" applyFont="1" applyFill="1" applyBorder="1" applyAlignment="1">
      <alignment horizontal="center" vertical="center"/>
    </xf>
    <xf numFmtId="166" fontId="4" fillId="0" borderId="9" xfId="4" applyNumberFormat="1" applyFont="1" applyFill="1" applyBorder="1" applyAlignment="1">
      <alignment horizontal="left" vertical="center" wrapText="1"/>
    </xf>
    <xf numFmtId="49" fontId="16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5" fillId="0" borderId="45" xfId="0" applyNumberFormat="1" applyFont="1" applyBorder="1" applyAlignment="1">
      <alignment horizontal="right" vertical="center"/>
    </xf>
    <xf numFmtId="49" fontId="12" fillId="0" borderId="9" xfId="0" applyNumberFormat="1" applyFont="1" applyBorder="1" applyAlignment="1">
      <alignment horizontal="right" vertical="center"/>
    </xf>
    <xf numFmtId="49" fontId="12" fillId="0" borderId="10" xfId="0" applyNumberFormat="1" applyFont="1" applyBorder="1" applyAlignment="1">
      <alignment horizontal="right" vertical="center"/>
    </xf>
    <xf numFmtId="49" fontId="16" fillId="0" borderId="2" xfId="0" applyNumberFormat="1" applyFont="1" applyBorder="1" applyAlignment="1">
      <alignment horizontal="right" vertical="center"/>
    </xf>
    <xf numFmtId="0" fontId="3" fillId="4" borderId="3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164" fontId="3" fillId="2" borderId="3" xfId="4" applyNumberFormat="1" applyFont="1" applyFill="1" applyBorder="1" applyAlignment="1">
      <alignment horizontal="left" vertical="center" wrapText="1"/>
    </xf>
    <xf numFmtId="164" fontId="3" fillId="2" borderId="4" xfId="4" applyNumberFormat="1" applyFont="1" applyFill="1" applyBorder="1" applyAlignment="1">
      <alignment horizontal="left" vertical="center" wrapText="1"/>
    </xf>
    <xf numFmtId="166" fontId="4" fillId="0" borderId="1" xfId="4" applyNumberFormat="1" applyFont="1" applyFill="1" applyBorder="1" applyAlignment="1">
      <alignment horizontal="left" vertical="top" wrapText="1"/>
    </xf>
    <xf numFmtId="166" fontId="4" fillId="0" borderId="10" xfId="4" applyNumberFormat="1" applyFont="1" applyFill="1" applyBorder="1" applyAlignment="1">
      <alignment horizontal="left" vertical="top" wrapText="1"/>
    </xf>
    <xf numFmtId="49" fontId="3" fillId="0" borderId="2" xfId="15" applyNumberFormat="1" applyFont="1" applyBorder="1" applyAlignment="1">
      <alignment horizontal="center" vertical="center"/>
    </xf>
    <xf numFmtId="49" fontId="4" fillId="0" borderId="2" xfId="15" applyNumberFormat="1" applyFont="1" applyBorder="1" applyAlignment="1">
      <alignment horizontal="center" vertical="center" wrapText="1"/>
    </xf>
    <xf numFmtId="49" fontId="4" fillId="0" borderId="1" xfId="15" applyNumberFormat="1" applyFont="1" applyBorder="1" applyAlignment="1">
      <alignment horizontal="center" vertical="center" wrapText="1"/>
    </xf>
    <xf numFmtId="49" fontId="4" fillId="0" borderId="10" xfId="15" applyNumberFormat="1" applyFont="1" applyBorder="1" applyAlignment="1">
      <alignment horizontal="center" vertical="center" wrapText="1"/>
    </xf>
    <xf numFmtId="164" fontId="3" fillId="3" borderId="1" xfId="15" applyNumberFormat="1" applyFont="1" applyFill="1" applyBorder="1" applyAlignment="1">
      <alignment horizontal="left" vertical="center" wrapText="1"/>
    </xf>
    <xf numFmtId="164" fontId="3" fillId="3" borderId="10" xfId="15" applyNumberFormat="1" applyFont="1" applyFill="1" applyBorder="1" applyAlignment="1">
      <alignment horizontal="left" vertical="center" wrapText="1"/>
    </xf>
    <xf numFmtId="173" fontId="3" fillId="3" borderId="1" xfId="1" applyNumberFormat="1" applyFont="1" applyFill="1" applyBorder="1" applyAlignment="1">
      <alignment horizontal="center" vertical="center" wrapText="1"/>
    </xf>
    <xf numFmtId="173" fontId="3" fillId="3" borderId="10" xfId="1" applyNumberFormat="1" applyFont="1" applyFill="1" applyBorder="1" applyAlignment="1">
      <alignment horizontal="center" vertical="center" wrapText="1"/>
    </xf>
    <xf numFmtId="164" fontId="3" fillId="3" borderId="1" xfId="15" applyNumberFormat="1" applyFont="1" applyFill="1" applyBorder="1" applyAlignment="1">
      <alignment horizontal="center" vertical="center" wrapText="1"/>
    </xf>
    <xf numFmtId="164" fontId="3" fillId="3" borderId="10" xfId="15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left" vertical="center" wrapText="1"/>
    </xf>
    <xf numFmtId="164" fontId="3" fillId="2" borderId="7" xfId="0" applyNumberFormat="1" applyFont="1" applyFill="1" applyBorder="1" applyAlignment="1">
      <alignment horizontal="left" vertical="center" wrapText="1"/>
    </xf>
    <xf numFmtId="164" fontId="3" fillId="3" borderId="1" xfId="15" applyNumberFormat="1" applyFont="1" applyFill="1" applyBorder="1" applyAlignment="1">
      <alignment vertical="center" wrapText="1"/>
    </xf>
    <xf numFmtId="164" fontId="3" fillId="3" borderId="10" xfId="15" applyNumberFormat="1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49" fontId="4" fillId="0" borderId="1" xfId="15" applyNumberFormat="1" applyFont="1" applyBorder="1" applyAlignment="1">
      <alignment horizontal="center" vertical="center"/>
    </xf>
    <xf numFmtId="49" fontId="4" fillId="0" borderId="10" xfId="15" applyNumberFormat="1" applyFont="1" applyBorder="1" applyAlignment="1">
      <alignment horizontal="center" vertical="center"/>
    </xf>
    <xf numFmtId="49" fontId="4" fillId="5" borderId="1" xfId="15" applyNumberFormat="1" applyFont="1" applyFill="1" applyBorder="1" applyAlignment="1">
      <alignment horizontal="center" vertical="center"/>
    </xf>
    <xf numFmtId="49" fontId="4" fillId="5" borderId="10" xfId="15" applyNumberFormat="1" applyFont="1" applyFill="1" applyBorder="1" applyAlignment="1">
      <alignment horizontal="center" vertical="center"/>
    </xf>
    <xf numFmtId="164" fontId="4" fillId="5" borderId="1" xfId="16" applyNumberFormat="1" applyFont="1" applyFill="1" applyBorder="1" applyAlignment="1">
      <alignment horizontal="left" vertical="center" wrapText="1"/>
    </xf>
    <xf numFmtId="164" fontId="4" fillId="5" borderId="10" xfId="16" applyNumberFormat="1" applyFont="1" applyFill="1" applyBorder="1" applyAlignment="1">
      <alignment horizontal="left" vertical="center" wrapText="1"/>
    </xf>
    <xf numFmtId="173" fontId="4" fillId="5" borderId="1" xfId="1" applyNumberFormat="1" applyFont="1" applyFill="1" applyBorder="1" applyAlignment="1">
      <alignment horizontal="center" vertical="center" wrapText="1"/>
    </xf>
    <xf numFmtId="173" fontId="4" fillId="5" borderId="10" xfId="1" applyNumberFormat="1" applyFont="1" applyFill="1" applyBorder="1" applyAlignment="1">
      <alignment horizontal="center" vertical="center" wrapText="1"/>
    </xf>
    <xf numFmtId="164" fontId="4" fillId="5" borderId="1" xfId="15" applyNumberFormat="1" applyFont="1" applyFill="1" applyBorder="1" applyAlignment="1">
      <alignment horizontal="left" vertical="center" wrapText="1"/>
    </xf>
    <xf numFmtId="164" fontId="4" fillId="5" borderId="10" xfId="15" applyNumberFormat="1" applyFont="1" applyFill="1" applyBorder="1" applyAlignment="1">
      <alignment horizontal="left" vertical="center" wrapText="1"/>
    </xf>
    <xf numFmtId="49" fontId="3" fillId="3" borderId="1" xfId="14" applyNumberFormat="1" applyFont="1" applyFill="1" applyBorder="1" applyAlignment="1">
      <alignment horizontal="center" vertical="center"/>
    </xf>
    <xf numFmtId="49" fontId="3" fillId="3" borderId="10" xfId="14" applyNumberFormat="1" applyFont="1" applyFill="1" applyBorder="1" applyAlignment="1">
      <alignment horizontal="center" vertical="center"/>
    </xf>
    <xf numFmtId="49" fontId="4" fillId="3" borderId="1" xfId="14" applyNumberFormat="1" applyFont="1" applyFill="1" applyBorder="1" applyAlignment="1">
      <alignment horizontal="center" vertical="top"/>
    </xf>
    <xf numFmtId="49" fontId="4" fillId="3" borderId="10" xfId="14" applyNumberFormat="1" applyFont="1" applyFill="1" applyBorder="1" applyAlignment="1">
      <alignment horizontal="center" vertical="top"/>
    </xf>
    <xf numFmtId="0" fontId="4" fillId="3" borderId="1" xfId="14" applyFont="1" applyFill="1" applyBorder="1" applyAlignment="1">
      <alignment horizontal="left" vertical="top" wrapText="1"/>
    </xf>
    <xf numFmtId="0" fontId="4" fillId="3" borderId="10" xfId="14" applyFont="1" applyFill="1" applyBorder="1" applyAlignment="1">
      <alignment horizontal="left" vertical="top" wrapText="1"/>
    </xf>
    <xf numFmtId="173" fontId="4" fillId="0" borderId="44" xfId="1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top"/>
    </xf>
    <xf numFmtId="49" fontId="4" fillId="3" borderId="9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173" fontId="4" fillId="0" borderId="44" xfId="1" applyNumberFormat="1" applyFont="1" applyFill="1" applyBorder="1" applyAlignment="1">
      <alignment horizontal="center" vertical="center"/>
    </xf>
    <xf numFmtId="173" fontId="4" fillId="0" borderId="9" xfId="1" applyNumberFormat="1" applyFont="1" applyFill="1" applyBorder="1" applyAlignment="1">
      <alignment horizontal="center" vertical="center"/>
    </xf>
    <xf numFmtId="173" fontId="4" fillId="0" borderId="10" xfId="1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top"/>
    </xf>
    <xf numFmtId="49" fontId="3" fillId="3" borderId="10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17" fontId="4" fillId="3" borderId="1" xfId="0" applyNumberFormat="1" applyFont="1" applyFill="1" applyBorder="1" applyAlignment="1">
      <alignment horizontal="left" vertical="top" wrapText="1"/>
    </xf>
    <xf numFmtId="17" fontId="4" fillId="3" borderId="10" xfId="0" applyNumberFormat="1" applyFont="1" applyFill="1" applyBorder="1" applyAlignment="1">
      <alignment horizontal="left" vertical="top" wrapText="1"/>
    </xf>
    <xf numFmtId="0" fontId="4" fillId="3" borderId="45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center"/>
    </xf>
    <xf numFmtId="173" fontId="12" fillId="0" borderId="44" xfId="1" applyNumberFormat="1" applyFont="1" applyFill="1" applyBorder="1" applyAlignment="1">
      <alignment horizontal="center" vertical="center" wrapText="1"/>
    </xf>
    <xf numFmtId="173" fontId="12" fillId="0" borderId="10" xfId="1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173" fontId="3" fillId="0" borderId="44" xfId="1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0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1" xfId="6" applyFont="1" applyFill="1" applyBorder="1" applyAlignment="1">
      <alignment horizontal="left" vertical="center" wrapText="1"/>
    </xf>
    <xf numFmtId="0" fontId="4" fillId="0" borderId="9" xfId="6" applyFont="1" applyFill="1" applyBorder="1" applyAlignment="1">
      <alignment horizontal="left" vertical="center" wrapText="1"/>
    </xf>
    <xf numFmtId="173" fontId="4" fillId="0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0" borderId="10" xfId="6" applyFont="1" applyFill="1" applyBorder="1" applyAlignment="1">
      <alignment horizontal="left" vertical="center" wrapText="1"/>
    </xf>
    <xf numFmtId="0" fontId="4" fillId="0" borderId="2" xfId="6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4" fillId="0" borderId="20" xfId="6" applyFont="1" applyFill="1" applyBorder="1" applyAlignment="1">
      <alignment horizontal="left" vertical="top" wrapText="1"/>
    </xf>
    <xf numFmtId="0" fontId="4" fillId="0" borderId="21" xfId="6" applyFont="1" applyFill="1" applyBorder="1" applyAlignment="1">
      <alignment horizontal="left" vertical="top" wrapText="1"/>
    </xf>
    <xf numFmtId="0" fontId="4" fillId="0" borderId="22" xfId="6" applyFont="1" applyFill="1" applyBorder="1" applyAlignment="1">
      <alignment horizontal="left" vertical="top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9" xfId="6" applyFont="1" applyFill="1" applyBorder="1" applyAlignment="1">
      <alignment horizontal="center" vertical="center" wrapText="1"/>
    </xf>
    <xf numFmtId="0" fontId="4" fillId="0" borderId="10" xfId="6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horizontal="center" vertical="center" wrapText="1"/>
    </xf>
    <xf numFmtId="0" fontId="4" fillId="4" borderId="2" xfId="6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 wrapText="1"/>
    </xf>
    <xf numFmtId="164" fontId="3" fillId="4" borderId="4" xfId="0" applyNumberFormat="1" applyFont="1" applyFill="1" applyBorder="1" applyAlignment="1">
      <alignment horizontal="left" vertical="center" wrapText="1"/>
    </xf>
    <xf numFmtId="164" fontId="3" fillId="4" borderId="5" xfId="0" applyNumberFormat="1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 vertical="top" wrapText="1"/>
    </xf>
    <xf numFmtId="0" fontId="4" fillId="0" borderId="18" xfId="6" applyFont="1" applyFill="1" applyBorder="1" applyAlignment="1">
      <alignment horizontal="left" vertical="top" wrapText="1"/>
    </xf>
    <xf numFmtId="0" fontId="4" fillId="0" borderId="11" xfId="6" applyFont="1" applyFill="1" applyBorder="1" applyAlignment="1">
      <alignment horizontal="left" vertical="top" wrapText="1"/>
    </xf>
    <xf numFmtId="0" fontId="4" fillId="0" borderId="45" xfId="6" applyFont="1" applyFill="1" applyBorder="1" applyAlignment="1">
      <alignment horizontal="left" vertical="center" wrapText="1"/>
    </xf>
    <xf numFmtId="173" fontId="4" fillId="3" borderId="40" xfId="1" applyNumberFormat="1" applyFont="1" applyFill="1" applyBorder="1" applyAlignment="1">
      <alignment horizontal="center" vertical="center" wrapText="1"/>
    </xf>
    <xf numFmtId="173" fontId="4" fillId="0" borderId="10" xfId="1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67" fontId="4" fillId="3" borderId="9" xfId="0" applyNumberFormat="1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horizontal="center" vertical="center"/>
    </xf>
    <xf numFmtId="167" fontId="4" fillId="3" borderId="10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vertical="center" wrapText="1"/>
    </xf>
    <xf numFmtId="0" fontId="4" fillId="3" borderId="9" xfId="6" applyFont="1" applyFill="1" applyBorder="1" applyAlignment="1">
      <alignment horizontal="left" vertical="center" wrapText="1"/>
    </xf>
    <xf numFmtId="173" fontId="4" fillId="3" borderId="38" xfId="1" applyNumberFormat="1" applyFont="1" applyFill="1" applyBorder="1" applyAlignment="1">
      <alignment horizontal="center" vertical="center" wrapText="1"/>
    </xf>
    <xf numFmtId="173" fontId="4" fillId="3" borderId="18" xfId="1" applyNumberFormat="1" applyFont="1" applyFill="1" applyBorder="1" applyAlignment="1">
      <alignment horizontal="center" vertical="center" wrapText="1"/>
    </xf>
    <xf numFmtId="173" fontId="4" fillId="3" borderId="11" xfId="1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left" vertical="center"/>
    </xf>
    <xf numFmtId="164" fontId="3" fillId="4" borderId="7" xfId="0" applyNumberFormat="1" applyFont="1" applyFill="1" applyBorder="1" applyAlignment="1">
      <alignment horizontal="left" vertical="center"/>
    </xf>
    <xf numFmtId="164" fontId="3" fillId="4" borderId="8" xfId="0" applyNumberFormat="1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left" vertical="center"/>
    </xf>
    <xf numFmtId="164" fontId="3" fillId="4" borderId="4" xfId="0" applyNumberFormat="1" applyFont="1" applyFill="1" applyBorder="1" applyAlignment="1">
      <alignment horizontal="left" vertical="center"/>
    </xf>
    <xf numFmtId="164" fontId="3" fillId="4" borderId="5" xfId="0" applyNumberFormat="1" applyFont="1" applyFill="1" applyBorder="1" applyAlignment="1">
      <alignment horizontal="left" vertical="center"/>
    </xf>
    <xf numFmtId="166" fontId="4" fillId="0" borderId="1" xfId="4" applyNumberFormat="1" applyFont="1" applyFill="1" applyBorder="1" applyAlignment="1">
      <alignment horizontal="center" vertical="center"/>
    </xf>
    <xf numFmtId="166" fontId="4" fillId="0" borderId="10" xfId="4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left" vertical="center" wrapText="1"/>
    </xf>
    <xf numFmtId="0" fontId="4" fillId="0" borderId="10" xfId="4" applyFont="1" applyFill="1" applyBorder="1" applyAlignment="1">
      <alignment horizontal="left" vertical="center" wrapText="1"/>
    </xf>
    <xf numFmtId="166" fontId="4" fillId="0" borderId="9" xfId="4" applyNumberFormat="1" applyFont="1" applyFill="1" applyBorder="1" applyAlignment="1">
      <alignment horizontal="center" vertical="center"/>
    </xf>
    <xf numFmtId="167" fontId="4" fillId="0" borderId="9" xfId="4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9" xfId="4" applyFont="1" applyFill="1" applyBorder="1" applyAlignment="1">
      <alignment horizontal="center" vertical="center"/>
    </xf>
    <xf numFmtId="0" fontId="4" fillId="0" borderId="10" xfId="4" applyFont="1" applyFill="1" applyBorder="1" applyAlignment="1">
      <alignment horizontal="center" vertical="center"/>
    </xf>
    <xf numFmtId="0" fontId="4" fillId="0" borderId="9" xfId="4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left"/>
    </xf>
    <xf numFmtId="164" fontId="3" fillId="2" borderId="10" xfId="0" applyNumberFormat="1" applyFont="1" applyFill="1" applyBorder="1" applyAlignment="1">
      <alignment horizontal="left"/>
    </xf>
    <xf numFmtId="173" fontId="18" fillId="3" borderId="44" xfId="1" applyNumberFormat="1" applyFont="1" applyFill="1" applyBorder="1" applyAlignment="1">
      <alignment horizontal="center" vertical="center" wrapText="1"/>
    </xf>
    <xf numFmtId="173" fontId="18" fillId="3" borderId="28" xfId="1" applyNumberFormat="1" applyFont="1" applyFill="1" applyBorder="1" applyAlignment="1">
      <alignment horizontal="center" vertical="center" wrapText="1"/>
    </xf>
    <xf numFmtId="173" fontId="12" fillId="3" borderId="44" xfId="1" applyNumberFormat="1" applyFont="1" applyFill="1" applyBorder="1" applyAlignment="1">
      <alignment horizontal="center" vertical="center" wrapText="1"/>
    </xf>
    <xf numFmtId="0" fontId="12" fillId="3" borderId="44" xfId="6" applyFont="1" applyFill="1" applyBorder="1" applyAlignment="1">
      <alignment horizontal="left" vertical="center" wrapText="1"/>
    </xf>
    <xf numFmtId="0" fontId="12" fillId="3" borderId="9" xfId="6" applyFont="1" applyFill="1" applyBorder="1" applyAlignment="1">
      <alignment horizontal="left" vertical="center" wrapText="1"/>
    </xf>
    <xf numFmtId="0" fontId="12" fillId="3" borderId="10" xfId="6" applyFont="1" applyFill="1" applyBorder="1" applyAlignment="1">
      <alignment horizontal="left" vertical="center" wrapText="1"/>
    </xf>
    <xf numFmtId="0" fontId="12" fillId="0" borderId="44" xfId="4" applyFont="1" applyBorder="1" applyAlignment="1">
      <alignment horizontal="left" vertical="center" wrapText="1"/>
    </xf>
    <xf numFmtId="0" fontId="12" fillId="0" borderId="10" xfId="4" applyFont="1" applyBorder="1" applyAlignment="1">
      <alignment horizontal="left" vertical="center" wrapText="1"/>
    </xf>
    <xf numFmtId="49" fontId="18" fillId="3" borderId="44" xfId="4" applyNumberFormat="1" applyFont="1" applyFill="1" applyBorder="1" applyAlignment="1">
      <alignment horizontal="center" vertical="center"/>
    </xf>
    <xf numFmtId="49" fontId="18" fillId="3" borderId="10" xfId="4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7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164" fontId="3" fillId="4" borderId="44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left"/>
    </xf>
    <xf numFmtId="164" fontId="3" fillId="2" borderId="14" xfId="0" applyNumberFormat="1" applyFont="1" applyFill="1" applyBorder="1" applyAlignment="1">
      <alignment horizontal="left"/>
    </xf>
    <xf numFmtId="0" fontId="4" fillId="0" borderId="9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left" vertical="center"/>
    </xf>
    <xf numFmtId="164" fontId="3" fillId="2" borderId="8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64" fontId="3" fillId="4" borderId="2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0" xfId="0" applyNumberFormat="1" applyFont="1" applyBorder="1" applyAlignment="1">
      <alignment vertical="center" wrapText="1"/>
    </xf>
    <xf numFmtId="0" fontId="4" fillId="0" borderId="2" xfId="4" applyFont="1" applyBorder="1" applyAlignment="1">
      <alignment horizontal="left" wrapText="1"/>
    </xf>
    <xf numFmtId="164" fontId="3" fillId="2" borderId="10" xfId="0" applyNumberFormat="1" applyFont="1" applyFill="1" applyBorder="1" applyAlignment="1">
      <alignment horizontal="left" vertical="center" wrapText="1"/>
    </xf>
    <xf numFmtId="167" fontId="4" fillId="0" borderId="1" xfId="3" applyNumberFormat="1" applyFont="1" applyFill="1" applyBorder="1" applyAlignment="1">
      <alignment horizontal="center" vertical="center"/>
    </xf>
    <xf numFmtId="167" fontId="4" fillId="0" borderId="10" xfId="3" applyNumberFormat="1" applyFont="1" applyFill="1" applyBorder="1" applyAlignment="1">
      <alignment horizontal="center" vertical="center"/>
    </xf>
    <xf numFmtId="49" fontId="4" fillId="0" borderId="1" xfId="3" applyNumberFormat="1" applyFont="1" applyFill="1" applyBorder="1" applyAlignment="1">
      <alignment horizontal="center" vertical="center"/>
    </xf>
    <xf numFmtId="49" fontId="4" fillId="0" borderId="10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left" vertical="center" wrapText="1"/>
    </xf>
    <xf numFmtId="0" fontId="4" fillId="0" borderId="10" xfId="3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left"/>
    </xf>
    <xf numFmtId="164" fontId="3" fillId="2" borderId="7" xfId="0" applyNumberFormat="1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left"/>
    </xf>
    <xf numFmtId="164" fontId="3" fillId="4" borderId="6" xfId="0" applyNumberFormat="1" applyFont="1" applyFill="1" applyBorder="1" applyAlignment="1">
      <alignment horizontal="left"/>
    </xf>
    <xf numFmtId="164" fontId="3" fillId="4" borderId="7" xfId="0" applyNumberFormat="1" applyFont="1" applyFill="1" applyBorder="1" applyAlignment="1">
      <alignment horizontal="left"/>
    </xf>
    <xf numFmtId="164" fontId="3" fillId="4" borderId="8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 vertical="center" wrapText="1"/>
    </xf>
    <xf numFmtId="167" fontId="4" fillId="0" borderId="1" xfId="0" applyNumberFormat="1" applyFont="1" applyFill="1" applyBorder="1" applyAlignment="1">
      <alignment vertical="center"/>
    </xf>
    <xf numFmtId="167" fontId="4" fillId="0" borderId="1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3" fillId="0" borderId="5" xfId="1" applyNumberFormat="1" applyFont="1" applyFill="1" applyBorder="1" applyAlignment="1">
      <alignment horizontal="center" vertical="center" wrapText="1"/>
    </xf>
    <xf numFmtId="166" fontId="4" fillId="0" borderId="1" xfId="3" applyNumberFormat="1" applyFont="1" applyFill="1" applyBorder="1" applyAlignment="1">
      <alignment horizontal="center" vertical="center"/>
    </xf>
    <xf numFmtId="166" fontId="4" fillId="0" borderId="10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7" fontId="4" fillId="0" borderId="9" xfId="3" applyNumberFormat="1" applyFont="1" applyFill="1" applyBorder="1" applyAlignment="1">
      <alignment horizontal="center" vertical="center"/>
    </xf>
    <xf numFmtId="49" fontId="4" fillId="0" borderId="9" xfId="3" applyNumberFormat="1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left" vertical="center" wrapText="1"/>
    </xf>
    <xf numFmtId="164" fontId="3" fillId="4" borderId="0" xfId="0" applyNumberFormat="1" applyFont="1" applyFill="1" applyBorder="1" applyAlignment="1">
      <alignment horizontal="left" vertical="center"/>
    </xf>
    <xf numFmtId="164" fontId="3" fillId="4" borderId="14" xfId="0" applyNumberFormat="1" applyFont="1" applyFill="1" applyBorder="1" applyAlignment="1">
      <alignment horizontal="left" vertical="center"/>
    </xf>
    <xf numFmtId="164" fontId="3" fillId="4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right" vertical="center"/>
    </xf>
    <xf numFmtId="49" fontId="12" fillId="0" borderId="2" xfId="6" applyNumberFormat="1" applyFont="1" applyFill="1" applyBorder="1" applyAlignment="1">
      <alignment vertical="center"/>
    </xf>
    <xf numFmtId="49" fontId="18" fillId="0" borderId="2" xfId="0" applyNumberFormat="1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66" fontId="18" fillId="0" borderId="23" xfId="0" applyNumberFormat="1" applyFont="1" applyBorder="1" applyAlignment="1">
      <alignment horizontal="center" vertical="center"/>
    </xf>
    <xf numFmtId="166" fontId="18" fillId="0" borderId="25" xfId="0" applyNumberFormat="1" applyFont="1" applyBorder="1" applyAlignment="1">
      <alignment horizontal="center" vertical="center"/>
    </xf>
    <xf numFmtId="166" fontId="18" fillId="0" borderId="27" xfId="0" applyNumberFormat="1" applyFont="1" applyBorder="1" applyAlignment="1">
      <alignment horizontal="center" vertical="center"/>
    </xf>
    <xf numFmtId="167" fontId="12" fillId="0" borderId="45" xfId="0" applyNumberFormat="1" applyFont="1" applyBorder="1" applyAlignment="1">
      <alignment horizontal="center" vertical="center"/>
    </xf>
    <xf numFmtId="167" fontId="12" fillId="0" borderId="9" xfId="0" applyNumberFormat="1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49" fontId="18" fillId="3" borderId="25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6" fillId="0" borderId="2" xfId="219" applyFont="1" applyFill="1" applyBorder="1" applyAlignment="1">
      <alignment horizontal="left" vertical="top" wrapText="1"/>
    </xf>
    <xf numFmtId="0" fontId="12" fillId="0" borderId="24" xfId="0" applyFont="1" applyBorder="1" applyAlignment="1">
      <alignment horizontal="center"/>
    </xf>
    <xf numFmtId="166" fontId="15" fillId="5" borderId="24" xfId="0" applyNumberFormat="1" applyFont="1" applyFill="1" applyBorder="1" applyAlignment="1">
      <alignment horizontal="center" vertical="center"/>
    </xf>
    <xf numFmtId="0" fontId="16" fillId="0" borderId="2" xfId="219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49" fontId="18" fillId="0" borderId="24" xfId="0" applyNumberFormat="1" applyFont="1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167" fontId="3" fillId="4" borderId="24" xfId="0" applyNumberFormat="1" applyFont="1" applyFill="1" applyBorder="1" applyAlignment="1">
      <alignment vertical="center"/>
    </xf>
    <xf numFmtId="167" fontId="3" fillId="4" borderId="2" xfId="0" applyNumberFormat="1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49" fontId="12" fillId="5" borderId="45" xfId="0" applyNumberFormat="1" applyFont="1" applyFill="1" applyBorder="1" applyAlignment="1">
      <alignment horizontal="right" vertical="center"/>
    </xf>
    <xf numFmtId="49" fontId="12" fillId="5" borderId="10" xfId="0" applyNumberFormat="1" applyFont="1" applyFill="1" applyBorder="1" applyAlignment="1">
      <alignment horizontal="right" vertical="center"/>
    </xf>
    <xf numFmtId="0" fontId="12" fillId="5" borderId="2" xfId="0" applyFont="1" applyFill="1" applyBorder="1" applyAlignment="1">
      <alignment vertical="center" wrapText="1"/>
    </xf>
    <xf numFmtId="173" fontId="12" fillId="5" borderId="45" xfId="1" applyNumberFormat="1" applyFont="1" applyFill="1" applyBorder="1" applyAlignment="1">
      <alignment horizontal="center" vertical="center" wrapText="1"/>
    </xf>
    <xf numFmtId="173" fontId="12" fillId="5" borderId="10" xfId="1" applyNumberFormat="1" applyFont="1" applyFill="1" applyBorder="1" applyAlignment="1">
      <alignment horizontal="center" vertical="center" wrapText="1"/>
    </xf>
    <xf numFmtId="167" fontId="3" fillId="4" borderId="42" xfId="0" applyNumberFormat="1" applyFont="1" applyFill="1" applyBorder="1" applyAlignment="1"/>
    <xf numFmtId="167" fontId="3" fillId="4" borderId="4" xfId="0" applyNumberFormat="1" applyFont="1" applyFill="1" applyBorder="1" applyAlignment="1"/>
    <xf numFmtId="167" fontId="3" fillId="4" borderId="5" xfId="0" applyNumberFormat="1" applyFont="1" applyFill="1" applyBorder="1" applyAlignment="1"/>
    <xf numFmtId="173" fontId="16" fillId="5" borderId="45" xfId="1" applyNumberFormat="1" applyFont="1" applyFill="1" applyBorder="1" applyAlignment="1">
      <alignment horizontal="center" vertical="center" wrapText="1"/>
    </xf>
    <xf numFmtId="49" fontId="12" fillId="3" borderId="44" xfId="4" applyNumberFormat="1" applyFont="1" applyFill="1" applyBorder="1" applyAlignment="1">
      <alignment horizontal="center" vertical="center"/>
    </xf>
    <xf numFmtId="49" fontId="12" fillId="3" borderId="10" xfId="4" applyNumberFormat="1" applyFont="1" applyFill="1" applyBorder="1" applyAlignment="1">
      <alignment horizontal="center" vertical="center"/>
    </xf>
    <xf numFmtId="166" fontId="18" fillId="0" borderId="44" xfId="4" applyNumberFormat="1" applyFont="1" applyBorder="1" applyAlignment="1">
      <alignment horizontal="center" vertical="center"/>
    </xf>
    <xf numFmtId="166" fontId="18" fillId="0" borderId="10" xfId="4" applyNumberFormat="1" applyFont="1" applyBorder="1" applyAlignment="1">
      <alignment horizontal="center" vertical="center"/>
    </xf>
    <xf numFmtId="167" fontId="12" fillId="0" borderId="44" xfId="4" applyNumberFormat="1" applyFont="1" applyBorder="1" applyAlignment="1">
      <alignment horizontal="center" vertical="center"/>
    </xf>
    <xf numFmtId="167" fontId="12" fillId="0" borderId="10" xfId="4" applyNumberFormat="1" applyFont="1" applyBorder="1" applyAlignment="1">
      <alignment horizontal="center" vertical="center"/>
    </xf>
    <xf numFmtId="0" fontId="12" fillId="3" borderId="44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/>
    </xf>
    <xf numFmtId="166" fontId="18" fillId="0" borderId="9" xfId="4" applyNumberFormat="1" applyFont="1" applyBorder="1" applyAlignment="1">
      <alignment horizontal="center" vertical="center"/>
    </xf>
    <xf numFmtId="167" fontId="12" fillId="0" borderId="9" xfId="4" applyNumberFormat="1" applyFont="1" applyBorder="1" applyAlignment="1">
      <alignment horizontal="center" vertical="center"/>
    </xf>
    <xf numFmtId="0" fontId="12" fillId="3" borderId="9" xfId="4" applyFont="1" applyFill="1" applyBorder="1" applyAlignment="1">
      <alignment horizontal="center" vertical="center"/>
    </xf>
    <xf numFmtId="16" fontId="3" fillId="4" borderId="3" xfId="0" applyNumberFormat="1" applyFont="1" applyFill="1" applyBorder="1" applyAlignment="1">
      <alignment horizontal="left" vertical="center" wrapText="1"/>
    </xf>
    <xf numFmtId="16" fontId="3" fillId="4" borderId="4" xfId="0" applyNumberFormat="1" applyFont="1" applyFill="1" applyBorder="1" applyAlignment="1">
      <alignment horizontal="left" vertical="center" wrapText="1"/>
    </xf>
    <xf numFmtId="16" fontId="3" fillId="4" borderId="5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16" fontId="4" fillId="3" borderId="10" xfId="0" applyNumberFormat="1" applyFont="1" applyFill="1" applyBorder="1" applyAlignment="1">
      <alignment horizontal="left" vertical="center" wrapText="1"/>
    </xf>
    <xf numFmtId="16" fontId="4" fillId="3" borderId="2" xfId="0" applyNumberFormat="1" applyFont="1" applyFill="1" applyBorder="1" applyAlignment="1">
      <alignment horizontal="left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0" fontId="5" fillId="3" borderId="9" xfId="6" applyFont="1" applyFill="1" applyBorder="1" applyAlignment="1">
      <alignment horizontal="left" vertical="center" wrapText="1"/>
    </xf>
    <xf numFmtId="0" fontId="5" fillId="3" borderId="10" xfId="6" applyFont="1" applyFill="1" applyBorder="1" applyAlignment="1">
      <alignment horizontal="left" vertical="center" wrapText="1"/>
    </xf>
    <xf numFmtId="168" fontId="3" fillId="3" borderId="5" xfId="0" applyNumberFormat="1" applyFont="1" applyFill="1" applyBorder="1" applyAlignment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/>
    </xf>
    <xf numFmtId="169" fontId="3" fillId="3" borderId="2" xfId="0" applyNumberFormat="1" applyFont="1" applyFill="1" applyBorder="1" applyAlignment="1">
      <alignment horizontal="center" vertical="center" wrapText="1"/>
    </xf>
    <xf numFmtId="49" fontId="3" fillId="3" borderId="45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168" fontId="4" fillId="0" borderId="40" xfId="0" applyNumberFormat="1" applyFont="1" applyFill="1" applyBorder="1" applyAlignment="1">
      <alignment horizontal="center" vertical="center" wrapText="1"/>
    </xf>
    <xf numFmtId="168" fontId="4" fillId="0" borderId="9" xfId="0" applyNumberFormat="1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9" fontId="3" fillId="3" borderId="45" xfId="0" applyNumberFormat="1" applyFont="1" applyFill="1" applyBorder="1" applyAlignment="1">
      <alignment horizontal="center" vertical="center" wrapText="1"/>
    </xf>
    <xf numFmtId="169" fontId="3" fillId="3" borderId="10" xfId="0" applyNumberFormat="1" applyFont="1" applyFill="1" applyBorder="1" applyAlignment="1">
      <alignment horizontal="center" vertical="center" wrapText="1"/>
    </xf>
    <xf numFmtId="49" fontId="4" fillId="0" borderId="40" xfId="0" applyNumberFormat="1" applyFont="1" applyFill="1" applyBorder="1" applyAlignment="1">
      <alignment horizontal="center" vertical="center"/>
    </xf>
    <xf numFmtId="49" fontId="4" fillId="0" borderId="40" xfId="0" applyNumberFormat="1" applyFont="1" applyFill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center"/>
    </xf>
    <xf numFmtId="0" fontId="4" fillId="0" borderId="45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4" fillId="0" borderId="9" xfId="0" applyNumberFormat="1" applyFont="1" applyFill="1" applyBorder="1" applyAlignment="1">
      <alignment horizontal="left" vertical="center" wrapText="1"/>
    </xf>
    <xf numFmtId="49" fontId="4" fillId="0" borderId="10" xfId="0" applyNumberFormat="1" applyFont="1" applyFill="1" applyBorder="1" applyAlignment="1">
      <alignment horizontal="left" vertical="center" wrapText="1"/>
    </xf>
    <xf numFmtId="43" fontId="4" fillId="0" borderId="40" xfId="1" applyFont="1" applyFill="1" applyBorder="1" applyAlignment="1">
      <alignment horizontal="center" vertical="center"/>
    </xf>
    <xf numFmtId="43" fontId="4" fillId="0" borderId="9" xfId="1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/>
    </xf>
    <xf numFmtId="168" fontId="4" fillId="3" borderId="2" xfId="0" applyNumberFormat="1" applyFont="1" applyFill="1" applyBorder="1" applyAlignment="1">
      <alignment horizontal="center" vertical="center"/>
    </xf>
    <xf numFmtId="168" fontId="4" fillId="3" borderId="45" xfId="0" applyNumberFormat="1" applyFont="1" applyFill="1" applyBorder="1" applyAlignment="1">
      <alignment horizontal="center" vertical="center" wrapText="1"/>
    </xf>
    <xf numFmtId="168" fontId="4" fillId="3" borderId="10" xfId="0" applyNumberFormat="1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/>
    </xf>
    <xf numFmtId="168" fontId="4" fillId="4" borderId="2" xfId="0" applyNumberFormat="1" applyFont="1" applyFill="1" applyBorder="1"/>
    <xf numFmtId="168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43" fontId="4" fillId="0" borderId="38" xfId="8" applyFont="1" applyBorder="1" applyAlignment="1">
      <alignment horizontal="center" vertical="center"/>
    </xf>
    <xf numFmtId="43" fontId="4" fillId="0" borderId="18" xfId="8" applyFont="1" applyBorder="1" applyAlignment="1">
      <alignment horizontal="center" vertical="center"/>
    </xf>
    <xf numFmtId="43" fontId="4" fillId="0" borderId="11" xfId="8" applyFont="1" applyBorder="1" applyAlignment="1">
      <alignment horizontal="center" vertical="center"/>
    </xf>
    <xf numFmtId="164" fontId="3" fillId="0" borderId="0" xfId="0" applyNumberFormat="1" applyFont="1" applyAlignment="1">
      <alignment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0" borderId="40" xfId="0" applyFont="1" applyFill="1" applyBorder="1" applyAlignment="1">
      <alignment horizontal="left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66" fontId="3" fillId="3" borderId="45" xfId="0" applyNumberFormat="1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167" fontId="3" fillId="3" borderId="45" xfId="0" applyNumberFormat="1" applyFont="1" applyFill="1" applyBorder="1" applyAlignment="1">
      <alignment horizontal="center" vertical="center"/>
    </xf>
    <xf numFmtId="167" fontId="3" fillId="3" borderId="9" xfId="0" applyNumberFormat="1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5" xfId="6" applyFont="1" applyFill="1" applyBorder="1" applyAlignment="1">
      <alignment horizontal="left" vertical="center" wrapText="1"/>
    </xf>
    <xf numFmtId="0" fontId="3" fillId="3" borderId="9" xfId="6" applyFont="1" applyFill="1" applyBorder="1" applyAlignment="1">
      <alignment horizontal="left" vertical="center" wrapText="1"/>
    </xf>
    <xf numFmtId="168" fontId="3" fillId="3" borderId="45" xfId="0" applyNumberFormat="1" applyFont="1" applyFill="1" applyBorder="1" applyAlignment="1">
      <alignment horizontal="center" vertical="center" wrapText="1"/>
    </xf>
    <xf numFmtId="168" fontId="3" fillId="3" borderId="9" xfId="0" applyNumberFormat="1" applyFont="1" applyFill="1" applyBorder="1" applyAlignment="1">
      <alignment horizontal="center" vertical="center" wrapText="1"/>
    </xf>
    <xf numFmtId="168" fontId="3" fillId="3" borderId="10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168" fontId="4" fillId="3" borderId="9" xfId="0" applyNumberFormat="1" applyFont="1" applyFill="1" applyBorder="1" applyAlignment="1">
      <alignment horizontal="center" vertical="center" wrapText="1"/>
    </xf>
    <xf numFmtId="168" fontId="3" fillId="3" borderId="41" xfId="0" applyNumberFormat="1" applyFont="1" applyFill="1" applyBorder="1" applyAlignment="1">
      <alignment horizontal="center" vertical="center" wrapText="1"/>
    </xf>
    <xf numFmtId="168" fontId="3" fillId="3" borderId="14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6" fontId="4" fillId="3" borderId="10" xfId="0" applyNumberFormat="1" applyFont="1" applyFill="1" applyBorder="1" applyAlignment="1">
      <alignment horizontal="center" vertical="center"/>
    </xf>
    <xf numFmtId="167" fontId="4" fillId="3" borderId="45" xfId="0" applyNumberFormat="1" applyFont="1" applyFill="1" applyBorder="1" applyAlignment="1">
      <alignment horizontal="center" vertical="center"/>
    </xf>
    <xf numFmtId="16" fontId="4" fillId="3" borderId="2" xfId="6" applyNumberFormat="1" applyFont="1" applyFill="1" applyBorder="1" applyAlignment="1">
      <alignment horizontal="left" vertical="center" wrapText="1"/>
    </xf>
    <xf numFmtId="166" fontId="4" fillId="0" borderId="2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horizontal="left" wrapText="1"/>
    </xf>
    <xf numFmtId="173" fontId="3" fillId="4" borderId="5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4" fontId="3" fillId="4" borderId="3" xfId="0" applyNumberFormat="1" applyFont="1" applyFill="1" applyBorder="1" applyAlignment="1">
      <alignment horizontal="left" wrapText="1"/>
    </xf>
    <xf numFmtId="164" fontId="3" fillId="4" borderId="4" xfId="0" applyNumberFormat="1" applyFont="1" applyFill="1" applyBorder="1" applyAlignment="1">
      <alignment horizontal="left" wrapText="1"/>
    </xf>
  </cellXfs>
  <cellStyles count="220">
    <cellStyle name="20% - Accent1" xfId="24"/>
    <cellStyle name="20% - Accent2" xfId="25"/>
    <cellStyle name="20% - Accent3" xfId="26"/>
    <cellStyle name="20% - Accent4" xfId="27"/>
    <cellStyle name="20% - Accent5" xfId="28"/>
    <cellStyle name="20% - Accent6" xfId="29"/>
    <cellStyle name="40% - Accent1" xfId="30"/>
    <cellStyle name="40% - Accent2" xfId="31"/>
    <cellStyle name="40% - Accent3" xfId="32"/>
    <cellStyle name="40% - Accent4" xfId="33"/>
    <cellStyle name="40% - Accent5" xfId="34"/>
    <cellStyle name="40% - Accent6" xfId="35"/>
    <cellStyle name="60% - Accent1" xfId="36"/>
    <cellStyle name="60% - Accent2" xfId="37"/>
    <cellStyle name="60% - Accent3" xfId="38"/>
    <cellStyle name="60% - Accent4" xfId="39"/>
    <cellStyle name="60% - Accent5" xfId="40"/>
    <cellStyle name="60% - Accent6" xfId="41"/>
    <cellStyle name="Accent1" xfId="42"/>
    <cellStyle name="Accent2" xfId="43"/>
    <cellStyle name="Accent3" xfId="44"/>
    <cellStyle name="Accent4" xfId="45"/>
    <cellStyle name="Accent5" xfId="46"/>
    <cellStyle name="Accent6" xfId="47"/>
    <cellStyle name="Bad" xfId="48"/>
    <cellStyle name="Calculation" xfId="49"/>
    <cellStyle name="Calculation 2" xfId="50"/>
    <cellStyle name="Check Cell" xfId="51"/>
    <cellStyle name="Excel Built-in Normal" xfId="10"/>
    <cellStyle name="Explanatory Text" xfId="52"/>
    <cellStyle name="Good" xfId="53"/>
    <cellStyle name="Heading 1" xfId="54"/>
    <cellStyle name="Heading 2" xfId="55"/>
    <cellStyle name="Heading 3" xfId="56"/>
    <cellStyle name="Heading 4" xfId="57"/>
    <cellStyle name="Input" xfId="58"/>
    <cellStyle name="Input 2" xfId="59"/>
    <cellStyle name="Linked Cell" xfId="60"/>
    <cellStyle name="Neutral" xfId="61"/>
    <cellStyle name="Normal 4" xfId="62"/>
    <cellStyle name="Normal_Sheet1" xfId="63"/>
    <cellStyle name="Note" xfId="64"/>
    <cellStyle name="Note 2" xfId="65"/>
    <cellStyle name="Output" xfId="66"/>
    <cellStyle name="Output 2" xfId="67"/>
    <cellStyle name="Title" xfId="68"/>
    <cellStyle name="Total" xfId="69"/>
    <cellStyle name="Total 2" xfId="70"/>
    <cellStyle name="Warning Text" xfId="71"/>
    <cellStyle name="Денежный 2" xfId="72"/>
    <cellStyle name="Денежный 2 2" xfId="73"/>
    <cellStyle name="Обычный" xfId="0" builtinId="0"/>
    <cellStyle name="Обычный 10" xfId="5"/>
    <cellStyle name="Обычный 10 2" xfId="4"/>
    <cellStyle name="Обычный 11" xfId="3"/>
    <cellStyle name="Обычный 12" xfId="12"/>
    <cellStyle name="Обычный 13" xfId="74"/>
    <cellStyle name="Обычный 14" xfId="75"/>
    <cellStyle name="Обычный 15" xfId="15"/>
    <cellStyle name="Обычный 15 2" xfId="76"/>
    <cellStyle name="Обычный 15 3" xfId="77"/>
    <cellStyle name="Обычный 18" xfId="78"/>
    <cellStyle name="Обычный 19" xfId="79"/>
    <cellStyle name="Обычный 2" xfId="6"/>
    <cellStyle name="Обычный 2 2" xfId="13"/>
    <cellStyle name="Обычный 2 2 2" xfId="80"/>
    <cellStyle name="Обычный 2 2 3" xfId="81"/>
    <cellStyle name="Обычный 2 2 4" xfId="82"/>
    <cellStyle name="Обычный 2 3" xfId="83"/>
    <cellStyle name="Обычный 2 4" xfId="16"/>
    <cellStyle name="Обычный 2 5" xfId="84"/>
    <cellStyle name="Обычный 2 5 2" xfId="85"/>
    <cellStyle name="Обычный 2_09.04.2014_Programme budget 2014_Education_Modified" xfId="18"/>
    <cellStyle name="Обычный 2_Бюджетный циркуляр 2015г.Нацстат" xfId="219"/>
    <cellStyle name="Обычный 20" xfId="86"/>
    <cellStyle name="Обычный 3" xfId="11"/>
    <cellStyle name="Обычный 3 2" xfId="87"/>
    <cellStyle name="Обычный 3 3" xfId="88"/>
    <cellStyle name="Обычный 3 3 2" xfId="89"/>
    <cellStyle name="Обычный 3 3 2 2" xfId="90"/>
    <cellStyle name="Обычный 3 3 2 2 2" xfId="91"/>
    <cellStyle name="Обычный 3 3 2 2 3" xfId="92"/>
    <cellStyle name="Обычный 3 3 2 3" xfId="93"/>
    <cellStyle name="Обычный 3 3 2 4" xfId="94"/>
    <cellStyle name="Обычный 3 3 2_09.04.2014_Programme budget 2014_Education_Modified" xfId="95"/>
    <cellStyle name="Обычный 3 3 3" xfId="96"/>
    <cellStyle name="Обычный 3 3 3 2" xfId="97"/>
    <cellStyle name="Обычный 3 3 3 3" xfId="98"/>
    <cellStyle name="Обычный 3 3 4" xfId="99"/>
    <cellStyle name="Обычный 3 3 5" xfId="100"/>
    <cellStyle name="Обычный 3 3_09.04.2014_Programme budget 2014_Education_Modified" xfId="101"/>
    <cellStyle name="Обычный 3 4" xfId="102"/>
    <cellStyle name="Обычный 3 4 2" xfId="103"/>
    <cellStyle name="Обычный 3 4 2 2" xfId="104"/>
    <cellStyle name="Обычный 3 4 2 3" xfId="105"/>
    <cellStyle name="Обычный 3 4 3" xfId="106"/>
    <cellStyle name="Обычный 3 4 4" xfId="107"/>
    <cellStyle name="Обычный 3 4_09.04.2014_Programme budget 2014_Education_Modified" xfId="108"/>
    <cellStyle name="Обычный 3 5" xfId="109"/>
    <cellStyle name="Обычный 3 5 2" xfId="110"/>
    <cellStyle name="Обычный 3 5 3" xfId="111"/>
    <cellStyle name="Обычный 3 6" xfId="112"/>
    <cellStyle name="Обычный 3 7" xfId="113"/>
    <cellStyle name="Обычный 3_09.04.2014_Programme budget 2014_Education_Modified" xfId="114"/>
    <cellStyle name="Обычный 4" xfId="115"/>
    <cellStyle name="Обычный 4 10" xfId="116"/>
    <cellStyle name="Обычный 4 2" xfId="117"/>
    <cellStyle name="Обычный 4 2 2" xfId="118"/>
    <cellStyle name="Обычный 4 2 2 2" xfId="119"/>
    <cellStyle name="Обычный 4 2 2 3" xfId="120"/>
    <cellStyle name="Обычный 4 2 3" xfId="121"/>
    <cellStyle name="Обычный 4 2 4" xfId="122"/>
    <cellStyle name="Обычный 4 2 5" xfId="123"/>
    <cellStyle name="Обычный 4 2_09.04.2014_Programme budget 2014_Education_Modified" xfId="124"/>
    <cellStyle name="Обычный 4 3" xfId="125"/>
    <cellStyle name="Обычный 4 3 2" xfId="126"/>
    <cellStyle name="Обычный 4 3 3" xfId="127"/>
    <cellStyle name="Обычный 4 4" xfId="128"/>
    <cellStyle name="Обычный 4 5" xfId="129"/>
    <cellStyle name="Обычный 4 6" xfId="130"/>
    <cellStyle name="Обычный 4 7" xfId="131"/>
    <cellStyle name="Обычный 4_09.04.2014_Programme budget 2014_Education_Modified" xfId="132"/>
    <cellStyle name="Обычный 5" xfId="133"/>
    <cellStyle name="Обычный 5 2" xfId="134"/>
    <cellStyle name="Обычный 5 3" xfId="135"/>
    <cellStyle name="Обычный 5 4" xfId="136"/>
    <cellStyle name="Обычный 5 5" xfId="137"/>
    <cellStyle name="Обычный 6" xfId="138"/>
    <cellStyle name="Обычный 6 2" xfId="139"/>
    <cellStyle name="Обычный 6 2 2" xfId="140"/>
    <cellStyle name="Обычный 6 2 2 2" xfId="141"/>
    <cellStyle name="Обычный 6 2 2 3" xfId="142"/>
    <cellStyle name="Обычный 6 2 3" xfId="143"/>
    <cellStyle name="Обычный 6 2 4" xfId="144"/>
    <cellStyle name="Обычный 6 2_09.04.2014_Programme budget 2014_Education_Modified" xfId="145"/>
    <cellStyle name="Обычный 6 3" xfId="146"/>
    <cellStyle name="Обычный 6 3 2" xfId="147"/>
    <cellStyle name="Обычный 6 3 3" xfId="148"/>
    <cellStyle name="Обычный 6 4" xfId="149"/>
    <cellStyle name="Обычный 6 5" xfId="150"/>
    <cellStyle name="Обычный 6 6" xfId="151"/>
    <cellStyle name="Обычный 6_09.04.2014_Programme budget 2014_Education_Modified" xfId="152"/>
    <cellStyle name="Обычный 7" xfId="22"/>
    <cellStyle name="Обычный 7 2" xfId="153"/>
    <cellStyle name="Обычный 7 3" xfId="154"/>
    <cellStyle name="Обычный 8" xfId="14"/>
    <cellStyle name="Обычный 9" xfId="155"/>
    <cellStyle name="Обычный_Лист5" xfId="23"/>
    <cellStyle name="Процентный" xfId="2" builtinId="5"/>
    <cellStyle name="Процентный 2" xfId="156"/>
    <cellStyle name="Процентный 2 2" xfId="157"/>
    <cellStyle name="Процентный 2 3" xfId="158"/>
    <cellStyle name="Процентный 2 4" xfId="159"/>
    <cellStyle name="Процентный 3" xfId="160"/>
    <cellStyle name="Процентный 4" xfId="9"/>
    <cellStyle name="Процентный 4 2" xfId="161"/>
    <cellStyle name="Процентный 5" xfId="162"/>
    <cellStyle name="Процентный 5 2" xfId="163"/>
    <cellStyle name="Процентный 6" xfId="164"/>
    <cellStyle name="Стиль 1" xfId="165"/>
    <cellStyle name="Финансовый" xfId="1" builtinId="3"/>
    <cellStyle name="Финансовый 10" xfId="166"/>
    <cellStyle name="Финансовый 10 2" xfId="19"/>
    <cellStyle name="Финансовый 11" xfId="167"/>
    <cellStyle name="Финансовый 2" xfId="20"/>
    <cellStyle name="Финансовый 2 2" xfId="168"/>
    <cellStyle name="Финансовый 2 2 2" xfId="169"/>
    <cellStyle name="Финансовый 2 2 2 2" xfId="170"/>
    <cellStyle name="Финансовый 2 2 2 2 2" xfId="171"/>
    <cellStyle name="Финансовый 2 2 2 2 2 2" xfId="172"/>
    <cellStyle name="Финансовый 2 2 2 2 3" xfId="173"/>
    <cellStyle name="Финансовый 2 2 2 2 3 2" xfId="174"/>
    <cellStyle name="Финансовый 2 2 2 2 4" xfId="175"/>
    <cellStyle name="Финансовый 2 2 2 3" xfId="176"/>
    <cellStyle name="Финансовый 2 2 2 3 2" xfId="177"/>
    <cellStyle name="Финансовый 2 2 2 4" xfId="178"/>
    <cellStyle name="Финансовый 2 2 2 4 2" xfId="179"/>
    <cellStyle name="Финансовый 2 2 2 5" xfId="180"/>
    <cellStyle name="Финансовый 2 2 3" xfId="181"/>
    <cellStyle name="Финансовый 2 2 3 2" xfId="182"/>
    <cellStyle name="Финансовый 2 2 3 2 2" xfId="183"/>
    <cellStyle name="Финансовый 2 2 3 3" xfId="184"/>
    <cellStyle name="Финансовый 2 2 3 3 2" xfId="185"/>
    <cellStyle name="Финансовый 2 2 3 4" xfId="186"/>
    <cellStyle name="Финансовый 2 2 4" xfId="187"/>
    <cellStyle name="Финансовый 2 2 4 2" xfId="188"/>
    <cellStyle name="Финансовый 2 2 5" xfId="189"/>
    <cellStyle name="Финансовый 2 2 5 2" xfId="190"/>
    <cellStyle name="Финансовый 2 2 6" xfId="191"/>
    <cellStyle name="Финансовый 2 3" xfId="21"/>
    <cellStyle name="Финансовый 2 3 2" xfId="192"/>
    <cellStyle name="Финансовый 2 4" xfId="193"/>
    <cellStyle name="Финансовый 2 4 2" xfId="194"/>
    <cellStyle name="Финансовый 2 5" xfId="195"/>
    <cellStyle name="Финансовый 2 6" xfId="196"/>
    <cellStyle name="Финансовый 2 7" xfId="197"/>
    <cellStyle name="Финансовый 2 8" xfId="198"/>
    <cellStyle name="Финансовый 3" xfId="8"/>
    <cellStyle name="Финансовый 3 2" xfId="17"/>
    <cellStyle name="Финансовый 3 2 2" xfId="199"/>
    <cellStyle name="Финансовый 3 3" xfId="200"/>
    <cellStyle name="Финансовый 3 3 2" xfId="201"/>
    <cellStyle name="Финансовый 3 4" xfId="202"/>
    <cellStyle name="Финансовый 3 4 2" xfId="203"/>
    <cellStyle name="Финансовый 3 5" xfId="204"/>
    <cellStyle name="Финансовый 3 6" xfId="205"/>
    <cellStyle name="Финансовый 3 7" xfId="206"/>
    <cellStyle name="Финансовый 3 8" xfId="207"/>
    <cellStyle name="Финансовый 4" xfId="7"/>
    <cellStyle name="Финансовый 4 2" xfId="208"/>
    <cellStyle name="Финансовый 4 3" xfId="209"/>
    <cellStyle name="Финансовый 4 4" xfId="210"/>
    <cellStyle name="Финансовый 5" xfId="211"/>
    <cellStyle name="Финансовый 5 2" xfId="212"/>
    <cellStyle name="Финансовый 5 3" xfId="213"/>
    <cellStyle name="Финансовый 6" xfId="214"/>
    <cellStyle name="Финансовый 7" xfId="215"/>
    <cellStyle name="Финансовый 7 2" xfId="216"/>
    <cellStyle name="Финансовый 8" xfId="217"/>
    <cellStyle name="Финансовый 9" xfId="2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1;&#1102;&#1076;&#1078;&#1077;&#1090;%202010%20&#1085;&#1086;&#1074;1\Form2-10%20&#1082;&#1086;&#1085;&#1090;&#10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1;&#1091;&#1093;-&#1103;%202021&#1075;/&#1057;&#1084;&#1077;&#1090;&#1072;%20&#1079;&#1072;%202021&#1075;&#1086;&#1076;/1.%20&#1055;&#1056;&#1054;&#1045;&#1050;&#1058;-&#1089;&#1084;&#1077;&#1090;&#1072;%20%202021-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AR-24/Desktop/&#1041;&#1102;&#1076;&#1078;&#1077;&#1090;&#1085;&#1099;&#1081;%20&#1094;&#1080;&#1088;&#1082;&#1091;&#1083;&#1103;&#1088;%202019-2021&#1075;&#1075;/&#1053;&#1086;&#1074;&#1072;&#1103;%20&#1087;&#1072;&#1087;&#1082;&#1072;/&#1041;&#1070;&#1044;&#1046;&#1045;&#1058;&#1053;&#1067;&#1049;%20&#1062;&#1048;&#1056;&#1050;&#1059;&#1051;&#1071;&#1056;%202019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2_3_4"/>
      <sheetName val="Lists"/>
    </sheetNames>
    <sheetDataSet>
      <sheetData sheetId="0"/>
      <sheetData sheetId="1">
        <row r="3">
          <cell r="D3" t="str">
            <v xml:space="preserve">21111100 Основная заработная плата </v>
          </cell>
        </row>
        <row r="4">
          <cell r="D4" t="str">
            <v>21111200 Надбавки</v>
          </cell>
        </row>
        <row r="5">
          <cell r="D5" t="str">
            <v>21111300 Дополнительные  выплаты и компенсации</v>
          </cell>
        </row>
        <row r="6">
          <cell r="D6" t="str">
            <v>21112100 Работники, нанятые по контракту или на временной основе</v>
          </cell>
        </row>
        <row r="7">
          <cell r="D7" t="str">
            <v>21211100 Взносы в Пенсионный фонд</v>
          </cell>
        </row>
        <row r="8">
          <cell r="D8" t="str">
            <v>21211200 Взносы в Фонд медицинского страхования</v>
          </cell>
        </row>
        <row r="9">
          <cell r="D9" t="str">
            <v>22111100 Транспортные расходы</v>
          </cell>
        </row>
        <row r="10">
          <cell r="D10" t="str">
            <v>22111200 Гостиничные расходы</v>
          </cell>
        </row>
        <row r="11">
          <cell r="D11" t="str">
            <v>22111300 Суточные расходы</v>
          </cell>
        </row>
        <row r="12">
          <cell r="D12" t="str">
            <v>22112100 Транспортные расходы</v>
          </cell>
        </row>
        <row r="13">
          <cell r="D13" t="str">
            <v>22112200 Гостиничные расходы</v>
          </cell>
        </row>
        <row r="14">
          <cell r="D14" t="str">
            <v>22112300 Суточные расходы</v>
          </cell>
        </row>
        <row r="15">
          <cell r="D15" t="str">
            <v>22121100 Плата за воду</v>
          </cell>
        </row>
        <row r="16">
          <cell r="D16" t="str">
            <v>22121200 Плата за электроэнергию</v>
          </cell>
        </row>
        <row r="17">
          <cell r="D17" t="str">
            <v>22121300 Плата за теплоэнергию</v>
          </cell>
        </row>
        <row r="18">
          <cell r="D18" t="str">
            <v>22121400 Плата за газ</v>
          </cell>
        </row>
        <row r="19">
          <cell r="D19" t="str">
            <v>22121900 Прочие коммунальные услуги</v>
          </cell>
        </row>
        <row r="20">
          <cell r="D20" t="str">
            <v>22122100 Услуги телефонной и факсимильной связи</v>
          </cell>
        </row>
        <row r="21">
          <cell r="D21" t="str">
            <v>22122200 Услуги сотовой связи</v>
          </cell>
        </row>
        <row r="22">
          <cell r="D22" t="str">
            <v>22122300 Услуги фельдъегерской связи</v>
          </cell>
        </row>
        <row r="23">
          <cell r="D23" t="str">
            <v>22122400 Услуги почтовой связи</v>
          </cell>
        </row>
        <row r="24">
          <cell r="D24" t="str">
            <v>22122500 Плата за услуги по трансляции телерадиопрограмм</v>
          </cell>
        </row>
        <row r="25">
          <cell r="D25" t="str">
            <v>22122900 Прочие услуги связи</v>
          </cell>
        </row>
        <row r="26">
          <cell r="D26" t="str">
            <v xml:space="preserve">22131100 Аренда зданий и помещений </v>
          </cell>
        </row>
        <row r="27">
          <cell r="D27" t="str">
            <v>22131200 Аренда оборудования и инвентаря</v>
          </cell>
        </row>
        <row r="28">
          <cell r="D28" t="str">
            <v xml:space="preserve">22131300 Аренда транспортных средств </v>
          </cell>
        </row>
        <row r="29">
          <cell r="D29" t="str">
            <v>22131900 Аренда прочего имущества</v>
          </cell>
        </row>
        <row r="30">
          <cell r="D30" t="str">
            <v xml:space="preserve">22141100 Бензин, дизель и прочее топливо </v>
          </cell>
        </row>
        <row r="31">
          <cell r="D31" t="str">
            <v>22141200 Приобретение запасных частей</v>
          </cell>
        </row>
        <row r="32">
          <cell r="D32" t="str">
            <v xml:space="preserve">22141300 Обслуживание транспортных средств </v>
          </cell>
        </row>
        <row r="33">
          <cell r="D33" t="str">
            <v>22141900 Прочие транспортные услуги</v>
          </cell>
        </row>
        <row r="34">
          <cell r="D34" t="str">
            <v>22151100 Юридические услуги</v>
          </cell>
        </row>
        <row r="35">
          <cell r="D35" t="str">
            <v>22151200 Услуги консультантов</v>
          </cell>
        </row>
        <row r="36">
          <cell r="D36" t="str">
            <v>22151300 Услуги вневедомственной охраны</v>
          </cell>
        </row>
        <row r="37">
          <cell r="D37" t="str">
            <v>22151400 Услуги в области информационных технологий</v>
          </cell>
        </row>
        <row r="38">
          <cell r="D38" t="str">
            <v>22151900 Прочие услуги, оказанные по контракту</v>
          </cell>
        </row>
        <row r="39">
          <cell r="D39" t="str">
            <v>22152100 Текущий ремонт зданий и помещений</v>
          </cell>
        </row>
        <row r="40">
          <cell r="D40" t="str">
            <v>22152200 Текущий ремонт сооружений</v>
          </cell>
        </row>
        <row r="41">
          <cell r="D41" t="str">
            <v>22152300 Текущий ремонт оборудования и инвентаря</v>
          </cell>
        </row>
        <row r="42">
          <cell r="D42" t="str">
            <v>22153100 Санитарные услуги в содержании зданий и помещений</v>
          </cell>
        </row>
        <row r="43">
          <cell r="D43" t="str">
            <v>22153200 Реставрация памятников истории и культуры</v>
          </cell>
        </row>
        <row r="44">
          <cell r="D44" t="str">
            <v>22153900 Прочие услуги по содержанию зданий, помещений и иного имущества</v>
          </cell>
        </row>
        <row r="45">
          <cell r="D45" t="str">
            <v>22154100 Обучение государственных служащих</v>
          </cell>
        </row>
        <row r="46">
          <cell r="D46" t="str">
            <v>22155300 Приобретение оборудования и материалов</v>
          </cell>
        </row>
        <row r="47">
          <cell r="D47" t="str">
            <v>22155400 Приобретение, пошив и ремонт предметов вещевого имущества и другого форменного и специального обмундирования</v>
          </cell>
        </row>
        <row r="48">
          <cell r="D48" t="str">
            <v>22155500 Приобретение угля</v>
          </cell>
        </row>
        <row r="49">
          <cell r="D49" t="str">
            <v>22155900 Прочие приобретения предметов и материалов для текущих хозяйственных целей</v>
          </cell>
        </row>
        <row r="50">
          <cell r="D50" t="str">
            <v xml:space="preserve">22156100 Представительские расходы </v>
          </cell>
        </row>
        <row r="51">
          <cell r="D51" t="str">
            <v>22156200 Расходы за изготовление бланков</v>
          </cell>
        </row>
        <row r="52">
          <cell r="D52" t="str">
            <v xml:space="preserve">22156900 Прочие расходы, связанные с оплатой прочих услуг  </v>
          </cell>
        </row>
        <row r="53">
          <cell r="D53" t="str">
            <v>22157100 Финансовые услуги по выпуску размещению и погашению государственных ценных бумаг</v>
          </cell>
        </row>
        <row r="54">
          <cell r="D54" t="str">
            <v>22157200 Прочие услуги по выпуску размещению и погашению государственных ценных бумаг</v>
          </cell>
        </row>
        <row r="55">
          <cell r="D55" t="str">
            <v>22157300 Прочие услуги Национального Банка, Коммерческих банков, финансово-кредитных учреждений</v>
          </cell>
        </row>
        <row r="56">
          <cell r="D56" t="str">
            <v xml:space="preserve">22157400 Услуги АКБ по обслуживанию системы казначейства </v>
          </cell>
        </row>
        <row r="57">
          <cell r="D57" t="str">
            <v>22161100 Расходы, представленные единой статьей в системе здравоохранения (Единый плательщик)</v>
          </cell>
        </row>
        <row r="58">
          <cell r="D58" t="str">
            <v>22171100 Приобретение медикаментов и  изделий медицинского назначения</v>
          </cell>
        </row>
        <row r="59">
          <cell r="D59" t="str">
            <v>22171200 Приобретение инсулина и инсулиносодержащих проепаратов</v>
          </cell>
        </row>
        <row r="60">
          <cell r="D60" t="str">
            <v>22181100 Приобретение продуктов питания</v>
          </cell>
        </row>
        <row r="61">
          <cell r="D61" t="str">
            <v>22181200 Компенсационные выплаты на продукты питания</v>
          </cell>
        </row>
        <row r="62">
          <cell r="D62" t="str">
            <v>24111100 Выплата процентов по займам, полученным от иностранных государств и международных организаций</v>
          </cell>
        </row>
        <row r="63">
          <cell r="D63" t="str">
            <v>24211100 Выплата процентов по государственным краткосрочным ценным бумагам</v>
          </cell>
        </row>
        <row r="64">
          <cell r="D64" t="str">
            <v>24211200 Выплата процентов по государственным долгосрочным ценным бумагам</v>
          </cell>
        </row>
        <row r="65">
          <cell r="D65" t="str">
            <v>24221100 Погашение задолженности населению по индексированным суммам</v>
          </cell>
        </row>
        <row r="66">
          <cell r="D66" t="str">
            <v>24311100 Выплата процентов другим единицам сектора госуправления</v>
          </cell>
        </row>
        <row r="67">
          <cell r="D67" t="str">
            <v>25111100 Субсидии нефинансовым государственным предприятиям</v>
          </cell>
        </row>
        <row r="68">
          <cell r="D68" t="str">
            <v>25121100 Субсидии финансовым государственным предприятиям</v>
          </cell>
        </row>
        <row r="69">
          <cell r="D69" t="str">
            <v>25211100 Субсидии нефинансовым частным предприятиям</v>
          </cell>
        </row>
        <row r="70">
          <cell r="D70" t="str">
            <v>25221100 Субсидии финансовым частным предприятиям</v>
          </cell>
        </row>
        <row r="71">
          <cell r="D71" t="str">
            <v>26111100 Текущие гранты правительствам иностранных государств</v>
          </cell>
        </row>
        <row r="72">
          <cell r="D72" t="str">
            <v>26121100 Капитальные гранты правительствам иностранных государств</v>
          </cell>
        </row>
        <row r="73">
          <cell r="D73" t="str">
            <v>26211100 Взносы в международные организации</v>
          </cell>
        </row>
        <row r="74">
          <cell r="D74" t="str">
            <v>26211200 Взносы в интеграционные объединения в рамках СНГ</v>
          </cell>
        </row>
        <row r="75">
          <cell r="D75" t="str">
            <v xml:space="preserve">26211900 Прочие безвоздмездные перечисления </v>
          </cell>
        </row>
        <row r="76">
          <cell r="D76" t="str">
            <v>26221100 Капитальные гранты международным организациям</v>
          </cell>
        </row>
        <row r="77">
          <cell r="D77" t="str">
            <v>26311100 Категориальные гранты</v>
          </cell>
        </row>
        <row r="78">
          <cell r="D78" t="str">
            <v xml:space="preserve">26311200 Выравнивающие гранты </v>
          </cell>
        </row>
        <row r="79">
          <cell r="D79" t="str">
            <v>26311300 Стимулирующие гранты</v>
          </cell>
        </row>
        <row r="80">
          <cell r="D80" t="str">
            <v>26312100 Средства, передаваемые по взаимным расчетам из республиканского в местный бюджет</v>
          </cell>
        </row>
        <row r="81">
          <cell r="D81" t="str">
            <v>26312200 Средства, передаваемые по взаимным расчетам из местного в республиканский бюджет</v>
          </cell>
        </row>
        <row r="82">
          <cell r="D82" t="str">
            <v xml:space="preserve">26312300 Средства, передаваемые на повышение заработной платы </v>
          </cell>
        </row>
        <row r="83">
          <cell r="D83" t="str">
            <v>26313100 Субвенции Социальному Фонду</v>
          </cell>
        </row>
        <row r="84">
          <cell r="D84" t="str">
            <v>26321100 Капитальные гранты другим единицам сектора государственного управления</v>
          </cell>
        </row>
        <row r="85">
          <cell r="D85" t="str">
            <v>27111100 Пенсии по социальному страхованию населения</v>
          </cell>
        </row>
        <row r="86">
          <cell r="D86" t="str">
            <v xml:space="preserve">27111200 Льготные пенсии за работу в условиях высокогорья         </v>
          </cell>
        </row>
        <row r="87">
          <cell r="D87" t="str">
            <v xml:space="preserve">27111300 Пенсии военнослужащим       </v>
          </cell>
        </row>
        <row r="88">
          <cell r="D88" t="str">
            <v>27111400 Пенсии многодетным матерям и матерям инвалидов с детства</v>
          </cell>
        </row>
        <row r="89">
          <cell r="D89" t="str">
            <v>27111500 Пенсии отдельным категориям населения</v>
          </cell>
        </row>
        <row r="90">
          <cell r="D90" t="str">
            <v>27112100 Государственное обязательное личное страхование военнослужащих на случай их гибели, получения инвалидности</v>
          </cell>
        </row>
        <row r="91">
          <cell r="D91" t="str">
            <v>27113100 Компенсационные выплаты к пенсиям за электроэнергию</v>
          </cell>
        </row>
        <row r="92">
          <cell r="D92" t="str">
            <v>27113200 Компенсационные выплаты за трудовые увечья</v>
          </cell>
        </row>
        <row r="93">
          <cell r="D93" t="str">
            <v>27114100 Надбавки к пенсиям инвалидов</v>
          </cell>
        </row>
        <row r="94">
          <cell r="D94" t="str">
            <v>27114200 Надбавки к пенсиям за особые заслуги</v>
          </cell>
        </row>
        <row r="95">
          <cell r="D95" t="str">
            <v>27115100 Медицинское страхование детей до 16 лет</v>
          </cell>
        </row>
        <row r="96">
          <cell r="D96" t="str">
            <v>27115200 Медицинское страхование пенсионеров</v>
          </cell>
        </row>
        <row r="97">
          <cell r="D97" t="str">
            <v>27115300 Медицинское страхование лиц, получающих социальные пособия</v>
          </cell>
        </row>
        <row r="98">
          <cell r="D98" t="str">
            <v>27211100 Пособия  малообеспеченным семьям</v>
          </cell>
        </row>
        <row r="99">
          <cell r="D99" t="str">
            <v>27211200 Единовременное пособие при рождении ребенка</v>
          </cell>
        </row>
        <row r="100">
          <cell r="D100" t="str">
            <v>27211300 Пособия матерям до достижения ребенком 1,5 лет</v>
          </cell>
        </row>
        <row r="101">
          <cell r="D101" t="str">
            <v>27211400 Пособия по безработице</v>
          </cell>
        </row>
        <row r="102">
          <cell r="D102" t="str">
            <v xml:space="preserve">27211500 Социальные выплаты населению </v>
          </cell>
        </row>
        <row r="103">
          <cell r="D103" t="str">
            <v>27211600 Компенсационные выплаты, в связи с потерей кормильца</v>
          </cell>
        </row>
        <row r="104">
          <cell r="D104" t="str">
            <v>27212100 Пособия по временной нетрудоспособности</v>
          </cell>
        </row>
        <row r="105">
          <cell r="D105" t="str">
            <v>27212200 Пособия по беременности и родам</v>
          </cell>
        </row>
        <row r="106">
          <cell r="D106" t="str">
            <v>27212300 Выплата ритуальных пособий (на погребение)</v>
          </cell>
        </row>
        <row r="107">
          <cell r="D107" t="str">
            <v xml:space="preserve">27213100 Льготы населению  </v>
          </cell>
        </row>
        <row r="108">
          <cell r="D108" t="str">
            <v>27214100 Расходы на профессиональное обучение</v>
          </cell>
        </row>
        <row r="109">
          <cell r="D109" t="str">
            <v>27214200 Расходы на организацию общественных работ</v>
          </cell>
        </row>
        <row r="110">
          <cell r="D110" t="str">
            <v>27214300 Расходы на микрокредитование</v>
          </cell>
        </row>
        <row r="111">
          <cell r="D111" t="str">
            <v>27214400 Чек на рабочее место</v>
          </cell>
        </row>
        <row r="112">
          <cell r="D112" t="str">
            <v>27215100 Расходы на оздоровительные мероприятия работников и членов их семей</v>
          </cell>
        </row>
        <row r="113">
          <cell r="D113" t="str">
            <v>27216100 Безвозмездная помощь населению, пострадавшему от стихийных бедствий</v>
          </cell>
        </row>
        <row r="114">
          <cell r="D114" t="str">
            <v>28211100 Стипендии</v>
          </cell>
        </row>
        <row r="115">
          <cell r="D115" t="str">
            <v>28212100 Плата  исполнительных документов по решению суда</v>
          </cell>
        </row>
        <row r="116">
          <cell r="D116" t="str">
            <v>28213100 Прочие расходы, не отнесенные к другим статьям</v>
          </cell>
        </row>
        <row r="117">
          <cell r="D117" t="str">
            <v>28215100 Страховые резервы</v>
          </cell>
        </row>
        <row r="118">
          <cell r="D118" t="str">
            <v>28215200 Резервные фонды</v>
          </cell>
        </row>
        <row r="119">
          <cell r="D119" t="str">
            <v>28216100 Фонд сокращения бедности</v>
          </cell>
        </row>
        <row r="120">
          <cell r="D120" t="str">
            <v>28216900 Прочие Фонды</v>
          </cell>
        </row>
        <row r="121">
          <cell r="D121" t="str">
            <v>28217100 Программа государственных инвестиций</v>
          </cell>
        </row>
        <row r="122">
          <cell r="D122" t="str">
            <v/>
          </cell>
        </row>
        <row r="123">
          <cell r="D123" t="str">
            <v>31111110 Продажа квартир</v>
          </cell>
        </row>
        <row r="124">
          <cell r="D124" t="str">
            <v>31111120 Продажа домов</v>
          </cell>
        </row>
        <row r="125">
          <cell r="D125" t="str">
            <v>31111190 Продажа прочих жилых зданий и помещений</v>
          </cell>
        </row>
        <row r="126">
          <cell r="D126" t="str">
            <v>31111210 Приобретение и строительство квартир</v>
          </cell>
        </row>
        <row r="127">
          <cell r="D127" t="str">
            <v>31111220 Приобретение и строительство домов</v>
          </cell>
        </row>
        <row r="128">
          <cell r="D128" t="str">
            <v>31111290 Приобретение и строительство прочих жилых зданий и помещений</v>
          </cell>
        </row>
        <row r="129">
          <cell r="D129" t="str">
            <v>31111310 Капитальный ремонт квартир</v>
          </cell>
        </row>
        <row r="130">
          <cell r="D130" t="str">
            <v>31111320 Капитальный ремонт домов</v>
          </cell>
        </row>
        <row r="131">
          <cell r="D131" t="str">
            <v>31111390 Капитальный ремонт прочих жилых зданий и помещений</v>
          </cell>
        </row>
        <row r="132">
          <cell r="D132" t="str">
            <v>31112110 Продажа производственных зданий</v>
          </cell>
        </row>
        <row r="133">
          <cell r="D133" t="str">
            <v>31112120 Продажа институциональных зданий</v>
          </cell>
        </row>
        <row r="134">
          <cell r="D134" t="str">
            <v>31112130 Продажа военных зданий</v>
          </cell>
        </row>
        <row r="135">
          <cell r="D135" t="str">
            <v>31112190 Продажа прочих зданий</v>
          </cell>
        </row>
        <row r="136">
          <cell r="D136" t="str">
            <v>31112210 Приобретение и строительство производственных зданий</v>
          </cell>
        </row>
        <row r="137">
          <cell r="D137" t="str">
            <v>31112220 Приобретение и строительство институциональных зданий</v>
          </cell>
        </row>
        <row r="138">
          <cell r="D138" t="str">
            <v>31112230 Приобретение и строительство военных зданий</v>
          </cell>
        </row>
        <row r="139">
          <cell r="D139" t="str">
            <v>31112290 Приобретение и строительство прочих зданий</v>
          </cell>
        </row>
        <row r="140">
          <cell r="D140" t="str">
            <v>31112310 Капитальный ремонт производственных зданий</v>
          </cell>
        </row>
        <row r="141">
          <cell r="D141" t="str">
            <v>31112320 Капитальный ремонт институциональных зданий</v>
          </cell>
        </row>
        <row r="142">
          <cell r="D142" t="str">
            <v>31112330 Капитальный ремонт военных зданий</v>
          </cell>
        </row>
        <row r="143">
          <cell r="D143" t="str">
            <v>31112390 Капитальный ремонт прочих зданий</v>
          </cell>
        </row>
        <row r="144">
          <cell r="D144" t="str">
            <v>31113110 Продажа производственных сооружений</v>
          </cell>
        </row>
        <row r="145">
          <cell r="D145" t="str">
            <v>31113120 Продажа дорог</v>
          </cell>
        </row>
        <row r="146">
          <cell r="D146" t="str">
            <v>31113130 Продажа мостов</v>
          </cell>
        </row>
        <row r="147">
          <cell r="D147" t="str">
            <v>31113190 Продажа прочих сооружений</v>
          </cell>
        </row>
        <row r="148">
          <cell r="D148" t="str">
            <v>31113210 Приобретение и строительство производственных сооружений</v>
          </cell>
        </row>
        <row r="149">
          <cell r="D149" t="str">
            <v>31113220 Приобретение и строительство дорог</v>
          </cell>
        </row>
        <row r="150">
          <cell r="D150" t="str">
            <v>31113230 Приобретение и строительство мостов</v>
          </cell>
        </row>
        <row r="151">
          <cell r="D151" t="str">
            <v>31113290 Приобретение и строительство прочих сооружений</v>
          </cell>
        </row>
        <row r="152">
          <cell r="D152" t="str">
            <v>31113310 Капитальный ремонт производственных сооружений</v>
          </cell>
        </row>
        <row r="153">
          <cell r="D153" t="str">
            <v>31113320 Капитальный ремонт дорог</v>
          </cell>
        </row>
        <row r="154">
          <cell r="D154" t="str">
            <v>31113330 Капитальный ремонт мостов</v>
          </cell>
        </row>
        <row r="155">
          <cell r="D155" t="str">
            <v>31113390 Капитальный ремонт прочих сооружений</v>
          </cell>
        </row>
        <row r="156">
          <cell r="D156" t="str">
            <v>31121110 Продажа легковых автомобилей</v>
          </cell>
        </row>
        <row r="157">
          <cell r="D157" t="str">
            <v>31121120 Продажа автобусов</v>
          </cell>
        </row>
        <row r="158">
          <cell r="D158" t="str">
            <v>31121130 Продажа грузовых машин</v>
          </cell>
        </row>
        <row r="159">
          <cell r="D159" t="str">
            <v>31121140 Продажа поездов</v>
          </cell>
        </row>
        <row r="160">
          <cell r="D160" t="str">
            <v>31121150 Продажа водных транспортных средств</v>
          </cell>
        </row>
        <row r="161">
          <cell r="D161" t="str">
            <v>31121160 Продажа воздушного тарнспорта</v>
          </cell>
        </row>
        <row r="162">
          <cell r="D162" t="str">
            <v>31121190 Продажа прочих транспортных средств</v>
          </cell>
        </row>
        <row r="163">
          <cell r="D163" t="str">
            <v>31121210 Приобретение легковых автомобилей</v>
          </cell>
        </row>
        <row r="164">
          <cell r="D164" t="str">
            <v>31121220 Приобретение автобусов</v>
          </cell>
        </row>
        <row r="165">
          <cell r="D165" t="str">
            <v>31121230 Приобретение грузовых машин</v>
          </cell>
        </row>
        <row r="166">
          <cell r="D166" t="str">
            <v>31121240 Приобретение поездов</v>
          </cell>
        </row>
        <row r="167">
          <cell r="D167" t="str">
            <v>31121250 Приобретение водных транспортных средств</v>
          </cell>
        </row>
        <row r="168">
          <cell r="D168" t="str">
            <v>31121260 Приобретение воздушного тарнспорта</v>
          </cell>
        </row>
        <row r="169">
          <cell r="D169" t="str">
            <v>31121290 Приобретение прочих транспортных средств</v>
          </cell>
        </row>
        <row r="170">
          <cell r="D170" t="str">
            <v>31121310 Капитальный ремонт легковых автомобилей</v>
          </cell>
        </row>
        <row r="171">
          <cell r="D171" t="str">
            <v>31121320 Капитальный ремонт автобусов</v>
          </cell>
        </row>
        <row r="172">
          <cell r="D172" t="str">
            <v>31121330 Капитальный ремонт грузовых машин</v>
          </cell>
        </row>
        <row r="173">
          <cell r="D173" t="str">
            <v>31121340 Капитальный ремонт поездов</v>
          </cell>
        </row>
        <row r="174">
          <cell r="D174" t="str">
            <v>31121350 Капитальный ремонт водных транспортных средств</v>
          </cell>
        </row>
        <row r="175">
          <cell r="D175" t="str">
            <v>31121360 Капитальный ремонт воздушного тарнспорта</v>
          </cell>
        </row>
        <row r="176">
          <cell r="D176" t="str">
            <v>31121390 Капитальный ремонт прочих транспортных средств</v>
          </cell>
        </row>
        <row r="177">
          <cell r="D177" t="str">
            <v>31122110 Продажа производственных механизмов и оборудования</v>
          </cell>
        </row>
        <row r="178">
          <cell r="D178" t="str">
            <v>31122120 Продажа сельскохозяйственных механизмов и обрудования</v>
          </cell>
        </row>
        <row r="179">
          <cell r="D179" t="str">
            <v>31122190 Продажа прочих механизмов и обрудования</v>
          </cell>
        </row>
        <row r="180">
          <cell r="D180" t="str">
            <v>31122210 Приобретение производственных механизмов и оборудования</v>
          </cell>
        </row>
        <row r="181">
          <cell r="D181" t="str">
            <v>31122220 Приобретение сельскохозяйственных механизмов и обрудования</v>
          </cell>
        </row>
        <row r="182">
          <cell r="D182" t="str">
            <v>31122290 Приобретение прочих механизмов и обрудования</v>
          </cell>
        </row>
        <row r="183">
          <cell r="D183" t="str">
            <v>31122310 Капитальный ремонт производственных механизмов и оборудования</v>
          </cell>
        </row>
        <row r="184">
          <cell r="D184" t="str">
            <v>31122320 Капитальный ремонт сельскохозяйственных механизмов и обрудования</v>
          </cell>
        </row>
        <row r="185">
          <cell r="D185" t="str">
            <v>31122390 Капитальный ремонт прочих механизмов и обрудования</v>
          </cell>
        </row>
        <row r="186">
          <cell r="D186" t="str">
            <v>31123110 Продажа мебели</v>
          </cell>
        </row>
        <row r="187">
          <cell r="D187" t="str">
            <v>31123120 Продажа офисного обрудования</v>
          </cell>
        </row>
        <row r="188">
          <cell r="D188" t="str">
            <v>31123130 Продажа компьютерного оборудования</v>
          </cell>
        </row>
        <row r="189">
          <cell r="D189" t="str">
            <v>31123140 Продажа инструментов</v>
          </cell>
        </row>
        <row r="190">
          <cell r="D190" t="str">
            <v>31123150 Продажа учебников, учебных пособий и книг</v>
          </cell>
        </row>
        <row r="191">
          <cell r="D191" t="str">
            <v>31123190 Продажа прочей мебели и оборудования</v>
          </cell>
        </row>
        <row r="192">
          <cell r="D192" t="str">
            <v>31123210 Приобретение мебели</v>
          </cell>
        </row>
        <row r="193">
          <cell r="D193" t="str">
            <v>31123220 Приобретение офисного обрудования</v>
          </cell>
        </row>
        <row r="194">
          <cell r="D194" t="str">
            <v>31123230 Приобретение компьютерного оборудования</v>
          </cell>
        </row>
        <row r="195">
          <cell r="D195" t="str">
            <v>31123240 Приобретение инструментов</v>
          </cell>
        </row>
        <row r="196">
          <cell r="D196" t="str">
            <v>31123250 Приобретение учебников, учебных пособий и книг</v>
          </cell>
        </row>
        <row r="197">
          <cell r="D197" t="str">
            <v>31123290 Приобретение прочей мебели и оборудования</v>
          </cell>
        </row>
        <row r="198">
          <cell r="D198" t="str">
            <v>31131110 Продажа сертифицированных семян</v>
          </cell>
        </row>
        <row r="199">
          <cell r="D199" t="str">
            <v>31131120 Продажа растений</v>
          </cell>
        </row>
        <row r="200">
          <cell r="D200" t="str">
            <v>31131130 Продажа животных</v>
          </cell>
        </row>
        <row r="201">
          <cell r="D201" t="str">
            <v>31131140 Продажа продуктивного скота</v>
          </cell>
        </row>
        <row r="202">
          <cell r="D202" t="str">
            <v>31131150 Продажа рабочего скота</v>
          </cell>
        </row>
        <row r="203">
          <cell r="D203" t="str">
            <v>31131190 Продажа прочих культивируемых активов</v>
          </cell>
        </row>
        <row r="204">
          <cell r="D204" t="str">
            <v>31131210 Приобретение сертифицированных семян</v>
          </cell>
        </row>
        <row r="205">
          <cell r="D205" t="str">
            <v>31131220 Приобретение растений</v>
          </cell>
        </row>
        <row r="206">
          <cell r="D206" t="str">
            <v>31131230 Приобретение животных</v>
          </cell>
        </row>
        <row r="207">
          <cell r="D207" t="str">
            <v>31131240 Приобретение продуктивного скота</v>
          </cell>
        </row>
        <row r="208">
          <cell r="D208" t="str">
            <v>31131250 Приобретение рабочего скота</v>
          </cell>
        </row>
        <row r="209">
          <cell r="D209" t="str">
            <v>31131290 Приобретение прочих культивируемых активов</v>
          </cell>
        </row>
        <row r="210">
          <cell r="D210" t="str">
            <v>31132110 Продажа авторских прав и патентов</v>
          </cell>
        </row>
        <row r="211">
          <cell r="D211" t="str">
            <v xml:space="preserve">31132120 Продажа прав на недра </v>
          </cell>
        </row>
        <row r="212">
          <cell r="D212" t="str">
            <v>31132130 Продажа прав на использование частот</v>
          </cell>
        </row>
        <row r="213">
          <cell r="D213" t="str">
            <v>31132190 Продажа прочих прав и нематериальных активов</v>
          </cell>
        </row>
        <row r="214">
          <cell r="D214" t="str">
            <v>31132210 Приобретение авторских прав и патентов</v>
          </cell>
        </row>
        <row r="215">
          <cell r="D215" t="str">
            <v xml:space="preserve">31132220 Приобретение прав на недра </v>
          </cell>
        </row>
        <row r="216">
          <cell r="D216" t="str">
            <v>31132230 Приобретение прав на использование частот</v>
          </cell>
        </row>
        <row r="217">
          <cell r="D217" t="str">
            <v>31132290 Приобретение прочих прав и нематериальных активов</v>
          </cell>
        </row>
        <row r="218">
          <cell r="D218" t="str">
            <v>31211110 Продажа горюче-смазочных материалов</v>
          </cell>
        </row>
        <row r="219">
          <cell r="D219" t="str">
            <v>31211120 Продажа зерновых культур</v>
          </cell>
        </row>
        <row r="220">
          <cell r="D220" t="str">
            <v>31211190 Продажа прочих запасов фонда государственного материального резерва</v>
          </cell>
        </row>
        <row r="221">
          <cell r="D221" t="str">
            <v>31211210 Приобретение запасов горюче-смазочных материалов</v>
          </cell>
        </row>
        <row r="222">
          <cell r="D222" t="str">
            <v>31211220 Приобретение запасов зерновых культур</v>
          </cell>
        </row>
        <row r="223">
          <cell r="D223" t="str">
            <v>31211290 Приобретение прочих запасов фонда государственного материального резерва</v>
          </cell>
        </row>
        <row r="224">
          <cell r="D224" t="str">
            <v>31221110 Продажа сырья и материалов</v>
          </cell>
        </row>
        <row r="225">
          <cell r="D225" t="str">
            <v>31221210 Приобретение запасов сырья и материалов</v>
          </cell>
        </row>
        <row r="226">
          <cell r="D226" t="str">
            <v>31222110 Продажа запасов незавершенного производства</v>
          </cell>
        </row>
        <row r="227">
          <cell r="D227" t="str">
            <v>31222210 Приобретение запасов незавершенного производства</v>
          </cell>
        </row>
        <row r="228">
          <cell r="D228" t="str">
            <v>31223110 Продажа готовой продукции</v>
          </cell>
        </row>
        <row r="229">
          <cell r="D229" t="str">
            <v>31223210 Приобретение готовой продукции</v>
          </cell>
        </row>
        <row r="230">
          <cell r="D230" t="str">
            <v>31224110 Продажа товаров для перепродажи</v>
          </cell>
        </row>
        <row r="231">
          <cell r="D231" t="str">
            <v>31224210 Приобретение товаров для перепродажи</v>
          </cell>
        </row>
        <row r="232">
          <cell r="D232" t="str">
            <v>31311110 Продажа  драгоценных металлов и камней</v>
          </cell>
        </row>
        <row r="233">
          <cell r="D233" t="str">
            <v>31311210 Приобретение драгоценных металлов и камней</v>
          </cell>
        </row>
        <row r="234">
          <cell r="D234" t="str">
            <v>31321110 Продажа активов культурного наследия</v>
          </cell>
        </row>
        <row r="235">
          <cell r="D235" t="str">
            <v>31321210 Приобретение активов культурного наследия</v>
          </cell>
        </row>
        <row r="236">
          <cell r="D236" t="str">
            <v>31331110 Продажа  ювелирных изделий</v>
          </cell>
        </row>
        <row r="237">
          <cell r="D237" t="str">
            <v>31331210 Приобретение ювелирных изделий</v>
          </cell>
        </row>
        <row r="238">
          <cell r="D238" t="str">
            <v>31411110 Продажа сельскохозяйственных земель</v>
          </cell>
        </row>
        <row r="239">
          <cell r="D239" t="str">
            <v>31411210 Приобретение сельскохозяйственных земель</v>
          </cell>
        </row>
        <row r="240">
          <cell r="D240" t="str">
            <v>31412110 Продажа несельскохозяйственных земель</v>
          </cell>
        </row>
        <row r="241">
          <cell r="D241" t="str">
            <v>31412210 Приобретение земли под жилые здания и сооружения</v>
          </cell>
        </row>
        <row r="242">
          <cell r="D242" t="str">
            <v>31412220 Приобретение земли для производственных целей</v>
          </cell>
        </row>
        <row r="243">
          <cell r="D243" t="str">
            <v>31412290 Приобретение земли для прочих целей</v>
          </cell>
        </row>
        <row r="244">
          <cell r="D244" t="str">
            <v>32131110 Продажа краткосрочных ценных бумаг, кроме акций</v>
          </cell>
        </row>
        <row r="245">
          <cell r="D245" t="str">
            <v>32131210 Приобретение краткосрочных ценных бумаг, кроме акций</v>
          </cell>
        </row>
        <row r="246">
          <cell r="D246" t="str">
            <v>32132110 Продажа долгосрочных ценных бумаг, кроме акций</v>
          </cell>
        </row>
        <row r="247">
          <cell r="D247" t="str">
            <v>32132210 Приобретение долгосрочных ценных бумаг, кроме акций</v>
          </cell>
        </row>
        <row r="248">
          <cell r="D248" t="str">
            <v>32141110 Погашение бюджетных ссуд местными органами управления</v>
          </cell>
        </row>
        <row r="249">
          <cell r="D249" t="str">
            <v>32141190 Погашение бюджетных ссуд прочими уровнями госуправления</v>
          </cell>
        </row>
        <row r="250">
          <cell r="D250" t="str">
            <v>32141210 Выпуск бюджетной ссуды местным органам управления</v>
          </cell>
        </row>
        <row r="251">
          <cell r="D251" t="str">
            <v>32141290 Выпуск бюджетной ссуды прочим уровням госуправления</v>
          </cell>
        </row>
        <row r="252">
          <cell r="D252" t="str">
            <v xml:space="preserve">32142110 Погашение ссуды предприятиями и организациями </v>
          </cell>
        </row>
        <row r="253">
          <cell r="D253" t="str">
            <v>32142120 Погашение ссуды финансовыми учреждениями</v>
          </cell>
        </row>
        <row r="254">
          <cell r="D254" t="str">
            <v>32142130 Погашение ссуды населению</v>
          </cell>
        </row>
        <row r="255">
          <cell r="D255" t="str">
            <v>32142210 Выпуск ссуды предприятиям и организациям</v>
          </cell>
        </row>
        <row r="256">
          <cell r="D256" t="str">
            <v>32142220 Выпуск ссуды финансовым учреждениям</v>
          </cell>
        </row>
        <row r="257">
          <cell r="D257" t="str">
            <v>32142230 Выпуск ссуды населению</v>
          </cell>
        </row>
        <row r="258">
          <cell r="D258" t="str">
            <v xml:space="preserve">32151110 Продажа акций </v>
          </cell>
        </row>
        <row r="259">
          <cell r="D259" t="str">
            <v>32151190 Продажа других форм участия в капитале</v>
          </cell>
        </row>
        <row r="260">
          <cell r="D260" t="str">
            <v xml:space="preserve">32151210 Приобретение акций </v>
          </cell>
        </row>
        <row r="261">
          <cell r="D261" t="str">
            <v>32151290 Приобретение других форм участия в капитале</v>
          </cell>
        </row>
        <row r="262">
          <cell r="D262" t="str">
            <v xml:space="preserve">32171110 Погашение прочей внутренней дебиторской задолженности </v>
          </cell>
        </row>
        <row r="263">
          <cell r="D263" t="str">
            <v>32171210 Признание прочей внутренней дебиторской задолженности</v>
          </cell>
        </row>
        <row r="264">
          <cell r="D264" t="str">
            <v>32231110 Продажа краткосрочных ценных бумаг, кроме акций</v>
          </cell>
        </row>
        <row r="265">
          <cell r="D265" t="str">
            <v>32231210 Приобретение краткосрочных ценных бумаг, кроме акций</v>
          </cell>
        </row>
        <row r="266">
          <cell r="D266" t="str">
            <v>32232110 Продажа долгосрочных ценных бумаг, кроме акций</v>
          </cell>
        </row>
        <row r="267">
          <cell r="D267" t="str">
            <v>32232210 Приобретение долгосрочных ценных бумаг, кроме акций</v>
          </cell>
        </row>
        <row r="268">
          <cell r="D268" t="str">
            <v>32241110 Погашение кредита правительствами других государств</v>
          </cell>
        </row>
        <row r="269">
          <cell r="D269" t="str">
            <v>32241210 Выпуск кредита правительствам других государств</v>
          </cell>
        </row>
        <row r="270">
          <cell r="D270" t="str">
            <v>32251110 Продажа акций</v>
          </cell>
        </row>
        <row r="271">
          <cell r="D271" t="str">
            <v>32251190 Продажа других форм участия в капитале</v>
          </cell>
        </row>
        <row r="272">
          <cell r="D272" t="str">
            <v>32251210 Приобретение акций</v>
          </cell>
        </row>
        <row r="273">
          <cell r="D273" t="str">
            <v>32251290 Приобретение других форм участия в капитале</v>
          </cell>
        </row>
        <row r="274">
          <cell r="D274" t="str">
            <v xml:space="preserve">32271110 Погашение прочей внешней дебиторской задолженности </v>
          </cell>
        </row>
        <row r="275">
          <cell r="D275" t="str">
            <v xml:space="preserve">32271210 Признание прочей внешней дебиторской задолженности </v>
          </cell>
        </row>
        <row r="276">
          <cell r="D276" t="str">
            <v>33131110 Выпуск государственных краткосрочных ценных бумаг, кроме акций</v>
          </cell>
        </row>
        <row r="277">
          <cell r="D277" t="str">
            <v>33131190 Выпуск прочих государственных краткосрочных ценных бумаг, кроме акций</v>
          </cell>
        </row>
        <row r="278">
          <cell r="D278" t="str">
            <v>33131210 Погашение государственных краткосрочных ценных бумаг, кроме акций</v>
          </cell>
        </row>
        <row r="279">
          <cell r="D279" t="str">
            <v>33131290 Погашение прочих государственных краткосрочных ценных бумаг, кроме акций</v>
          </cell>
        </row>
        <row r="280">
          <cell r="D280" t="str">
            <v>33132110 Выпуск государственных долгосрочных ценных бумаг, кроме акций</v>
          </cell>
        </row>
        <row r="281">
          <cell r="D281" t="str">
            <v>33132190 Выпуск прочих государственных долгосрочных ценных бумаг, кроме акций</v>
          </cell>
        </row>
        <row r="282">
          <cell r="D282" t="str">
            <v>33132210 Погашение  государственных долгосрочных ценных бумаг, кроме акций</v>
          </cell>
        </row>
        <row r="283">
          <cell r="D283" t="str">
            <v>33132290 Погашение прочих  государственных долгосрочных ценных бумаг, кроме акций</v>
          </cell>
        </row>
        <row r="284">
          <cell r="D284" t="str">
            <v>33141110 Получение заимствований от других единиц государственного управления</v>
          </cell>
        </row>
        <row r="285">
          <cell r="D285" t="str">
            <v>33141210 Погашение заимствований другим единицам государственного управления</v>
          </cell>
        </row>
        <row r="286">
          <cell r="D286" t="str">
            <v>33142110 Получение заимствований от предприятий, организаций, финансовых учреждений</v>
          </cell>
        </row>
        <row r="287">
          <cell r="D287" t="str">
            <v>33142210 Погашение заимствований предприятиям, организациям, финансовым учреждениям</v>
          </cell>
        </row>
        <row r="288">
          <cell r="D288" t="str">
            <v>33171110 Прочая внутренняя кредиторская задолженность</v>
          </cell>
        </row>
        <row r="289">
          <cell r="D289" t="str">
            <v>33171210 Погашение прочей внутренней кредиторской задолженности</v>
          </cell>
        </row>
        <row r="290">
          <cell r="D290" t="str">
            <v>33241110 Получение заимствований по двусторонним долговым соглашениям</v>
          </cell>
        </row>
        <row r="291">
          <cell r="D291" t="str">
            <v>33241210 Погашение обязательств по двусторонним долговым соглашениям</v>
          </cell>
        </row>
        <row r="292">
          <cell r="D292" t="str">
            <v>33242110 Получение заимствований по многосторонним долговым соглашениям</v>
          </cell>
        </row>
        <row r="293">
          <cell r="D293" t="str">
            <v>33242210 Погашение обязательств по мносторонним долговым соглашениям</v>
          </cell>
        </row>
        <row r="294">
          <cell r="D294" t="str">
            <v>33243110 Получение заимствований от иностранных финансовых институтов</v>
          </cell>
        </row>
        <row r="295">
          <cell r="D295" t="str">
            <v>33243210 Погашение обязательств перед иностранными финансовыми институтами</v>
          </cell>
        </row>
        <row r="296">
          <cell r="D296" t="str">
            <v xml:space="preserve">33249110 Получение прочих внешних заимствований </v>
          </cell>
        </row>
        <row r="297">
          <cell r="D297" t="str">
            <v>33249210 Погашение прочих внешних заимстовований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-проект"/>
      <sheetName val="3-х знач."/>
      <sheetName val="211-212 "/>
      <sheetName val="221"/>
      <sheetName val="222"/>
    </sheetNames>
    <sheetDataSet>
      <sheetData sheetId="0" refreshError="1"/>
      <sheetData sheetId="1" refreshError="1">
        <row r="17">
          <cell r="D17">
            <v>2012.8</v>
          </cell>
          <cell r="E17">
            <v>2026.1</v>
          </cell>
          <cell r="F17">
            <v>2026.1</v>
          </cell>
          <cell r="I17">
            <v>2026.1</v>
          </cell>
          <cell r="L17">
            <v>2026.1</v>
          </cell>
        </row>
        <row r="18">
          <cell r="D18">
            <v>298.3</v>
          </cell>
          <cell r="E18">
            <v>303.5</v>
          </cell>
          <cell r="F18">
            <v>303.5</v>
          </cell>
          <cell r="I18">
            <v>303.5</v>
          </cell>
          <cell r="L18">
            <v>303.5</v>
          </cell>
        </row>
        <row r="19">
          <cell r="D19">
            <v>1045.3</v>
          </cell>
          <cell r="E19">
            <v>601</v>
          </cell>
          <cell r="F19">
            <v>601</v>
          </cell>
          <cell r="I19">
            <v>618.29999999999995</v>
          </cell>
          <cell r="L19">
            <v>640</v>
          </cell>
        </row>
        <row r="20">
          <cell r="D20">
            <v>3.6</v>
          </cell>
          <cell r="E20">
            <v>6.4</v>
          </cell>
          <cell r="F20">
            <v>6.4</v>
          </cell>
          <cell r="I20">
            <v>6.4</v>
          </cell>
          <cell r="L20">
            <v>6.4</v>
          </cell>
        </row>
        <row r="21">
          <cell r="D21">
            <v>3.6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2019"/>
      <sheetName val="приложение  4"/>
      <sheetName val="приложение 5"/>
      <sheetName val="приложение 8-1"/>
    </sheetNames>
    <sheetDataSet>
      <sheetData sheetId="0" refreshError="1">
        <row r="10">
          <cell r="M10" t="str">
            <v>количество сотрудников, прошедших курсы повышения квалификации от общего количества сотрудников</v>
          </cell>
        </row>
        <row r="18">
          <cell r="M18" t="str">
            <v>Увеличение удельного веса проверенных субъектов от запланированного</v>
          </cell>
        </row>
        <row r="19">
          <cell r="M19" t="str">
            <v>увеличение количества исполненных решений по результатом  итоги работы.</v>
          </cell>
        </row>
        <row r="20">
          <cell r="M20" t="str">
            <v xml:space="preserve">Количество проведенных анализов состояния конкуренции </v>
          </cell>
        </row>
        <row r="30">
          <cell r="M30" t="str">
            <v>Доля положительно рассмотренных заявлений по недобросовестной конкуренции от общего количества поступивших заявлений</v>
          </cell>
        </row>
        <row r="31">
          <cell r="M31" t="str">
            <v>Доля устраненых нарушений законодательства КР "О рекламе" от общего количества выявленных нарушений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788"/>
  <sheetViews>
    <sheetView view="pageBreakPreview" topLeftCell="B1" zoomScale="70" zoomScaleNormal="80" zoomScaleSheetLayoutView="70" workbookViewId="0">
      <pane ySplit="10" topLeftCell="A1766" activePane="bottomLeft" state="frozen"/>
      <selection activeCell="G1" sqref="G1:I1"/>
      <selection pane="bottomLeft" activeCell="E1771" sqref="E1771"/>
    </sheetView>
  </sheetViews>
  <sheetFormatPr defaultColWidth="9.140625" defaultRowHeight="12.75" x14ac:dyDescent="0.2"/>
  <cols>
    <col min="1" max="1" width="15.28515625" style="15" hidden="1" customWidth="1"/>
    <col min="2" max="2" width="7" style="126" customWidth="1"/>
    <col min="3" max="3" width="7" style="127" customWidth="1"/>
    <col min="4" max="4" width="7" style="126" customWidth="1"/>
    <col min="5" max="5" width="51.42578125" style="128" customWidth="1"/>
    <col min="6" max="6" width="17" style="966" customWidth="1"/>
    <col min="7" max="7" width="17.140625" style="966" bestFit="1" customWidth="1"/>
    <col min="8" max="8" width="17.5703125" style="966" bestFit="1" customWidth="1"/>
    <col min="9" max="10" width="15.5703125" style="966" customWidth="1"/>
    <col min="11" max="11" width="52.140625" style="130" customWidth="1"/>
    <col min="12" max="12" width="14.7109375" style="130" hidden="1" customWidth="1"/>
    <col min="13" max="13" width="11.42578125" style="129" customWidth="1"/>
    <col min="14" max="18" width="14.140625" style="15" customWidth="1"/>
    <col min="19" max="16384" width="9.140625" style="9"/>
  </cols>
  <sheetData>
    <row r="1" spans="1:18" x14ac:dyDescent="0.2">
      <c r="A1" s="1"/>
      <c r="B1" s="2"/>
      <c r="C1" s="3"/>
      <c r="D1" s="2"/>
      <c r="E1" s="4"/>
      <c r="F1" s="898"/>
      <c r="G1" s="898"/>
      <c r="H1" s="898"/>
      <c r="I1" s="898"/>
      <c r="J1" s="898"/>
      <c r="K1" s="6"/>
      <c r="L1" s="6"/>
      <c r="M1" s="5"/>
      <c r="N1" s="1"/>
      <c r="O1" s="1"/>
      <c r="P1" s="7"/>
      <c r="Q1" s="7"/>
      <c r="R1" s="8" t="s">
        <v>0</v>
      </c>
    </row>
    <row r="2" spans="1:18" x14ac:dyDescent="0.2">
      <c r="A2" s="1"/>
      <c r="B2" s="2"/>
      <c r="C2" s="3"/>
      <c r="D2" s="2"/>
      <c r="E2" s="4"/>
      <c r="F2" s="898"/>
      <c r="G2" s="898"/>
      <c r="H2" s="898"/>
      <c r="I2" s="898"/>
      <c r="J2" s="898"/>
      <c r="K2" s="6"/>
      <c r="L2" s="6"/>
      <c r="M2" s="5"/>
      <c r="N2" s="1"/>
      <c r="O2" s="1"/>
      <c r="P2" s="7"/>
      <c r="Q2" s="1"/>
      <c r="R2" s="8" t="s">
        <v>2379</v>
      </c>
    </row>
    <row r="3" spans="1:18" x14ac:dyDescent="0.2">
      <c r="A3" s="1"/>
      <c r="B3" s="2"/>
      <c r="C3" s="3"/>
      <c r="D3" s="2"/>
      <c r="E3" s="4"/>
      <c r="F3" s="898"/>
      <c r="G3" s="898"/>
      <c r="H3" s="898"/>
      <c r="I3" s="898"/>
      <c r="J3" s="898"/>
      <c r="K3" s="6"/>
      <c r="L3" s="6"/>
      <c r="M3" s="5"/>
      <c r="N3" s="1"/>
      <c r="O3" s="1"/>
      <c r="P3" s="7"/>
      <c r="Q3" s="7"/>
      <c r="R3" s="8" t="s">
        <v>2</v>
      </c>
    </row>
    <row r="4" spans="1:18" x14ac:dyDescent="0.2">
      <c r="A4" s="1"/>
      <c r="B4" s="2"/>
      <c r="C4" s="3"/>
      <c r="D4" s="2"/>
      <c r="E4" s="4"/>
      <c r="F4" s="898"/>
      <c r="G4" s="898"/>
      <c r="H4" s="898"/>
      <c r="I4" s="898"/>
      <c r="J4" s="898"/>
      <c r="K4" s="6"/>
      <c r="L4" s="6"/>
      <c r="M4" s="5"/>
      <c r="N4" s="1"/>
      <c r="O4" s="1"/>
      <c r="P4" s="1"/>
      <c r="Q4" s="7"/>
      <c r="R4" s="8" t="s">
        <v>3</v>
      </c>
    </row>
    <row r="5" spans="1:18" x14ac:dyDescent="0.2">
      <c r="A5" s="11"/>
      <c r="B5" s="12"/>
      <c r="C5" s="12"/>
      <c r="D5" s="13"/>
      <c r="E5" s="14"/>
      <c r="F5" s="898"/>
      <c r="G5" s="898"/>
      <c r="H5" s="898"/>
      <c r="I5" s="898"/>
      <c r="J5" s="898"/>
      <c r="K5" s="6"/>
      <c r="L5" s="6"/>
      <c r="M5" s="5"/>
      <c r="N5" s="1"/>
      <c r="O5" s="1"/>
      <c r="P5" s="1"/>
      <c r="Q5" s="7"/>
      <c r="R5" s="8"/>
    </row>
    <row r="6" spans="1:18" ht="20.25" customHeight="1" x14ac:dyDescent="0.2">
      <c r="A6" s="2306" t="s">
        <v>4</v>
      </c>
      <c r="B6" s="2306"/>
      <c r="C6" s="2306"/>
      <c r="D6" s="2306"/>
      <c r="E6" s="2306"/>
      <c r="F6" s="2306"/>
      <c r="G6" s="2306"/>
      <c r="H6" s="2306"/>
      <c r="I6" s="2306"/>
      <c r="J6" s="2306"/>
      <c r="K6" s="6"/>
      <c r="L6" s="6"/>
      <c r="M6" s="5"/>
      <c r="N6" s="1"/>
      <c r="O6" s="1"/>
      <c r="P6" s="1"/>
      <c r="Q6" s="7"/>
      <c r="R6" s="7"/>
    </row>
    <row r="7" spans="1:18" x14ac:dyDescent="0.2">
      <c r="A7" s="1"/>
      <c r="B7" s="2"/>
      <c r="C7" s="3"/>
      <c r="D7" s="2"/>
      <c r="E7" s="4"/>
      <c r="F7" s="898"/>
      <c r="G7" s="898"/>
      <c r="H7" s="898"/>
      <c r="I7" s="898"/>
      <c r="J7" s="898"/>
      <c r="K7" s="6"/>
      <c r="L7" s="6"/>
      <c r="M7" s="5"/>
      <c r="N7" s="1"/>
      <c r="O7" s="1"/>
      <c r="P7" s="1"/>
      <c r="Q7" s="1"/>
      <c r="R7" s="1"/>
    </row>
    <row r="8" spans="1:18" s="15" customFormat="1" ht="18.75" customHeight="1" x14ac:dyDescent="0.2">
      <c r="A8" s="2149"/>
      <c r="B8" s="2152" t="s">
        <v>5</v>
      </c>
      <c r="C8" s="2152" t="s">
        <v>6</v>
      </c>
      <c r="D8" s="2152" t="s">
        <v>7</v>
      </c>
      <c r="E8" s="2153" t="s">
        <v>8</v>
      </c>
      <c r="F8" s="2154" t="s">
        <v>9</v>
      </c>
      <c r="G8" s="2155"/>
      <c r="H8" s="2155"/>
      <c r="I8" s="2155"/>
      <c r="J8" s="2156"/>
      <c r="K8" s="2161" t="s">
        <v>10</v>
      </c>
      <c r="L8" s="799"/>
      <c r="M8" s="2161" t="s">
        <v>11</v>
      </c>
      <c r="N8" s="2161"/>
      <c r="O8" s="2164" t="s">
        <v>12</v>
      </c>
      <c r="P8" s="2165"/>
      <c r="Q8" s="2165"/>
      <c r="R8" s="2166"/>
    </row>
    <row r="9" spans="1:18" s="15" customFormat="1" ht="18.75" customHeight="1" x14ac:dyDescent="0.2">
      <c r="A9" s="2150"/>
      <c r="B9" s="2152"/>
      <c r="C9" s="2152"/>
      <c r="D9" s="2152"/>
      <c r="E9" s="2153"/>
      <c r="F9" s="2154" t="s">
        <v>13</v>
      </c>
      <c r="G9" s="2155"/>
      <c r="H9" s="2155"/>
      <c r="I9" s="2155"/>
      <c r="J9" s="2156"/>
      <c r="K9" s="2162"/>
      <c r="L9" s="800"/>
      <c r="M9" s="2162"/>
      <c r="N9" s="2163"/>
      <c r="O9" s="2167"/>
      <c r="P9" s="2168"/>
      <c r="Q9" s="2168"/>
      <c r="R9" s="2169"/>
    </row>
    <row r="10" spans="1:18" s="15" customFormat="1" ht="30.75" customHeight="1" x14ac:dyDescent="0.2">
      <c r="A10" s="2151"/>
      <c r="B10" s="2152"/>
      <c r="C10" s="2152"/>
      <c r="D10" s="2152"/>
      <c r="E10" s="2153"/>
      <c r="F10" s="993">
        <v>2019</v>
      </c>
      <c r="G10" s="993">
        <v>2020</v>
      </c>
      <c r="H10" s="993">
        <v>2021</v>
      </c>
      <c r="I10" s="993">
        <v>2022</v>
      </c>
      <c r="J10" s="993">
        <v>2023</v>
      </c>
      <c r="K10" s="2163"/>
      <c r="L10" s="801"/>
      <c r="M10" s="2163"/>
      <c r="N10" s="16">
        <v>2019</v>
      </c>
      <c r="O10" s="16">
        <v>2020</v>
      </c>
      <c r="P10" s="16">
        <v>2021</v>
      </c>
      <c r="Q10" s="16">
        <v>2022</v>
      </c>
      <c r="R10" s="16">
        <v>2023</v>
      </c>
    </row>
    <row r="11" spans="1:18" s="17" customFormat="1" ht="25.5" customHeight="1" x14ac:dyDescent="0.2">
      <c r="A11" s="1741" t="s">
        <v>14</v>
      </c>
      <c r="B11" s="1741"/>
      <c r="C11" s="1741"/>
      <c r="D11" s="1741"/>
      <c r="E11" s="1741"/>
      <c r="F11" s="1741"/>
      <c r="G11" s="1741"/>
      <c r="H11" s="1741"/>
      <c r="I11" s="1741"/>
      <c r="J11" s="1741"/>
      <c r="K11" s="1741"/>
      <c r="L11" s="1741"/>
      <c r="M11" s="1741"/>
      <c r="N11" s="1741"/>
      <c r="O11" s="1741"/>
      <c r="P11" s="1741"/>
      <c r="Q11" s="1741"/>
      <c r="R11" s="1741"/>
    </row>
    <row r="12" spans="1:18" s="20" customFormat="1" ht="38.25" x14ac:dyDescent="0.2">
      <c r="A12" s="18"/>
      <c r="B12" s="19">
        <v>1</v>
      </c>
      <c r="C12" s="798"/>
      <c r="D12" s="798"/>
      <c r="E12" s="634" t="s">
        <v>15</v>
      </c>
      <c r="F12" s="900">
        <v>246929.49999999997</v>
      </c>
      <c r="G12" s="900">
        <v>163632.5</v>
      </c>
      <c r="H12" s="900">
        <v>165175.79999999999</v>
      </c>
      <c r="I12" s="900">
        <v>165175.79999999999</v>
      </c>
      <c r="J12" s="900">
        <v>169875.8</v>
      </c>
      <c r="K12" s="636" t="s">
        <v>16</v>
      </c>
      <c r="L12" s="636"/>
      <c r="M12" s="637" t="s">
        <v>17</v>
      </c>
      <c r="N12" s="678"/>
      <c r="O12" s="678"/>
      <c r="P12" s="678"/>
      <c r="Q12" s="678"/>
      <c r="R12" s="678"/>
    </row>
    <row r="13" spans="1:18" s="20" customFormat="1" x14ac:dyDescent="0.2">
      <c r="A13" s="18"/>
      <c r="B13" s="796"/>
      <c r="C13" s="792">
        <v>1</v>
      </c>
      <c r="D13" s="798"/>
      <c r="E13" s="705" t="s">
        <v>18</v>
      </c>
      <c r="F13" s="901">
        <v>29380.2</v>
      </c>
      <c r="G13" s="901"/>
      <c r="H13" s="901"/>
      <c r="I13" s="901"/>
      <c r="J13" s="901"/>
      <c r="K13" s="21" t="s">
        <v>19</v>
      </c>
      <c r="L13" s="21"/>
      <c r="M13" s="22" t="s">
        <v>20</v>
      </c>
      <c r="N13" s="22" t="s">
        <v>21</v>
      </c>
      <c r="O13" s="22"/>
      <c r="P13" s="22"/>
      <c r="Q13" s="22"/>
      <c r="R13" s="22"/>
    </row>
    <row r="14" spans="1:18" s="20" customFormat="1" x14ac:dyDescent="0.2">
      <c r="A14" s="18"/>
      <c r="B14" s="23"/>
      <c r="C14" s="24">
        <v>2</v>
      </c>
      <c r="D14" s="798"/>
      <c r="E14" s="25" t="s">
        <v>22</v>
      </c>
      <c r="F14" s="901">
        <v>13720.599999999999</v>
      </c>
      <c r="G14" s="901">
        <v>53135.700000000004</v>
      </c>
      <c r="H14" s="901">
        <v>53841.4</v>
      </c>
      <c r="I14" s="901">
        <v>53841.4</v>
      </c>
      <c r="J14" s="901">
        <v>53841.4</v>
      </c>
      <c r="K14" s="21" t="s">
        <v>23</v>
      </c>
      <c r="L14" s="21"/>
      <c r="M14" s="22" t="s">
        <v>17</v>
      </c>
      <c r="N14" s="22">
        <v>100</v>
      </c>
      <c r="O14" s="22">
        <v>100</v>
      </c>
      <c r="P14" s="22">
        <v>100</v>
      </c>
      <c r="Q14" s="22">
        <v>100</v>
      </c>
      <c r="R14" s="22">
        <v>100</v>
      </c>
    </row>
    <row r="15" spans="1:18" s="20" customFormat="1" x14ac:dyDescent="0.2">
      <c r="A15" s="18"/>
      <c r="B15" s="23"/>
      <c r="C15" s="24">
        <v>3</v>
      </c>
      <c r="D15" s="798"/>
      <c r="E15" s="25" t="s">
        <v>24</v>
      </c>
      <c r="F15" s="901">
        <v>8133.4</v>
      </c>
      <c r="G15" s="901"/>
      <c r="H15" s="901"/>
      <c r="I15" s="901"/>
      <c r="J15" s="901"/>
      <c r="K15" s="26" t="s">
        <v>25</v>
      </c>
      <c r="L15" s="26"/>
      <c r="M15" s="22" t="s">
        <v>17</v>
      </c>
      <c r="N15" s="22">
        <v>80</v>
      </c>
      <c r="O15" s="22"/>
      <c r="P15" s="22"/>
      <c r="Q15" s="22"/>
      <c r="R15" s="22"/>
    </row>
    <row r="16" spans="1:18" s="20" customFormat="1" ht="25.5" x14ac:dyDescent="0.2">
      <c r="A16" s="18"/>
      <c r="B16" s="23"/>
      <c r="C16" s="24">
        <v>4</v>
      </c>
      <c r="D16" s="798"/>
      <c r="E16" s="25" t="s">
        <v>26</v>
      </c>
      <c r="F16" s="901">
        <v>19228.800000000003</v>
      </c>
      <c r="G16" s="901"/>
      <c r="H16" s="901"/>
      <c r="I16" s="901"/>
      <c r="J16" s="901"/>
      <c r="K16" s="21" t="s">
        <v>27</v>
      </c>
      <c r="L16" s="21"/>
      <c r="M16" s="22" t="s">
        <v>28</v>
      </c>
      <c r="N16" s="22">
        <v>0.2</v>
      </c>
      <c r="O16" s="22"/>
      <c r="P16" s="22"/>
      <c r="Q16" s="22"/>
      <c r="R16" s="22"/>
    </row>
    <row r="17" spans="1:18" s="20" customFormat="1" ht="12.75" customHeight="1" x14ac:dyDescent="0.2">
      <c r="A17" s="18"/>
      <c r="B17" s="23"/>
      <c r="C17" s="24">
        <v>5</v>
      </c>
      <c r="D17" s="798"/>
      <c r="E17" s="27" t="s">
        <v>29</v>
      </c>
      <c r="F17" s="901">
        <v>34065.5</v>
      </c>
      <c r="G17" s="901"/>
      <c r="H17" s="901"/>
      <c r="I17" s="901"/>
      <c r="J17" s="901"/>
      <c r="K17" s="21" t="s">
        <v>30</v>
      </c>
      <c r="L17" s="21"/>
      <c r="M17" s="22" t="s">
        <v>31</v>
      </c>
      <c r="N17" s="22">
        <v>4832</v>
      </c>
      <c r="O17" s="22">
        <v>4850</v>
      </c>
      <c r="P17" s="22">
        <v>4850</v>
      </c>
      <c r="Q17" s="22">
        <v>4850</v>
      </c>
      <c r="R17" s="22">
        <v>4850</v>
      </c>
    </row>
    <row r="18" spans="1:18" s="20" customFormat="1" ht="12.75" customHeight="1" x14ac:dyDescent="0.2">
      <c r="A18" s="18"/>
      <c r="B18" s="796"/>
      <c r="C18" s="28">
        <v>6</v>
      </c>
      <c r="D18" s="798"/>
      <c r="E18" s="29" t="s">
        <v>32</v>
      </c>
      <c r="F18" s="901">
        <v>66083.899999999994</v>
      </c>
      <c r="G18" s="901">
        <v>28641.600000000002</v>
      </c>
      <c r="H18" s="901">
        <v>28227.600000000002</v>
      </c>
      <c r="I18" s="901">
        <v>28227.599999999999</v>
      </c>
      <c r="J18" s="901">
        <v>28227.599999999999</v>
      </c>
      <c r="K18" s="21" t="s">
        <v>33</v>
      </c>
      <c r="L18" s="21"/>
      <c r="M18" s="22" t="s">
        <v>17</v>
      </c>
      <c r="N18" s="22">
        <v>17.600000000000001</v>
      </c>
      <c r="O18" s="22">
        <v>17.600000000000001</v>
      </c>
      <c r="P18" s="22">
        <v>17.600000000000001</v>
      </c>
      <c r="Q18" s="22">
        <v>17.600000000000001</v>
      </c>
      <c r="R18" s="22">
        <v>17.600000000000001</v>
      </c>
    </row>
    <row r="19" spans="1:18" s="20" customFormat="1" ht="25.5" x14ac:dyDescent="0.2">
      <c r="A19" s="18"/>
      <c r="B19" s="23"/>
      <c r="C19" s="24">
        <v>9</v>
      </c>
      <c r="D19" s="798"/>
      <c r="E19" s="29" t="s">
        <v>34</v>
      </c>
      <c r="F19" s="901">
        <v>12135.3</v>
      </c>
      <c r="G19" s="901">
        <v>12851.7</v>
      </c>
      <c r="H19" s="901">
        <v>12724.3</v>
      </c>
      <c r="I19" s="901">
        <v>12724.3</v>
      </c>
      <c r="J19" s="901">
        <v>12724.3</v>
      </c>
      <c r="K19" s="30" t="s">
        <v>35</v>
      </c>
      <c r="L19" s="30"/>
      <c r="M19" s="22"/>
      <c r="N19" s="22">
        <v>257</v>
      </c>
      <c r="O19" s="22">
        <v>260</v>
      </c>
      <c r="P19" s="22">
        <v>260</v>
      </c>
      <c r="Q19" s="22">
        <v>260</v>
      </c>
      <c r="R19" s="22">
        <v>260</v>
      </c>
    </row>
    <row r="20" spans="1:18" s="20" customFormat="1" x14ac:dyDescent="0.2">
      <c r="A20" s="18"/>
      <c r="B20" s="796"/>
      <c r="C20" s="28">
        <v>10</v>
      </c>
      <c r="D20" s="798"/>
      <c r="E20" s="29" t="s">
        <v>36</v>
      </c>
      <c r="F20" s="901">
        <v>29483.9</v>
      </c>
      <c r="G20" s="901">
        <v>38784.6</v>
      </c>
      <c r="H20" s="901">
        <v>40163.599999999999</v>
      </c>
      <c r="I20" s="901">
        <v>40163.599999999999</v>
      </c>
      <c r="J20" s="901">
        <v>44863.6</v>
      </c>
      <c r="K20" s="30" t="s">
        <v>37</v>
      </c>
      <c r="L20" s="30"/>
      <c r="M20" s="22"/>
      <c r="N20" s="22">
        <v>59</v>
      </c>
      <c r="O20" s="22">
        <v>59</v>
      </c>
      <c r="P20" s="22">
        <v>59</v>
      </c>
      <c r="Q20" s="22">
        <v>59</v>
      </c>
      <c r="R20" s="22">
        <v>59</v>
      </c>
    </row>
    <row r="21" spans="1:18" s="20" customFormat="1" x14ac:dyDescent="0.2">
      <c r="A21" s="18"/>
      <c r="B21" s="796"/>
      <c r="C21" s="28">
        <v>11</v>
      </c>
      <c r="D21" s="798"/>
      <c r="E21" s="29" t="s">
        <v>38</v>
      </c>
      <c r="F21" s="901">
        <v>34697.9</v>
      </c>
      <c r="G21" s="901">
        <v>30218.9</v>
      </c>
      <c r="H21" s="901">
        <v>30218.9</v>
      </c>
      <c r="I21" s="901">
        <v>30218.9</v>
      </c>
      <c r="J21" s="901">
        <v>30218.9</v>
      </c>
      <c r="K21" s="30"/>
      <c r="L21" s="30"/>
      <c r="M21" s="22"/>
      <c r="N21" s="22"/>
      <c r="O21" s="22"/>
      <c r="P21" s="22"/>
      <c r="Q21" s="22"/>
      <c r="R21" s="22"/>
    </row>
    <row r="22" spans="1:18" s="20" customFormat="1" ht="120.75" customHeight="1" x14ac:dyDescent="0.2">
      <c r="A22" s="18"/>
      <c r="B22" s="796">
        <v>2</v>
      </c>
      <c r="C22" s="31"/>
      <c r="D22" s="31"/>
      <c r="E22" s="635" t="s">
        <v>2380</v>
      </c>
      <c r="F22" s="902">
        <v>159994.69999999998</v>
      </c>
      <c r="G22" s="902">
        <v>123899.9</v>
      </c>
      <c r="H22" s="902">
        <v>124177.3</v>
      </c>
      <c r="I22" s="902">
        <v>124177.3</v>
      </c>
      <c r="J22" s="902">
        <v>124177.3</v>
      </c>
      <c r="K22" s="638" t="s">
        <v>39</v>
      </c>
      <c r="L22" s="30"/>
      <c r="M22" s="22"/>
      <c r="N22" s="22"/>
      <c r="O22" s="22"/>
      <c r="P22" s="22"/>
      <c r="Q22" s="22"/>
      <c r="R22" s="22"/>
    </row>
    <row r="23" spans="1:18" s="20" customFormat="1" ht="38.25" x14ac:dyDescent="0.2">
      <c r="A23" s="18"/>
      <c r="B23" s="796"/>
      <c r="C23" s="28">
        <v>1</v>
      </c>
      <c r="D23" s="33"/>
      <c r="E23" s="32" t="s">
        <v>40</v>
      </c>
      <c r="F23" s="901">
        <v>72869.600000000006</v>
      </c>
      <c r="G23" s="901"/>
      <c r="H23" s="901">
        <v>50934.7</v>
      </c>
      <c r="I23" s="901">
        <v>50934.7</v>
      </c>
      <c r="J23" s="901">
        <v>50934.7</v>
      </c>
      <c r="K23" s="21" t="s">
        <v>41</v>
      </c>
      <c r="L23" s="21"/>
      <c r="M23" s="22"/>
      <c r="N23" s="22">
        <v>10</v>
      </c>
      <c r="O23" s="22">
        <v>10</v>
      </c>
      <c r="P23" s="22">
        <v>10</v>
      </c>
      <c r="Q23" s="22">
        <v>10</v>
      </c>
      <c r="R23" s="22">
        <v>10</v>
      </c>
    </row>
    <row r="24" spans="1:18" s="20" customFormat="1" ht="25.5" x14ac:dyDescent="0.2">
      <c r="A24" s="18"/>
      <c r="B24" s="796"/>
      <c r="C24" s="28">
        <v>2</v>
      </c>
      <c r="D24" s="33"/>
      <c r="E24" s="32" t="s">
        <v>42</v>
      </c>
      <c r="F24" s="901">
        <v>75150.899999999994</v>
      </c>
      <c r="G24" s="901"/>
      <c r="H24" s="901"/>
      <c r="I24" s="901"/>
      <c r="J24" s="901"/>
      <c r="K24" s="21" t="s">
        <v>43</v>
      </c>
      <c r="L24" s="21"/>
      <c r="M24" s="22"/>
      <c r="N24" s="22">
        <v>14</v>
      </c>
      <c r="O24" s="22">
        <v>14</v>
      </c>
      <c r="P24" s="22">
        <v>14</v>
      </c>
      <c r="Q24" s="22">
        <v>14</v>
      </c>
      <c r="R24" s="22">
        <v>14</v>
      </c>
    </row>
    <row r="25" spans="1:18" s="20" customFormat="1" ht="25.5" x14ac:dyDescent="0.2">
      <c r="A25" s="18"/>
      <c r="B25" s="796"/>
      <c r="C25" s="2130">
        <v>3</v>
      </c>
      <c r="D25" s="2159"/>
      <c r="E25" s="2134" t="s">
        <v>44</v>
      </c>
      <c r="F25" s="1924">
        <v>4734.8999999999996</v>
      </c>
      <c r="G25" s="1924">
        <v>123899.9</v>
      </c>
      <c r="H25" s="1924">
        <v>73242.600000000006</v>
      </c>
      <c r="I25" s="1924">
        <v>73242.600000000006</v>
      </c>
      <c r="J25" s="1924">
        <v>73242.600000000006</v>
      </c>
      <c r="K25" s="21" t="s">
        <v>45</v>
      </c>
      <c r="L25" s="21"/>
      <c r="M25" s="22"/>
      <c r="N25" s="22">
        <v>0.13</v>
      </c>
      <c r="O25" s="22"/>
      <c r="P25" s="22"/>
      <c r="Q25" s="22"/>
      <c r="R25" s="22"/>
    </row>
    <row r="26" spans="1:18" s="20" customFormat="1" ht="25.5" x14ac:dyDescent="0.2">
      <c r="A26" s="18"/>
      <c r="B26" s="797"/>
      <c r="C26" s="2131"/>
      <c r="D26" s="2160"/>
      <c r="E26" s="2135"/>
      <c r="F26" s="1778"/>
      <c r="G26" s="1778"/>
      <c r="H26" s="1778"/>
      <c r="I26" s="1778"/>
      <c r="J26" s="1778"/>
      <c r="K26" s="21" t="s">
        <v>46</v>
      </c>
      <c r="L26" s="21"/>
      <c r="M26" s="22"/>
      <c r="N26" s="22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s="20" customFormat="1" ht="33" customHeight="1" x14ac:dyDescent="0.2">
      <c r="A27" s="18"/>
      <c r="B27" s="34"/>
      <c r="C27" s="28">
        <v>4</v>
      </c>
      <c r="D27" s="33"/>
      <c r="E27" s="32" t="s">
        <v>47</v>
      </c>
      <c r="F27" s="901">
        <v>7239.3</v>
      </c>
      <c r="G27" s="901"/>
      <c r="H27" s="901"/>
      <c r="I27" s="901"/>
      <c r="J27" s="901"/>
      <c r="K27" s="21" t="s">
        <v>48</v>
      </c>
      <c r="L27" s="21"/>
      <c r="M27" s="22"/>
      <c r="N27" s="22">
        <v>3</v>
      </c>
      <c r="O27" s="22">
        <v>5</v>
      </c>
      <c r="P27" s="22">
        <v>5</v>
      </c>
      <c r="Q27" s="22">
        <v>5</v>
      </c>
      <c r="R27" s="22">
        <v>5</v>
      </c>
    </row>
    <row r="28" spans="1:18" s="20" customFormat="1" ht="63.75" customHeight="1" x14ac:dyDescent="0.2">
      <c r="A28" s="18"/>
      <c r="B28" s="34">
        <v>3</v>
      </c>
      <c r="C28" s="28"/>
      <c r="D28" s="35"/>
      <c r="E28" s="32" t="s">
        <v>2381</v>
      </c>
      <c r="F28" s="901">
        <v>359667.3</v>
      </c>
      <c r="G28" s="901">
        <v>419492.9</v>
      </c>
      <c r="H28" s="901">
        <v>417672.2</v>
      </c>
      <c r="I28" s="901">
        <v>430630.7</v>
      </c>
      <c r="J28" s="901">
        <v>432513</v>
      </c>
      <c r="K28" s="639" t="s">
        <v>49</v>
      </c>
      <c r="L28" s="21"/>
      <c r="M28" s="22"/>
      <c r="N28" s="22"/>
      <c r="O28" s="22"/>
      <c r="P28" s="22"/>
      <c r="Q28" s="22"/>
      <c r="R28" s="22"/>
    </row>
    <row r="29" spans="1:18" s="20" customFormat="1" ht="25.5" x14ac:dyDescent="0.2">
      <c r="A29" s="18"/>
      <c r="B29" s="34"/>
      <c r="C29" s="28">
        <v>1</v>
      </c>
      <c r="D29" s="35"/>
      <c r="E29" s="32" t="s">
        <v>50</v>
      </c>
      <c r="F29" s="901">
        <v>256524.1</v>
      </c>
      <c r="G29" s="901">
        <v>194550.9</v>
      </c>
      <c r="H29" s="901">
        <v>196106.3</v>
      </c>
      <c r="I29" s="901">
        <v>209064.8</v>
      </c>
      <c r="J29" s="901">
        <v>210947.09999999998</v>
      </c>
      <c r="K29" s="21" t="s">
        <v>51</v>
      </c>
      <c r="L29" s="21"/>
      <c r="M29" s="22"/>
      <c r="N29" s="22">
        <v>318</v>
      </c>
      <c r="O29" s="22">
        <v>320</v>
      </c>
      <c r="P29" s="22">
        <v>320</v>
      </c>
      <c r="Q29" s="22">
        <v>320</v>
      </c>
      <c r="R29" s="22">
        <v>320</v>
      </c>
    </row>
    <row r="30" spans="1:18" s="20" customFormat="1" x14ac:dyDescent="0.2">
      <c r="A30" s="18"/>
      <c r="B30" s="2157"/>
      <c r="C30" s="2130">
        <v>2</v>
      </c>
      <c r="D30" s="2132"/>
      <c r="E30" s="2134" t="s">
        <v>52</v>
      </c>
      <c r="F30" s="1924">
        <v>68999.100000000006</v>
      </c>
      <c r="G30" s="1924">
        <v>73903.399999999994</v>
      </c>
      <c r="H30" s="1924">
        <v>72778.5</v>
      </c>
      <c r="I30" s="1924">
        <v>72778.5</v>
      </c>
      <c r="J30" s="1924">
        <v>72778.5</v>
      </c>
      <c r="K30" s="21" t="s">
        <v>53</v>
      </c>
      <c r="L30" s="21"/>
      <c r="M30" s="22"/>
      <c r="N30" s="22">
        <v>94</v>
      </c>
      <c r="O30" s="22">
        <v>94</v>
      </c>
      <c r="P30" s="22">
        <v>94</v>
      </c>
      <c r="Q30" s="22">
        <v>94</v>
      </c>
      <c r="R30" s="22">
        <v>94</v>
      </c>
    </row>
    <row r="31" spans="1:18" s="20" customFormat="1" ht="25.5" x14ac:dyDescent="0.2">
      <c r="A31" s="18"/>
      <c r="B31" s="2158"/>
      <c r="C31" s="2131"/>
      <c r="D31" s="2133"/>
      <c r="E31" s="2135"/>
      <c r="F31" s="1778"/>
      <c r="G31" s="1778"/>
      <c r="H31" s="1778"/>
      <c r="I31" s="1778"/>
      <c r="J31" s="1778"/>
      <c r="K31" s="21" t="s">
        <v>54</v>
      </c>
      <c r="L31" s="21"/>
      <c r="M31" s="22"/>
      <c r="N31" s="22">
        <v>74</v>
      </c>
      <c r="O31" s="22">
        <v>70</v>
      </c>
      <c r="P31" s="22">
        <v>75</v>
      </c>
      <c r="Q31" s="22">
        <v>75</v>
      </c>
      <c r="R31" s="22">
        <v>75</v>
      </c>
    </row>
    <row r="32" spans="1:18" s="20" customFormat="1" ht="25.5" x14ac:dyDescent="0.2">
      <c r="A32" s="18"/>
      <c r="B32" s="796"/>
      <c r="C32" s="28">
        <v>3</v>
      </c>
      <c r="D32" s="793"/>
      <c r="E32" s="32" t="s">
        <v>55</v>
      </c>
      <c r="F32" s="901">
        <v>34144.1</v>
      </c>
      <c r="G32" s="901">
        <v>151038.6</v>
      </c>
      <c r="H32" s="901">
        <v>148787.40000000002</v>
      </c>
      <c r="I32" s="901">
        <v>148787.40000000002</v>
      </c>
      <c r="J32" s="901">
        <v>148787.40000000002</v>
      </c>
      <c r="K32" s="21" t="s">
        <v>56</v>
      </c>
      <c r="L32" s="21"/>
      <c r="M32" s="22"/>
      <c r="N32" s="22">
        <v>4</v>
      </c>
      <c r="O32" s="22">
        <v>6</v>
      </c>
      <c r="P32" s="22">
        <v>6</v>
      </c>
      <c r="Q32" s="22">
        <v>6</v>
      </c>
      <c r="R32" s="22">
        <v>6</v>
      </c>
    </row>
    <row r="33" spans="1:18" s="20" customFormat="1" ht="84" customHeight="1" x14ac:dyDescent="0.2">
      <c r="A33" s="18"/>
      <c r="B33" s="796">
        <v>4</v>
      </c>
      <c r="C33" s="28"/>
      <c r="D33" s="793"/>
      <c r="E33" s="32" t="s">
        <v>2382</v>
      </c>
      <c r="F33" s="902">
        <v>10551.7</v>
      </c>
      <c r="G33" s="902">
        <v>0</v>
      </c>
      <c r="H33" s="902">
        <v>0</v>
      </c>
      <c r="I33" s="902">
        <v>0</v>
      </c>
      <c r="J33" s="902">
        <v>0</v>
      </c>
      <c r="K33" s="639" t="s">
        <v>57</v>
      </c>
      <c r="L33" s="21"/>
      <c r="M33" s="22"/>
      <c r="N33" s="22"/>
      <c r="O33" s="22"/>
      <c r="P33" s="22"/>
      <c r="Q33" s="22"/>
      <c r="R33" s="22"/>
    </row>
    <row r="34" spans="1:18" s="20" customFormat="1" x14ac:dyDescent="0.2">
      <c r="A34" s="18"/>
      <c r="B34" s="796"/>
      <c r="C34" s="2130">
        <v>1</v>
      </c>
      <c r="D34" s="2132"/>
      <c r="E34" s="2134" t="s">
        <v>58</v>
      </c>
      <c r="F34" s="1924">
        <v>3456</v>
      </c>
      <c r="G34" s="1924"/>
      <c r="H34" s="1924"/>
      <c r="I34" s="1924"/>
      <c r="J34" s="1924"/>
      <c r="K34" s="21" t="s">
        <v>59</v>
      </c>
      <c r="L34" s="21"/>
      <c r="M34" s="22"/>
      <c r="N34" s="22">
        <v>5</v>
      </c>
      <c r="O34" s="22"/>
      <c r="P34" s="22"/>
      <c r="Q34" s="22"/>
      <c r="R34" s="22"/>
    </row>
    <row r="35" spans="1:18" s="20" customFormat="1" x14ac:dyDescent="0.2">
      <c r="A35" s="18"/>
      <c r="B35" s="19"/>
      <c r="C35" s="2170"/>
      <c r="D35" s="2171"/>
      <c r="E35" s="2172"/>
      <c r="F35" s="1852"/>
      <c r="G35" s="1852"/>
      <c r="H35" s="1852"/>
      <c r="I35" s="1852"/>
      <c r="J35" s="1852"/>
      <c r="K35" s="21" t="s">
        <v>60</v>
      </c>
      <c r="L35" s="21"/>
      <c r="M35" s="22"/>
      <c r="N35" s="22">
        <v>68</v>
      </c>
      <c r="O35" s="22"/>
      <c r="P35" s="22"/>
      <c r="Q35" s="22"/>
      <c r="R35" s="22"/>
    </row>
    <row r="36" spans="1:18" s="20" customFormat="1" x14ac:dyDescent="0.2">
      <c r="A36" s="18"/>
      <c r="B36" s="797"/>
      <c r="C36" s="2131"/>
      <c r="D36" s="2133"/>
      <c r="E36" s="2135"/>
      <c r="F36" s="1778"/>
      <c r="G36" s="1778"/>
      <c r="H36" s="1778"/>
      <c r="I36" s="1778"/>
      <c r="J36" s="1778"/>
      <c r="K36" s="21" t="s">
        <v>53</v>
      </c>
      <c r="L36" s="21"/>
      <c r="M36" s="22"/>
      <c r="N36" s="22">
        <v>94</v>
      </c>
      <c r="O36" s="22"/>
      <c r="P36" s="22"/>
      <c r="Q36" s="22"/>
      <c r="R36" s="22"/>
    </row>
    <row r="37" spans="1:18" s="20" customFormat="1" x14ac:dyDescent="0.2">
      <c r="A37" s="18"/>
      <c r="B37" s="796"/>
      <c r="C37" s="2130">
        <v>2</v>
      </c>
      <c r="D37" s="2132"/>
      <c r="E37" s="2134" t="s">
        <v>61</v>
      </c>
      <c r="F37" s="1924">
        <v>7095.7</v>
      </c>
      <c r="G37" s="1924"/>
      <c r="H37" s="1924"/>
      <c r="I37" s="1924"/>
      <c r="J37" s="1924"/>
      <c r="K37" s="21" t="s">
        <v>62</v>
      </c>
      <c r="L37" s="21"/>
      <c r="M37" s="22"/>
      <c r="N37" s="22">
        <v>5</v>
      </c>
      <c r="O37" s="22"/>
      <c r="P37" s="22"/>
      <c r="Q37" s="22"/>
      <c r="R37" s="22"/>
    </row>
    <row r="38" spans="1:18" s="20" customFormat="1" ht="25.5" x14ac:dyDescent="0.2">
      <c r="A38" s="18"/>
      <c r="B38" s="797"/>
      <c r="C38" s="2131"/>
      <c r="D38" s="2133"/>
      <c r="E38" s="2135"/>
      <c r="F38" s="1778"/>
      <c r="G38" s="1778"/>
      <c r="H38" s="1778"/>
      <c r="I38" s="1778"/>
      <c r="J38" s="1778"/>
      <c r="K38" s="21" t="s">
        <v>63</v>
      </c>
      <c r="L38" s="21"/>
      <c r="M38" s="22"/>
      <c r="N38" s="22">
        <v>2</v>
      </c>
      <c r="O38" s="22"/>
      <c r="P38" s="22"/>
      <c r="Q38" s="22"/>
      <c r="R38" s="22"/>
    </row>
    <row r="39" spans="1:18" s="17" customFormat="1" x14ac:dyDescent="0.2">
      <c r="A39" s="2173" t="s">
        <v>64</v>
      </c>
      <c r="B39" s="2173"/>
      <c r="C39" s="2173"/>
      <c r="D39" s="2173"/>
      <c r="E39" s="2174"/>
      <c r="F39" s="903">
        <v>777143.2</v>
      </c>
      <c r="G39" s="904">
        <v>707025.3</v>
      </c>
      <c r="H39" s="904">
        <v>707025.3</v>
      </c>
      <c r="I39" s="904">
        <v>719983.8</v>
      </c>
      <c r="J39" s="904">
        <v>726566.1</v>
      </c>
      <c r="K39" s="794"/>
      <c r="L39" s="794"/>
      <c r="M39" s="2175"/>
      <c r="N39" s="2175"/>
      <c r="O39" s="2175"/>
      <c r="P39" s="2175"/>
      <c r="Q39" s="2175"/>
      <c r="R39" s="2175"/>
    </row>
    <row r="40" spans="1:18" s="41" customFormat="1" ht="30" customHeight="1" x14ac:dyDescent="0.2">
      <c r="A40" s="2128" t="s">
        <v>65</v>
      </c>
      <c r="B40" s="2128"/>
      <c r="C40" s="2128"/>
      <c r="D40" s="2128"/>
      <c r="E40" s="2128"/>
      <c r="F40" s="901">
        <v>784782.5</v>
      </c>
      <c r="G40" s="905">
        <v>713414.70000000007</v>
      </c>
      <c r="H40" s="905">
        <v>713545.8</v>
      </c>
      <c r="I40" s="905">
        <v>726667.3</v>
      </c>
      <c r="J40" s="905">
        <v>733416.6</v>
      </c>
      <c r="K40" s="37"/>
      <c r="L40" s="37"/>
      <c r="M40" s="1001"/>
      <c r="N40" s="38"/>
      <c r="O40" s="39"/>
      <c r="P40" s="40"/>
      <c r="Q40" s="40"/>
      <c r="R40" s="40"/>
    </row>
    <row r="41" spans="1:18" s="17" customFormat="1" x14ac:dyDescent="0.2">
      <c r="A41" s="2129" t="s">
        <v>66</v>
      </c>
      <c r="B41" s="2129"/>
      <c r="C41" s="2129"/>
      <c r="D41" s="2129"/>
      <c r="E41" s="2129"/>
      <c r="F41" s="967"/>
      <c r="G41" s="967"/>
      <c r="H41" s="967"/>
      <c r="I41" s="967"/>
      <c r="J41" s="967"/>
      <c r="K41" s="42"/>
      <c r="L41" s="42"/>
      <c r="M41" s="1002"/>
      <c r="N41" s="43"/>
      <c r="O41" s="43"/>
      <c r="P41" s="43"/>
      <c r="Q41" s="43"/>
      <c r="R41" s="44"/>
    </row>
    <row r="42" spans="1:18" s="47" customFormat="1" ht="48.75" customHeight="1" x14ac:dyDescent="0.2">
      <c r="A42" s="45"/>
      <c r="B42" s="669" t="s">
        <v>120</v>
      </c>
      <c r="C42" s="46"/>
      <c r="D42" s="818">
        <v>0</v>
      </c>
      <c r="E42" s="640" t="s">
        <v>67</v>
      </c>
      <c r="F42" s="959">
        <v>113776.4</v>
      </c>
      <c r="G42" s="959">
        <v>131049.4</v>
      </c>
      <c r="H42" s="959">
        <f>104152.2-14151.3+25431.8</f>
        <v>115432.7</v>
      </c>
      <c r="I42" s="959">
        <v>105232.7</v>
      </c>
      <c r="J42" s="959">
        <v>106326.5</v>
      </c>
      <c r="K42" s="641" t="s">
        <v>68</v>
      </c>
      <c r="L42" s="641"/>
      <c r="M42" s="642" t="s">
        <v>17</v>
      </c>
      <c r="N42" s="643">
        <v>7.0216828626760264E-2</v>
      </c>
      <c r="O42" s="643">
        <v>7.5999999999999998E-2</v>
      </c>
      <c r="P42" s="643">
        <v>7.5999999999999998E-2</v>
      </c>
      <c r="Q42" s="643">
        <v>7.5999999999999998E-2</v>
      </c>
      <c r="R42" s="643">
        <v>7.5999999999999998E-2</v>
      </c>
    </row>
    <row r="43" spans="1:18" s="47" customFormat="1" ht="30.75" customHeight="1" x14ac:dyDescent="0.2">
      <c r="A43" s="45"/>
      <c r="B43" s="669"/>
      <c r="C43" s="46">
        <v>1</v>
      </c>
      <c r="D43" s="818"/>
      <c r="E43" s="741" t="s">
        <v>69</v>
      </c>
      <c r="F43" s="987">
        <v>2190</v>
      </c>
      <c r="G43" s="987">
        <v>7062.9</v>
      </c>
      <c r="H43" s="987">
        <v>5894.6</v>
      </c>
      <c r="I43" s="987">
        <v>5894.6</v>
      </c>
      <c r="J43" s="987">
        <v>5894.6</v>
      </c>
      <c r="K43" s="48" t="s">
        <v>70</v>
      </c>
      <c r="L43" s="48"/>
      <c r="M43" s="745" t="s">
        <v>17</v>
      </c>
      <c r="N43" s="49">
        <v>100</v>
      </c>
      <c r="O43" s="49">
        <v>100</v>
      </c>
      <c r="P43" s="49">
        <v>100</v>
      </c>
      <c r="Q43" s="49">
        <v>100</v>
      </c>
      <c r="R43" s="49">
        <v>100</v>
      </c>
    </row>
    <row r="44" spans="1:18" s="47" customFormat="1" ht="61.5" customHeight="1" x14ac:dyDescent="0.2">
      <c r="A44" s="45"/>
      <c r="B44" s="669"/>
      <c r="C44" s="46">
        <v>2</v>
      </c>
      <c r="D44" s="818"/>
      <c r="E44" s="741" t="s">
        <v>71</v>
      </c>
      <c r="F44" s="986">
        <v>34305.9</v>
      </c>
      <c r="G44" s="986">
        <v>30000</v>
      </c>
      <c r="H44" s="986">
        <v>30000</v>
      </c>
      <c r="I44" s="986">
        <v>30000</v>
      </c>
      <c r="J44" s="986">
        <v>30000</v>
      </c>
      <c r="K44" s="741" t="s">
        <v>72</v>
      </c>
      <c r="L44" s="741"/>
      <c r="M44" s="745" t="s">
        <v>31</v>
      </c>
      <c r="N44" s="51">
        <v>84</v>
      </c>
      <c r="O44" s="51">
        <v>84</v>
      </c>
      <c r="P44" s="51">
        <v>84</v>
      </c>
      <c r="Q44" s="51">
        <v>84</v>
      </c>
      <c r="R44" s="51">
        <v>84</v>
      </c>
    </row>
    <row r="45" spans="1:18" s="17" customFormat="1" x14ac:dyDescent="0.2">
      <c r="A45" s="2136" t="s">
        <v>64</v>
      </c>
      <c r="B45" s="2137"/>
      <c r="C45" s="2137"/>
      <c r="D45" s="2137"/>
      <c r="E45" s="2138"/>
      <c r="F45" s="906">
        <f>F42+F43+F44</f>
        <v>150272.29999999999</v>
      </c>
      <c r="G45" s="906">
        <f t="shared" ref="G45:J45" si="0">G42+G43+G44</f>
        <v>168112.3</v>
      </c>
      <c r="H45" s="906">
        <f t="shared" si="0"/>
        <v>151327.29999999999</v>
      </c>
      <c r="I45" s="906">
        <f t="shared" si="0"/>
        <v>141127.29999999999</v>
      </c>
      <c r="J45" s="906">
        <f t="shared" si="0"/>
        <v>142221.1</v>
      </c>
      <c r="K45" s="794"/>
      <c r="L45" s="794"/>
      <c r="M45" s="36"/>
      <c r="N45" s="803"/>
      <c r="O45" s="803"/>
      <c r="P45" s="803"/>
      <c r="Q45" s="803"/>
      <c r="R45" s="803"/>
    </row>
    <row r="46" spans="1:18" s="17" customFormat="1" ht="21" customHeight="1" x14ac:dyDescent="0.2">
      <c r="A46" s="2139" t="s">
        <v>73</v>
      </c>
      <c r="B46" s="2139"/>
      <c r="C46" s="2139"/>
      <c r="D46" s="2139"/>
      <c r="E46" s="2139"/>
      <c r="F46" s="2139"/>
      <c r="G46" s="2139"/>
      <c r="H46" s="2139"/>
      <c r="I46" s="2139"/>
      <c r="J46" s="2139"/>
      <c r="K46" s="2139"/>
      <c r="L46" s="2139"/>
      <c r="M46" s="2139"/>
      <c r="N46" s="2139"/>
      <c r="O46" s="2139"/>
      <c r="P46" s="2139"/>
      <c r="Q46" s="2139"/>
      <c r="R46" s="2140"/>
    </row>
    <row r="47" spans="1:18" s="20" customFormat="1" ht="25.5" x14ac:dyDescent="0.2">
      <c r="A47" s="52"/>
      <c r="B47" s="53">
        <v>1</v>
      </c>
      <c r="C47" s="694" t="s">
        <v>74</v>
      </c>
      <c r="D47" s="54"/>
      <c r="E47" s="311" t="s">
        <v>32</v>
      </c>
      <c r="F47" s="985">
        <v>7952.7</v>
      </c>
      <c r="G47" s="985">
        <v>7952.7</v>
      </c>
      <c r="H47" s="985">
        <v>7952.7</v>
      </c>
      <c r="I47" s="985">
        <v>8104.9</v>
      </c>
      <c r="J47" s="985">
        <v>8082.2</v>
      </c>
      <c r="K47" s="768" t="s">
        <v>75</v>
      </c>
      <c r="L47" s="768"/>
      <c r="M47" s="688" t="s">
        <v>76</v>
      </c>
      <c r="N47" s="688"/>
      <c r="O47" s="688"/>
      <c r="P47" s="688"/>
      <c r="Q47" s="688"/>
      <c r="R47" s="55"/>
    </row>
    <row r="48" spans="1:18" s="17" customFormat="1" ht="18" customHeight="1" x14ac:dyDescent="0.2">
      <c r="A48" s="2141" t="s">
        <v>64</v>
      </c>
      <c r="B48" s="2142"/>
      <c r="C48" s="2142"/>
      <c r="D48" s="2142"/>
      <c r="E48" s="2143"/>
      <c r="F48" s="907">
        <v>7952.7</v>
      </c>
      <c r="G48" s="907">
        <v>7952.7</v>
      </c>
      <c r="H48" s="907">
        <v>7952.7</v>
      </c>
      <c r="I48" s="907">
        <v>8104.9</v>
      </c>
      <c r="J48" s="907">
        <v>8082.2</v>
      </c>
      <c r="K48" s="57"/>
      <c r="L48" s="57"/>
      <c r="M48" s="56"/>
      <c r="N48" s="760"/>
      <c r="O48" s="760"/>
      <c r="P48" s="760"/>
      <c r="Q48" s="760"/>
      <c r="R48" s="760"/>
    </row>
    <row r="49" spans="1:18" s="17" customFormat="1" ht="24.75" customHeight="1" x14ac:dyDescent="0.2">
      <c r="A49" s="2030" t="s">
        <v>77</v>
      </c>
      <c r="B49" s="2031"/>
      <c r="C49" s="2031"/>
      <c r="D49" s="2031"/>
      <c r="E49" s="2031"/>
      <c r="F49" s="2031"/>
      <c r="G49" s="2031"/>
      <c r="H49" s="2031"/>
      <c r="I49" s="2031"/>
      <c r="J49" s="2031"/>
      <c r="K49" s="2031"/>
      <c r="L49" s="2031"/>
      <c r="M49" s="2031"/>
      <c r="N49" s="2031"/>
      <c r="O49" s="2031"/>
      <c r="P49" s="2031"/>
      <c r="Q49" s="2031"/>
      <c r="R49" s="2144"/>
    </row>
    <row r="50" spans="1:18" s="47" customFormat="1" ht="18.75" customHeight="1" x14ac:dyDescent="0.2">
      <c r="A50" s="45"/>
      <c r="B50" s="1866">
        <v>1</v>
      </c>
      <c r="C50" s="2145"/>
      <c r="D50" s="2145"/>
      <c r="E50" s="2147" t="s">
        <v>78</v>
      </c>
      <c r="F50" s="2001">
        <v>172223.2</v>
      </c>
      <c r="G50" s="2001">
        <v>201144.6</v>
      </c>
      <c r="H50" s="2001">
        <v>181769.3</v>
      </c>
      <c r="I50" s="2001">
        <v>163385</v>
      </c>
      <c r="J50" s="2001">
        <v>165020.6</v>
      </c>
      <c r="K50" s="2105" t="s">
        <v>79</v>
      </c>
      <c r="L50" s="701"/>
      <c r="M50" s="2025" t="s">
        <v>31</v>
      </c>
      <c r="N50" s="51">
        <v>370</v>
      </c>
      <c r="O50" s="51">
        <v>370</v>
      </c>
      <c r="P50" s="51">
        <v>370</v>
      </c>
      <c r="Q50" s="51">
        <v>370</v>
      </c>
      <c r="R50" s="51">
        <v>370</v>
      </c>
    </row>
    <row r="51" spans="1:18" s="47" customFormat="1" ht="49.5" customHeight="1" x14ac:dyDescent="0.2">
      <c r="A51" s="45"/>
      <c r="B51" s="1867"/>
      <c r="C51" s="2146"/>
      <c r="D51" s="2146"/>
      <c r="E51" s="2148"/>
      <c r="F51" s="2002"/>
      <c r="G51" s="2002"/>
      <c r="H51" s="2002"/>
      <c r="I51" s="2002"/>
      <c r="J51" s="2002"/>
      <c r="K51" s="2104"/>
      <c r="L51" s="702"/>
      <c r="M51" s="2027"/>
      <c r="N51" s="51">
        <v>620</v>
      </c>
      <c r="O51" s="51">
        <v>620</v>
      </c>
      <c r="P51" s="51">
        <v>620</v>
      </c>
      <c r="Q51" s="51">
        <v>620</v>
      </c>
      <c r="R51" s="51">
        <v>620</v>
      </c>
    </row>
    <row r="52" spans="1:18" s="47" customFormat="1" ht="51.75" customHeight="1" x14ac:dyDescent="0.2">
      <c r="A52" s="45"/>
      <c r="B52" s="795"/>
      <c r="C52" s="46">
        <v>1</v>
      </c>
      <c r="D52" s="818"/>
      <c r="E52" s="741" t="s">
        <v>80</v>
      </c>
      <c r="F52" s="958">
        <v>2616.1</v>
      </c>
      <c r="G52" s="958">
        <v>5586.1</v>
      </c>
      <c r="H52" s="958">
        <v>4786.1000000000004</v>
      </c>
      <c r="I52" s="958">
        <v>2786.1</v>
      </c>
      <c r="J52" s="958">
        <v>2786.1</v>
      </c>
      <c r="K52" s="741" t="s">
        <v>81</v>
      </c>
      <c r="L52" s="741"/>
      <c r="M52" s="745" t="s">
        <v>31</v>
      </c>
      <c r="N52" s="58">
        <v>15</v>
      </c>
      <c r="O52" s="58">
        <v>15</v>
      </c>
      <c r="P52" s="58">
        <v>15</v>
      </c>
      <c r="Q52" s="58">
        <v>15</v>
      </c>
      <c r="R52" s="58">
        <v>15</v>
      </c>
    </row>
    <row r="53" spans="1:18" s="47" customFormat="1" ht="69.75" customHeight="1" x14ac:dyDescent="0.2">
      <c r="A53" s="45"/>
      <c r="B53" s="795"/>
      <c r="C53" s="46">
        <v>2</v>
      </c>
      <c r="D53" s="818"/>
      <c r="E53" s="741" t="s">
        <v>82</v>
      </c>
      <c r="F53" s="988">
        <v>32494.5</v>
      </c>
      <c r="G53" s="988">
        <v>30000</v>
      </c>
      <c r="H53" s="988">
        <v>30000</v>
      </c>
      <c r="I53" s="988">
        <v>30000</v>
      </c>
      <c r="J53" s="988">
        <v>30000</v>
      </c>
      <c r="K53" s="741" t="s">
        <v>72</v>
      </c>
      <c r="L53" s="741"/>
      <c r="M53" s="745" t="s">
        <v>31</v>
      </c>
      <c r="N53" s="51">
        <v>138</v>
      </c>
      <c r="O53" s="51">
        <v>138</v>
      </c>
      <c r="P53" s="51">
        <v>138</v>
      </c>
      <c r="Q53" s="51">
        <v>138</v>
      </c>
      <c r="R53" s="51">
        <v>138</v>
      </c>
    </row>
    <row r="54" spans="1:18" s="17" customFormat="1" ht="24.75" customHeight="1" x14ac:dyDescent="0.2">
      <c r="A54" s="2121" t="s">
        <v>64</v>
      </c>
      <c r="B54" s="2121"/>
      <c r="C54" s="2121"/>
      <c r="D54" s="2121"/>
      <c r="E54" s="2121"/>
      <c r="F54" s="908">
        <f>F50+F52+F53</f>
        <v>207333.80000000002</v>
      </c>
      <c r="G54" s="908">
        <f t="shared" ref="G54:J54" si="1">G50+G52+G53</f>
        <v>236730.7</v>
      </c>
      <c r="H54" s="908">
        <f t="shared" si="1"/>
        <v>216555.4</v>
      </c>
      <c r="I54" s="908">
        <f t="shared" si="1"/>
        <v>196171.1</v>
      </c>
      <c r="J54" s="908">
        <f t="shared" si="1"/>
        <v>197806.7</v>
      </c>
      <c r="K54" s="60"/>
      <c r="L54" s="60"/>
      <c r="M54" s="59"/>
      <c r="N54" s="61"/>
      <c r="O54" s="61"/>
      <c r="P54" s="61"/>
      <c r="Q54" s="61"/>
      <c r="R54" s="62"/>
    </row>
    <row r="55" spans="1:18" s="17" customFormat="1" ht="27" customHeight="1" x14ac:dyDescent="0.2">
      <c r="A55" s="2115" t="s">
        <v>83</v>
      </c>
      <c r="B55" s="2115"/>
      <c r="C55" s="2115"/>
      <c r="D55" s="2115"/>
      <c r="E55" s="2115"/>
      <c r="F55" s="2115"/>
      <c r="G55" s="2115"/>
      <c r="H55" s="2115"/>
      <c r="I55" s="2115"/>
      <c r="J55" s="2115"/>
      <c r="K55" s="2115"/>
      <c r="L55" s="2115"/>
      <c r="M55" s="2115"/>
      <c r="N55" s="2115"/>
      <c r="O55" s="2115"/>
      <c r="P55" s="2115"/>
      <c r="Q55" s="2115"/>
      <c r="R55" s="2116"/>
    </row>
    <row r="56" spans="1:18" s="47" customFormat="1" ht="38.25" x14ac:dyDescent="0.2">
      <c r="A56" s="45"/>
      <c r="B56" s="838" t="s">
        <v>120</v>
      </c>
      <c r="C56" s="46"/>
      <c r="D56" s="818">
        <v>0</v>
      </c>
      <c r="E56" s="644" t="s">
        <v>84</v>
      </c>
      <c r="F56" s="1034">
        <v>124157.5</v>
      </c>
      <c r="G56" s="1034">
        <v>124250.7</v>
      </c>
      <c r="H56" s="1034">
        <v>124678.1</v>
      </c>
      <c r="I56" s="1034">
        <v>124678.1</v>
      </c>
      <c r="J56" s="1034">
        <v>124678.1</v>
      </c>
      <c r="K56" s="640" t="s">
        <v>85</v>
      </c>
      <c r="L56" s="640"/>
      <c r="M56" s="642" t="s">
        <v>31</v>
      </c>
      <c r="N56" s="1035">
        <v>37</v>
      </c>
      <c r="O56" s="1035">
        <v>37</v>
      </c>
      <c r="P56" s="1035">
        <v>37</v>
      </c>
      <c r="Q56" s="1035">
        <v>37</v>
      </c>
      <c r="R56" s="1035">
        <v>37</v>
      </c>
    </row>
    <row r="57" spans="1:18" s="47" customFormat="1" ht="38.25" x14ac:dyDescent="0.2">
      <c r="A57" s="45"/>
      <c r="B57" s="697"/>
      <c r="C57" s="46">
        <v>1</v>
      </c>
      <c r="D57" s="818">
        <v>0</v>
      </c>
      <c r="E57" s="670" t="s">
        <v>86</v>
      </c>
      <c r="F57" s="1036">
        <v>158328</v>
      </c>
      <c r="G57" s="1036">
        <v>37005.699999999997</v>
      </c>
      <c r="H57" s="1036">
        <v>48135.7</v>
      </c>
      <c r="I57" s="1036">
        <v>53025.7</v>
      </c>
      <c r="J57" s="1036">
        <v>57976</v>
      </c>
      <c r="K57" s="64" t="s">
        <v>87</v>
      </c>
      <c r="L57" s="64"/>
      <c r="M57" s="745" t="s">
        <v>31</v>
      </c>
      <c r="N57" s="336">
        <v>90</v>
      </c>
      <c r="O57" s="336">
        <v>90</v>
      </c>
      <c r="P57" s="336">
        <v>90</v>
      </c>
      <c r="Q57" s="336">
        <v>90</v>
      </c>
      <c r="R57" s="336">
        <v>90</v>
      </c>
    </row>
    <row r="58" spans="1:18" s="47" customFormat="1" ht="38.25" x14ac:dyDescent="0.2">
      <c r="A58" s="45"/>
      <c r="B58" s="697"/>
      <c r="C58" s="46">
        <v>2</v>
      </c>
      <c r="D58" s="818">
        <v>0</v>
      </c>
      <c r="E58" s="670" t="s">
        <v>89</v>
      </c>
      <c r="F58" s="987">
        <v>2169.6999999999998</v>
      </c>
      <c r="G58" s="987">
        <v>2957.3</v>
      </c>
      <c r="H58" s="987">
        <v>2957.3</v>
      </c>
      <c r="I58" s="987">
        <v>2957.3</v>
      </c>
      <c r="J58" s="987">
        <v>2957.3</v>
      </c>
      <c r="K58" s="65" t="s">
        <v>90</v>
      </c>
      <c r="L58" s="65"/>
      <c r="M58" s="745" t="s">
        <v>31</v>
      </c>
      <c r="N58" s="688">
        <v>200</v>
      </c>
      <c r="O58" s="688">
        <v>200</v>
      </c>
      <c r="P58" s="688">
        <v>200</v>
      </c>
      <c r="Q58" s="688">
        <v>200</v>
      </c>
      <c r="R58" s="688">
        <v>200</v>
      </c>
    </row>
    <row r="59" spans="1:18" s="47" customFormat="1" ht="63.75" x14ac:dyDescent="0.2">
      <c r="A59" s="45"/>
      <c r="B59" s="697"/>
      <c r="C59" s="783">
        <v>3</v>
      </c>
      <c r="D59" s="818">
        <v>0</v>
      </c>
      <c r="E59" s="670" t="s">
        <v>91</v>
      </c>
      <c r="F59" s="987">
        <v>8110.1</v>
      </c>
      <c r="G59" s="987">
        <v>8213.7000000000007</v>
      </c>
      <c r="H59" s="987">
        <v>8496.9</v>
      </c>
      <c r="I59" s="987">
        <v>8496.9</v>
      </c>
      <c r="J59" s="987">
        <v>8496.9</v>
      </c>
      <c r="K59" s="672" t="s">
        <v>92</v>
      </c>
      <c r="L59" s="672"/>
      <c r="M59" s="668" t="s">
        <v>93</v>
      </c>
      <c r="N59" s="1037">
        <v>2445</v>
      </c>
      <c r="O59" s="1037">
        <f>1000+5+20+20+500</f>
        <v>1545</v>
      </c>
      <c r="P59" s="1037">
        <v>2215</v>
      </c>
      <c r="Q59" s="1037">
        <v>2215</v>
      </c>
      <c r="R59" s="1037">
        <v>2215</v>
      </c>
    </row>
    <row r="60" spans="1:18" s="47" customFormat="1" ht="25.5" x14ac:dyDescent="0.2">
      <c r="A60" s="45"/>
      <c r="B60" s="697"/>
      <c r="C60" s="783">
        <v>4</v>
      </c>
      <c r="D60" s="818">
        <v>0</v>
      </c>
      <c r="E60" s="670" t="s">
        <v>94</v>
      </c>
      <c r="F60" s="987">
        <v>828.6</v>
      </c>
      <c r="G60" s="987">
        <v>1238</v>
      </c>
      <c r="H60" s="987">
        <v>374</v>
      </c>
      <c r="I60" s="987">
        <v>374</v>
      </c>
      <c r="J60" s="987">
        <v>374</v>
      </c>
      <c r="K60" s="672" t="s">
        <v>95</v>
      </c>
      <c r="L60" s="672"/>
      <c r="M60" s="745" t="s">
        <v>96</v>
      </c>
      <c r="N60" s="336">
        <v>1</v>
      </c>
      <c r="O60" s="336">
        <v>1</v>
      </c>
      <c r="P60" s="336">
        <v>1</v>
      </c>
      <c r="Q60" s="336">
        <v>1</v>
      </c>
      <c r="R60" s="336">
        <v>1</v>
      </c>
    </row>
    <row r="61" spans="1:18" s="47" customFormat="1" ht="25.5" x14ac:dyDescent="0.2">
      <c r="A61" s="45"/>
      <c r="B61" s="697"/>
      <c r="C61" s="783">
        <v>5</v>
      </c>
      <c r="D61" s="818">
        <v>0</v>
      </c>
      <c r="E61" s="670" t="s">
        <v>97</v>
      </c>
      <c r="F61" s="987">
        <v>472122.5</v>
      </c>
      <c r="G61" s="987">
        <v>4050</v>
      </c>
      <c r="H61" s="987">
        <f>4630.8+10981</f>
        <v>15611.8</v>
      </c>
      <c r="I61" s="987">
        <v>4630.8</v>
      </c>
      <c r="J61" s="987">
        <v>4630.8</v>
      </c>
      <c r="K61" s="672" t="s">
        <v>98</v>
      </c>
      <c r="L61" s="672"/>
      <c r="M61" s="745" t="s">
        <v>31</v>
      </c>
      <c r="N61" s="1038">
        <v>11</v>
      </c>
      <c r="O61" s="336">
        <v>7</v>
      </c>
      <c r="P61" s="336">
        <v>2</v>
      </c>
      <c r="Q61" s="336">
        <v>2</v>
      </c>
      <c r="R61" s="336">
        <v>2</v>
      </c>
    </row>
    <row r="62" spans="1:18" s="47" customFormat="1" ht="55.5" customHeight="1" x14ac:dyDescent="0.2">
      <c r="A62" s="45"/>
      <c r="B62" s="838" t="s">
        <v>138</v>
      </c>
      <c r="C62" s="46"/>
      <c r="D62" s="818">
        <v>0</v>
      </c>
      <c r="E62" s="640" t="s">
        <v>99</v>
      </c>
      <c r="F62" s="1039">
        <v>19000</v>
      </c>
      <c r="G62" s="1039">
        <v>19000</v>
      </c>
      <c r="H62" s="1039">
        <v>19000</v>
      </c>
      <c r="I62" s="1039">
        <v>19000</v>
      </c>
      <c r="J62" s="1039">
        <v>19000</v>
      </c>
      <c r="K62" s="645"/>
      <c r="L62" s="645"/>
      <c r="M62" s="646"/>
      <c r="N62" s="1040"/>
      <c r="O62" s="1040"/>
      <c r="P62" s="1040"/>
      <c r="Q62" s="1040"/>
      <c r="R62" s="1041"/>
    </row>
    <row r="63" spans="1:18" s="47" customFormat="1" ht="25.5" x14ac:dyDescent="0.2">
      <c r="A63" s="45"/>
      <c r="B63" s="697"/>
      <c r="C63" s="46">
        <v>1</v>
      </c>
      <c r="D63" s="818"/>
      <c r="E63" s="69" t="s">
        <v>100</v>
      </c>
      <c r="F63" s="987">
        <v>13193.7</v>
      </c>
      <c r="G63" s="987">
        <v>8500</v>
      </c>
      <c r="H63" s="987">
        <v>6000</v>
      </c>
      <c r="I63" s="987">
        <v>6000</v>
      </c>
      <c r="J63" s="987">
        <v>6000</v>
      </c>
      <c r="K63" s="670" t="s">
        <v>101</v>
      </c>
      <c r="L63" s="670"/>
      <c r="M63" s="668" t="s">
        <v>17</v>
      </c>
      <c r="N63" s="1042">
        <v>0.70799999999999996</v>
      </c>
      <c r="O63" s="1043">
        <v>0.44700000000000001</v>
      </c>
      <c r="P63" s="1043">
        <v>0.316</v>
      </c>
      <c r="Q63" s="1043">
        <v>0.41399999999999998</v>
      </c>
      <c r="R63" s="1043">
        <v>0.41399999999999998</v>
      </c>
    </row>
    <row r="64" spans="1:18" s="47" customFormat="1" ht="25.5" x14ac:dyDescent="0.2">
      <c r="A64" s="45"/>
      <c r="B64" s="697"/>
      <c r="C64" s="46">
        <v>2</v>
      </c>
      <c r="D64" s="818"/>
      <c r="E64" s="70" t="s">
        <v>102</v>
      </c>
      <c r="F64" s="987">
        <v>5440</v>
      </c>
      <c r="G64" s="987">
        <v>6000</v>
      </c>
      <c r="H64" s="987">
        <v>4500</v>
      </c>
      <c r="I64" s="987"/>
      <c r="J64" s="987"/>
      <c r="K64" s="670" t="s">
        <v>101</v>
      </c>
      <c r="L64" s="670"/>
      <c r="M64" s="818" t="s">
        <v>17</v>
      </c>
      <c r="N64" s="1043">
        <v>0.29199999999999998</v>
      </c>
      <c r="O64" s="1043">
        <v>0.316</v>
      </c>
      <c r="P64" s="1043">
        <v>0.23699999999999999</v>
      </c>
      <c r="Q64" s="1043">
        <v>0.58599999999999997</v>
      </c>
      <c r="R64" s="1043">
        <v>0.58599999999999997</v>
      </c>
    </row>
    <row r="65" spans="1:18" s="47" customFormat="1" ht="38.25" x14ac:dyDescent="0.2">
      <c r="A65" s="45"/>
      <c r="B65" s="697"/>
      <c r="C65" s="46">
        <v>3</v>
      </c>
      <c r="D65" s="818"/>
      <c r="E65" s="70" t="s">
        <v>103</v>
      </c>
      <c r="F65" s="987"/>
      <c r="G65" s="987">
        <v>4500</v>
      </c>
      <c r="H65" s="987">
        <v>8500</v>
      </c>
      <c r="I65" s="987">
        <v>8500</v>
      </c>
      <c r="J65" s="987">
        <v>8500</v>
      </c>
      <c r="K65" s="670" t="s">
        <v>101</v>
      </c>
      <c r="L65" s="670"/>
      <c r="M65" s="818" t="s">
        <v>17</v>
      </c>
      <c r="N65" s="1043"/>
      <c r="O65" s="1043">
        <v>0.23699999999999999</v>
      </c>
      <c r="P65" s="1043">
        <v>0.44700000000000001</v>
      </c>
      <c r="Q65" s="1043"/>
      <c r="R65" s="1043"/>
    </row>
    <row r="66" spans="1:18" s="47" customFormat="1" ht="25.5" x14ac:dyDescent="0.2">
      <c r="A66" s="45"/>
      <c r="B66" s="697"/>
      <c r="C66" s="46">
        <v>4</v>
      </c>
      <c r="D66" s="818">
        <v>0</v>
      </c>
      <c r="E66" s="670" t="s">
        <v>104</v>
      </c>
      <c r="F66" s="1036">
        <v>1079.4000000000001</v>
      </c>
      <c r="G66" s="1036">
        <v>10945</v>
      </c>
      <c r="H66" s="1036">
        <v>10352.6</v>
      </c>
      <c r="I66" s="1036">
        <v>10352.6</v>
      </c>
      <c r="J66" s="1036">
        <v>10352.6</v>
      </c>
      <c r="K66" s="702" t="s">
        <v>23</v>
      </c>
      <c r="L66" s="702"/>
      <c r="M66" s="668" t="s">
        <v>17</v>
      </c>
      <c r="N66" s="1044">
        <v>1</v>
      </c>
      <c r="O66" s="1044">
        <v>1</v>
      </c>
      <c r="P66" s="1044">
        <v>1</v>
      </c>
      <c r="Q66" s="1044">
        <v>1</v>
      </c>
      <c r="R66" s="1044">
        <v>1</v>
      </c>
    </row>
    <row r="67" spans="1:18" s="47" customFormat="1" x14ac:dyDescent="0.2">
      <c r="A67" s="45"/>
      <c r="B67" s="1850"/>
      <c r="C67" s="2106">
        <v>5</v>
      </c>
      <c r="D67" s="2107">
        <v>0</v>
      </c>
      <c r="E67" s="2105" t="s">
        <v>105</v>
      </c>
      <c r="F67" s="1045"/>
      <c r="G67" s="1045"/>
      <c r="H67" s="1045"/>
      <c r="I67" s="1045"/>
      <c r="J67" s="1045"/>
      <c r="K67" s="72"/>
      <c r="L67" s="72"/>
      <c r="M67" s="795"/>
      <c r="N67" s="1046"/>
      <c r="O67" s="1046"/>
      <c r="P67" s="1046"/>
      <c r="Q67" s="1046"/>
      <c r="R67" s="1046"/>
    </row>
    <row r="68" spans="1:18" s="47" customFormat="1" x14ac:dyDescent="0.2">
      <c r="A68" s="45"/>
      <c r="B68" s="1868"/>
      <c r="C68" s="2106"/>
      <c r="D68" s="2114"/>
      <c r="E68" s="2103"/>
      <c r="F68" s="987">
        <v>146242.70000000001</v>
      </c>
      <c r="G68" s="987">
        <v>153270.70000000001</v>
      </c>
      <c r="H68" s="987">
        <v>147616.1</v>
      </c>
      <c r="I68" s="987">
        <v>147616.1</v>
      </c>
      <c r="J68" s="987">
        <v>147616.1</v>
      </c>
      <c r="K68" s="2103" t="s">
        <v>106</v>
      </c>
      <c r="L68" s="782"/>
      <c r="M68" s="745" t="s">
        <v>17</v>
      </c>
      <c r="N68" s="1047">
        <v>0.189</v>
      </c>
      <c r="O68" s="1047">
        <v>0.245</v>
      </c>
      <c r="P68" s="1047">
        <v>0.24399999999999999</v>
      </c>
      <c r="Q68" s="1047">
        <v>0.24399999999999999</v>
      </c>
      <c r="R68" s="1047">
        <v>0.24399999999999999</v>
      </c>
    </row>
    <row r="69" spans="1:18" s="47" customFormat="1" x14ac:dyDescent="0.2">
      <c r="A69" s="45"/>
      <c r="B69" s="1868"/>
      <c r="C69" s="2106"/>
      <c r="D69" s="2114"/>
      <c r="E69" s="2103"/>
      <c r="F69" s="987">
        <v>69685.100000000006</v>
      </c>
      <c r="G69" s="987">
        <v>84778.7</v>
      </c>
      <c r="H69" s="987">
        <v>74842</v>
      </c>
      <c r="I69" s="987">
        <v>81737.399999999994</v>
      </c>
      <c r="J69" s="987">
        <v>81737.399999999994</v>
      </c>
      <c r="K69" s="2103"/>
      <c r="L69" s="782"/>
      <c r="M69" s="745" t="s">
        <v>17</v>
      </c>
      <c r="N69" s="1047">
        <v>0.42099999999999999</v>
      </c>
      <c r="O69" s="1047">
        <v>0.47599999999999998</v>
      </c>
      <c r="P69" s="1047">
        <v>0.49299999999999999</v>
      </c>
      <c r="Q69" s="1047">
        <v>0.49299999999999999</v>
      </c>
      <c r="R69" s="1047">
        <v>0.49299999999999999</v>
      </c>
    </row>
    <row r="70" spans="1:18" s="47" customFormat="1" x14ac:dyDescent="0.2">
      <c r="A70" s="45"/>
      <c r="B70" s="1868"/>
      <c r="C70" s="2106"/>
      <c r="D70" s="2114"/>
      <c r="E70" s="2103"/>
      <c r="F70" s="987">
        <v>7524.9000000000005</v>
      </c>
      <c r="G70" s="987">
        <v>12929.8</v>
      </c>
      <c r="H70" s="987">
        <v>12705</v>
      </c>
      <c r="I70" s="987">
        <v>12705</v>
      </c>
      <c r="J70" s="987">
        <v>12705</v>
      </c>
      <c r="K70" s="2103"/>
      <c r="L70" s="782"/>
      <c r="M70" s="745" t="s">
        <v>17</v>
      </c>
      <c r="N70" s="1047">
        <v>8.2000000000000003E-2</v>
      </c>
      <c r="O70" s="1047">
        <v>0.44900000000000001</v>
      </c>
      <c r="P70" s="1047">
        <v>0.45700000000000002</v>
      </c>
      <c r="Q70" s="1047">
        <v>0.45700000000000002</v>
      </c>
      <c r="R70" s="1047">
        <v>0.45700000000000002</v>
      </c>
    </row>
    <row r="71" spans="1:18" s="47" customFormat="1" x14ac:dyDescent="0.2">
      <c r="A71" s="45"/>
      <c r="B71" s="1868"/>
      <c r="C71" s="2106"/>
      <c r="D71" s="2114"/>
      <c r="E71" s="2103"/>
      <c r="F71" s="987">
        <v>4127</v>
      </c>
      <c r="G71" s="987">
        <v>4133</v>
      </c>
      <c r="H71" s="987">
        <v>4243</v>
      </c>
      <c r="I71" s="987">
        <v>4243</v>
      </c>
      <c r="J71" s="987">
        <v>4243</v>
      </c>
      <c r="K71" s="2103"/>
      <c r="L71" s="782"/>
      <c r="M71" s="745" t="s">
        <v>17</v>
      </c>
      <c r="N71" s="1047">
        <v>0.27400000000000002</v>
      </c>
      <c r="O71" s="1047">
        <v>0.26700000000000002</v>
      </c>
      <c r="P71" s="1047">
        <v>0.28599999999999998</v>
      </c>
      <c r="Q71" s="1047">
        <v>0.28599999999999998</v>
      </c>
      <c r="R71" s="1047">
        <v>0.28599999999999998</v>
      </c>
    </row>
    <row r="72" spans="1:18" s="47" customFormat="1" x14ac:dyDescent="0.2">
      <c r="A72" s="45"/>
      <c r="B72" s="1868"/>
      <c r="C72" s="2106"/>
      <c r="D72" s="2114"/>
      <c r="E72" s="2103"/>
      <c r="F72" s="987">
        <v>39195.600000000006</v>
      </c>
      <c r="G72" s="987">
        <v>45425.1</v>
      </c>
      <c r="H72" s="987">
        <v>51266.5</v>
      </c>
      <c r="I72" s="987">
        <v>51266.5</v>
      </c>
      <c r="J72" s="987">
        <v>51266.5</v>
      </c>
      <c r="K72" s="2103"/>
      <c r="L72" s="782"/>
      <c r="M72" s="745" t="s">
        <v>17</v>
      </c>
      <c r="N72" s="1047">
        <v>0.55100000000000005</v>
      </c>
      <c r="O72" s="1047">
        <v>0.56100000000000005</v>
      </c>
      <c r="P72" s="1047">
        <v>0.64400000000000002</v>
      </c>
      <c r="Q72" s="1047">
        <v>0.64400000000000002</v>
      </c>
      <c r="R72" s="1047">
        <v>0.64400000000000002</v>
      </c>
    </row>
    <row r="73" spans="1:18" s="47" customFormat="1" x14ac:dyDescent="0.2">
      <c r="A73" s="45"/>
      <c r="B73" s="1869"/>
      <c r="C73" s="2106"/>
      <c r="D73" s="2108"/>
      <c r="E73" s="2104"/>
      <c r="F73" s="987">
        <v>12220.8</v>
      </c>
      <c r="G73" s="987">
        <v>13353.2</v>
      </c>
      <c r="H73" s="987">
        <v>13718.2</v>
      </c>
      <c r="I73" s="987">
        <v>13718.2</v>
      </c>
      <c r="J73" s="987">
        <v>13718.2</v>
      </c>
      <c r="K73" s="2104"/>
      <c r="L73" s="702"/>
      <c r="M73" s="745" t="s">
        <v>17</v>
      </c>
      <c r="N73" s="1047">
        <v>0.14699999999999999</v>
      </c>
      <c r="O73" s="1047">
        <v>0.27</v>
      </c>
      <c r="P73" s="1047">
        <v>0.33400000000000002</v>
      </c>
      <c r="Q73" s="1047">
        <v>0.33400000000000002</v>
      </c>
      <c r="R73" s="1047">
        <v>0.33400000000000002</v>
      </c>
    </row>
    <row r="74" spans="1:18" s="47" customFormat="1" ht="25.5" x14ac:dyDescent="0.2">
      <c r="A74" s="45"/>
      <c r="B74" s="1752"/>
      <c r="C74" s="2106">
        <v>6</v>
      </c>
      <c r="D74" s="2107">
        <v>0</v>
      </c>
      <c r="E74" s="2013" t="s">
        <v>107</v>
      </c>
      <c r="F74" s="987">
        <v>91280.5</v>
      </c>
      <c r="G74" s="987">
        <v>91665.1</v>
      </c>
      <c r="H74" s="987">
        <v>87666.8</v>
      </c>
      <c r="I74" s="987">
        <v>87666.8</v>
      </c>
      <c r="J74" s="987">
        <v>87666.8</v>
      </c>
      <c r="K74" s="741" t="s">
        <v>108</v>
      </c>
      <c r="L74" s="741"/>
      <c r="M74" s="745" t="s">
        <v>31</v>
      </c>
      <c r="N74" s="552">
        <f>SUM(N75:N78)</f>
        <v>157</v>
      </c>
      <c r="O74" s="552">
        <f>SUM(O75:O78)</f>
        <v>141</v>
      </c>
      <c r="P74" s="552">
        <f>SUM(P75:P78)</f>
        <v>110</v>
      </c>
      <c r="Q74" s="552">
        <f t="shared" ref="Q74:R74" si="2">SUM(Q75:Q78)</f>
        <v>110</v>
      </c>
      <c r="R74" s="552">
        <f t="shared" si="2"/>
        <v>110</v>
      </c>
    </row>
    <row r="75" spans="1:18" s="47" customFormat="1" x14ac:dyDescent="0.2">
      <c r="A75" s="45"/>
      <c r="B75" s="1752"/>
      <c r="C75" s="2106"/>
      <c r="D75" s="2114"/>
      <c r="E75" s="2014"/>
      <c r="F75" s="987"/>
      <c r="G75" s="987"/>
      <c r="H75" s="987"/>
      <c r="I75" s="987"/>
      <c r="J75" s="987"/>
      <c r="K75" s="74" t="s">
        <v>109</v>
      </c>
      <c r="L75" s="74"/>
      <c r="M75" s="745" t="s">
        <v>31</v>
      </c>
      <c r="N75" s="695">
        <f>6+23</f>
        <v>29</v>
      </c>
      <c r="O75" s="695">
        <f>6+27</f>
        <v>33</v>
      </c>
      <c r="P75" s="695">
        <f>5+25</f>
        <v>30</v>
      </c>
      <c r="Q75" s="695">
        <f t="shared" ref="Q75:R75" si="3">5+25</f>
        <v>30</v>
      </c>
      <c r="R75" s="695">
        <f t="shared" si="3"/>
        <v>30</v>
      </c>
    </row>
    <row r="76" spans="1:18" s="47" customFormat="1" x14ac:dyDescent="0.2">
      <c r="A76" s="45"/>
      <c r="B76" s="1752"/>
      <c r="C76" s="2106"/>
      <c r="D76" s="2114"/>
      <c r="E76" s="2014"/>
      <c r="F76" s="987"/>
      <c r="G76" s="987"/>
      <c r="H76" s="987"/>
      <c r="I76" s="987"/>
      <c r="J76" s="987"/>
      <c r="K76" s="74" t="s">
        <v>110</v>
      </c>
      <c r="L76" s="74"/>
      <c r="M76" s="745" t="s">
        <v>31</v>
      </c>
      <c r="N76" s="695">
        <f>4+14</f>
        <v>18</v>
      </c>
      <c r="O76" s="695">
        <f>4+18</f>
        <v>22</v>
      </c>
      <c r="P76" s="695">
        <f>4+15</f>
        <v>19</v>
      </c>
      <c r="Q76" s="695">
        <f t="shared" ref="Q76:R76" si="4">4+15</f>
        <v>19</v>
      </c>
      <c r="R76" s="695">
        <f t="shared" si="4"/>
        <v>19</v>
      </c>
    </row>
    <row r="77" spans="1:18" s="47" customFormat="1" x14ac:dyDescent="0.2">
      <c r="A77" s="45"/>
      <c r="B77" s="1752"/>
      <c r="C77" s="2106"/>
      <c r="D77" s="2114"/>
      <c r="E77" s="2014"/>
      <c r="F77" s="987"/>
      <c r="G77" s="987"/>
      <c r="H77" s="987"/>
      <c r="I77" s="987"/>
      <c r="J77" s="987"/>
      <c r="K77" s="74" t="s">
        <v>111</v>
      </c>
      <c r="L77" s="74"/>
      <c r="M77" s="745" t="s">
        <v>31</v>
      </c>
      <c r="N77" s="695">
        <v>8</v>
      </c>
      <c r="O77" s="695">
        <v>8</v>
      </c>
      <c r="P77" s="695">
        <v>7</v>
      </c>
      <c r="Q77" s="695">
        <v>7</v>
      </c>
      <c r="R77" s="695">
        <v>7</v>
      </c>
    </row>
    <row r="78" spans="1:18" s="47" customFormat="1" x14ac:dyDescent="0.2">
      <c r="A78" s="45"/>
      <c r="B78" s="1752"/>
      <c r="C78" s="2106"/>
      <c r="D78" s="2114"/>
      <c r="E78" s="2014"/>
      <c r="F78" s="987"/>
      <c r="G78" s="987"/>
      <c r="H78" s="987"/>
      <c r="I78" s="987"/>
      <c r="J78" s="987"/>
      <c r="K78" s="74" t="s">
        <v>112</v>
      </c>
      <c r="L78" s="74"/>
      <c r="M78" s="745" t="s">
        <v>31</v>
      </c>
      <c r="N78" s="695">
        <f>97+5</f>
        <v>102</v>
      </c>
      <c r="O78" s="695">
        <f>73+5</f>
        <v>78</v>
      </c>
      <c r="P78" s="695">
        <f>3+51</f>
        <v>54</v>
      </c>
      <c r="Q78" s="695">
        <f t="shared" ref="Q78:R78" si="5">3+51</f>
        <v>54</v>
      </c>
      <c r="R78" s="695">
        <f t="shared" si="5"/>
        <v>54</v>
      </c>
    </row>
    <row r="79" spans="1:18" s="47" customFormat="1" ht="25.5" x14ac:dyDescent="0.2">
      <c r="A79" s="45"/>
      <c r="B79" s="1752"/>
      <c r="C79" s="2106"/>
      <c r="D79" s="2114"/>
      <c r="E79" s="2014"/>
      <c r="F79" s="987"/>
      <c r="G79" s="987"/>
      <c r="H79" s="987"/>
      <c r="I79" s="987"/>
      <c r="J79" s="987"/>
      <c r="K79" s="75" t="s">
        <v>113</v>
      </c>
      <c r="L79" s="75"/>
      <c r="M79" s="745" t="s">
        <v>31</v>
      </c>
      <c r="N79" s="552">
        <f>N80+N82+N81</f>
        <v>21</v>
      </c>
      <c r="O79" s="552">
        <f>O80+O82+O81</f>
        <v>27</v>
      </c>
      <c r="P79" s="552">
        <f>P80+P82+P81</f>
        <v>33</v>
      </c>
      <c r="Q79" s="552">
        <f t="shared" ref="Q79:R79" si="6">Q80+Q82+Q81</f>
        <v>33</v>
      </c>
      <c r="R79" s="552">
        <f t="shared" si="6"/>
        <v>33</v>
      </c>
    </row>
    <row r="80" spans="1:18" s="47" customFormat="1" x14ac:dyDescent="0.2">
      <c r="A80" s="45"/>
      <c r="B80" s="1752"/>
      <c r="C80" s="2106"/>
      <c r="D80" s="2114"/>
      <c r="E80" s="2014"/>
      <c r="F80" s="987"/>
      <c r="G80" s="987"/>
      <c r="H80" s="987"/>
      <c r="I80" s="987"/>
      <c r="J80" s="987"/>
      <c r="K80" s="74" t="s">
        <v>114</v>
      </c>
      <c r="L80" s="74"/>
      <c r="M80" s="745" t="s">
        <v>31</v>
      </c>
      <c r="N80" s="695">
        <f>12+9</f>
        <v>21</v>
      </c>
      <c r="O80" s="695">
        <v>7</v>
      </c>
      <c r="P80" s="695">
        <v>9</v>
      </c>
      <c r="Q80" s="695">
        <v>9</v>
      </c>
      <c r="R80" s="695">
        <v>9</v>
      </c>
    </row>
    <row r="81" spans="1:18" s="47" customFormat="1" x14ac:dyDescent="0.2">
      <c r="A81" s="45"/>
      <c r="B81" s="1752"/>
      <c r="C81" s="2106"/>
      <c r="D81" s="2114"/>
      <c r="E81" s="2014"/>
      <c r="F81" s="987"/>
      <c r="G81" s="987"/>
      <c r="H81" s="987"/>
      <c r="I81" s="987"/>
      <c r="J81" s="987"/>
      <c r="K81" s="74" t="s">
        <v>115</v>
      </c>
      <c r="L81" s="74"/>
      <c r="M81" s="745" t="s">
        <v>31</v>
      </c>
      <c r="N81" s="695"/>
      <c r="O81" s="695"/>
      <c r="P81" s="695"/>
      <c r="Q81" s="695"/>
      <c r="R81" s="695"/>
    </row>
    <row r="82" spans="1:18" s="47" customFormat="1" x14ac:dyDescent="0.2">
      <c r="A82" s="45"/>
      <c r="B82" s="1752"/>
      <c r="C82" s="2106"/>
      <c r="D82" s="2108"/>
      <c r="E82" s="2018"/>
      <c r="F82" s="987"/>
      <c r="G82" s="987"/>
      <c r="H82" s="987"/>
      <c r="I82" s="987"/>
      <c r="J82" s="987"/>
      <c r="K82" s="74" t="s">
        <v>112</v>
      </c>
      <c r="L82" s="74"/>
      <c r="M82" s="745" t="s">
        <v>31</v>
      </c>
      <c r="N82" s="695"/>
      <c r="O82" s="695">
        <v>20</v>
      </c>
      <c r="P82" s="695">
        <v>24</v>
      </c>
      <c r="Q82" s="695">
        <v>24</v>
      </c>
      <c r="R82" s="695">
        <v>24</v>
      </c>
    </row>
    <row r="83" spans="1:18" s="47" customFormat="1" x14ac:dyDescent="0.2">
      <c r="A83" s="45"/>
      <c r="B83" s="1752"/>
      <c r="C83" s="2106">
        <v>7</v>
      </c>
      <c r="D83" s="2107">
        <v>0</v>
      </c>
      <c r="E83" s="2109" t="s">
        <v>116</v>
      </c>
      <c r="F83" s="987">
        <v>5987.4</v>
      </c>
      <c r="G83" s="987">
        <v>7155.8</v>
      </c>
      <c r="H83" s="987">
        <v>7155.8</v>
      </c>
      <c r="I83" s="987">
        <v>7155.8</v>
      </c>
      <c r="J83" s="987">
        <v>7155.8</v>
      </c>
      <c r="K83" s="67"/>
      <c r="L83" s="67"/>
      <c r="M83" s="818"/>
      <c r="N83" s="558"/>
      <c r="O83" s="558"/>
      <c r="P83" s="558"/>
      <c r="Q83" s="558"/>
      <c r="R83" s="558"/>
    </row>
    <row r="84" spans="1:18" s="47" customFormat="1" x14ac:dyDescent="0.2">
      <c r="A84" s="45"/>
      <c r="B84" s="1752"/>
      <c r="C84" s="2106"/>
      <c r="D84" s="2108"/>
      <c r="E84" s="2110"/>
      <c r="F84" s="1048"/>
      <c r="G84" s="1048"/>
      <c r="H84" s="1048"/>
      <c r="I84" s="1048"/>
      <c r="J84" s="1048"/>
      <c r="K84" s="76" t="s">
        <v>117</v>
      </c>
      <c r="L84" s="76"/>
      <c r="M84" s="818" t="s">
        <v>96</v>
      </c>
      <c r="N84" s="695">
        <v>294</v>
      </c>
      <c r="O84" s="695">
        <v>260</v>
      </c>
      <c r="P84" s="695">
        <v>298</v>
      </c>
      <c r="Q84" s="695">
        <v>298</v>
      </c>
      <c r="R84" s="695">
        <v>298</v>
      </c>
    </row>
    <row r="85" spans="1:18" s="47" customFormat="1" x14ac:dyDescent="0.2">
      <c r="A85" s="45"/>
      <c r="B85" s="1752"/>
      <c r="C85" s="2106">
        <v>8</v>
      </c>
      <c r="D85" s="2107">
        <v>0</v>
      </c>
      <c r="E85" s="2109" t="s">
        <v>118</v>
      </c>
      <c r="F85" s="987">
        <v>32568.800000000003</v>
      </c>
      <c r="G85" s="987">
        <v>34561</v>
      </c>
      <c r="H85" s="987">
        <v>33409.4</v>
      </c>
      <c r="I85" s="987">
        <v>33409.4</v>
      </c>
      <c r="J85" s="987">
        <v>33409.4</v>
      </c>
      <c r="K85" s="67"/>
      <c r="L85" s="67"/>
      <c r="M85" s="818"/>
      <c r="N85" s="558"/>
      <c r="O85" s="558"/>
      <c r="P85" s="558"/>
      <c r="Q85" s="558"/>
      <c r="R85" s="558"/>
    </row>
    <row r="86" spans="1:18" s="47" customFormat="1" ht="25.5" x14ac:dyDescent="0.2">
      <c r="A86" s="45"/>
      <c r="B86" s="1752"/>
      <c r="C86" s="2106"/>
      <c r="D86" s="2108"/>
      <c r="E86" s="2110"/>
      <c r="F86" s="1048"/>
      <c r="G86" s="1048"/>
      <c r="H86" s="1048"/>
      <c r="I86" s="1048"/>
      <c r="J86" s="1048"/>
      <c r="K86" s="670" t="s">
        <v>119</v>
      </c>
      <c r="L86" s="670"/>
      <c r="M86" s="818" t="s">
        <v>31</v>
      </c>
      <c r="N86" s="695">
        <v>4</v>
      </c>
      <c r="O86" s="695">
        <v>6</v>
      </c>
      <c r="P86" s="695">
        <v>5</v>
      </c>
      <c r="Q86" s="695">
        <v>5</v>
      </c>
      <c r="R86" s="695">
        <v>5</v>
      </c>
    </row>
    <row r="87" spans="1:18" s="17" customFormat="1" ht="19.5" customHeight="1" x14ac:dyDescent="0.2">
      <c r="A87" s="2111" t="s">
        <v>64</v>
      </c>
      <c r="B87" s="2111"/>
      <c r="C87" s="2111"/>
      <c r="D87" s="2111"/>
      <c r="E87" s="2111"/>
      <c r="F87" s="909">
        <v>1194262.3</v>
      </c>
      <c r="G87" s="909">
        <v>654932.79999999993</v>
      </c>
      <c r="H87" s="909">
        <v>662229.19999999995</v>
      </c>
      <c r="I87" s="909">
        <v>658533.6</v>
      </c>
      <c r="J87" s="909">
        <v>663483.9</v>
      </c>
      <c r="K87" s="610"/>
      <c r="L87" s="610"/>
      <c r="M87" s="610"/>
      <c r="N87" s="610"/>
      <c r="O87" s="610"/>
      <c r="P87" s="610"/>
      <c r="Q87" s="610"/>
      <c r="R87" s="610"/>
    </row>
    <row r="88" spans="1:18" s="17" customFormat="1" ht="20.25" customHeight="1" x14ac:dyDescent="0.2">
      <c r="A88" s="2112" t="s">
        <v>2376</v>
      </c>
      <c r="B88" s="2112"/>
      <c r="C88" s="2112"/>
      <c r="D88" s="2112"/>
      <c r="E88" s="2112"/>
      <c r="F88" s="2112"/>
      <c r="G88" s="2112"/>
      <c r="H88" s="2112"/>
      <c r="I88" s="2112"/>
      <c r="J88" s="2112"/>
      <c r="K88" s="2112"/>
      <c r="L88" s="2112"/>
      <c r="M88" s="2112"/>
      <c r="N88" s="2112"/>
      <c r="O88" s="2112"/>
      <c r="P88" s="2112"/>
      <c r="Q88" s="2112"/>
      <c r="R88" s="2113"/>
    </row>
    <row r="89" spans="1:18" s="20" customFormat="1" ht="51" x14ac:dyDescent="0.2">
      <c r="A89" s="52"/>
      <c r="B89" s="77" t="s">
        <v>120</v>
      </c>
      <c r="C89" s="77"/>
      <c r="D89" s="77" t="s">
        <v>121</v>
      </c>
      <c r="E89" s="812" t="s">
        <v>2383</v>
      </c>
      <c r="F89" s="910">
        <v>0</v>
      </c>
      <c r="G89" s="910">
        <v>0</v>
      </c>
      <c r="H89" s="910">
        <v>0</v>
      </c>
      <c r="I89" s="910">
        <v>0</v>
      </c>
      <c r="J89" s="910">
        <v>0</v>
      </c>
      <c r="K89" s="659" t="s">
        <v>122</v>
      </c>
      <c r="L89" s="659"/>
      <c r="M89" s="660" t="s">
        <v>17</v>
      </c>
      <c r="N89" s="660">
        <v>68.2</v>
      </c>
      <c r="O89" s="660">
        <v>69.599999999999994</v>
      </c>
      <c r="P89" s="660">
        <v>69.599999999999994</v>
      </c>
      <c r="Q89" s="660">
        <v>69.599999999999994</v>
      </c>
      <c r="R89" s="660">
        <v>69.599999999999994</v>
      </c>
    </row>
    <row r="90" spans="1:18" s="20" customFormat="1" ht="25.5" x14ac:dyDescent="0.2">
      <c r="A90" s="52"/>
      <c r="B90" s="77"/>
      <c r="C90" s="77" t="s">
        <v>123</v>
      </c>
      <c r="D90" s="77" t="s">
        <v>121</v>
      </c>
      <c r="E90" s="812" t="s">
        <v>18</v>
      </c>
      <c r="F90" s="911"/>
      <c r="G90" s="911"/>
      <c r="H90" s="911"/>
      <c r="I90" s="911"/>
      <c r="J90" s="911"/>
      <c r="K90" s="670" t="s">
        <v>2387</v>
      </c>
      <c r="L90" s="670"/>
      <c r="M90" s="708" t="s">
        <v>124</v>
      </c>
      <c r="N90" s="79">
        <v>0</v>
      </c>
      <c r="O90" s="79">
        <v>0</v>
      </c>
      <c r="P90" s="79">
        <v>0</v>
      </c>
      <c r="Q90" s="79">
        <v>0</v>
      </c>
      <c r="R90" s="79">
        <v>0</v>
      </c>
    </row>
    <row r="91" spans="1:18" s="20" customFormat="1" x14ac:dyDescent="0.2">
      <c r="A91" s="52"/>
      <c r="B91" s="77"/>
      <c r="C91" s="77" t="s">
        <v>125</v>
      </c>
      <c r="D91" s="77" t="s">
        <v>121</v>
      </c>
      <c r="E91" s="812" t="s">
        <v>24</v>
      </c>
      <c r="F91" s="911"/>
      <c r="G91" s="911"/>
      <c r="H91" s="911"/>
      <c r="I91" s="911"/>
      <c r="J91" s="911"/>
      <c r="K91" s="670" t="s">
        <v>126</v>
      </c>
      <c r="L91" s="670"/>
      <c r="M91" s="708" t="s">
        <v>17</v>
      </c>
      <c r="N91" s="708">
        <v>0</v>
      </c>
      <c r="O91" s="708">
        <v>0</v>
      </c>
      <c r="P91" s="80">
        <v>0</v>
      </c>
      <c r="Q91" s="80">
        <v>0</v>
      </c>
      <c r="R91" s="80">
        <v>0</v>
      </c>
    </row>
    <row r="92" spans="1:18" s="20" customFormat="1" x14ac:dyDescent="0.2">
      <c r="A92" s="52"/>
      <c r="B92" s="81"/>
      <c r="C92" s="81" t="s">
        <v>127</v>
      </c>
      <c r="D92" s="81" t="s">
        <v>121</v>
      </c>
      <c r="E92" s="787" t="s">
        <v>128</v>
      </c>
      <c r="F92" s="912"/>
      <c r="G92" s="912"/>
      <c r="H92" s="912"/>
      <c r="I92" s="912"/>
      <c r="J92" s="912"/>
      <c r="K92" s="670" t="s">
        <v>129</v>
      </c>
      <c r="L92" s="670"/>
      <c r="M92" s="708" t="s">
        <v>130</v>
      </c>
      <c r="N92" s="708">
        <v>20</v>
      </c>
      <c r="O92" s="708">
        <v>20</v>
      </c>
      <c r="P92" s="708">
        <v>20</v>
      </c>
      <c r="Q92" s="708">
        <v>20</v>
      </c>
      <c r="R92" s="708">
        <v>20</v>
      </c>
    </row>
    <row r="93" spans="1:18" s="20" customFormat="1" ht="25.5" x14ac:dyDescent="0.2">
      <c r="A93" s="52"/>
      <c r="B93" s="82"/>
      <c r="C93" s="82"/>
      <c r="D93" s="82"/>
      <c r="E93" s="788"/>
      <c r="F93" s="913"/>
      <c r="G93" s="913"/>
      <c r="H93" s="913"/>
      <c r="I93" s="913"/>
      <c r="J93" s="913"/>
      <c r="K93" s="670" t="s">
        <v>131</v>
      </c>
      <c r="L93" s="670"/>
      <c r="M93" s="708" t="s">
        <v>130</v>
      </c>
      <c r="N93" s="708">
        <v>3</v>
      </c>
      <c r="O93" s="708">
        <v>3</v>
      </c>
      <c r="P93" s="708">
        <v>3</v>
      </c>
      <c r="Q93" s="708">
        <v>3</v>
      </c>
      <c r="R93" s="708">
        <v>3</v>
      </c>
    </row>
    <row r="94" spans="1:18" s="20" customFormat="1" ht="25.5" x14ac:dyDescent="0.2">
      <c r="A94" s="52"/>
      <c r="B94" s="77"/>
      <c r="C94" s="77" t="s">
        <v>132</v>
      </c>
      <c r="D94" s="77" t="s">
        <v>121</v>
      </c>
      <c r="E94" s="812" t="s">
        <v>133</v>
      </c>
      <c r="F94" s="911"/>
      <c r="G94" s="911"/>
      <c r="H94" s="911"/>
      <c r="I94" s="911"/>
      <c r="J94" s="911"/>
      <c r="K94" s="670" t="s">
        <v>134</v>
      </c>
      <c r="L94" s="670"/>
      <c r="M94" s="708" t="s">
        <v>130</v>
      </c>
      <c r="N94" s="708" t="s">
        <v>135</v>
      </c>
      <c r="O94" s="708" t="s">
        <v>135</v>
      </c>
      <c r="P94" s="708" t="s">
        <v>135</v>
      </c>
      <c r="Q94" s="708" t="s">
        <v>135</v>
      </c>
      <c r="R94" s="708" t="s">
        <v>135</v>
      </c>
    </row>
    <row r="95" spans="1:18" s="20" customFormat="1" ht="25.5" x14ac:dyDescent="0.2">
      <c r="A95" s="52"/>
      <c r="B95" s="77"/>
      <c r="C95" s="77" t="s">
        <v>74</v>
      </c>
      <c r="D95" s="77" t="s">
        <v>121</v>
      </c>
      <c r="E95" s="812" t="s">
        <v>136</v>
      </c>
      <c r="F95" s="911"/>
      <c r="G95" s="911"/>
      <c r="H95" s="911"/>
      <c r="I95" s="911"/>
      <c r="J95" s="911"/>
      <c r="K95" s="670" t="s">
        <v>137</v>
      </c>
      <c r="L95" s="670"/>
      <c r="M95" s="708" t="s">
        <v>17</v>
      </c>
      <c r="N95" s="708">
        <v>30</v>
      </c>
      <c r="O95" s="708">
        <v>30</v>
      </c>
      <c r="P95" s="708">
        <v>30</v>
      </c>
      <c r="Q95" s="708">
        <v>30</v>
      </c>
      <c r="R95" s="708">
        <v>30</v>
      </c>
    </row>
    <row r="96" spans="1:18" s="20" customFormat="1" ht="62.25" customHeight="1" x14ac:dyDescent="0.2">
      <c r="A96" s="52"/>
      <c r="B96" s="83" t="s">
        <v>138</v>
      </c>
      <c r="C96" s="83"/>
      <c r="D96" s="83" t="s">
        <v>121</v>
      </c>
      <c r="E96" s="812" t="s">
        <v>2384</v>
      </c>
      <c r="F96" s="910">
        <v>133833.4</v>
      </c>
      <c r="G96" s="910">
        <v>151754</v>
      </c>
      <c r="H96" s="910">
        <v>152906.20000000001</v>
      </c>
      <c r="I96" s="910">
        <v>146520.20000000001</v>
      </c>
      <c r="J96" s="910">
        <v>146520.6</v>
      </c>
      <c r="K96" s="659" t="s">
        <v>139</v>
      </c>
      <c r="L96" s="659"/>
      <c r="M96" s="660" t="s">
        <v>17</v>
      </c>
      <c r="N96" s="660">
        <v>174</v>
      </c>
      <c r="O96" s="660">
        <v>0</v>
      </c>
      <c r="P96" s="660">
        <v>0</v>
      </c>
      <c r="Q96" s="660">
        <v>0</v>
      </c>
      <c r="R96" s="660">
        <v>0</v>
      </c>
    </row>
    <row r="97" spans="1:18" s="20" customFormat="1" ht="36" customHeight="1" x14ac:dyDescent="0.2">
      <c r="A97" s="52"/>
      <c r="B97" s="697"/>
      <c r="C97" s="697" t="s">
        <v>123</v>
      </c>
      <c r="D97" s="697" t="s">
        <v>121</v>
      </c>
      <c r="E97" s="673" t="s">
        <v>140</v>
      </c>
      <c r="F97" s="914">
        <v>133833.4</v>
      </c>
      <c r="G97" s="914">
        <v>151754</v>
      </c>
      <c r="H97" s="914">
        <v>152906.20000000001</v>
      </c>
      <c r="I97" s="914">
        <v>146520.20000000001</v>
      </c>
      <c r="J97" s="914">
        <v>146520.6</v>
      </c>
      <c r="K97" s="670" t="s">
        <v>141</v>
      </c>
      <c r="L97" s="63"/>
      <c r="M97" s="779" t="s">
        <v>130</v>
      </c>
      <c r="N97" s="668">
        <v>650</v>
      </c>
      <c r="O97" s="84" t="s">
        <v>142</v>
      </c>
      <c r="P97" s="84" t="s">
        <v>142</v>
      </c>
      <c r="Q97" s="84" t="s">
        <v>143</v>
      </c>
      <c r="R97" s="84" t="s">
        <v>143</v>
      </c>
    </row>
    <row r="98" spans="1:18" s="20" customFormat="1" ht="25.5" x14ac:dyDescent="0.2">
      <c r="A98" s="52"/>
      <c r="B98" s="697"/>
      <c r="C98" s="697" t="s">
        <v>125</v>
      </c>
      <c r="D98" s="697" t="s">
        <v>121</v>
      </c>
      <c r="E98" s="85" t="s">
        <v>144</v>
      </c>
      <c r="F98" s="914"/>
      <c r="G98" s="914"/>
      <c r="H98" s="915"/>
      <c r="I98" s="915"/>
      <c r="J98" s="915"/>
      <c r="K98" s="86" t="s">
        <v>145</v>
      </c>
      <c r="L98" s="87"/>
      <c r="M98" s="88"/>
      <c r="N98" s="668" t="s">
        <v>146</v>
      </c>
      <c r="O98" s="668" t="s">
        <v>146</v>
      </c>
      <c r="P98" s="668" t="s">
        <v>146</v>
      </c>
      <c r="Q98" s="668" t="s">
        <v>146</v>
      </c>
      <c r="R98" s="668" t="s">
        <v>146</v>
      </c>
    </row>
    <row r="99" spans="1:18" s="20" customFormat="1" ht="41.25" customHeight="1" x14ac:dyDescent="0.2">
      <c r="A99" s="52"/>
      <c r="B99" s="697"/>
      <c r="C99" s="697" t="s">
        <v>127</v>
      </c>
      <c r="D99" s="697" t="s">
        <v>121</v>
      </c>
      <c r="E99" s="85" t="s">
        <v>147</v>
      </c>
      <c r="F99" s="914"/>
      <c r="G99" s="916"/>
      <c r="H99" s="916"/>
      <c r="I99" s="916"/>
      <c r="J99" s="916"/>
      <c r="K99" s="86" t="s">
        <v>148</v>
      </c>
      <c r="L99" s="87"/>
      <c r="M99" s="88" t="s">
        <v>17</v>
      </c>
      <c r="N99" s="668">
        <v>100</v>
      </c>
      <c r="O99" s="668">
        <v>100</v>
      </c>
      <c r="P99" s="668">
        <v>100</v>
      </c>
      <c r="Q99" s="668">
        <v>100</v>
      </c>
      <c r="R99" s="668">
        <v>100</v>
      </c>
    </row>
    <row r="100" spans="1:18" s="20" customFormat="1" ht="25.5" x14ac:dyDescent="0.2">
      <c r="A100" s="52"/>
      <c r="B100" s="697"/>
      <c r="C100" s="697" t="s">
        <v>132</v>
      </c>
      <c r="D100" s="697" t="s">
        <v>121</v>
      </c>
      <c r="E100" s="85" t="s">
        <v>2388</v>
      </c>
      <c r="F100" s="914"/>
      <c r="G100" s="916"/>
      <c r="H100" s="916"/>
      <c r="I100" s="916"/>
      <c r="J100" s="916"/>
      <c r="K100" s="86" t="s">
        <v>149</v>
      </c>
      <c r="L100" s="86"/>
      <c r="M100" s="668" t="s">
        <v>17</v>
      </c>
      <c r="N100" s="668">
        <v>100</v>
      </c>
      <c r="O100" s="668">
        <v>100</v>
      </c>
      <c r="P100" s="668">
        <v>100</v>
      </c>
      <c r="Q100" s="668">
        <v>100</v>
      </c>
      <c r="R100" s="668">
        <v>100</v>
      </c>
    </row>
    <row r="101" spans="1:18" s="20" customFormat="1" ht="42.75" customHeight="1" x14ac:dyDescent="0.2">
      <c r="A101" s="52"/>
      <c r="B101" s="697"/>
      <c r="C101" s="697" t="s">
        <v>74</v>
      </c>
      <c r="D101" s="697" t="s">
        <v>121</v>
      </c>
      <c r="E101" s="89" t="s">
        <v>150</v>
      </c>
      <c r="F101" s="914"/>
      <c r="G101" s="916"/>
      <c r="H101" s="916"/>
      <c r="I101" s="916"/>
      <c r="J101" s="916"/>
      <c r="K101" s="90" t="s">
        <v>151</v>
      </c>
      <c r="L101" s="90"/>
      <c r="M101" s="91" t="s">
        <v>124</v>
      </c>
      <c r="N101" s="668">
        <v>30</v>
      </c>
      <c r="O101" s="668">
        <v>30</v>
      </c>
      <c r="P101" s="668">
        <v>30</v>
      </c>
      <c r="Q101" s="668">
        <v>30</v>
      </c>
      <c r="R101" s="668">
        <v>30</v>
      </c>
    </row>
    <row r="102" spans="1:18" s="20" customFormat="1" ht="24.75" customHeight="1" x14ac:dyDescent="0.2">
      <c r="A102" s="52"/>
      <c r="B102" s="697"/>
      <c r="C102" s="697" t="s">
        <v>152</v>
      </c>
      <c r="D102" s="697" t="s">
        <v>121</v>
      </c>
      <c r="E102" s="89" t="s">
        <v>153</v>
      </c>
      <c r="F102" s="914"/>
      <c r="G102" s="916"/>
      <c r="H102" s="916"/>
      <c r="I102" s="916"/>
      <c r="J102" s="916"/>
      <c r="K102" s="90" t="s">
        <v>154</v>
      </c>
      <c r="L102" s="90"/>
      <c r="M102" s="91" t="s">
        <v>130</v>
      </c>
      <c r="N102" s="668">
        <v>14</v>
      </c>
      <c r="O102" s="668">
        <v>14</v>
      </c>
      <c r="P102" s="668"/>
      <c r="Q102" s="668"/>
      <c r="R102" s="668"/>
    </row>
    <row r="103" spans="1:18" s="20" customFormat="1" ht="25.5" x14ac:dyDescent="0.2">
      <c r="A103" s="52"/>
      <c r="B103" s="697"/>
      <c r="C103" s="697" t="s">
        <v>155</v>
      </c>
      <c r="D103" s="697" t="s">
        <v>121</v>
      </c>
      <c r="E103" s="85" t="s">
        <v>156</v>
      </c>
      <c r="F103" s="914"/>
      <c r="G103" s="916"/>
      <c r="H103" s="916"/>
      <c r="I103" s="916"/>
      <c r="J103" s="916"/>
      <c r="K103" s="92" t="s">
        <v>157</v>
      </c>
      <c r="L103" s="92"/>
      <c r="M103" s="91" t="s">
        <v>130</v>
      </c>
      <c r="N103" s="668">
        <v>278</v>
      </c>
      <c r="O103" s="668">
        <v>280</v>
      </c>
      <c r="P103" s="668"/>
      <c r="Q103" s="668"/>
      <c r="R103" s="668"/>
    </row>
    <row r="104" spans="1:18" s="20" customFormat="1" x14ac:dyDescent="0.2">
      <c r="A104" s="52"/>
      <c r="B104" s="697"/>
      <c r="C104" s="697" t="s">
        <v>158</v>
      </c>
      <c r="D104" s="697" t="s">
        <v>121</v>
      </c>
      <c r="E104" s="85" t="s">
        <v>159</v>
      </c>
      <c r="F104" s="917"/>
      <c r="G104" s="916"/>
      <c r="H104" s="916"/>
      <c r="I104" s="916"/>
      <c r="J104" s="916"/>
      <c r="K104" s="92" t="s">
        <v>160</v>
      </c>
      <c r="L104" s="92"/>
      <c r="M104" s="91" t="s">
        <v>130</v>
      </c>
      <c r="N104" s="668">
        <v>88</v>
      </c>
      <c r="O104" s="668">
        <v>90</v>
      </c>
      <c r="P104" s="668"/>
      <c r="Q104" s="668"/>
      <c r="R104" s="668"/>
    </row>
    <row r="105" spans="1:18" s="20" customFormat="1" ht="51" x14ac:dyDescent="0.2">
      <c r="A105" s="52"/>
      <c r="B105" s="697" t="s">
        <v>161</v>
      </c>
      <c r="C105" s="697"/>
      <c r="D105" s="697"/>
      <c r="E105" s="85" t="s">
        <v>2385</v>
      </c>
      <c r="F105" s="918">
        <v>0</v>
      </c>
      <c r="G105" s="918">
        <v>0</v>
      </c>
      <c r="H105" s="918">
        <v>0</v>
      </c>
      <c r="I105" s="918">
        <v>0</v>
      </c>
      <c r="J105" s="918">
        <v>0</v>
      </c>
      <c r="K105" s="661" t="s">
        <v>162</v>
      </c>
      <c r="L105" s="661"/>
      <c r="M105" s="660" t="s">
        <v>163</v>
      </c>
      <c r="N105" s="662">
        <v>0</v>
      </c>
      <c r="O105" s="662">
        <v>0</v>
      </c>
      <c r="P105" s="663"/>
      <c r="Q105" s="662"/>
      <c r="R105" s="94"/>
    </row>
    <row r="106" spans="1:18" s="20" customFormat="1" ht="38.25" x14ac:dyDescent="0.2">
      <c r="A106" s="52"/>
      <c r="B106" s="83" t="s">
        <v>161</v>
      </c>
      <c r="C106" s="83" t="s">
        <v>123</v>
      </c>
      <c r="D106" s="83" t="s">
        <v>121</v>
      </c>
      <c r="E106" s="85" t="s">
        <v>164</v>
      </c>
      <c r="F106" s="914"/>
      <c r="G106" s="916"/>
      <c r="H106" s="916"/>
      <c r="I106" s="916"/>
      <c r="J106" s="916"/>
      <c r="K106" s="86" t="s">
        <v>165</v>
      </c>
      <c r="L106" s="87"/>
      <c r="M106" s="88" t="s">
        <v>130</v>
      </c>
      <c r="N106" s="94">
        <v>0</v>
      </c>
      <c r="O106" s="94">
        <v>0</v>
      </c>
      <c r="P106" s="95"/>
      <c r="Q106" s="94"/>
      <c r="R106" s="94"/>
    </row>
    <row r="107" spans="1:18" s="20" customFormat="1" ht="25.5" x14ac:dyDescent="0.2">
      <c r="A107" s="52"/>
      <c r="B107" s="83" t="s">
        <v>161</v>
      </c>
      <c r="C107" s="83" t="s">
        <v>125</v>
      </c>
      <c r="D107" s="83"/>
      <c r="E107" s="85" t="s">
        <v>166</v>
      </c>
      <c r="F107" s="914"/>
      <c r="G107" s="916"/>
      <c r="H107" s="916"/>
      <c r="I107" s="916"/>
      <c r="J107" s="916"/>
      <c r="K107" s="86" t="s">
        <v>167</v>
      </c>
      <c r="L107" s="87"/>
      <c r="M107" s="88" t="s">
        <v>168</v>
      </c>
      <c r="N107" s="96">
        <v>43295</v>
      </c>
      <c r="O107" s="94"/>
      <c r="P107" s="95"/>
      <c r="Q107" s="94"/>
      <c r="R107" s="94"/>
    </row>
    <row r="108" spans="1:18" s="20" customFormat="1" ht="25.5" x14ac:dyDescent="0.2">
      <c r="A108" s="52"/>
      <c r="B108" s="697" t="s">
        <v>169</v>
      </c>
      <c r="C108" s="697"/>
      <c r="D108" s="697"/>
      <c r="E108" s="85" t="s">
        <v>2386</v>
      </c>
      <c r="F108" s="914">
        <v>0</v>
      </c>
      <c r="G108" s="914">
        <v>0</v>
      </c>
      <c r="H108" s="914">
        <v>0</v>
      </c>
      <c r="I108" s="914">
        <v>0</v>
      </c>
      <c r="J108" s="914">
        <v>0</v>
      </c>
      <c r="K108" s="93" t="s">
        <v>170</v>
      </c>
      <c r="L108" s="93"/>
      <c r="M108" s="708" t="s">
        <v>17</v>
      </c>
      <c r="N108" s="97">
        <v>0</v>
      </c>
      <c r="O108" s="97">
        <v>0</v>
      </c>
      <c r="P108" s="95"/>
      <c r="Q108" s="94"/>
      <c r="R108" s="94"/>
    </row>
    <row r="109" spans="1:18" s="20" customFormat="1" x14ac:dyDescent="0.2">
      <c r="A109" s="52"/>
      <c r="B109" s="83" t="s">
        <v>169</v>
      </c>
      <c r="C109" s="83" t="s">
        <v>123</v>
      </c>
      <c r="D109" s="83" t="s">
        <v>121</v>
      </c>
      <c r="E109" s="85" t="s">
        <v>171</v>
      </c>
      <c r="F109" s="914"/>
      <c r="G109" s="916"/>
      <c r="H109" s="916"/>
      <c r="I109" s="916"/>
      <c r="J109" s="916"/>
      <c r="K109" s="98" t="s">
        <v>172</v>
      </c>
      <c r="L109" s="98"/>
      <c r="M109" s="668" t="s">
        <v>130</v>
      </c>
      <c r="N109" s="99">
        <v>1500</v>
      </c>
      <c r="O109" s="99">
        <v>1550</v>
      </c>
      <c r="P109" s="95"/>
      <c r="Q109" s="94"/>
      <c r="R109" s="94"/>
    </row>
    <row r="110" spans="1:18" s="20" customFormat="1" x14ac:dyDescent="0.2">
      <c r="A110" s="52"/>
      <c r="B110" s="83" t="s">
        <v>169</v>
      </c>
      <c r="C110" s="83" t="s">
        <v>123</v>
      </c>
      <c r="D110" s="83" t="s">
        <v>121</v>
      </c>
      <c r="E110" s="85" t="s">
        <v>173</v>
      </c>
      <c r="F110" s="914"/>
      <c r="G110" s="916"/>
      <c r="H110" s="916"/>
      <c r="I110" s="916"/>
      <c r="J110" s="916"/>
      <c r="K110" s="98"/>
      <c r="L110" s="98"/>
      <c r="M110" s="668"/>
      <c r="N110" s="99"/>
      <c r="O110" s="99"/>
      <c r="P110" s="95"/>
      <c r="Q110" s="94"/>
      <c r="R110" s="94"/>
    </row>
    <row r="111" spans="1:18" s="20" customFormat="1" ht="25.5" x14ac:dyDescent="0.2">
      <c r="A111" s="52"/>
      <c r="B111" s="83" t="s">
        <v>169</v>
      </c>
      <c r="C111" s="83" t="s">
        <v>125</v>
      </c>
      <c r="D111" s="83" t="s">
        <v>121</v>
      </c>
      <c r="E111" s="85" t="s">
        <v>174</v>
      </c>
      <c r="F111" s="914"/>
      <c r="G111" s="916"/>
      <c r="H111" s="916"/>
      <c r="I111" s="916"/>
      <c r="J111" s="916"/>
      <c r="K111" s="86" t="s">
        <v>175</v>
      </c>
      <c r="L111" s="86"/>
      <c r="M111" s="668" t="s">
        <v>130</v>
      </c>
      <c r="N111" s="668">
        <v>14000</v>
      </c>
      <c r="O111" s="668">
        <v>14000</v>
      </c>
      <c r="P111" s="95"/>
      <c r="Q111" s="94"/>
      <c r="R111" s="94"/>
    </row>
    <row r="112" spans="1:18" s="20" customFormat="1" ht="25.5" x14ac:dyDescent="0.2">
      <c r="A112" s="52"/>
      <c r="B112" s="83" t="s">
        <v>169</v>
      </c>
      <c r="C112" s="83" t="s">
        <v>127</v>
      </c>
      <c r="D112" s="83" t="s">
        <v>121</v>
      </c>
      <c r="E112" s="85" t="s">
        <v>176</v>
      </c>
      <c r="F112" s="914"/>
      <c r="G112" s="916"/>
      <c r="H112" s="916"/>
      <c r="I112" s="916"/>
      <c r="J112" s="916"/>
      <c r="K112" s="86" t="s">
        <v>177</v>
      </c>
      <c r="L112" s="86"/>
      <c r="M112" s="668" t="s">
        <v>130</v>
      </c>
      <c r="N112" s="100">
        <v>0</v>
      </c>
      <c r="O112" s="100">
        <v>0</v>
      </c>
      <c r="P112" s="95"/>
      <c r="Q112" s="94"/>
      <c r="R112" s="94"/>
    </row>
    <row r="113" spans="1:18" s="20" customFormat="1" ht="25.5" x14ac:dyDescent="0.2">
      <c r="A113" s="52"/>
      <c r="B113" s="83" t="s">
        <v>169</v>
      </c>
      <c r="C113" s="83" t="s">
        <v>132</v>
      </c>
      <c r="D113" s="83" t="s">
        <v>121</v>
      </c>
      <c r="E113" s="85" t="s">
        <v>178</v>
      </c>
      <c r="F113" s="914"/>
      <c r="G113" s="916"/>
      <c r="H113" s="916"/>
      <c r="I113" s="916"/>
      <c r="J113" s="916"/>
      <c r="K113" s="86" t="s">
        <v>179</v>
      </c>
      <c r="L113" s="86"/>
      <c r="M113" s="688" t="s">
        <v>130</v>
      </c>
      <c r="N113" s="101" t="s">
        <v>180</v>
      </c>
      <c r="O113" s="101" t="s">
        <v>180</v>
      </c>
      <c r="P113" s="95"/>
      <c r="Q113" s="94"/>
      <c r="R113" s="94"/>
    </row>
    <row r="114" spans="1:18" ht="15.75" customHeight="1" x14ac:dyDescent="0.2">
      <c r="A114" s="2121" t="s">
        <v>64</v>
      </c>
      <c r="B114" s="2121"/>
      <c r="C114" s="2121"/>
      <c r="D114" s="2121"/>
      <c r="E114" s="2121"/>
      <c r="F114" s="908">
        <v>133833.4</v>
      </c>
      <c r="G114" s="908">
        <v>151754</v>
      </c>
      <c r="H114" s="908">
        <v>152906.20000000001</v>
      </c>
      <c r="I114" s="908">
        <v>146520.20000000001</v>
      </c>
      <c r="J114" s="908">
        <v>146520.6</v>
      </c>
      <c r="K114" s="103"/>
      <c r="L114" s="103"/>
      <c r="M114" s="104"/>
      <c r="N114" s="104"/>
      <c r="O114" s="104"/>
      <c r="P114" s="104"/>
      <c r="Q114" s="104"/>
      <c r="R114" s="104"/>
    </row>
    <row r="115" spans="1:18" s="17" customFormat="1" x14ac:dyDescent="0.2">
      <c r="A115" s="2091" t="s">
        <v>181</v>
      </c>
      <c r="B115" s="2091"/>
      <c r="C115" s="2091"/>
      <c r="D115" s="2091"/>
      <c r="E115" s="2091"/>
      <c r="F115" s="2091"/>
      <c r="G115" s="2091"/>
      <c r="H115" s="2091"/>
      <c r="I115" s="2091"/>
      <c r="J115" s="2091"/>
      <c r="K115" s="2091"/>
      <c r="L115" s="2091"/>
      <c r="M115" s="2091"/>
      <c r="N115" s="2091"/>
      <c r="O115" s="2091"/>
      <c r="P115" s="2091"/>
      <c r="Q115" s="2091"/>
      <c r="R115" s="2091"/>
    </row>
    <row r="116" spans="1:18" s="20" customFormat="1" ht="51" x14ac:dyDescent="0.2">
      <c r="A116" s="52"/>
      <c r="B116" s="839" t="s">
        <v>120</v>
      </c>
      <c r="C116" s="77"/>
      <c r="D116" s="77" t="s">
        <v>121</v>
      </c>
      <c r="E116" s="105" t="s">
        <v>2497</v>
      </c>
      <c r="F116" s="911">
        <v>13851.099999999999</v>
      </c>
      <c r="G116" s="911">
        <v>11899.3</v>
      </c>
      <c r="H116" s="911">
        <v>11448.1</v>
      </c>
      <c r="I116" s="911">
        <v>11448.1</v>
      </c>
      <c r="J116" s="911">
        <v>11448.1</v>
      </c>
      <c r="K116" s="709" t="s">
        <v>182</v>
      </c>
      <c r="L116" s="709"/>
      <c r="M116" s="708" t="s">
        <v>17</v>
      </c>
      <c r="N116" s="708">
        <v>27.3</v>
      </c>
      <c r="O116" s="708">
        <v>27.3</v>
      </c>
      <c r="P116" s="708">
        <v>27.3</v>
      </c>
      <c r="Q116" s="708">
        <v>27.3</v>
      </c>
      <c r="R116" s="708">
        <v>27.3</v>
      </c>
    </row>
    <row r="117" spans="1:18" s="20" customFormat="1" ht="25.5" x14ac:dyDescent="0.2">
      <c r="A117" s="52"/>
      <c r="B117" s="77"/>
      <c r="C117" s="77" t="s">
        <v>123</v>
      </c>
      <c r="D117" s="77" t="s">
        <v>121</v>
      </c>
      <c r="E117" s="673" t="s">
        <v>18</v>
      </c>
      <c r="F117" s="914">
        <v>3016.5</v>
      </c>
      <c r="G117" s="914">
        <v>3727.8</v>
      </c>
      <c r="H117" s="914">
        <v>3399.2</v>
      </c>
      <c r="I117" s="914">
        <v>3399.2</v>
      </c>
      <c r="J117" s="914">
        <v>3399.2</v>
      </c>
      <c r="K117" s="670" t="s">
        <v>183</v>
      </c>
      <c r="L117" s="670"/>
      <c r="M117" s="668" t="s">
        <v>20</v>
      </c>
      <c r="N117" s="668">
        <v>0</v>
      </c>
      <c r="O117" s="668">
        <v>0</v>
      </c>
      <c r="P117" s="668">
        <v>0</v>
      </c>
      <c r="Q117" s="668">
        <v>0</v>
      </c>
      <c r="R117" s="668">
        <v>0</v>
      </c>
    </row>
    <row r="118" spans="1:18" s="20" customFormat="1" ht="25.5" x14ac:dyDescent="0.2">
      <c r="A118" s="52"/>
      <c r="B118" s="77"/>
      <c r="C118" s="77" t="s">
        <v>125</v>
      </c>
      <c r="D118" s="77" t="s">
        <v>121</v>
      </c>
      <c r="E118" s="673" t="s">
        <v>22</v>
      </c>
      <c r="F118" s="914">
        <v>2316.6999999999998</v>
      </c>
      <c r="G118" s="914">
        <v>2646.5</v>
      </c>
      <c r="H118" s="914">
        <v>2790.3</v>
      </c>
      <c r="I118" s="914">
        <v>2790.3</v>
      </c>
      <c r="J118" s="914">
        <v>2790.3</v>
      </c>
      <c r="K118" s="670" t="s">
        <v>184</v>
      </c>
      <c r="L118" s="670"/>
      <c r="M118" s="668" t="s">
        <v>17</v>
      </c>
      <c r="N118" s="668">
        <v>0</v>
      </c>
      <c r="O118" s="668">
        <v>0</v>
      </c>
      <c r="P118" s="668">
        <v>0</v>
      </c>
      <c r="Q118" s="668">
        <v>0</v>
      </c>
      <c r="R118" s="668">
        <v>0</v>
      </c>
    </row>
    <row r="119" spans="1:18" s="20" customFormat="1" ht="25.5" x14ac:dyDescent="0.2">
      <c r="A119" s="52"/>
      <c r="B119" s="77"/>
      <c r="C119" s="77" t="s">
        <v>127</v>
      </c>
      <c r="D119" s="77" t="s">
        <v>121</v>
      </c>
      <c r="E119" s="673" t="s">
        <v>24</v>
      </c>
      <c r="F119" s="914">
        <v>824.1</v>
      </c>
      <c r="G119" s="914">
        <v>1676.6</v>
      </c>
      <c r="H119" s="914">
        <v>1772.6</v>
      </c>
      <c r="I119" s="914">
        <v>1772.6</v>
      </c>
      <c r="J119" s="914">
        <v>1772.6</v>
      </c>
      <c r="K119" s="670" t="s">
        <v>185</v>
      </c>
      <c r="L119" s="670"/>
      <c r="M119" s="668" t="s">
        <v>17</v>
      </c>
      <c r="N119" s="668">
        <v>0</v>
      </c>
      <c r="O119" s="668">
        <v>0</v>
      </c>
      <c r="P119" s="668">
        <v>0</v>
      </c>
      <c r="Q119" s="668">
        <v>0</v>
      </c>
      <c r="R119" s="668">
        <v>0</v>
      </c>
    </row>
    <row r="120" spans="1:18" s="20" customFormat="1" x14ac:dyDescent="0.2">
      <c r="A120" s="52"/>
      <c r="B120" s="77"/>
      <c r="C120" s="77" t="s">
        <v>132</v>
      </c>
      <c r="D120" s="77" t="s">
        <v>121</v>
      </c>
      <c r="E120" s="673" t="s">
        <v>29</v>
      </c>
      <c r="F120" s="914">
        <v>2792.1</v>
      </c>
      <c r="G120" s="914"/>
      <c r="H120" s="914"/>
      <c r="I120" s="914"/>
      <c r="J120" s="914"/>
      <c r="K120" s="670"/>
      <c r="L120" s="670"/>
      <c r="M120" s="668" t="s">
        <v>130</v>
      </c>
      <c r="N120" s="668"/>
      <c r="O120" s="668"/>
      <c r="P120" s="668"/>
      <c r="Q120" s="668"/>
      <c r="R120" s="668"/>
    </row>
    <row r="121" spans="1:18" s="20" customFormat="1" ht="38.25" x14ac:dyDescent="0.2">
      <c r="A121" s="52"/>
      <c r="B121" s="77"/>
      <c r="C121" s="77" t="s">
        <v>74</v>
      </c>
      <c r="D121" s="77" t="s">
        <v>121</v>
      </c>
      <c r="E121" s="673" t="s">
        <v>136</v>
      </c>
      <c r="F121" s="914">
        <v>4901.7</v>
      </c>
      <c r="G121" s="914">
        <v>3848.4</v>
      </c>
      <c r="H121" s="914">
        <v>3486</v>
      </c>
      <c r="I121" s="914">
        <v>3486</v>
      </c>
      <c r="J121" s="914">
        <v>3486</v>
      </c>
      <c r="K121" s="670" t="s">
        <v>186</v>
      </c>
      <c r="L121" s="670"/>
      <c r="M121" s="668" t="s">
        <v>17</v>
      </c>
      <c r="N121" s="708">
        <v>27.3</v>
      </c>
      <c r="O121" s="708">
        <v>27.3</v>
      </c>
      <c r="P121" s="708">
        <v>27.3</v>
      </c>
      <c r="Q121" s="708">
        <v>27.3</v>
      </c>
      <c r="R121" s="708">
        <v>27.3</v>
      </c>
    </row>
    <row r="122" spans="1:18" s="20" customFormat="1" ht="76.5" x14ac:dyDescent="0.2">
      <c r="A122" s="52"/>
      <c r="B122" s="840" t="s">
        <v>138</v>
      </c>
      <c r="C122" s="83"/>
      <c r="D122" s="83" t="s">
        <v>121</v>
      </c>
      <c r="E122" s="812" t="s">
        <v>2498</v>
      </c>
      <c r="F122" s="911">
        <v>32206.799999999999</v>
      </c>
      <c r="G122" s="911">
        <v>37704.999999999993</v>
      </c>
      <c r="H122" s="911">
        <v>38208.199999999997</v>
      </c>
      <c r="I122" s="911">
        <v>38208.199999999997</v>
      </c>
      <c r="J122" s="911">
        <v>38208.199999999997</v>
      </c>
      <c r="K122" s="98" t="s">
        <v>187</v>
      </c>
      <c r="L122" s="98"/>
      <c r="M122" s="708" t="s">
        <v>130</v>
      </c>
      <c r="N122" s="708">
        <v>23</v>
      </c>
      <c r="O122" s="708">
        <v>23</v>
      </c>
      <c r="P122" s="708">
        <v>23</v>
      </c>
      <c r="Q122" s="708">
        <v>23</v>
      </c>
      <c r="R122" s="708">
        <v>23</v>
      </c>
    </row>
    <row r="123" spans="1:18" s="20" customFormat="1" ht="25.5" x14ac:dyDescent="0.2">
      <c r="A123" s="52"/>
      <c r="B123" s="697"/>
      <c r="C123" s="697" t="s">
        <v>123</v>
      </c>
      <c r="D123" s="697" t="s">
        <v>121</v>
      </c>
      <c r="E123" s="673" t="s">
        <v>188</v>
      </c>
      <c r="F123" s="916">
        <v>1089.2</v>
      </c>
      <c r="G123" s="916">
        <v>18548</v>
      </c>
      <c r="H123" s="915">
        <v>18479.400000000001</v>
      </c>
      <c r="I123" s="915">
        <v>18479.400000000001</v>
      </c>
      <c r="J123" s="915">
        <v>18479.400000000001</v>
      </c>
      <c r="K123" s="670" t="s">
        <v>189</v>
      </c>
      <c r="L123" s="670"/>
      <c r="M123" s="818" t="s">
        <v>31</v>
      </c>
      <c r="N123" s="708">
        <v>73</v>
      </c>
      <c r="O123" s="708">
        <v>73</v>
      </c>
      <c r="P123" s="708">
        <v>73</v>
      </c>
      <c r="Q123" s="708">
        <v>73</v>
      </c>
      <c r="R123" s="708">
        <v>73</v>
      </c>
    </row>
    <row r="124" spans="1:18" s="20" customFormat="1" ht="25.5" x14ac:dyDescent="0.2">
      <c r="A124" s="52"/>
      <c r="B124" s="697"/>
      <c r="C124" s="697" t="s">
        <v>125</v>
      </c>
      <c r="D124" s="697" t="s">
        <v>121</v>
      </c>
      <c r="E124" s="673" t="s">
        <v>190</v>
      </c>
      <c r="F124" s="914">
        <v>29585.5</v>
      </c>
      <c r="G124" s="914">
        <v>15978.5</v>
      </c>
      <c r="H124" s="914">
        <v>17252.400000000001</v>
      </c>
      <c r="I124" s="914">
        <v>17252.400000000001</v>
      </c>
      <c r="J124" s="914">
        <v>17252.400000000001</v>
      </c>
      <c r="K124" s="670" t="s">
        <v>189</v>
      </c>
      <c r="L124" s="670"/>
      <c r="M124" s="818" t="s">
        <v>31</v>
      </c>
      <c r="N124" s="708">
        <v>73</v>
      </c>
      <c r="O124" s="708">
        <v>73</v>
      </c>
      <c r="P124" s="708">
        <v>73</v>
      </c>
      <c r="Q124" s="708">
        <v>73</v>
      </c>
      <c r="R124" s="708">
        <v>73</v>
      </c>
    </row>
    <row r="125" spans="1:18" s="20" customFormat="1" ht="25.5" x14ac:dyDescent="0.2">
      <c r="A125" s="52"/>
      <c r="B125" s="697"/>
      <c r="C125" s="697" t="s">
        <v>127</v>
      </c>
      <c r="D125" s="697" t="s">
        <v>121</v>
      </c>
      <c r="E125" s="673" t="s">
        <v>191</v>
      </c>
      <c r="F125" s="914"/>
      <c r="G125" s="914">
        <v>748.2</v>
      </c>
      <c r="H125" s="914">
        <v>796.2</v>
      </c>
      <c r="I125" s="914">
        <v>796.2</v>
      </c>
      <c r="J125" s="914">
        <v>796.2</v>
      </c>
      <c r="K125" s="670" t="s">
        <v>192</v>
      </c>
      <c r="L125" s="670"/>
      <c r="M125" s="818" t="s">
        <v>31</v>
      </c>
      <c r="N125" s="68">
        <v>18</v>
      </c>
      <c r="O125" s="68">
        <v>18</v>
      </c>
      <c r="P125" s="68">
        <v>18</v>
      </c>
      <c r="Q125" s="68">
        <v>18</v>
      </c>
      <c r="R125" s="68">
        <v>18</v>
      </c>
    </row>
    <row r="126" spans="1:18" s="20" customFormat="1" ht="102" x14ac:dyDescent="0.2">
      <c r="A126" s="52"/>
      <c r="B126" s="697"/>
      <c r="C126" s="697" t="s">
        <v>132</v>
      </c>
      <c r="D126" s="697" t="s">
        <v>121</v>
      </c>
      <c r="E126" s="673" t="s">
        <v>193</v>
      </c>
      <c r="F126" s="914"/>
      <c r="G126" s="914">
        <v>216.6</v>
      </c>
      <c r="H126" s="914">
        <v>216.6</v>
      </c>
      <c r="I126" s="914">
        <v>216.6</v>
      </c>
      <c r="J126" s="914">
        <v>216.6</v>
      </c>
      <c r="K126" s="670" t="s">
        <v>194</v>
      </c>
      <c r="L126" s="670"/>
      <c r="M126" s="818" t="s">
        <v>31</v>
      </c>
      <c r="N126" s="68">
        <v>4</v>
      </c>
      <c r="O126" s="68">
        <v>4</v>
      </c>
      <c r="P126" s="68">
        <v>4</v>
      </c>
      <c r="Q126" s="68">
        <v>4</v>
      </c>
      <c r="R126" s="68">
        <v>4</v>
      </c>
    </row>
    <row r="127" spans="1:18" s="20" customFormat="1" ht="25.5" x14ac:dyDescent="0.2">
      <c r="A127" s="52"/>
      <c r="B127" s="697"/>
      <c r="C127" s="697" t="s">
        <v>74</v>
      </c>
      <c r="D127" s="697" t="s">
        <v>121</v>
      </c>
      <c r="E127" s="673" t="s">
        <v>195</v>
      </c>
      <c r="F127" s="914">
        <v>1532.1</v>
      </c>
      <c r="G127" s="914">
        <v>2113.6999999999998</v>
      </c>
      <c r="H127" s="914">
        <v>1363.6</v>
      </c>
      <c r="I127" s="914">
        <v>1363.6</v>
      </c>
      <c r="J127" s="914">
        <v>1363.6</v>
      </c>
      <c r="K127" s="670" t="s">
        <v>196</v>
      </c>
      <c r="L127" s="670"/>
      <c r="M127" s="818" t="s">
        <v>31</v>
      </c>
      <c r="N127" s="68">
        <v>1</v>
      </c>
      <c r="O127" s="68">
        <v>0</v>
      </c>
      <c r="P127" s="68">
        <v>1</v>
      </c>
      <c r="Q127" s="68">
        <v>0</v>
      </c>
      <c r="R127" s="68">
        <v>1</v>
      </c>
    </row>
    <row r="128" spans="1:18" s="20" customFormat="1" ht="38.25" x14ac:dyDescent="0.2">
      <c r="A128" s="52"/>
      <c r="B128" s="697"/>
      <c r="C128" s="697" t="s">
        <v>197</v>
      </c>
      <c r="D128" s="697" t="s">
        <v>121</v>
      </c>
      <c r="E128" s="673" t="s">
        <v>198</v>
      </c>
      <c r="F128" s="915"/>
      <c r="G128" s="914"/>
      <c r="H128" s="914"/>
      <c r="I128" s="914"/>
      <c r="J128" s="914"/>
      <c r="K128" s="670" t="s">
        <v>199</v>
      </c>
      <c r="L128" s="670"/>
      <c r="M128" s="818" t="s">
        <v>31</v>
      </c>
      <c r="N128" s="68">
        <v>0</v>
      </c>
      <c r="O128" s="68">
        <v>1</v>
      </c>
      <c r="P128" s="68">
        <v>0</v>
      </c>
      <c r="Q128" s="68">
        <v>1</v>
      </c>
      <c r="R128" s="68">
        <v>0</v>
      </c>
    </row>
    <row r="129" spans="1:18" s="20" customFormat="1" ht="38.25" x14ac:dyDescent="0.2">
      <c r="A129" s="52"/>
      <c r="B129" s="697"/>
      <c r="C129" s="697" t="s">
        <v>155</v>
      </c>
      <c r="D129" s="697" t="s">
        <v>121</v>
      </c>
      <c r="E129" s="673" t="s">
        <v>200</v>
      </c>
      <c r="F129" s="915"/>
      <c r="G129" s="915">
        <v>100</v>
      </c>
      <c r="H129" s="914">
        <v>100</v>
      </c>
      <c r="I129" s="914">
        <v>100</v>
      </c>
      <c r="J129" s="914">
        <v>100</v>
      </c>
      <c r="K129" s="670" t="s">
        <v>201</v>
      </c>
      <c r="L129" s="670"/>
      <c r="M129" s="818" t="s">
        <v>31</v>
      </c>
      <c r="N129" s="68">
        <v>2</v>
      </c>
      <c r="O129" s="68">
        <v>2</v>
      </c>
      <c r="P129" s="68">
        <v>2</v>
      </c>
      <c r="Q129" s="68">
        <v>2</v>
      </c>
      <c r="R129" s="68">
        <v>2</v>
      </c>
    </row>
    <row r="130" spans="1:18" s="20" customFormat="1" ht="38.25" x14ac:dyDescent="0.2">
      <c r="A130" s="52"/>
      <c r="B130" s="83" t="s">
        <v>161</v>
      </c>
      <c r="C130" s="83"/>
      <c r="D130" s="83" t="s">
        <v>121</v>
      </c>
      <c r="E130" s="107" t="s">
        <v>2499</v>
      </c>
      <c r="F130" s="920">
        <v>503.5</v>
      </c>
      <c r="G130" s="920">
        <v>938.3</v>
      </c>
      <c r="H130" s="921">
        <v>886.3</v>
      </c>
      <c r="I130" s="921">
        <v>886.3</v>
      </c>
      <c r="J130" s="921">
        <v>886.3</v>
      </c>
      <c r="K130" s="93" t="s">
        <v>202</v>
      </c>
      <c r="L130" s="93"/>
      <c r="M130" s="708" t="s">
        <v>31</v>
      </c>
      <c r="N130" s="708">
        <v>0</v>
      </c>
      <c r="O130" s="708">
        <v>0</v>
      </c>
      <c r="P130" s="708">
        <v>0</v>
      </c>
      <c r="Q130" s="708">
        <v>0</v>
      </c>
      <c r="R130" s="708">
        <v>0</v>
      </c>
    </row>
    <row r="131" spans="1:18" s="20" customFormat="1" ht="25.5" x14ac:dyDescent="0.2">
      <c r="A131" s="52"/>
      <c r="B131" s="83"/>
      <c r="C131" s="83" t="s">
        <v>123</v>
      </c>
      <c r="D131" s="83" t="s">
        <v>121</v>
      </c>
      <c r="E131" s="673" t="s">
        <v>133</v>
      </c>
      <c r="F131" s="916">
        <v>103.5</v>
      </c>
      <c r="G131" s="916">
        <v>888.3</v>
      </c>
      <c r="H131" s="916">
        <v>836.3</v>
      </c>
      <c r="I131" s="916">
        <v>836.3</v>
      </c>
      <c r="J131" s="916">
        <v>836.3</v>
      </c>
      <c r="K131" s="670" t="s">
        <v>203</v>
      </c>
      <c r="L131" s="670"/>
      <c r="M131" s="818" t="s">
        <v>130</v>
      </c>
      <c r="N131" s="68">
        <v>528</v>
      </c>
      <c r="O131" s="68">
        <v>528</v>
      </c>
      <c r="P131" s="68">
        <v>528</v>
      </c>
      <c r="Q131" s="68">
        <v>528</v>
      </c>
      <c r="R131" s="68">
        <v>528</v>
      </c>
    </row>
    <row r="132" spans="1:18" s="20" customFormat="1" ht="25.5" x14ac:dyDescent="0.2">
      <c r="A132" s="52"/>
      <c r="B132" s="83"/>
      <c r="C132" s="83" t="s">
        <v>125</v>
      </c>
      <c r="D132" s="83"/>
      <c r="E132" s="673" t="s">
        <v>204</v>
      </c>
      <c r="F132" s="916">
        <v>400</v>
      </c>
      <c r="G132" s="916"/>
      <c r="H132" s="916"/>
      <c r="I132" s="916"/>
      <c r="J132" s="916"/>
      <c r="K132" s="670" t="s">
        <v>205</v>
      </c>
      <c r="L132" s="670"/>
      <c r="M132" s="818" t="s">
        <v>130</v>
      </c>
      <c r="N132" s="68">
        <v>100</v>
      </c>
      <c r="O132" s="68">
        <v>100</v>
      </c>
      <c r="P132" s="68">
        <v>100</v>
      </c>
      <c r="Q132" s="68">
        <v>100</v>
      </c>
      <c r="R132" s="68">
        <v>100</v>
      </c>
    </row>
    <row r="133" spans="1:18" s="20" customFormat="1" ht="25.5" x14ac:dyDescent="0.2">
      <c r="A133" s="52"/>
      <c r="B133" s="83"/>
      <c r="C133" s="83" t="s">
        <v>127</v>
      </c>
      <c r="D133" s="83"/>
      <c r="E133" s="673" t="s">
        <v>2390</v>
      </c>
      <c r="F133" s="916"/>
      <c r="G133" s="916"/>
      <c r="H133" s="916"/>
      <c r="I133" s="916"/>
      <c r="J133" s="916"/>
      <c r="K133" s="670" t="s">
        <v>206</v>
      </c>
      <c r="L133" s="670"/>
      <c r="M133" s="818" t="s">
        <v>130</v>
      </c>
      <c r="N133" s="68">
        <v>560</v>
      </c>
      <c r="O133" s="68">
        <v>560</v>
      </c>
      <c r="P133" s="68">
        <v>560</v>
      </c>
      <c r="Q133" s="68">
        <v>560</v>
      </c>
      <c r="R133" s="68">
        <v>560</v>
      </c>
    </row>
    <row r="134" spans="1:18" s="20" customFormat="1" ht="25.5" x14ac:dyDescent="0.2">
      <c r="A134" s="52"/>
      <c r="B134" s="83"/>
      <c r="C134" s="83" t="s">
        <v>132</v>
      </c>
      <c r="D134" s="83"/>
      <c r="E134" s="673" t="s">
        <v>207</v>
      </c>
      <c r="F134" s="916"/>
      <c r="G134" s="916">
        <v>50</v>
      </c>
      <c r="H134" s="916">
        <v>50</v>
      </c>
      <c r="I134" s="916">
        <v>50</v>
      </c>
      <c r="J134" s="916">
        <v>50</v>
      </c>
      <c r="K134" s="670" t="s">
        <v>208</v>
      </c>
      <c r="L134" s="670"/>
      <c r="M134" s="818" t="s">
        <v>209</v>
      </c>
      <c r="N134" s="68" t="s">
        <v>146</v>
      </c>
      <c r="O134" s="68" t="s">
        <v>146</v>
      </c>
      <c r="P134" s="68" t="s">
        <v>146</v>
      </c>
      <c r="Q134" s="68" t="s">
        <v>146</v>
      </c>
      <c r="R134" s="68" t="s">
        <v>146</v>
      </c>
    </row>
    <row r="135" spans="1:18" ht="20.25" customHeight="1" x14ac:dyDescent="0.2">
      <c r="A135" s="2121" t="s">
        <v>64</v>
      </c>
      <c r="B135" s="2121"/>
      <c r="C135" s="2121"/>
      <c r="D135" s="2121"/>
      <c r="E135" s="2121"/>
      <c r="F135" s="908">
        <v>46561.399999999994</v>
      </c>
      <c r="G135" s="908">
        <v>50542.599999999991</v>
      </c>
      <c r="H135" s="908">
        <v>50542.6</v>
      </c>
      <c r="I135" s="908">
        <v>50542.6</v>
      </c>
      <c r="J135" s="908">
        <v>50542.6</v>
      </c>
      <c r="K135" s="108"/>
      <c r="L135" s="108"/>
      <c r="M135" s="1003"/>
      <c r="N135" s="109"/>
      <c r="O135" s="109"/>
      <c r="P135" s="109"/>
      <c r="Q135" s="109"/>
      <c r="R135" s="109"/>
    </row>
    <row r="136" spans="1:18" s="17" customFormat="1" ht="18.75" customHeight="1" x14ac:dyDescent="0.2">
      <c r="A136" s="2123" t="s">
        <v>210</v>
      </c>
      <c r="B136" s="2123"/>
      <c r="C136" s="2123"/>
      <c r="D136" s="2123"/>
      <c r="E136" s="2123"/>
      <c r="F136" s="2123"/>
      <c r="G136" s="2123"/>
      <c r="H136" s="2123"/>
      <c r="I136" s="2123"/>
      <c r="J136" s="2123"/>
      <c r="K136" s="2123"/>
      <c r="L136" s="2123"/>
      <c r="M136" s="2123"/>
      <c r="N136" s="2123"/>
      <c r="O136" s="2123"/>
      <c r="P136" s="2123"/>
      <c r="Q136" s="2123"/>
      <c r="R136" s="2123"/>
    </row>
    <row r="137" spans="1:18" s="20" customFormat="1" ht="51" x14ac:dyDescent="0.2">
      <c r="A137" s="52"/>
      <c r="B137" s="77" t="s">
        <v>120</v>
      </c>
      <c r="C137" s="77"/>
      <c r="D137" s="77" t="s">
        <v>121</v>
      </c>
      <c r="E137" s="105" t="s">
        <v>2497</v>
      </c>
      <c r="F137" s="910">
        <v>19667.5</v>
      </c>
      <c r="G137" s="910">
        <v>14277.5</v>
      </c>
      <c r="H137" s="910">
        <v>14277.5</v>
      </c>
      <c r="I137" s="910">
        <v>15609.1</v>
      </c>
      <c r="J137" s="910">
        <v>15214.1</v>
      </c>
      <c r="K137" s="709" t="s">
        <v>211</v>
      </c>
      <c r="L137" s="709"/>
      <c r="M137" s="708" t="s">
        <v>17</v>
      </c>
      <c r="N137" s="708">
        <v>4.9000000000000004</v>
      </c>
      <c r="O137" s="708">
        <v>4.9000000000000004</v>
      </c>
      <c r="P137" s="708">
        <v>4.9000000000000004</v>
      </c>
      <c r="Q137" s="708">
        <v>4.9000000000000004</v>
      </c>
      <c r="R137" s="708">
        <v>4.9000000000000004</v>
      </c>
    </row>
    <row r="138" spans="1:18" s="20" customFormat="1" ht="25.5" x14ac:dyDescent="0.2">
      <c r="A138" s="52"/>
      <c r="B138" s="77"/>
      <c r="C138" s="77" t="s">
        <v>123</v>
      </c>
      <c r="D138" s="77" t="s">
        <v>121</v>
      </c>
      <c r="E138" s="673" t="s">
        <v>18</v>
      </c>
      <c r="F138" s="914">
        <v>19667.5</v>
      </c>
      <c r="G138" s="914">
        <v>14277.5</v>
      </c>
      <c r="H138" s="914">
        <v>14277.5</v>
      </c>
      <c r="I138" s="914">
        <v>15609.1</v>
      </c>
      <c r="J138" s="914">
        <v>15214.1</v>
      </c>
      <c r="K138" s="670" t="s">
        <v>212</v>
      </c>
      <c r="L138" s="670"/>
      <c r="M138" s="668" t="s">
        <v>130</v>
      </c>
      <c r="N138" s="688">
        <v>0</v>
      </c>
      <c r="O138" s="688">
        <v>0</v>
      </c>
      <c r="P138" s="688">
        <v>0</v>
      </c>
      <c r="Q138" s="688">
        <v>0</v>
      </c>
      <c r="R138" s="688">
        <v>0</v>
      </c>
    </row>
    <row r="139" spans="1:18" s="20" customFormat="1" ht="25.5" x14ac:dyDescent="0.2">
      <c r="A139" s="52"/>
      <c r="B139" s="77"/>
      <c r="C139" s="77" t="s">
        <v>125</v>
      </c>
      <c r="D139" s="77" t="s">
        <v>121</v>
      </c>
      <c r="E139" s="673" t="s">
        <v>22</v>
      </c>
      <c r="F139" s="914"/>
      <c r="G139" s="914"/>
      <c r="H139" s="914"/>
      <c r="I139" s="914"/>
      <c r="J139" s="914"/>
      <c r="K139" s="670" t="s">
        <v>213</v>
      </c>
      <c r="L139" s="670"/>
      <c r="M139" s="668" t="s">
        <v>17</v>
      </c>
      <c r="N139" s="688">
        <v>100</v>
      </c>
      <c r="O139" s="688">
        <v>100</v>
      </c>
      <c r="P139" s="688"/>
      <c r="Q139" s="688"/>
      <c r="R139" s="688"/>
    </row>
    <row r="140" spans="1:18" s="20" customFormat="1" x14ac:dyDescent="0.2">
      <c r="A140" s="52"/>
      <c r="B140" s="77"/>
      <c r="C140" s="77" t="s">
        <v>127</v>
      </c>
      <c r="D140" s="77" t="s">
        <v>121</v>
      </c>
      <c r="E140" s="673" t="s">
        <v>24</v>
      </c>
      <c r="F140" s="914"/>
      <c r="G140" s="914"/>
      <c r="H140" s="914"/>
      <c r="I140" s="914"/>
      <c r="J140" s="914"/>
      <c r="K140" s="670" t="s">
        <v>214</v>
      </c>
      <c r="L140" s="670"/>
      <c r="M140" s="668" t="s">
        <v>17</v>
      </c>
      <c r="N140" s="688">
        <v>0</v>
      </c>
      <c r="O140" s="688">
        <v>0</v>
      </c>
      <c r="P140" s="688"/>
      <c r="Q140" s="688"/>
      <c r="R140" s="688"/>
    </row>
    <row r="141" spans="1:18" s="20" customFormat="1" x14ac:dyDescent="0.2">
      <c r="A141" s="52"/>
      <c r="B141" s="77"/>
      <c r="C141" s="77" t="s">
        <v>132</v>
      </c>
      <c r="D141" s="77" t="s">
        <v>121</v>
      </c>
      <c r="E141" s="673" t="s">
        <v>215</v>
      </c>
      <c r="F141" s="914"/>
      <c r="G141" s="914"/>
      <c r="H141" s="914"/>
      <c r="I141" s="914"/>
      <c r="J141" s="914"/>
      <c r="K141" s="670" t="s">
        <v>216</v>
      </c>
      <c r="L141" s="670"/>
      <c r="M141" s="668" t="s">
        <v>130</v>
      </c>
      <c r="N141" s="688"/>
      <c r="O141" s="688"/>
      <c r="P141" s="688"/>
      <c r="Q141" s="688"/>
      <c r="R141" s="688"/>
    </row>
    <row r="142" spans="1:18" s="20" customFormat="1" ht="75.75" customHeight="1" x14ac:dyDescent="0.2">
      <c r="A142" s="52"/>
      <c r="B142" s="83" t="s">
        <v>138</v>
      </c>
      <c r="C142" s="83"/>
      <c r="D142" s="83" t="s">
        <v>121</v>
      </c>
      <c r="E142" s="812" t="s">
        <v>2500</v>
      </c>
      <c r="F142" s="910">
        <v>1414.8</v>
      </c>
      <c r="G142" s="910">
        <v>8076.3</v>
      </c>
      <c r="H142" s="910">
        <v>8076.3</v>
      </c>
      <c r="I142" s="910">
        <v>10420.700000000001</v>
      </c>
      <c r="J142" s="910">
        <v>10315.700000000001</v>
      </c>
      <c r="K142" s="709" t="s">
        <v>217</v>
      </c>
      <c r="L142" s="709"/>
      <c r="M142" s="708" t="s">
        <v>130</v>
      </c>
      <c r="N142" s="708">
        <v>2000</v>
      </c>
      <c r="O142" s="708">
        <v>2200</v>
      </c>
      <c r="P142" s="708">
        <v>2300</v>
      </c>
      <c r="Q142" s="708">
        <v>2500</v>
      </c>
      <c r="R142" s="708">
        <v>2600</v>
      </c>
    </row>
    <row r="143" spans="1:18" s="20" customFormat="1" ht="25.5" x14ac:dyDescent="0.2">
      <c r="A143" s="52"/>
      <c r="B143" s="697"/>
      <c r="C143" s="697" t="s">
        <v>123</v>
      </c>
      <c r="D143" s="697"/>
      <c r="E143" s="812" t="s">
        <v>218</v>
      </c>
      <c r="F143" s="914">
        <v>1414.8</v>
      </c>
      <c r="G143" s="914">
        <v>8076.3</v>
      </c>
      <c r="H143" s="914">
        <v>8076.3</v>
      </c>
      <c r="I143" s="914">
        <v>9766.7000000000007</v>
      </c>
      <c r="J143" s="914">
        <v>9661.7000000000007</v>
      </c>
      <c r="K143" s="776" t="s">
        <v>219</v>
      </c>
      <c r="L143" s="776"/>
      <c r="M143" s="784" t="s">
        <v>31</v>
      </c>
      <c r="N143" s="716">
        <v>2000</v>
      </c>
      <c r="O143" s="716">
        <v>2200</v>
      </c>
      <c r="P143" s="716">
        <v>2300</v>
      </c>
      <c r="Q143" s="716">
        <v>2500</v>
      </c>
      <c r="R143" s="716">
        <v>2600</v>
      </c>
    </row>
    <row r="144" spans="1:18" s="20" customFormat="1" ht="25.5" x14ac:dyDescent="0.2">
      <c r="A144" s="52"/>
      <c r="B144" s="697"/>
      <c r="C144" s="697" t="s">
        <v>125</v>
      </c>
      <c r="D144" s="697"/>
      <c r="E144" s="812" t="s">
        <v>220</v>
      </c>
      <c r="F144" s="914"/>
      <c r="G144" s="914"/>
      <c r="H144" s="914"/>
      <c r="I144" s="914">
        <v>334</v>
      </c>
      <c r="J144" s="914">
        <v>334</v>
      </c>
      <c r="K144" s="778"/>
      <c r="L144" s="778"/>
      <c r="M144" s="785"/>
      <c r="N144" s="717"/>
      <c r="O144" s="717"/>
      <c r="P144" s="717"/>
      <c r="Q144" s="717"/>
      <c r="R144" s="717"/>
    </row>
    <row r="145" spans="1:18" s="20" customFormat="1" ht="51" x14ac:dyDescent="0.2">
      <c r="A145" s="52"/>
      <c r="B145" s="697"/>
      <c r="C145" s="697" t="s">
        <v>127</v>
      </c>
      <c r="D145" s="697"/>
      <c r="E145" s="812" t="s">
        <v>2389</v>
      </c>
      <c r="F145" s="914"/>
      <c r="G145" s="914"/>
      <c r="H145" s="914"/>
      <c r="I145" s="914">
        <v>320</v>
      </c>
      <c r="J145" s="914">
        <v>320</v>
      </c>
      <c r="K145" s="709" t="s">
        <v>221</v>
      </c>
      <c r="L145" s="709"/>
      <c r="M145" s="818" t="s">
        <v>163</v>
      </c>
      <c r="N145" s="100">
        <v>20</v>
      </c>
      <c r="O145" s="100">
        <v>30</v>
      </c>
      <c r="P145" s="100">
        <v>37</v>
      </c>
      <c r="Q145" s="100">
        <v>37</v>
      </c>
      <c r="R145" s="100">
        <v>37</v>
      </c>
    </row>
    <row r="146" spans="1:18" s="20" customFormat="1" ht="54" customHeight="1" x14ac:dyDescent="0.2">
      <c r="A146" s="52"/>
      <c r="B146" s="697" t="s">
        <v>161</v>
      </c>
      <c r="C146" s="697"/>
      <c r="D146" s="697"/>
      <c r="E146" s="110" t="s">
        <v>2501</v>
      </c>
      <c r="F146" s="914">
        <v>0</v>
      </c>
      <c r="G146" s="914">
        <v>0</v>
      </c>
      <c r="H146" s="914">
        <v>0</v>
      </c>
      <c r="I146" s="914">
        <v>0</v>
      </c>
      <c r="J146" s="914">
        <v>0</v>
      </c>
      <c r="K146" s="93" t="s">
        <v>222</v>
      </c>
      <c r="L146" s="790"/>
      <c r="M146" s="784" t="s">
        <v>31</v>
      </c>
      <c r="N146" s="692">
        <v>0</v>
      </c>
      <c r="O146" s="692">
        <v>0</v>
      </c>
      <c r="P146" s="111">
        <v>0</v>
      </c>
      <c r="Q146" s="692">
        <v>0</v>
      </c>
      <c r="R146" s="692">
        <v>0</v>
      </c>
    </row>
    <row r="147" spans="1:18" s="20" customFormat="1" x14ac:dyDescent="0.2">
      <c r="A147" s="52"/>
      <c r="B147" s="2117"/>
      <c r="C147" s="2117" t="s">
        <v>123</v>
      </c>
      <c r="D147" s="2117" t="s">
        <v>121</v>
      </c>
      <c r="E147" s="2124" t="s">
        <v>223</v>
      </c>
      <c r="F147" s="914"/>
      <c r="G147" s="914"/>
      <c r="H147" s="914"/>
      <c r="I147" s="914"/>
      <c r="J147" s="914"/>
      <c r="K147" s="670" t="s">
        <v>224</v>
      </c>
      <c r="L147" s="670"/>
      <c r="M147" s="818" t="s">
        <v>225</v>
      </c>
      <c r="N147" s="692"/>
      <c r="O147" s="692"/>
      <c r="P147" s="111"/>
      <c r="Q147" s="692"/>
      <c r="R147" s="692"/>
    </row>
    <row r="148" spans="1:18" s="20" customFormat="1" x14ac:dyDescent="0.2">
      <c r="A148" s="52"/>
      <c r="B148" s="2118"/>
      <c r="C148" s="2118"/>
      <c r="D148" s="2118"/>
      <c r="E148" s="2125"/>
      <c r="F148" s="914"/>
      <c r="G148" s="914"/>
      <c r="H148" s="914"/>
      <c r="I148" s="914"/>
      <c r="J148" s="914"/>
      <c r="K148" s="709" t="s">
        <v>226</v>
      </c>
      <c r="L148" s="709"/>
      <c r="M148" s="818" t="s">
        <v>96</v>
      </c>
      <c r="N148" s="692"/>
      <c r="O148" s="692"/>
      <c r="P148" s="111"/>
      <c r="Q148" s="692"/>
      <c r="R148" s="692"/>
    </row>
    <row r="149" spans="1:18" s="20" customFormat="1" x14ac:dyDescent="0.2">
      <c r="A149" s="52"/>
      <c r="B149" s="83"/>
      <c r="C149" s="83" t="s">
        <v>125</v>
      </c>
      <c r="D149" s="83"/>
      <c r="E149" s="105" t="s">
        <v>227</v>
      </c>
      <c r="F149" s="914"/>
      <c r="G149" s="914"/>
      <c r="H149" s="914"/>
      <c r="I149" s="914"/>
      <c r="J149" s="914"/>
      <c r="K149" s="709" t="s">
        <v>226</v>
      </c>
      <c r="L149" s="709"/>
      <c r="M149" s="818" t="s">
        <v>96</v>
      </c>
      <c r="N149" s="692"/>
      <c r="O149" s="692"/>
      <c r="P149" s="111"/>
      <c r="Q149" s="692"/>
      <c r="R149" s="692"/>
    </row>
    <row r="150" spans="1:18" s="20" customFormat="1" ht="38.25" x14ac:dyDescent="0.2">
      <c r="A150" s="52"/>
      <c r="B150" s="83" t="s">
        <v>169</v>
      </c>
      <c r="C150" s="83"/>
      <c r="D150" s="83"/>
      <c r="E150" s="812" t="s">
        <v>2502</v>
      </c>
      <c r="F150" s="914">
        <v>0</v>
      </c>
      <c r="G150" s="914">
        <v>0</v>
      </c>
      <c r="H150" s="914">
        <v>0</v>
      </c>
      <c r="I150" s="914">
        <v>0</v>
      </c>
      <c r="J150" s="914">
        <v>0</v>
      </c>
      <c r="K150" s="93" t="s">
        <v>2391</v>
      </c>
      <c r="L150" s="93"/>
      <c r="M150" s="708" t="s">
        <v>130</v>
      </c>
      <c r="N150" s="692"/>
      <c r="O150" s="692"/>
      <c r="P150" s="111"/>
      <c r="Q150" s="692"/>
      <c r="R150" s="692"/>
    </row>
    <row r="151" spans="1:18" s="20" customFormat="1" x14ac:dyDescent="0.2">
      <c r="A151" s="52"/>
      <c r="B151" s="2117"/>
      <c r="C151" s="2117" t="s">
        <v>123</v>
      </c>
      <c r="D151" s="2117" t="s">
        <v>121</v>
      </c>
      <c r="E151" s="2119" t="s">
        <v>228</v>
      </c>
      <c r="F151" s="914"/>
      <c r="G151" s="914"/>
      <c r="H151" s="914"/>
      <c r="I151" s="914"/>
      <c r="J151" s="914"/>
      <c r="K151" s="670" t="s">
        <v>229</v>
      </c>
      <c r="L151" s="670"/>
      <c r="M151" s="818" t="s">
        <v>17</v>
      </c>
      <c r="N151" s="100">
        <v>100</v>
      </c>
      <c r="O151" s="100"/>
      <c r="P151" s="111"/>
      <c r="Q151" s="692"/>
      <c r="R151" s="692"/>
    </row>
    <row r="152" spans="1:18" s="20" customFormat="1" x14ac:dyDescent="0.2">
      <c r="A152" s="52"/>
      <c r="B152" s="2118"/>
      <c r="C152" s="2118"/>
      <c r="D152" s="2118"/>
      <c r="E152" s="2120"/>
      <c r="F152" s="914"/>
      <c r="G152" s="914"/>
      <c r="H152" s="914"/>
      <c r="I152" s="914"/>
      <c r="J152" s="914"/>
      <c r="K152" s="670" t="s">
        <v>230</v>
      </c>
      <c r="L152" s="670"/>
      <c r="M152" s="818" t="s">
        <v>17</v>
      </c>
      <c r="N152" s="100">
        <v>100</v>
      </c>
      <c r="O152" s="100"/>
      <c r="P152" s="111"/>
      <c r="Q152" s="692"/>
      <c r="R152" s="692"/>
    </row>
    <row r="153" spans="1:18" s="20" customFormat="1" x14ac:dyDescent="0.2">
      <c r="A153" s="52"/>
      <c r="B153" s="83"/>
      <c r="C153" s="83" t="s">
        <v>125</v>
      </c>
      <c r="D153" s="83" t="s">
        <v>121</v>
      </c>
      <c r="E153" s="812" t="s">
        <v>231</v>
      </c>
      <c r="F153" s="914"/>
      <c r="G153" s="914"/>
      <c r="H153" s="914"/>
      <c r="I153" s="914"/>
      <c r="J153" s="914"/>
      <c r="K153" s="670" t="s">
        <v>232</v>
      </c>
      <c r="L153" s="670"/>
      <c r="M153" s="818" t="s">
        <v>209</v>
      </c>
      <c r="N153" s="100" t="s">
        <v>146</v>
      </c>
      <c r="O153" s="100"/>
      <c r="P153" s="111"/>
      <c r="Q153" s="692"/>
      <c r="R153" s="692"/>
    </row>
    <row r="154" spans="1:18" s="20" customFormat="1" ht="25.5" x14ac:dyDescent="0.2">
      <c r="A154" s="52"/>
      <c r="B154" s="83"/>
      <c r="C154" s="83" t="s">
        <v>127</v>
      </c>
      <c r="D154" s="83" t="s">
        <v>121</v>
      </c>
      <c r="E154" s="812" t="s">
        <v>233</v>
      </c>
      <c r="F154" s="914"/>
      <c r="G154" s="914"/>
      <c r="H154" s="914"/>
      <c r="I154" s="914"/>
      <c r="J154" s="914"/>
      <c r="K154" s="670" t="s">
        <v>234</v>
      </c>
      <c r="L154" s="670"/>
      <c r="M154" s="818" t="s">
        <v>17</v>
      </c>
      <c r="N154" s="100">
        <v>850</v>
      </c>
      <c r="O154" s="100"/>
      <c r="P154" s="111"/>
      <c r="Q154" s="692"/>
      <c r="R154" s="692"/>
    </row>
    <row r="155" spans="1:18" s="20" customFormat="1" x14ac:dyDescent="0.2">
      <c r="A155" s="52"/>
      <c r="B155" s="83"/>
      <c r="C155" s="83" t="s">
        <v>132</v>
      </c>
      <c r="D155" s="83" t="s">
        <v>121</v>
      </c>
      <c r="E155" s="812" t="s">
        <v>235</v>
      </c>
      <c r="F155" s="914"/>
      <c r="G155" s="914"/>
      <c r="H155" s="914"/>
      <c r="I155" s="914"/>
      <c r="J155" s="914"/>
      <c r="K155" s="709" t="s">
        <v>236</v>
      </c>
      <c r="L155" s="709"/>
      <c r="M155" s="818" t="s">
        <v>237</v>
      </c>
      <c r="N155" s="100"/>
      <c r="O155" s="100"/>
      <c r="P155" s="111"/>
      <c r="Q155" s="692"/>
      <c r="R155" s="692"/>
    </row>
    <row r="156" spans="1:18" s="20" customFormat="1" ht="25.5" x14ac:dyDescent="0.2">
      <c r="A156" s="52"/>
      <c r="B156" s="83"/>
      <c r="C156" s="83" t="s">
        <v>74</v>
      </c>
      <c r="D156" s="83" t="s">
        <v>121</v>
      </c>
      <c r="E156" s="673" t="s">
        <v>238</v>
      </c>
      <c r="F156" s="914"/>
      <c r="G156" s="914"/>
      <c r="H156" s="914"/>
      <c r="I156" s="914"/>
      <c r="J156" s="914"/>
      <c r="K156" s="93" t="s">
        <v>2391</v>
      </c>
      <c r="L156" s="670"/>
      <c r="M156" s="818" t="s">
        <v>31</v>
      </c>
      <c r="N156" s="100">
        <v>1</v>
      </c>
      <c r="O156" s="100"/>
      <c r="P156" s="111"/>
      <c r="Q156" s="692"/>
      <c r="R156" s="692"/>
    </row>
    <row r="157" spans="1:18" s="20" customFormat="1" ht="25.5" x14ac:dyDescent="0.2">
      <c r="A157" s="52"/>
      <c r="B157" s="83"/>
      <c r="C157" s="83" t="s">
        <v>197</v>
      </c>
      <c r="D157" s="83" t="s">
        <v>121</v>
      </c>
      <c r="E157" s="812" t="s">
        <v>239</v>
      </c>
      <c r="F157" s="914"/>
      <c r="G157" s="914"/>
      <c r="H157" s="914"/>
      <c r="I157" s="914"/>
      <c r="J157" s="914"/>
      <c r="K157" s="709" t="s">
        <v>240</v>
      </c>
      <c r="L157" s="709"/>
      <c r="M157" s="818" t="s">
        <v>17</v>
      </c>
      <c r="N157" s="100">
        <v>50</v>
      </c>
      <c r="O157" s="100"/>
      <c r="P157" s="111"/>
      <c r="Q157" s="692"/>
      <c r="R157" s="692"/>
    </row>
    <row r="158" spans="1:18" s="20" customFormat="1" ht="38.25" x14ac:dyDescent="0.2">
      <c r="A158" s="52"/>
      <c r="B158" s="83" t="s">
        <v>241</v>
      </c>
      <c r="C158" s="83"/>
      <c r="D158" s="83"/>
      <c r="E158" s="812" t="s">
        <v>2503</v>
      </c>
      <c r="F158" s="914">
        <v>0</v>
      </c>
      <c r="G158" s="914">
        <v>0</v>
      </c>
      <c r="H158" s="914">
        <v>0</v>
      </c>
      <c r="I158" s="914">
        <v>0</v>
      </c>
      <c r="J158" s="914">
        <v>0</v>
      </c>
      <c r="K158" s="709" t="s">
        <v>242</v>
      </c>
      <c r="L158" s="709"/>
      <c r="M158" s="708" t="s">
        <v>96</v>
      </c>
      <c r="N158" s="708"/>
      <c r="O158" s="708"/>
      <c r="P158" s="111"/>
      <c r="Q158" s="692"/>
      <c r="R158" s="692"/>
    </row>
    <row r="159" spans="1:18" s="20" customFormat="1" x14ac:dyDescent="0.2">
      <c r="A159" s="52"/>
      <c r="B159" s="77"/>
      <c r="C159" s="77" t="s">
        <v>123</v>
      </c>
      <c r="D159" s="77" t="s">
        <v>121</v>
      </c>
      <c r="E159" s="85" t="s">
        <v>243</v>
      </c>
      <c r="F159" s="914"/>
      <c r="G159" s="914"/>
      <c r="H159" s="914"/>
      <c r="I159" s="914"/>
      <c r="J159" s="914"/>
      <c r="K159" s="670" t="s">
        <v>242</v>
      </c>
      <c r="L159" s="670"/>
      <c r="M159" s="818" t="s">
        <v>31</v>
      </c>
      <c r="N159" s="100">
        <v>291</v>
      </c>
      <c r="O159" s="100"/>
      <c r="P159" s="111"/>
      <c r="Q159" s="692"/>
      <c r="R159" s="692"/>
    </row>
    <row r="160" spans="1:18" ht="15.75" customHeight="1" x14ac:dyDescent="0.2">
      <c r="A160" s="2121" t="s">
        <v>64</v>
      </c>
      <c r="B160" s="2121"/>
      <c r="C160" s="2121"/>
      <c r="D160" s="2121"/>
      <c r="E160" s="2122"/>
      <c r="F160" s="908">
        <v>21082.3</v>
      </c>
      <c r="G160" s="908">
        <v>22353.8</v>
      </c>
      <c r="H160" s="908">
        <v>22353.8</v>
      </c>
      <c r="I160" s="908">
        <v>26029.800000000003</v>
      </c>
      <c r="J160" s="908">
        <v>25529.800000000003</v>
      </c>
      <c r="K160" s="112"/>
      <c r="L160" s="112"/>
      <c r="M160" s="104"/>
      <c r="N160" s="113"/>
      <c r="O160" s="113"/>
      <c r="P160" s="104"/>
      <c r="Q160" s="104"/>
      <c r="R160" s="104"/>
    </row>
    <row r="161" spans="1:18" s="17" customFormat="1" ht="23.25" customHeight="1" x14ac:dyDescent="0.2">
      <c r="A161" s="2091" t="s">
        <v>244</v>
      </c>
      <c r="B161" s="2091"/>
      <c r="C161" s="2091"/>
      <c r="D161" s="2091"/>
      <c r="E161" s="2091"/>
      <c r="F161" s="2092"/>
      <c r="G161" s="2092"/>
      <c r="H161" s="2092"/>
      <c r="I161" s="2092"/>
      <c r="J161" s="2092"/>
      <c r="K161" s="2091"/>
      <c r="L161" s="2091"/>
      <c r="M161" s="2091"/>
      <c r="N161" s="2091"/>
      <c r="O161" s="2091"/>
      <c r="P161" s="2091"/>
      <c r="Q161" s="2091"/>
      <c r="R161" s="2091"/>
    </row>
    <row r="162" spans="1:18" s="20" customFormat="1" ht="51" x14ac:dyDescent="0.2">
      <c r="A162" s="52"/>
      <c r="B162" s="77" t="s">
        <v>120</v>
      </c>
      <c r="C162" s="77"/>
      <c r="D162" s="77" t="s">
        <v>121</v>
      </c>
      <c r="E162" s="812" t="s">
        <v>2504</v>
      </c>
      <c r="F162" s="910">
        <v>145665.20000000001</v>
      </c>
      <c r="G162" s="910">
        <v>108878.7</v>
      </c>
      <c r="H162" s="910">
        <f>H163+H164</f>
        <v>113838</v>
      </c>
      <c r="I162" s="910">
        <v>105901.5</v>
      </c>
      <c r="J162" s="910">
        <v>105901.5</v>
      </c>
      <c r="K162" s="709" t="s">
        <v>245</v>
      </c>
      <c r="L162" s="709"/>
      <c r="M162" s="708" t="s">
        <v>17</v>
      </c>
      <c r="N162" s="708">
        <v>100</v>
      </c>
      <c r="O162" s="708">
        <v>100</v>
      </c>
      <c r="P162" s="708">
        <v>100</v>
      </c>
      <c r="Q162" s="708">
        <v>100</v>
      </c>
      <c r="R162" s="708">
        <v>100</v>
      </c>
    </row>
    <row r="163" spans="1:18" s="20" customFormat="1" x14ac:dyDescent="0.2">
      <c r="A163" s="52"/>
      <c r="B163" s="77"/>
      <c r="C163" s="77" t="s">
        <v>123</v>
      </c>
      <c r="D163" s="77" t="s">
        <v>121</v>
      </c>
      <c r="E163" s="812" t="s">
        <v>18</v>
      </c>
      <c r="F163" s="911">
        <v>47979.4</v>
      </c>
      <c r="G163" s="911">
        <v>43370.6</v>
      </c>
      <c r="H163" s="911">
        <v>44197.4</v>
      </c>
      <c r="I163" s="911">
        <v>53784.3</v>
      </c>
      <c r="J163" s="911">
        <v>53784.3</v>
      </c>
      <c r="K163" s="2079" t="s">
        <v>246</v>
      </c>
      <c r="L163" s="771"/>
      <c r="M163" s="708" t="s">
        <v>17</v>
      </c>
      <c r="N163" s="708">
        <v>100</v>
      </c>
      <c r="O163" s="708">
        <v>100</v>
      </c>
      <c r="P163" s="708">
        <v>100</v>
      </c>
      <c r="Q163" s="708">
        <v>100</v>
      </c>
      <c r="R163" s="708">
        <v>100</v>
      </c>
    </row>
    <row r="164" spans="1:18" s="20" customFormat="1" x14ac:dyDescent="0.2">
      <c r="A164" s="52"/>
      <c r="B164" s="77"/>
      <c r="C164" s="77" t="s">
        <v>125</v>
      </c>
      <c r="D164" s="77" t="s">
        <v>121</v>
      </c>
      <c r="E164" s="812" t="s">
        <v>247</v>
      </c>
      <c r="F164" s="911">
        <v>97685.8</v>
      </c>
      <c r="G164" s="911">
        <v>65508.1</v>
      </c>
      <c r="H164" s="911">
        <v>69640.599999999991</v>
      </c>
      <c r="I164" s="911">
        <v>52117.2</v>
      </c>
      <c r="J164" s="911">
        <v>52117.2</v>
      </c>
      <c r="K164" s="2080"/>
      <c r="L164" s="772"/>
      <c r="M164" s="708" t="s">
        <v>17</v>
      </c>
      <c r="N164" s="708">
        <v>100</v>
      </c>
      <c r="O164" s="708">
        <v>100</v>
      </c>
      <c r="P164" s="708">
        <v>100</v>
      </c>
      <c r="Q164" s="708">
        <v>100</v>
      </c>
      <c r="R164" s="708">
        <v>100</v>
      </c>
    </row>
    <row r="165" spans="1:18" s="20" customFormat="1" ht="25.5" x14ac:dyDescent="0.2">
      <c r="A165" s="52"/>
      <c r="B165" s="77"/>
      <c r="C165" s="77" t="s">
        <v>125</v>
      </c>
      <c r="D165" s="77" t="s">
        <v>121</v>
      </c>
      <c r="E165" s="812" t="s">
        <v>22</v>
      </c>
      <c r="F165" s="911"/>
      <c r="G165" s="911"/>
      <c r="H165" s="911"/>
      <c r="I165" s="911"/>
      <c r="J165" s="911"/>
      <c r="K165" s="709" t="s">
        <v>248</v>
      </c>
      <c r="L165" s="709"/>
      <c r="M165" s="708" t="s">
        <v>17</v>
      </c>
      <c r="N165" s="708">
        <v>100</v>
      </c>
      <c r="O165" s="708"/>
      <c r="P165" s="708"/>
      <c r="Q165" s="708"/>
      <c r="R165" s="708"/>
    </row>
    <row r="166" spans="1:18" s="20" customFormat="1" x14ac:dyDescent="0.2">
      <c r="A166" s="52"/>
      <c r="B166" s="77"/>
      <c r="C166" s="77" t="s">
        <v>127</v>
      </c>
      <c r="D166" s="77" t="s">
        <v>121</v>
      </c>
      <c r="E166" s="812" t="s">
        <v>24</v>
      </c>
      <c r="F166" s="911"/>
      <c r="G166" s="911"/>
      <c r="H166" s="911"/>
      <c r="I166" s="911"/>
      <c r="J166" s="911"/>
      <c r="K166" s="709" t="s">
        <v>126</v>
      </c>
      <c r="L166" s="709"/>
      <c r="M166" s="708" t="s">
        <v>17</v>
      </c>
      <c r="N166" s="708">
        <v>0</v>
      </c>
      <c r="O166" s="80"/>
      <c r="P166" s="708"/>
      <c r="Q166" s="708"/>
      <c r="R166" s="708"/>
    </row>
    <row r="167" spans="1:18" s="20" customFormat="1" ht="25.5" x14ac:dyDescent="0.2">
      <c r="A167" s="52"/>
      <c r="B167" s="77"/>
      <c r="C167" s="77" t="s">
        <v>132</v>
      </c>
      <c r="D167" s="77" t="s">
        <v>121</v>
      </c>
      <c r="E167" s="812" t="s">
        <v>26</v>
      </c>
      <c r="F167" s="911"/>
      <c r="G167" s="911"/>
      <c r="H167" s="911"/>
      <c r="I167" s="911"/>
      <c r="J167" s="911"/>
      <c r="K167" s="709" t="s">
        <v>27</v>
      </c>
      <c r="L167" s="709"/>
      <c r="M167" s="708" t="s">
        <v>28</v>
      </c>
      <c r="N167" s="708">
        <v>20</v>
      </c>
      <c r="O167" s="708"/>
      <c r="P167" s="708"/>
      <c r="Q167" s="708"/>
      <c r="R167" s="708"/>
    </row>
    <row r="168" spans="1:18" s="20" customFormat="1" x14ac:dyDescent="0.2">
      <c r="A168" s="52"/>
      <c r="B168" s="77"/>
      <c r="C168" s="77" t="s">
        <v>74</v>
      </c>
      <c r="D168" s="77" t="s">
        <v>121</v>
      </c>
      <c r="E168" s="812" t="s">
        <v>29</v>
      </c>
      <c r="F168" s="911"/>
      <c r="G168" s="911"/>
      <c r="H168" s="911"/>
      <c r="I168" s="911"/>
      <c r="J168" s="911"/>
      <c r="K168" s="709" t="s">
        <v>216</v>
      </c>
      <c r="L168" s="709"/>
      <c r="M168" s="708" t="s">
        <v>163</v>
      </c>
      <c r="N168" s="708">
        <v>3</v>
      </c>
      <c r="O168" s="708"/>
      <c r="P168" s="708"/>
      <c r="Q168" s="708"/>
      <c r="R168" s="708"/>
    </row>
    <row r="169" spans="1:18" s="20" customFormat="1" ht="25.5" x14ac:dyDescent="0.2">
      <c r="A169" s="52"/>
      <c r="B169" s="77"/>
      <c r="C169" s="77" t="s">
        <v>197</v>
      </c>
      <c r="D169" s="77" t="s">
        <v>121</v>
      </c>
      <c r="E169" s="812" t="s">
        <v>136</v>
      </c>
      <c r="F169" s="911"/>
      <c r="G169" s="911"/>
      <c r="H169" s="911"/>
      <c r="I169" s="911"/>
      <c r="J169" s="911"/>
      <c r="K169" s="670" t="s">
        <v>249</v>
      </c>
      <c r="L169" s="670"/>
      <c r="M169" s="708" t="s">
        <v>17</v>
      </c>
      <c r="N169" s="708" t="s">
        <v>250</v>
      </c>
      <c r="O169" s="708"/>
      <c r="P169" s="708"/>
      <c r="Q169" s="708"/>
      <c r="R169" s="708"/>
    </row>
    <row r="170" spans="1:18" s="20" customFormat="1" ht="38.25" x14ac:dyDescent="0.2">
      <c r="A170" s="52"/>
      <c r="B170" s="77"/>
      <c r="C170" s="77" t="s">
        <v>155</v>
      </c>
      <c r="D170" s="77" t="s">
        <v>121</v>
      </c>
      <c r="E170" s="812" t="s">
        <v>251</v>
      </c>
      <c r="F170" s="911"/>
      <c r="G170" s="911"/>
      <c r="H170" s="911"/>
      <c r="I170" s="911"/>
      <c r="J170" s="911"/>
      <c r="K170" s="709" t="s">
        <v>252</v>
      </c>
      <c r="L170" s="709"/>
      <c r="M170" s="708" t="s">
        <v>17</v>
      </c>
      <c r="N170" s="708">
        <v>30</v>
      </c>
      <c r="O170" s="708"/>
      <c r="P170" s="708"/>
      <c r="Q170" s="708"/>
      <c r="R170" s="708"/>
    </row>
    <row r="171" spans="1:18" s="20" customFormat="1" ht="51" x14ac:dyDescent="0.2">
      <c r="A171" s="52"/>
      <c r="B171" s="83" t="s">
        <v>138</v>
      </c>
      <c r="C171" s="83"/>
      <c r="D171" s="83" t="s">
        <v>121</v>
      </c>
      <c r="E171" s="812" t="s">
        <v>2505</v>
      </c>
      <c r="F171" s="910">
        <v>997951.9</v>
      </c>
      <c r="G171" s="910">
        <v>1407287.5</v>
      </c>
      <c r="H171" s="910">
        <f>SUM(H172:H187)</f>
        <v>962469.9</v>
      </c>
      <c r="I171" s="910">
        <v>2900002.4</v>
      </c>
      <c r="J171" s="910">
        <v>2659491.0000000005</v>
      </c>
      <c r="K171" s="709" t="s">
        <v>2392</v>
      </c>
      <c r="L171" s="709"/>
      <c r="M171" s="708" t="s">
        <v>253</v>
      </c>
      <c r="N171" s="114">
        <v>3.7</v>
      </c>
      <c r="O171" s="114">
        <v>3.9</v>
      </c>
      <c r="P171" s="114">
        <v>4.0999999999999996</v>
      </c>
      <c r="Q171" s="114">
        <v>4.2</v>
      </c>
      <c r="R171" s="114">
        <v>4.4000000000000004</v>
      </c>
    </row>
    <row r="172" spans="1:18" s="20" customFormat="1" ht="25.5" x14ac:dyDescent="0.2">
      <c r="A172" s="52"/>
      <c r="B172" s="83"/>
      <c r="C172" s="83" t="s">
        <v>123</v>
      </c>
      <c r="D172" s="83" t="s">
        <v>121</v>
      </c>
      <c r="E172" s="812" t="s">
        <v>254</v>
      </c>
      <c r="F172" s="911">
        <v>5422.4</v>
      </c>
      <c r="G172" s="911">
        <v>4170.3999999999996</v>
      </c>
      <c r="H172" s="1049">
        <v>4170.3999999999996</v>
      </c>
      <c r="I172" s="921">
        <v>5594.8</v>
      </c>
      <c r="J172" s="921">
        <v>5594.8</v>
      </c>
      <c r="K172" s="98" t="s">
        <v>217</v>
      </c>
      <c r="L172" s="98"/>
      <c r="M172" s="708" t="s">
        <v>17</v>
      </c>
      <c r="N172" s="708">
        <v>100</v>
      </c>
      <c r="O172" s="708">
        <v>100</v>
      </c>
      <c r="P172" s="708">
        <v>100</v>
      </c>
      <c r="Q172" s="708">
        <v>100</v>
      </c>
      <c r="R172" s="708">
        <v>100</v>
      </c>
    </row>
    <row r="173" spans="1:18" s="20" customFormat="1" ht="25.5" x14ac:dyDescent="0.2">
      <c r="A173" s="52"/>
      <c r="B173" s="83"/>
      <c r="C173" s="83" t="s">
        <v>125</v>
      </c>
      <c r="D173" s="83" t="s">
        <v>121</v>
      </c>
      <c r="E173" s="107" t="s">
        <v>255</v>
      </c>
      <c r="F173" s="911">
        <v>27000</v>
      </c>
      <c r="G173" s="911">
        <v>32000</v>
      </c>
      <c r="H173" s="1049"/>
      <c r="I173" s="921">
        <v>43041</v>
      </c>
      <c r="J173" s="921">
        <v>0</v>
      </c>
      <c r="K173" s="2081" t="s">
        <v>2393</v>
      </c>
      <c r="L173" s="773"/>
      <c r="M173" s="708" t="s">
        <v>163</v>
      </c>
      <c r="N173" s="115">
        <v>3</v>
      </c>
      <c r="O173" s="115">
        <v>18</v>
      </c>
      <c r="P173" s="115">
        <v>36</v>
      </c>
      <c r="Q173" s="115">
        <v>54</v>
      </c>
      <c r="R173" s="115">
        <v>72</v>
      </c>
    </row>
    <row r="174" spans="1:18" s="20" customFormat="1" x14ac:dyDescent="0.2">
      <c r="A174" s="52"/>
      <c r="B174" s="83"/>
      <c r="C174" s="83" t="s">
        <v>127</v>
      </c>
      <c r="D174" s="83" t="s">
        <v>121</v>
      </c>
      <c r="E174" s="107" t="s">
        <v>256</v>
      </c>
      <c r="F174" s="911">
        <v>6000</v>
      </c>
      <c r="G174" s="920">
        <v>0</v>
      </c>
      <c r="H174" s="1049"/>
      <c r="I174" s="921">
        <v>0</v>
      </c>
      <c r="J174" s="921">
        <v>0</v>
      </c>
      <c r="K174" s="2082"/>
      <c r="L174" s="774"/>
      <c r="M174" s="708" t="s">
        <v>163</v>
      </c>
      <c r="N174" s="115">
        <v>0</v>
      </c>
      <c r="O174" s="115">
        <v>20</v>
      </c>
      <c r="P174" s="115">
        <v>60</v>
      </c>
      <c r="Q174" s="115">
        <v>100</v>
      </c>
      <c r="R174" s="115">
        <v>100</v>
      </c>
    </row>
    <row r="175" spans="1:18" s="20" customFormat="1" x14ac:dyDescent="0.2">
      <c r="A175" s="52"/>
      <c r="B175" s="83"/>
      <c r="C175" s="83" t="s">
        <v>132</v>
      </c>
      <c r="D175" s="83" t="s">
        <v>121</v>
      </c>
      <c r="E175" s="107" t="s">
        <v>257</v>
      </c>
      <c r="F175" s="911">
        <v>8500</v>
      </c>
      <c r="G175" s="920">
        <v>23081</v>
      </c>
      <c r="H175" s="1049"/>
      <c r="I175" s="921">
        <v>8320.5</v>
      </c>
      <c r="J175" s="921">
        <v>0</v>
      </c>
      <c r="K175" s="2083"/>
      <c r="L175" s="775"/>
      <c r="M175" s="708" t="s">
        <v>163</v>
      </c>
      <c r="N175" s="115">
        <v>0</v>
      </c>
      <c r="O175" s="115">
        <v>1</v>
      </c>
      <c r="P175" s="115">
        <v>18</v>
      </c>
      <c r="Q175" s="115">
        <v>36</v>
      </c>
      <c r="R175" s="115">
        <v>54</v>
      </c>
    </row>
    <row r="176" spans="1:18" s="20" customFormat="1" ht="25.5" x14ac:dyDescent="0.2">
      <c r="A176" s="52"/>
      <c r="B176" s="83"/>
      <c r="C176" s="83" t="s">
        <v>74</v>
      </c>
      <c r="D176" s="83" t="s">
        <v>121</v>
      </c>
      <c r="E176" s="107" t="s">
        <v>258</v>
      </c>
      <c r="F176" s="911">
        <v>58265.4</v>
      </c>
      <c r="G176" s="920">
        <v>79404.100000000006</v>
      </c>
      <c r="H176" s="1049">
        <v>26933.3</v>
      </c>
      <c r="I176" s="921">
        <v>46933.3</v>
      </c>
      <c r="J176" s="921">
        <v>46933.3</v>
      </c>
      <c r="K176" s="116" t="s">
        <v>259</v>
      </c>
      <c r="L176" s="116"/>
      <c r="M176" s="708" t="s">
        <v>163</v>
      </c>
      <c r="N176" s="708">
        <v>34</v>
      </c>
      <c r="O176" s="708">
        <v>70</v>
      </c>
      <c r="P176" s="708">
        <v>72</v>
      </c>
      <c r="Q176" s="708">
        <v>72</v>
      </c>
      <c r="R176" s="708">
        <v>72</v>
      </c>
    </row>
    <row r="177" spans="1:18" s="20" customFormat="1" ht="38.25" x14ac:dyDescent="0.2">
      <c r="A177" s="52"/>
      <c r="B177" s="83"/>
      <c r="C177" s="83" t="s">
        <v>197</v>
      </c>
      <c r="D177" s="83" t="s">
        <v>121</v>
      </c>
      <c r="E177" s="107" t="s">
        <v>260</v>
      </c>
      <c r="F177" s="911">
        <v>6121.7</v>
      </c>
      <c r="G177" s="920">
        <v>5360.6</v>
      </c>
      <c r="H177" s="1049">
        <v>5360.6</v>
      </c>
      <c r="I177" s="921">
        <v>9840.5</v>
      </c>
      <c r="J177" s="921">
        <v>5540.5</v>
      </c>
      <c r="K177" s="116" t="s">
        <v>261</v>
      </c>
      <c r="L177" s="116"/>
      <c r="M177" s="708" t="s">
        <v>17</v>
      </c>
      <c r="N177" s="97">
        <v>100</v>
      </c>
      <c r="O177" s="97">
        <v>100</v>
      </c>
      <c r="P177" s="97">
        <v>100</v>
      </c>
      <c r="Q177" s="97">
        <v>100</v>
      </c>
      <c r="R177" s="97">
        <v>100</v>
      </c>
    </row>
    <row r="178" spans="1:18" s="20" customFormat="1" ht="25.5" x14ac:dyDescent="0.2">
      <c r="A178" s="52"/>
      <c r="B178" s="83"/>
      <c r="C178" s="83" t="s">
        <v>155</v>
      </c>
      <c r="D178" s="83"/>
      <c r="E178" s="107" t="s">
        <v>296</v>
      </c>
      <c r="F178" s="911">
        <v>112031.3</v>
      </c>
      <c r="G178" s="920">
        <v>35000</v>
      </c>
      <c r="H178" s="1049"/>
      <c r="I178" s="921">
        <v>8000</v>
      </c>
      <c r="J178" s="921">
        <v>50000</v>
      </c>
      <c r="K178" s="93" t="s">
        <v>2394</v>
      </c>
      <c r="L178" s="93"/>
      <c r="M178" s="708" t="s">
        <v>163</v>
      </c>
      <c r="N178" s="97">
        <v>77</v>
      </c>
      <c r="O178" s="97">
        <v>134</v>
      </c>
      <c r="P178" s="97">
        <v>181</v>
      </c>
      <c r="Q178" s="97">
        <v>181</v>
      </c>
      <c r="R178" s="97">
        <v>181</v>
      </c>
    </row>
    <row r="179" spans="1:18" s="20" customFormat="1" ht="66" customHeight="1" x14ac:dyDescent="0.2">
      <c r="A179" s="52"/>
      <c r="B179" s="83"/>
      <c r="C179" s="83" t="s">
        <v>158</v>
      </c>
      <c r="D179" s="83" t="s">
        <v>121</v>
      </c>
      <c r="E179" s="107" t="s">
        <v>262</v>
      </c>
      <c r="F179" s="920">
        <v>491817.5</v>
      </c>
      <c r="G179" s="920">
        <v>587485.1</v>
      </c>
      <c r="H179" s="1049">
        <v>353814.6</v>
      </c>
      <c r="I179" s="921">
        <v>2076063.8</v>
      </c>
      <c r="J179" s="921">
        <v>2101718.5</v>
      </c>
      <c r="K179" s="93" t="s">
        <v>263</v>
      </c>
      <c r="L179" s="93"/>
      <c r="M179" s="708" t="s">
        <v>163</v>
      </c>
      <c r="N179" s="708">
        <v>30</v>
      </c>
      <c r="O179" s="708">
        <v>38</v>
      </c>
      <c r="P179" s="708">
        <v>46</v>
      </c>
      <c r="Q179" s="708">
        <v>54</v>
      </c>
      <c r="R179" s="708">
        <v>62</v>
      </c>
    </row>
    <row r="180" spans="1:18" s="20" customFormat="1" ht="25.5" x14ac:dyDescent="0.2">
      <c r="A180" s="52"/>
      <c r="B180" s="83"/>
      <c r="C180" s="83" t="s">
        <v>264</v>
      </c>
      <c r="D180" s="83" t="s">
        <v>121</v>
      </c>
      <c r="E180" s="107" t="s">
        <v>265</v>
      </c>
      <c r="F180" s="911">
        <v>4773.2</v>
      </c>
      <c r="G180" s="920">
        <v>1250</v>
      </c>
      <c r="H180" s="1049">
        <v>650</v>
      </c>
      <c r="I180" s="921">
        <v>1250</v>
      </c>
      <c r="J180" s="921">
        <v>2150</v>
      </c>
      <c r="K180" s="116" t="s">
        <v>217</v>
      </c>
      <c r="L180" s="116"/>
      <c r="M180" s="708" t="s">
        <v>163</v>
      </c>
      <c r="N180" s="77" t="s">
        <v>266</v>
      </c>
      <c r="O180" s="77" t="s">
        <v>267</v>
      </c>
      <c r="P180" s="77" t="s">
        <v>268</v>
      </c>
      <c r="Q180" s="77" t="s">
        <v>268</v>
      </c>
      <c r="R180" s="77" t="s">
        <v>268</v>
      </c>
    </row>
    <row r="181" spans="1:18" s="20" customFormat="1" ht="25.5" x14ac:dyDescent="0.2">
      <c r="A181" s="52"/>
      <c r="B181" s="83"/>
      <c r="C181" s="83" t="s">
        <v>269</v>
      </c>
      <c r="D181" s="83" t="s">
        <v>121</v>
      </c>
      <c r="E181" s="107" t="s">
        <v>270</v>
      </c>
      <c r="F181" s="911">
        <v>67410.8</v>
      </c>
      <c r="G181" s="920">
        <v>67410.8</v>
      </c>
      <c r="H181" s="1049">
        <v>53178.2</v>
      </c>
      <c r="I181" s="921">
        <v>135697.29999999999</v>
      </c>
      <c r="J181" s="921">
        <v>135497.29999999999</v>
      </c>
      <c r="K181" s="670" t="s">
        <v>271</v>
      </c>
      <c r="L181" s="670"/>
      <c r="M181" s="708" t="s">
        <v>17</v>
      </c>
      <c r="N181" s="97">
        <v>0</v>
      </c>
      <c r="O181" s="97">
        <v>10</v>
      </c>
      <c r="P181" s="97">
        <v>30</v>
      </c>
      <c r="Q181" s="97">
        <v>80</v>
      </c>
      <c r="R181" s="97">
        <v>100</v>
      </c>
    </row>
    <row r="182" spans="1:18" s="20" customFormat="1" ht="38.25" x14ac:dyDescent="0.2">
      <c r="A182" s="52"/>
      <c r="B182" s="83"/>
      <c r="C182" s="83" t="s">
        <v>272</v>
      </c>
      <c r="D182" s="83" t="s">
        <v>121</v>
      </c>
      <c r="E182" s="811" t="s">
        <v>273</v>
      </c>
      <c r="F182" s="914">
        <v>73207.7</v>
      </c>
      <c r="G182" s="916">
        <v>102753.4</v>
      </c>
      <c r="H182" s="1050">
        <v>82279.3</v>
      </c>
      <c r="I182" s="915">
        <v>344847.2</v>
      </c>
      <c r="J182" s="915">
        <v>260247.2</v>
      </c>
      <c r="K182" s="93" t="s">
        <v>274</v>
      </c>
      <c r="L182" s="93"/>
      <c r="M182" s="708" t="s">
        <v>17</v>
      </c>
      <c r="N182" s="97">
        <v>42.4</v>
      </c>
      <c r="O182" s="97">
        <v>43</v>
      </c>
      <c r="P182" s="97">
        <v>44</v>
      </c>
      <c r="Q182" s="97">
        <v>45</v>
      </c>
      <c r="R182" s="97">
        <v>46</v>
      </c>
    </row>
    <row r="183" spans="1:18" s="20" customFormat="1" ht="25.5" x14ac:dyDescent="0.2">
      <c r="A183" s="52"/>
      <c r="B183" s="83"/>
      <c r="C183" s="83" t="s">
        <v>275</v>
      </c>
      <c r="D183" s="83" t="s">
        <v>121</v>
      </c>
      <c r="E183" s="107" t="s">
        <v>276</v>
      </c>
      <c r="F183" s="911">
        <v>137401.9</v>
      </c>
      <c r="G183" s="920">
        <v>423449.9</v>
      </c>
      <c r="H183" s="1049">
        <f>417444.5+18639</f>
        <v>436083.5</v>
      </c>
      <c r="I183" s="921">
        <v>26387.599999999999</v>
      </c>
      <c r="J183" s="921">
        <v>26387.200000000001</v>
      </c>
      <c r="K183" s="116" t="s">
        <v>277</v>
      </c>
      <c r="L183" s="116"/>
      <c r="M183" s="708" t="s">
        <v>17</v>
      </c>
      <c r="N183" s="708">
        <v>19.100000000000001</v>
      </c>
      <c r="O183" s="708">
        <v>15</v>
      </c>
      <c r="P183" s="708">
        <v>11</v>
      </c>
      <c r="Q183" s="708">
        <v>9</v>
      </c>
      <c r="R183" s="708">
        <v>2</v>
      </c>
    </row>
    <row r="184" spans="1:18" s="20" customFormat="1" ht="25.5" x14ac:dyDescent="0.2">
      <c r="A184" s="52"/>
      <c r="B184" s="83"/>
      <c r="C184" s="83" t="s">
        <v>278</v>
      </c>
      <c r="D184" s="83" t="s">
        <v>121</v>
      </c>
      <c r="E184" s="107" t="s">
        <v>279</v>
      </c>
      <c r="F184" s="911"/>
      <c r="G184" s="920"/>
      <c r="H184" s="1049"/>
      <c r="I184" s="921">
        <v>0</v>
      </c>
      <c r="J184" s="921">
        <v>0</v>
      </c>
      <c r="K184" s="790" t="s">
        <v>280</v>
      </c>
      <c r="L184" s="790"/>
      <c r="M184" s="708" t="s">
        <v>17</v>
      </c>
      <c r="N184" s="708">
        <v>60</v>
      </c>
      <c r="O184" s="708">
        <v>96</v>
      </c>
      <c r="P184" s="708">
        <v>100</v>
      </c>
      <c r="Q184" s="708">
        <v>100</v>
      </c>
      <c r="R184" s="708">
        <v>100</v>
      </c>
    </row>
    <row r="185" spans="1:18" s="20" customFormat="1" ht="38.25" x14ac:dyDescent="0.2">
      <c r="A185" s="52"/>
      <c r="B185" s="83"/>
      <c r="C185" s="83" t="s">
        <v>281</v>
      </c>
      <c r="D185" s="83" t="s">
        <v>121</v>
      </c>
      <c r="E185" s="812" t="s">
        <v>282</v>
      </c>
      <c r="F185" s="911"/>
      <c r="G185" s="920"/>
      <c r="H185" s="1049">
        <v>0</v>
      </c>
      <c r="I185" s="921">
        <v>20000</v>
      </c>
      <c r="J185" s="921">
        <v>3500</v>
      </c>
      <c r="K185" s="93" t="s">
        <v>283</v>
      </c>
      <c r="L185" s="93"/>
      <c r="M185" s="708" t="s">
        <v>17</v>
      </c>
      <c r="N185" s="708">
        <v>0</v>
      </c>
      <c r="O185" s="708">
        <v>100</v>
      </c>
      <c r="P185" s="708">
        <v>100</v>
      </c>
      <c r="Q185" s="708">
        <v>100</v>
      </c>
      <c r="R185" s="708">
        <v>100</v>
      </c>
    </row>
    <row r="186" spans="1:18" s="20" customFormat="1" ht="38.25" x14ac:dyDescent="0.2">
      <c r="A186" s="52"/>
      <c r="B186" s="83"/>
      <c r="C186" s="83" t="s">
        <v>88</v>
      </c>
      <c r="D186" s="83" t="s">
        <v>121</v>
      </c>
      <c r="E186" s="812" t="s">
        <v>284</v>
      </c>
      <c r="F186" s="911"/>
      <c r="G186" s="920">
        <v>30000</v>
      </c>
      <c r="H186" s="1049"/>
      <c r="I186" s="921">
        <v>34500</v>
      </c>
      <c r="J186" s="921">
        <v>6000</v>
      </c>
      <c r="K186" s="93" t="s">
        <v>2395</v>
      </c>
      <c r="L186" s="93"/>
      <c r="M186" s="708" t="s">
        <v>17</v>
      </c>
      <c r="N186" s="97">
        <v>0</v>
      </c>
      <c r="O186" s="97">
        <v>10</v>
      </c>
      <c r="P186" s="97">
        <v>30</v>
      </c>
      <c r="Q186" s="97">
        <v>80</v>
      </c>
      <c r="R186" s="97">
        <v>100</v>
      </c>
    </row>
    <row r="187" spans="1:18" s="20" customFormat="1" ht="25.5" x14ac:dyDescent="0.2">
      <c r="A187" s="52"/>
      <c r="B187" s="83"/>
      <c r="C187" s="83" t="s">
        <v>285</v>
      </c>
      <c r="D187" s="83" t="s">
        <v>121</v>
      </c>
      <c r="E187" s="812" t="s">
        <v>286</v>
      </c>
      <c r="F187" s="911"/>
      <c r="G187" s="920">
        <v>15922.2</v>
      </c>
      <c r="H187" s="1049"/>
      <c r="I187" s="915">
        <v>139526.39999999999</v>
      </c>
      <c r="J187" s="915">
        <v>15922.2</v>
      </c>
      <c r="K187" s="117" t="s">
        <v>287</v>
      </c>
      <c r="L187" s="117"/>
      <c r="M187" s="708" t="s">
        <v>163</v>
      </c>
      <c r="N187" s="97">
        <v>0</v>
      </c>
      <c r="O187" s="97">
        <v>0</v>
      </c>
      <c r="P187" s="97">
        <v>2</v>
      </c>
      <c r="Q187" s="97">
        <v>5</v>
      </c>
      <c r="R187" s="97">
        <v>8</v>
      </c>
    </row>
    <row r="188" spans="1:18" s="20" customFormat="1" ht="51" x14ac:dyDescent="0.2">
      <c r="A188" s="52"/>
      <c r="B188" s="840" t="s">
        <v>161</v>
      </c>
      <c r="C188" s="83"/>
      <c r="D188" s="83"/>
      <c r="E188" s="812" t="s">
        <v>2506</v>
      </c>
      <c r="F188" s="911">
        <v>0</v>
      </c>
      <c r="G188" s="911">
        <v>0</v>
      </c>
      <c r="H188" s="911">
        <v>0</v>
      </c>
      <c r="I188" s="911">
        <v>0</v>
      </c>
      <c r="J188" s="911">
        <v>0</v>
      </c>
      <c r="K188" s="709" t="s">
        <v>2396</v>
      </c>
      <c r="L188" s="709"/>
      <c r="M188" s="708" t="s">
        <v>17</v>
      </c>
      <c r="N188" s="708">
        <v>0</v>
      </c>
      <c r="O188" s="708"/>
      <c r="P188" s="118"/>
      <c r="Q188" s="624"/>
      <c r="R188" s="624"/>
    </row>
    <row r="189" spans="1:18" s="20" customFormat="1" ht="29.25" customHeight="1" x14ac:dyDescent="0.2">
      <c r="A189" s="52"/>
      <c r="B189" s="83"/>
      <c r="C189" s="83" t="s">
        <v>123</v>
      </c>
      <c r="D189" s="83" t="s">
        <v>121</v>
      </c>
      <c r="E189" s="812" t="s">
        <v>254</v>
      </c>
      <c r="F189" s="911"/>
      <c r="G189" s="911"/>
      <c r="H189" s="921"/>
      <c r="I189" s="921"/>
      <c r="J189" s="921"/>
      <c r="K189" s="709" t="s">
        <v>288</v>
      </c>
      <c r="L189" s="709"/>
      <c r="M189" s="708" t="s">
        <v>17</v>
      </c>
      <c r="N189" s="708">
        <v>100</v>
      </c>
      <c r="O189" s="708"/>
      <c r="P189" s="118"/>
      <c r="Q189" s="624"/>
      <c r="R189" s="624"/>
    </row>
    <row r="190" spans="1:18" s="20" customFormat="1" x14ac:dyDescent="0.2">
      <c r="A190" s="52"/>
      <c r="B190" s="83"/>
      <c r="C190" s="83" t="s">
        <v>125</v>
      </c>
      <c r="D190" s="83" t="s">
        <v>121</v>
      </c>
      <c r="E190" s="107" t="s">
        <v>289</v>
      </c>
      <c r="F190" s="911"/>
      <c r="G190" s="911"/>
      <c r="H190" s="921"/>
      <c r="I190" s="921"/>
      <c r="J190" s="921"/>
      <c r="K190" s="2084" t="s">
        <v>290</v>
      </c>
      <c r="L190" s="776"/>
      <c r="M190" s="2077" t="s">
        <v>163</v>
      </c>
      <c r="N190" s="2088">
        <v>20</v>
      </c>
      <c r="O190" s="2088"/>
      <c r="P190" s="118"/>
      <c r="Q190" s="624"/>
      <c r="R190" s="624"/>
    </row>
    <row r="191" spans="1:18" s="20" customFormat="1" x14ac:dyDescent="0.2">
      <c r="A191" s="52"/>
      <c r="B191" s="83"/>
      <c r="C191" s="83" t="s">
        <v>127</v>
      </c>
      <c r="D191" s="83" t="s">
        <v>121</v>
      </c>
      <c r="E191" s="107" t="s">
        <v>291</v>
      </c>
      <c r="F191" s="911"/>
      <c r="G191" s="911"/>
      <c r="H191" s="921"/>
      <c r="I191" s="921"/>
      <c r="J191" s="921"/>
      <c r="K191" s="2085"/>
      <c r="L191" s="777"/>
      <c r="M191" s="2087"/>
      <c r="N191" s="2089"/>
      <c r="O191" s="2089"/>
      <c r="P191" s="118"/>
      <c r="Q191" s="624"/>
      <c r="R191" s="624"/>
    </row>
    <row r="192" spans="1:18" s="20" customFormat="1" x14ac:dyDescent="0.2">
      <c r="A192" s="52"/>
      <c r="B192" s="83"/>
      <c r="C192" s="83" t="s">
        <v>132</v>
      </c>
      <c r="D192" s="83" t="s">
        <v>121</v>
      </c>
      <c r="E192" s="107" t="s">
        <v>292</v>
      </c>
      <c r="F192" s="911"/>
      <c r="G192" s="911"/>
      <c r="H192" s="921"/>
      <c r="I192" s="921"/>
      <c r="J192" s="921"/>
      <c r="K192" s="2086"/>
      <c r="L192" s="778"/>
      <c r="M192" s="2078"/>
      <c r="N192" s="2090"/>
      <c r="O192" s="2090"/>
      <c r="P192" s="118"/>
      <c r="Q192" s="624"/>
      <c r="R192" s="624"/>
    </row>
    <row r="193" spans="1:18" s="20" customFormat="1" ht="38.25" x14ac:dyDescent="0.2">
      <c r="A193" s="52"/>
      <c r="B193" s="83"/>
      <c r="C193" s="83" t="s">
        <v>74</v>
      </c>
      <c r="D193" s="83" t="s">
        <v>121</v>
      </c>
      <c r="E193" s="107" t="s">
        <v>258</v>
      </c>
      <c r="F193" s="911"/>
      <c r="G193" s="911"/>
      <c r="H193" s="921"/>
      <c r="I193" s="921"/>
      <c r="J193" s="921"/>
      <c r="K193" s="116" t="s">
        <v>2397</v>
      </c>
      <c r="L193" s="116"/>
      <c r="M193" s="708" t="s">
        <v>163</v>
      </c>
      <c r="N193" s="708">
        <v>0</v>
      </c>
      <c r="O193" s="708"/>
      <c r="P193" s="118"/>
      <c r="Q193" s="624"/>
      <c r="R193" s="624"/>
    </row>
    <row r="194" spans="1:18" s="20" customFormat="1" ht="60" customHeight="1" x14ac:dyDescent="0.2">
      <c r="A194" s="52"/>
      <c r="B194" s="840" t="s">
        <v>161</v>
      </c>
      <c r="C194" s="83"/>
      <c r="D194" s="83"/>
      <c r="E194" s="812" t="s">
        <v>2507</v>
      </c>
      <c r="F194" s="911">
        <v>0</v>
      </c>
      <c r="G194" s="911">
        <v>0</v>
      </c>
      <c r="H194" s="911">
        <v>0</v>
      </c>
      <c r="I194" s="911">
        <v>0</v>
      </c>
      <c r="J194" s="911">
        <v>0</v>
      </c>
      <c r="K194" s="93" t="s">
        <v>293</v>
      </c>
      <c r="L194" s="93"/>
      <c r="M194" s="708" t="s">
        <v>163</v>
      </c>
      <c r="N194" s="708">
        <v>0</v>
      </c>
      <c r="O194" s="708"/>
      <c r="P194" s="118"/>
      <c r="Q194" s="624"/>
      <c r="R194" s="624"/>
    </row>
    <row r="195" spans="1:18" s="20" customFormat="1" ht="25.5" x14ac:dyDescent="0.2">
      <c r="A195" s="52"/>
      <c r="B195" s="83"/>
      <c r="C195" s="83" t="s">
        <v>123</v>
      </c>
      <c r="D195" s="83" t="s">
        <v>121</v>
      </c>
      <c r="E195" s="107" t="s">
        <v>294</v>
      </c>
      <c r="F195" s="911"/>
      <c r="G195" s="911"/>
      <c r="H195" s="921"/>
      <c r="I195" s="921"/>
      <c r="J195" s="921"/>
      <c r="K195" s="93" t="s">
        <v>295</v>
      </c>
      <c r="L195" s="93"/>
      <c r="M195" s="708" t="s">
        <v>163</v>
      </c>
      <c r="N195" s="97">
        <v>20</v>
      </c>
      <c r="O195" s="97"/>
      <c r="P195" s="118"/>
      <c r="Q195" s="624"/>
      <c r="R195" s="624"/>
    </row>
    <row r="196" spans="1:18" s="20" customFormat="1" ht="25.5" x14ac:dyDescent="0.2">
      <c r="A196" s="52"/>
      <c r="B196" s="83"/>
      <c r="C196" s="83" t="s">
        <v>125</v>
      </c>
      <c r="D196" s="83"/>
      <c r="E196" s="107" t="s">
        <v>296</v>
      </c>
      <c r="F196" s="911"/>
      <c r="G196" s="911"/>
      <c r="H196" s="921"/>
      <c r="I196" s="921"/>
      <c r="J196" s="921"/>
      <c r="K196" s="93" t="s">
        <v>297</v>
      </c>
      <c r="L196" s="93"/>
      <c r="M196" s="708" t="s">
        <v>163</v>
      </c>
      <c r="N196" s="97">
        <v>75</v>
      </c>
      <c r="O196" s="97"/>
      <c r="P196" s="118"/>
      <c r="Q196" s="624"/>
      <c r="R196" s="624"/>
    </row>
    <row r="197" spans="1:18" s="20" customFormat="1" ht="38.25" x14ac:dyDescent="0.2">
      <c r="A197" s="52"/>
      <c r="B197" s="83"/>
      <c r="C197" s="83" t="s">
        <v>127</v>
      </c>
      <c r="D197" s="83" t="s">
        <v>121</v>
      </c>
      <c r="E197" s="107" t="s">
        <v>298</v>
      </c>
      <c r="F197" s="911">
        <v>0</v>
      </c>
      <c r="G197" s="911">
        <v>0</v>
      </c>
      <c r="H197" s="921"/>
      <c r="I197" s="921"/>
      <c r="J197" s="921"/>
      <c r="K197" s="93" t="s">
        <v>299</v>
      </c>
      <c r="L197" s="93"/>
      <c r="M197" s="708" t="s">
        <v>17</v>
      </c>
      <c r="N197" s="97">
        <v>100</v>
      </c>
      <c r="O197" s="97"/>
      <c r="P197" s="118"/>
      <c r="Q197" s="624"/>
      <c r="R197" s="624"/>
    </row>
    <row r="198" spans="1:18" s="20" customFormat="1" ht="38.25" x14ac:dyDescent="0.2">
      <c r="A198" s="52"/>
      <c r="B198" s="840" t="s">
        <v>169</v>
      </c>
      <c r="C198" s="83"/>
      <c r="D198" s="83"/>
      <c r="E198" s="107" t="s">
        <v>2508</v>
      </c>
      <c r="F198" s="911">
        <v>0</v>
      </c>
      <c r="G198" s="911">
        <v>0</v>
      </c>
      <c r="H198" s="911">
        <v>0</v>
      </c>
      <c r="I198" s="911">
        <v>0</v>
      </c>
      <c r="J198" s="911">
        <v>0</v>
      </c>
      <c r="K198" s="93" t="s">
        <v>2398</v>
      </c>
      <c r="L198" s="93"/>
      <c r="M198" s="708" t="s">
        <v>17</v>
      </c>
      <c r="N198" s="97">
        <v>100</v>
      </c>
      <c r="O198" s="97"/>
      <c r="P198" s="118"/>
      <c r="Q198" s="624"/>
      <c r="R198" s="624"/>
    </row>
    <row r="199" spans="1:18" s="20" customFormat="1" ht="25.5" x14ac:dyDescent="0.2">
      <c r="A199" s="52"/>
      <c r="B199" s="83"/>
      <c r="C199" s="83" t="s">
        <v>123</v>
      </c>
      <c r="D199" s="83" t="s">
        <v>121</v>
      </c>
      <c r="E199" s="107" t="s">
        <v>262</v>
      </c>
      <c r="F199" s="911"/>
      <c r="G199" s="911"/>
      <c r="H199" s="921"/>
      <c r="I199" s="921"/>
      <c r="J199" s="921"/>
      <c r="K199" s="93" t="s">
        <v>2399</v>
      </c>
      <c r="L199" s="93"/>
      <c r="M199" s="708" t="s">
        <v>17</v>
      </c>
      <c r="N199" s="708">
        <v>15</v>
      </c>
      <c r="O199" s="708"/>
      <c r="P199" s="118"/>
      <c r="Q199" s="624"/>
      <c r="R199" s="624"/>
    </row>
    <row r="200" spans="1:18" s="20" customFormat="1" ht="25.5" x14ac:dyDescent="0.2">
      <c r="A200" s="52"/>
      <c r="B200" s="83"/>
      <c r="C200" s="83" t="s">
        <v>125</v>
      </c>
      <c r="D200" s="83" t="s">
        <v>121</v>
      </c>
      <c r="E200" s="107" t="s">
        <v>265</v>
      </c>
      <c r="F200" s="911"/>
      <c r="G200" s="911"/>
      <c r="H200" s="921"/>
      <c r="I200" s="921"/>
      <c r="J200" s="921"/>
      <c r="K200" s="93" t="s">
        <v>300</v>
      </c>
      <c r="L200" s="93"/>
      <c r="M200" s="708"/>
      <c r="N200" s="77" t="s">
        <v>301</v>
      </c>
      <c r="O200" s="77"/>
      <c r="P200" s="118"/>
      <c r="Q200" s="624"/>
      <c r="R200" s="624"/>
    </row>
    <row r="201" spans="1:18" s="20" customFormat="1" ht="38.25" x14ac:dyDescent="0.2">
      <c r="A201" s="52"/>
      <c r="B201" s="83"/>
      <c r="C201" s="83" t="s">
        <v>127</v>
      </c>
      <c r="D201" s="83" t="s">
        <v>121</v>
      </c>
      <c r="E201" s="107" t="s">
        <v>302</v>
      </c>
      <c r="F201" s="911"/>
      <c r="G201" s="911"/>
      <c r="H201" s="921"/>
      <c r="I201" s="921"/>
      <c r="J201" s="921"/>
      <c r="K201" s="670" t="s">
        <v>303</v>
      </c>
      <c r="L201" s="670"/>
      <c r="M201" s="708" t="s">
        <v>17</v>
      </c>
      <c r="N201" s="97">
        <v>50</v>
      </c>
      <c r="O201" s="97"/>
      <c r="P201" s="118"/>
      <c r="Q201" s="624"/>
      <c r="R201" s="624"/>
    </row>
    <row r="202" spans="1:18" s="20" customFormat="1" ht="25.5" x14ac:dyDescent="0.2">
      <c r="A202" s="52"/>
      <c r="B202" s="83"/>
      <c r="C202" s="83" t="s">
        <v>132</v>
      </c>
      <c r="D202" s="83" t="s">
        <v>121</v>
      </c>
      <c r="E202" s="811" t="s">
        <v>273</v>
      </c>
      <c r="F202" s="911"/>
      <c r="G202" s="911"/>
      <c r="H202" s="921"/>
      <c r="I202" s="921"/>
      <c r="J202" s="921"/>
      <c r="K202" s="93" t="s">
        <v>2400</v>
      </c>
      <c r="L202" s="93"/>
      <c r="M202" s="708" t="s">
        <v>17</v>
      </c>
      <c r="N202" s="97">
        <v>0</v>
      </c>
      <c r="O202" s="97"/>
      <c r="P202" s="118"/>
      <c r="Q202" s="624"/>
      <c r="R202" s="624"/>
    </row>
    <row r="203" spans="1:18" s="20" customFormat="1" ht="25.5" x14ac:dyDescent="0.2">
      <c r="A203" s="52"/>
      <c r="B203" s="83"/>
      <c r="C203" s="83" t="s">
        <v>74</v>
      </c>
      <c r="D203" s="83" t="s">
        <v>121</v>
      </c>
      <c r="E203" s="107" t="s">
        <v>304</v>
      </c>
      <c r="F203" s="911"/>
      <c r="G203" s="911"/>
      <c r="H203" s="921"/>
      <c r="I203" s="921"/>
      <c r="J203" s="921"/>
      <c r="K203" s="93" t="s">
        <v>2401</v>
      </c>
      <c r="L203" s="93"/>
      <c r="M203" s="708" t="s">
        <v>163</v>
      </c>
      <c r="N203" s="708">
        <v>5</v>
      </c>
      <c r="O203" s="708"/>
      <c r="P203" s="118"/>
      <c r="Q203" s="624"/>
      <c r="R203" s="624"/>
    </row>
    <row r="204" spans="1:18" s="20" customFormat="1" x14ac:dyDescent="0.2">
      <c r="A204" s="52"/>
      <c r="B204" s="83"/>
      <c r="C204" s="83" t="s">
        <v>197</v>
      </c>
      <c r="D204" s="83" t="s">
        <v>121</v>
      </c>
      <c r="E204" s="107" t="s">
        <v>279</v>
      </c>
      <c r="F204" s="911"/>
      <c r="G204" s="911"/>
      <c r="H204" s="921"/>
      <c r="I204" s="921"/>
      <c r="J204" s="921"/>
      <c r="K204" s="2126" t="s">
        <v>305</v>
      </c>
      <c r="L204" s="790"/>
      <c r="M204" s="2077" t="s">
        <v>163</v>
      </c>
      <c r="N204" s="2077">
        <v>200988</v>
      </c>
      <c r="O204" s="2077"/>
      <c r="P204" s="118"/>
      <c r="Q204" s="624"/>
      <c r="R204" s="624"/>
    </row>
    <row r="205" spans="1:18" s="20" customFormat="1" ht="25.5" x14ac:dyDescent="0.2">
      <c r="A205" s="52"/>
      <c r="B205" s="83"/>
      <c r="C205" s="83" t="s">
        <v>155</v>
      </c>
      <c r="D205" s="83" t="s">
        <v>121</v>
      </c>
      <c r="E205" s="812" t="s">
        <v>306</v>
      </c>
      <c r="F205" s="911"/>
      <c r="G205" s="911"/>
      <c r="H205" s="921"/>
      <c r="I205" s="921"/>
      <c r="J205" s="921"/>
      <c r="K205" s="2127"/>
      <c r="L205" s="791"/>
      <c r="M205" s="2078"/>
      <c r="N205" s="2078"/>
      <c r="O205" s="2078"/>
      <c r="P205" s="118"/>
      <c r="Q205" s="624"/>
      <c r="R205" s="624"/>
    </row>
    <row r="206" spans="1:18" s="20" customFormat="1" ht="38.25" x14ac:dyDescent="0.2">
      <c r="A206" s="52"/>
      <c r="B206" s="83"/>
      <c r="C206" s="83" t="s">
        <v>158</v>
      </c>
      <c r="D206" s="83" t="s">
        <v>121</v>
      </c>
      <c r="E206" s="812" t="s">
        <v>307</v>
      </c>
      <c r="F206" s="911"/>
      <c r="G206" s="911"/>
      <c r="H206" s="921"/>
      <c r="I206" s="921"/>
      <c r="J206" s="921"/>
      <c r="K206" s="93" t="s">
        <v>2402</v>
      </c>
      <c r="L206" s="93"/>
      <c r="M206" s="708" t="s">
        <v>17</v>
      </c>
      <c r="N206" s="97">
        <v>30</v>
      </c>
      <c r="O206" s="97"/>
      <c r="P206" s="118"/>
      <c r="Q206" s="624"/>
      <c r="R206" s="624"/>
    </row>
    <row r="207" spans="1:18" s="20" customFormat="1" ht="38.25" x14ac:dyDescent="0.2">
      <c r="A207" s="52"/>
      <c r="B207" s="840" t="s">
        <v>241</v>
      </c>
      <c r="C207" s="83"/>
      <c r="D207" s="83"/>
      <c r="E207" s="812" t="s">
        <v>2509</v>
      </c>
      <c r="F207" s="911">
        <v>0</v>
      </c>
      <c r="G207" s="911">
        <v>0</v>
      </c>
      <c r="H207" s="911">
        <v>0</v>
      </c>
      <c r="I207" s="911">
        <v>0</v>
      </c>
      <c r="J207" s="911">
        <v>0</v>
      </c>
      <c r="K207" s="93" t="s">
        <v>308</v>
      </c>
      <c r="L207" s="93"/>
      <c r="M207" s="708">
        <v>0</v>
      </c>
      <c r="N207" s="97">
        <v>0</v>
      </c>
      <c r="O207" s="97"/>
      <c r="P207" s="118"/>
      <c r="Q207" s="624"/>
      <c r="R207" s="624"/>
    </row>
    <row r="208" spans="1:18" s="20" customFormat="1" ht="25.5" x14ac:dyDescent="0.2">
      <c r="A208" s="52"/>
      <c r="B208" s="840"/>
      <c r="C208" s="83" t="s">
        <v>123</v>
      </c>
      <c r="D208" s="83" t="s">
        <v>121</v>
      </c>
      <c r="E208" s="812" t="s">
        <v>286</v>
      </c>
      <c r="F208" s="911">
        <v>0</v>
      </c>
      <c r="G208" s="911"/>
      <c r="H208" s="921"/>
      <c r="I208" s="921"/>
      <c r="J208" s="921"/>
      <c r="K208" s="93" t="s">
        <v>308</v>
      </c>
      <c r="L208" s="93"/>
      <c r="M208" s="708" t="s">
        <v>17</v>
      </c>
      <c r="N208" s="97">
        <v>0</v>
      </c>
      <c r="O208" s="97"/>
      <c r="P208" s="118"/>
      <c r="Q208" s="624"/>
      <c r="R208" s="624"/>
    </row>
    <row r="209" spans="1:18" s="20" customFormat="1" ht="63.75" x14ac:dyDescent="0.2">
      <c r="A209" s="52"/>
      <c r="B209" s="841" t="s">
        <v>152</v>
      </c>
      <c r="C209" s="786"/>
      <c r="D209" s="786"/>
      <c r="E209" s="787" t="s">
        <v>2510</v>
      </c>
      <c r="F209" s="912">
        <v>0</v>
      </c>
      <c r="G209" s="912">
        <v>0</v>
      </c>
      <c r="H209" s="922">
        <v>369628.5</v>
      </c>
      <c r="I209" s="922">
        <v>0</v>
      </c>
      <c r="J209" s="922">
        <v>0</v>
      </c>
      <c r="K209" s="119" t="s">
        <v>309</v>
      </c>
      <c r="L209" s="119"/>
      <c r="M209" s="708" t="s">
        <v>17</v>
      </c>
      <c r="N209" s="97"/>
      <c r="O209" s="97"/>
      <c r="P209" s="120">
        <v>0.4</v>
      </c>
      <c r="Q209" s="120">
        <v>0.6</v>
      </c>
      <c r="R209" s="120">
        <v>1</v>
      </c>
    </row>
    <row r="210" spans="1:18" s="20" customFormat="1" x14ac:dyDescent="0.2">
      <c r="A210" s="52"/>
      <c r="B210" s="840"/>
      <c r="C210" s="83" t="s">
        <v>123</v>
      </c>
      <c r="D210" s="83" t="s">
        <v>121</v>
      </c>
      <c r="E210" s="812" t="s">
        <v>310</v>
      </c>
      <c r="F210" s="911"/>
      <c r="G210" s="911"/>
      <c r="H210" s="921">
        <v>245525.7</v>
      </c>
      <c r="I210" s="921"/>
      <c r="J210" s="921"/>
      <c r="K210" s="121" t="s">
        <v>311</v>
      </c>
      <c r="L210" s="121"/>
      <c r="M210" s="769" t="s">
        <v>17</v>
      </c>
      <c r="N210" s="624"/>
      <c r="O210" s="624"/>
      <c r="P210" s="122"/>
      <c r="Q210" s="123"/>
      <c r="R210" s="123"/>
    </row>
    <row r="211" spans="1:18" s="20" customFormat="1" ht="51" x14ac:dyDescent="0.2">
      <c r="A211" s="52"/>
      <c r="B211" s="840"/>
      <c r="C211" s="83" t="s">
        <v>125</v>
      </c>
      <c r="D211" s="83"/>
      <c r="E211" s="812" t="s">
        <v>312</v>
      </c>
      <c r="F211" s="911"/>
      <c r="G211" s="911"/>
      <c r="H211" s="921">
        <v>45781.8</v>
      </c>
      <c r="I211" s="921"/>
      <c r="J211" s="921"/>
      <c r="K211" s="119" t="s">
        <v>313</v>
      </c>
      <c r="L211" s="119"/>
      <c r="M211" s="769" t="s">
        <v>17</v>
      </c>
      <c r="N211" s="624"/>
      <c r="O211" s="624"/>
      <c r="P211" s="122"/>
      <c r="Q211" s="123"/>
      <c r="R211" s="123"/>
    </row>
    <row r="212" spans="1:18" s="20" customFormat="1" ht="25.5" x14ac:dyDescent="0.2">
      <c r="A212" s="52"/>
      <c r="B212" s="840"/>
      <c r="C212" s="83" t="s">
        <v>127</v>
      </c>
      <c r="D212" s="83"/>
      <c r="E212" s="812" t="s">
        <v>286</v>
      </c>
      <c r="F212" s="911"/>
      <c r="G212" s="911"/>
      <c r="H212" s="921"/>
      <c r="I212" s="921"/>
      <c r="J212" s="921"/>
      <c r="K212" s="117" t="s">
        <v>2403</v>
      </c>
      <c r="L212" s="117"/>
      <c r="M212" s="708" t="s">
        <v>163</v>
      </c>
      <c r="N212" s="97">
        <v>0</v>
      </c>
      <c r="O212" s="97">
        <v>0</v>
      </c>
      <c r="P212" s="97"/>
      <c r="Q212" s="97"/>
      <c r="R212" s="97">
        <v>2</v>
      </c>
    </row>
    <row r="213" spans="1:18" s="20" customFormat="1" ht="38.25" x14ac:dyDescent="0.2">
      <c r="A213" s="52"/>
      <c r="B213" s="840"/>
      <c r="C213" s="83" t="s">
        <v>132</v>
      </c>
      <c r="D213" s="83"/>
      <c r="E213" s="812" t="s">
        <v>2404</v>
      </c>
      <c r="F213" s="911"/>
      <c r="G213" s="911"/>
      <c r="H213" s="921">
        <v>78321</v>
      </c>
      <c r="I213" s="921"/>
      <c r="J213" s="921"/>
      <c r="K213" s="93" t="s">
        <v>2394</v>
      </c>
      <c r="L213" s="93"/>
      <c r="M213" s="708" t="s">
        <v>163</v>
      </c>
      <c r="N213" s="97">
        <v>77</v>
      </c>
      <c r="O213" s="97">
        <v>157</v>
      </c>
      <c r="P213" s="97">
        <v>181</v>
      </c>
      <c r="Q213" s="97">
        <v>181</v>
      </c>
      <c r="R213" s="97">
        <v>181</v>
      </c>
    </row>
    <row r="214" spans="1:18" s="20" customFormat="1" ht="32.25" customHeight="1" x14ac:dyDescent="0.2">
      <c r="A214" s="52"/>
      <c r="B214" s="840" t="s">
        <v>314</v>
      </c>
      <c r="C214" s="83"/>
      <c r="D214" s="83"/>
      <c r="E214" s="842" t="s">
        <v>2511</v>
      </c>
      <c r="F214" s="911"/>
      <c r="G214" s="911"/>
      <c r="H214" s="921">
        <v>90429.3</v>
      </c>
      <c r="I214" s="921"/>
      <c r="J214" s="921"/>
      <c r="K214" s="93" t="s">
        <v>283</v>
      </c>
      <c r="L214" s="93"/>
      <c r="M214" s="708" t="s">
        <v>17</v>
      </c>
      <c r="N214" s="708">
        <v>0</v>
      </c>
      <c r="O214" s="708">
        <v>100</v>
      </c>
      <c r="P214" s="708">
        <v>100</v>
      </c>
      <c r="Q214" s="708">
        <v>100</v>
      </c>
      <c r="R214" s="708">
        <v>100</v>
      </c>
    </row>
    <row r="215" spans="1:18" s="20" customFormat="1" x14ac:dyDescent="0.2">
      <c r="A215" s="52"/>
      <c r="B215" s="83"/>
      <c r="C215" s="83" t="s">
        <v>123</v>
      </c>
      <c r="D215" s="83"/>
      <c r="E215" s="812" t="s">
        <v>315</v>
      </c>
      <c r="F215" s="911"/>
      <c r="G215" s="911"/>
      <c r="H215" s="921"/>
      <c r="I215" s="921"/>
      <c r="J215" s="921"/>
      <c r="K215" s="93" t="s">
        <v>283</v>
      </c>
      <c r="L215" s="93"/>
      <c r="M215" s="708" t="s">
        <v>17</v>
      </c>
      <c r="N215" s="708">
        <v>0</v>
      </c>
      <c r="O215" s="708">
        <v>100</v>
      </c>
      <c r="P215" s="708">
        <v>100</v>
      </c>
      <c r="Q215" s="708">
        <v>100</v>
      </c>
      <c r="R215" s="708">
        <v>100</v>
      </c>
    </row>
    <row r="216" spans="1:18" s="20" customFormat="1" ht="38.25" x14ac:dyDescent="0.2">
      <c r="A216" s="52"/>
      <c r="B216" s="83"/>
      <c r="C216" s="83" t="s">
        <v>125</v>
      </c>
      <c r="D216" s="83"/>
      <c r="E216" s="812" t="s">
        <v>316</v>
      </c>
      <c r="F216" s="911"/>
      <c r="G216" s="911"/>
      <c r="H216" s="921"/>
      <c r="I216" s="921"/>
      <c r="J216" s="921"/>
      <c r="K216" s="93" t="s">
        <v>283</v>
      </c>
      <c r="L216" s="93"/>
      <c r="M216" s="708" t="s">
        <v>17</v>
      </c>
      <c r="N216" s="708">
        <v>0</v>
      </c>
      <c r="O216" s="708">
        <v>100</v>
      </c>
      <c r="P216" s="708">
        <v>100</v>
      </c>
      <c r="Q216" s="708">
        <v>100</v>
      </c>
      <c r="R216" s="708">
        <v>100</v>
      </c>
    </row>
    <row r="217" spans="1:18" s="20" customFormat="1" ht="38.25" x14ac:dyDescent="0.2">
      <c r="A217" s="52"/>
      <c r="B217" s="83"/>
      <c r="C217" s="83" t="s">
        <v>127</v>
      </c>
      <c r="D217" s="83"/>
      <c r="E217" s="812" t="s">
        <v>317</v>
      </c>
      <c r="F217" s="911"/>
      <c r="G217" s="911"/>
      <c r="H217" s="921">
        <v>12429.3</v>
      </c>
      <c r="I217" s="921"/>
      <c r="J217" s="921"/>
      <c r="K217" s="116" t="s">
        <v>259</v>
      </c>
      <c r="L217" s="116"/>
      <c r="M217" s="708" t="s">
        <v>163</v>
      </c>
      <c r="N217" s="708">
        <v>34</v>
      </c>
      <c r="O217" s="708">
        <v>70</v>
      </c>
      <c r="P217" s="708">
        <v>72</v>
      </c>
      <c r="Q217" s="708">
        <v>72</v>
      </c>
      <c r="R217" s="708">
        <v>72</v>
      </c>
    </row>
    <row r="218" spans="1:18" s="20" customFormat="1" ht="38.25" x14ac:dyDescent="0.2">
      <c r="A218" s="52"/>
      <c r="B218" s="83"/>
      <c r="C218" s="83" t="s">
        <v>132</v>
      </c>
      <c r="D218" s="83"/>
      <c r="E218" s="812" t="s">
        <v>318</v>
      </c>
      <c r="F218" s="911"/>
      <c r="G218" s="911"/>
      <c r="H218" s="921"/>
      <c r="I218" s="921"/>
      <c r="J218" s="921"/>
      <c r="K218" s="93" t="s">
        <v>283</v>
      </c>
      <c r="L218" s="93"/>
      <c r="M218" s="708" t="s">
        <v>17</v>
      </c>
      <c r="N218" s="708">
        <v>0</v>
      </c>
      <c r="O218" s="708">
        <v>100</v>
      </c>
      <c r="P218" s="708">
        <v>100</v>
      </c>
      <c r="Q218" s="708">
        <v>100</v>
      </c>
      <c r="R218" s="708">
        <v>100</v>
      </c>
    </row>
    <row r="219" spans="1:18" s="20" customFormat="1" ht="25.5" x14ac:dyDescent="0.2">
      <c r="A219" s="52"/>
      <c r="B219" s="83"/>
      <c r="C219" s="83" t="s">
        <v>74</v>
      </c>
      <c r="D219" s="83"/>
      <c r="E219" s="812" t="s">
        <v>319</v>
      </c>
      <c r="F219" s="911"/>
      <c r="G219" s="911"/>
      <c r="H219" s="921">
        <v>60000</v>
      </c>
      <c r="I219" s="921"/>
      <c r="J219" s="921"/>
      <c r="K219" s="93" t="s">
        <v>283</v>
      </c>
      <c r="L219" s="93"/>
      <c r="M219" s="708" t="s">
        <v>17</v>
      </c>
      <c r="N219" s="708">
        <v>0</v>
      </c>
      <c r="O219" s="708">
        <v>100</v>
      </c>
      <c r="P219" s="708">
        <v>100</v>
      </c>
      <c r="Q219" s="708">
        <v>100</v>
      </c>
      <c r="R219" s="708">
        <v>100</v>
      </c>
    </row>
    <row r="220" spans="1:18" s="20" customFormat="1" ht="51" x14ac:dyDescent="0.2">
      <c r="A220" s="52"/>
      <c r="B220" s="83"/>
      <c r="C220" s="83" t="s">
        <v>197</v>
      </c>
      <c r="D220" s="83"/>
      <c r="E220" s="812" t="s">
        <v>320</v>
      </c>
      <c r="F220" s="911"/>
      <c r="G220" s="911"/>
      <c r="H220" s="921">
        <v>18000</v>
      </c>
      <c r="I220" s="921"/>
      <c r="J220" s="921"/>
      <c r="K220" s="93" t="s">
        <v>283</v>
      </c>
      <c r="L220" s="93"/>
      <c r="M220" s="708" t="s">
        <v>17</v>
      </c>
      <c r="N220" s="708">
        <v>0</v>
      </c>
      <c r="O220" s="708">
        <v>100</v>
      </c>
      <c r="P220" s="708">
        <v>100</v>
      </c>
      <c r="Q220" s="708">
        <v>100</v>
      </c>
      <c r="R220" s="708">
        <v>100</v>
      </c>
    </row>
    <row r="221" spans="1:18" s="20" customFormat="1" ht="51" x14ac:dyDescent="0.2">
      <c r="A221" s="52"/>
      <c r="B221" s="83"/>
      <c r="C221" s="83" t="s">
        <v>155</v>
      </c>
      <c r="D221" s="83"/>
      <c r="E221" s="812" t="s">
        <v>321</v>
      </c>
      <c r="F221" s="911"/>
      <c r="G221" s="911"/>
      <c r="H221" s="921"/>
      <c r="I221" s="921"/>
      <c r="J221" s="921"/>
      <c r="K221" s="93" t="s">
        <v>283</v>
      </c>
      <c r="L221" s="93"/>
      <c r="M221" s="708" t="s">
        <v>17</v>
      </c>
      <c r="N221" s="708">
        <v>0</v>
      </c>
      <c r="O221" s="708">
        <v>100</v>
      </c>
      <c r="P221" s="708">
        <v>100</v>
      </c>
      <c r="Q221" s="708">
        <v>100</v>
      </c>
      <c r="R221" s="708">
        <v>100</v>
      </c>
    </row>
    <row r="222" spans="1:18" s="20" customFormat="1" ht="25.5" x14ac:dyDescent="0.2">
      <c r="A222" s="52"/>
      <c r="B222" s="83"/>
      <c r="C222" s="83" t="s">
        <v>158</v>
      </c>
      <c r="D222" s="83"/>
      <c r="E222" s="812" t="s">
        <v>2405</v>
      </c>
      <c r="F222" s="911"/>
      <c r="G222" s="911"/>
      <c r="H222" s="921"/>
      <c r="I222" s="921"/>
      <c r="J222" s="921"/>
      <c r="K222" s="93" t="s">
        <v>283</v>
      </c>
      <c r="L222" s="93"/>
      <c r="M222" s="708" t="s">
        <v>17</v>
      </c>
      <c r="N222" s="708">
        <v>0</v>
      </c>
      <c r="O222" s="708">
        <v>100</v>
      </c>
      <c r="P222" s="708">
        <v>100</v>
      </c>
      <c r="Q222" s="708">
        <v>100</v>
      </c>
      <c r="R222" s="708">
        <v>100</v>
      </c>
    </row>
    <row r="223" spans="1:18" s="20" customFormat="1" ht="38.25" x14ac:dyDescent="0.2">
      <c r="A223" s="52"/>
      <c r="B223" s="83"/>
      <c r="C223" s="83" t="s">
        <v>264</v>
      </c>
      <c r="D223" s="83"/>
      <c r="E223" s="812" t="s">
        <v>2406</v>
      </c>
      <c r="F223" s="911"/>
      <c r="G223" s="911"/>
      <c r="H223" s="921"/>
      <c r="I223" s="921"/>
      <c r="J223" s="921"/>
      <c r="K223" s="93" t="s">
        <v>283</v>
      </c>
      <c r="L223" s="93"/>
      <c r="M223" s="708" t="s">
        <v>17</v>
      </c>
      <c r="N223" s="708">
        <v>0</v>
      </c>
      <c r="O223" s="708">
        <v>100</v>
      </c>
      <c r="P223" s="708">
        <v>100</v>
      </c>
      <c r="Q223" s="708">
        <v>100</v>
      </c>
      <c r="R223" s="708">
        <v>100</v>
      </c>
    </row>
    <row r="224" spans="1:18" s="20" customFormat="1" x14ac:dyDescent="0.2">
      <c r="A224" s="52"/>
      <c r="B224" s="83"/>
      <c r="C224" s="83" t="s">
        <v>269</v>
      </c>
      <c r="D224" s="83"/>
      <c r="E224" s="812" t="s">
        <v>322</v>
      </c>
      <c r="F224" s="911"/>
      <c r="G224" s="911"/>
      <c r="H224" s="921"/>
      <c r="I224" s="921"/>
      <c r="J224" s="921"/>
      <c r="K224" s="93" t="s">
        <v>283</v>
      </c>
      <c r="L224" s="93"/>
      <c r="M224" s="708" t="s">
        <v>17</v>
      </c>
      <c r="N224" s="708">
        <v>0</v>
      </c>
      <c r="O224" s="708">
        <v>100</v>
      </c>
      <c r="P224" s="708">
        <v>100</v>
      </c>
      <c r="Q224" s="708">
        <v>100</v>
      </c>
      <c r="R224" s="708">
        <v>100</v>
      </c>
    </row>
    <row r="225" spans="1:18" s="20" customFormat="1" ht="25.5" x14ac:dyDescent="0.2">
      <c r="A225" s="52"/>
      <c r="B225" s="83"/>
      <c r="C225" s="83" t="s">
        <v>272</v>
      </c>
      <c r="D225" s="83"/>
      <c r="E225" s="812" t="s">
        <v>2408</v>
      </c>
      <c r="F225" s="911"/>
      <c r="G225" s="911"/>
      <c r="H225" s="921"/>
      <c r="I225" s="921"/>
      <c r="J225" s="921"/>
      <c r="K225" s="93" t="s">
        <v>283</v>
      </c>
      <c r="L225" s="93"/>
      <c r="M225" s="708" t="s">
        <v>17</v>
      </c>
      <c r="N225" s="708">
        <v>0</v>
      </c>
      <c r="O225" s="708">
        <v>100</v>
      </c>
      <c r="P225" s="708">
        <v>100</v>
      </c>
      <c r="Q225" s="708">
        <v>100</v>
      </c>
      <c r="R225" s="708">
        <v>100</v>
      </c>
    </row>
    <row r="226" spans="1:18" s="20" customFormat="1" ht="38.25" x14ac:dyDescent="0.2">
      <c r="A226" s="52"/>
      <c r="B226" s="83"/>
      <c r="C226" s="83" t="s">
        <v>275</v>
      </c>
      <c r="D226" s="83"/>
      <c r="E226" s="812" t="s">
        <v>2407</v>
      </c>
      <c r="F226" s="911"/>
      <c r="G226" s="911"/>
      <c r="H226" s="921"/>
      <c r="I226" s="921"/>
      <c r="J226" s="921"/>
      <c r="K226" s="93" t="s">
        <v>283</v>
      </c>
      <c r="L226" s="93"/>
      <c r="M226" s="708" t="s">
        <v>17</v>
      </c>
      <c r="N226" s="708">
        <v>0</v>
      </c>
      <c r="O226" s="708">
        <v>100</v>
      </c>
      <c r="P226" s="708">
        <v>100</v>
      </c>
      <c r="Q226" s="708">
        <v>100</v>
      </c>
      <c r="R226" s="708">
        <v>100</v>
      </c>
    </row>
    <row r="227" spans="1:18" s="20" customFormat="1" ht="25.5" x14ac:dyDescent="0.2">
      <c r="A227" s="52"/>
      <c r="B227" s="83"/>
      <c r="C227" s="83" t="s">
        <v>278</v>
      </c>
      <c r="D227" s="83"/>
      <c r="E227" s="812" t="s">
        <v>323</v>
      </c>
      <c r="F227" s="911"/>
      <c r="G227" s="911"/>
      <c r="H227" s="921"/>
      <c r="I227" s="921"/>
      <c r="J227" s="921"/>
      <c r="K227" s="93" t="s">
        <v>283</v>
      </c>
      <c r="L227" s="93"/>
      <c r="M227" s="708" t="s">
        <v>17</v>
      </c>
      <c r="N227" s="708">
        <v>0</v>
      </c>
      <c r="O227" s="708">
        <v>100</v>
      </c>
      <c r="P227" s="708">
        <v>100</v>
      </c>
      <c r="Q227" s="708">
        <v>100</v>
      </c>
      <c r="R227" s="708">
        <v>100</v>
      </c>
    </row>
    <row r="228" spans="1:18" s="47" customFormat="1" ht="20.25" customHeight="1" x14ac:dyDescent="0.2">
      <c r="A228" s="2039" t="s">
        <v>64</v>
      </c>
      <c r="B228" s="2040"/>
      <c r="C228" s="2040"/>
      <c r="D228" s="2040"/>
      <c r="E228" s="2041"/>
      <c r="F228" s="904">
        <v>1143617.1000000001</v>
      </c>
      <c r="G228" s="904">
        <v>1516166.2</v>
      </c>
      <c r="H228" s="904">
        <f>H162+H171+H209+H214</f>
        <v>1536365.7</v>
      </c>
      <c r="I228" s="904">
        <v>3005903.9</v>
      </c>
      <c r="J228" s="904">
        <v>2765392.5000000005</v>
      </c>
      <c r="K228" s="707"/>
      <c r="L228" s="707"/>
      <c r="M228" s="104"/>
      <c r="N228" s="104"/>
      <c r="O228" s="104"/>
      <c r="P228" s="104"/>
      <c r="Q228" s="104"/>
      <c r="R228" s="104"/>
    </row>
    <row r="229" spans="1:18" s="125" customFormat="1" ht="22.5" customHeight="1" x14ac:dyDescent="0.2">
      <c r="A229" s="2039" t="s">
        <v>324</v>
      </c>
      <c r="B229" s="2040"/>
      <c r="C229" s="2040"/>
      <c r="D229" s="2040"/>
      <c r="E229" s="2041"/>
      <c r="F229" s="923">
        <v>1345094.2000000002</v>
      </c>
      <c r="G229" s="923">
        <v>1740816.5999999999</v>
      </c>
      <c r="H229" s="923">
        <v>1762168.3</v>
      </c>
      <c r="I229" s="923">
        <v>3228996.5</v>
      </c>
      <c r="J229" s="923">
        <v>2987985.5000000005</v>
      </c>
      <c r="K229" s="124"/>
      <c r="L229" s="124"/>
      <c r="M229" s="36"/>
      <c r="N229" s="36"/>
      <c r="O229" s="36"/>
      <c r="P229" s="36"/>
      <c r="Q229" s="36"/>
      <c r="R229" s="36"/>
    </row>
    <row r="230" spans="1:18" s="17" customFormat="1" ht="26.25" customHeight="1" thickBot="1" x14ac:dyDescent="0.25">
      <c r="A230" s="2115" t="s">
        <v>2363</v>
      </c>
      <c r="B230" s="2115"/>
      <c r="C230" s="2115"/>
      <c r="D230" s="2115"/>
      <c r="E230" s="2115"/>
      <c r="F230" s="2115"/>
      <c r="G230" s="2115"/>
      <c r="H230" s="2115"/>
      <c r="I230" s="2115"/>
      <c r="J230" s="2115"/>
      <c r="K230" s="2115"/>
      <c r="L230" s="2115"/>
      <c r="M230" s="2115"/>
      <c r="N230" s="2115"/>
      <c r="O230" s="2115"/>
      <c r="P230" s="2115"/>
      <c r="Q230" s="2115"/>
      <c r="R230" s="2116"/>
    </row>
    <row r="231" spans="1:18" s="612" customFormat="1" ht="44.25" customHeight="1" x14ac:dyDescent="0.2">
      <c r="A231" s="611"/>
      <c r="B231" s="1051">
        <v>1</v>
      </c>
      <c r="C231" s="1052"/>
      <c r="D231" s="1053">
        <v>0</v>
      </c>
      <c r="E231" s="1054" t="s">
        <v>2784</v>
      </c>
      <c r="F231" s="1034">
        <v>43606.7</v>
      </c>
      <c r="G231" s="1034">
        <v>41184.899999999994</v>
      </c>
      <c r="H231" s="1034">
        <v>41184.899999999994</v>
      </c>
      <c r="I231" s="1034">
        <v>41973.100000000006</v>
      </c>
      <c r="J231" s="1034">
        <v>42373.5</v>
      </c>
      <c r="K231" s="1055" t="s">
        <v>16</v>
      </c>
      <c r="M231" s="1056" t="s">
        <v>17</v>
      </c>
      <c r="N231" s="1056"/>
      <c r="O231" s="1056"/>
      <c r="P231" s="1056"/>
      <c r="Q231" s="1056"/>
      <c r="R231" s="1056"/>
    </row>
    <row r="232" spans="1:18" s="612" customFormat="1" x14ac:dyDescent="0.2">
      <c r="A232" s="611"/>
      <c r="B232" s="1057"/>
      <c r="C232" s="1058">
        <v>1</v>
      </c>
      <c r="D232" s="1052">
        <v>0</v>
      </c>
      <c r="E232" s="615" t="s">
        <v>18</v>
      </c>
      <c r="F232" s="987">
        <v>18519.2</v>
      </c>
      <c r="G232" s="987">
        <v>17851.8</v>
      </c>
      <c r="H232" s="987">
        <v>17851.8</v>
      </c>
      <c r="I232" s="987">
        <v>17918.400000000001</v>
      </c>
      <c r="J232" s="987">
        <v>18089.3</v>
      </c>
      <c r="K232" s="613" t="s">
        <v>2364</v>
      </c>
      <c r="M232" s="1059" t="s">
        <v>2365</v>
      </c>
      <c r="N232" s="1060">
        <v>1</v>
      </c>
      <c r="O232" s="1060">
        <v>1</v>
      </c>
      <c r="P232" s="1060">
        <v>1</v>
      </c>
      <c r="Q232" s="1060">
        <v>1</v>
      </c>
      <c r="R232" s="1060">
        <v>1</v>
      </c>
    </row>
    <row r="233" spans="1:18" s="612" customFormat="1" x14ac:dyDescent="0.2">
      <c r="A233" s="611"/>
      <c r="B233" s="1057"/>
      <c r="C233" s="1061">
        <v>2</v>
      </c>
      <c r="D233" s="1052">
        <v>0</v>
      </c>
      <c r="E233" s="555" t="s">
        <v>22</v>
      </c>
      <c r="F233" s="987">
        <v>3251.1</v>
      </c>
      <c r="G233" s="987">
        <v>2861.1</v>
      </c>
      <c r="H233" s="987">
        <v>2861.1</v>
      </c>
      <c r="I233" s="987">
        <v>3190.9</v>
      </c>
      <c r="J233" s="987">
        <v>3221.3</v>
      </c>
      <c r="K233" s="613" t="s">
        <v>2366</v>
      </c>
      <c r="M233" s="1059" t="s">
        <v>17</v>
      </c>
      <c r="N233" s="1060">
        <v>100</v>
      </c>
      <c r="O233" s="1060">
        <v>100</v>
      </c>
      <c r="P233" s="1060">
        <v>100</v>
      </c>
      <c r="Q233" s="1060">
        <v>100</v>
      </c>
      <c r="R233" s="1060">
        <v>100</v>
      </c>
    </row>
    <row r="234" spans="1:18" s="612" customFormat="1" ht="25.5" x14ac:dyDescent="0.2">
      <c r="A234" s="611"/>
      <c r="B234" s="2216"/>
      <c r="C234" s="2218">
        <v>3</v>
      </c>
      <c r="D234" s="2220">
        <v>0</v>
      </c>
      <c r="E234" s="2096" t="s">
        <v>24</v>
      </c>
      <c r="F234" s="1045">
        <v>3844.6</v>
      </c>
      <c r="G234" s="1045">
        <v>3612.7</v>
      </c>
      <c r="H234" s="2095">
        <v>3612.7</v>
      </c>
      <c r="I234" s="2095">
        <v>3681.9</v>
      </c>
      <c r="J234" s="2095">
        <v>3717</v>
      </c>
      <c r="K234" s="614" t="s">
        <v>2367</v>
      </c>
      <c r="M234" s="1059" t="s">
        <v>17</v>
      </c>
      <c r="N234" s="1060">
        <v>90</v>
      </c>
      <c r="O234" s="1060">
        <v>90</v>
      </c>
      <c r="P234" s="1060">
        <v>90</v>
      </c>
      <c r="Q234" s="1060">
        <v>90</v>
      </c>
      <c r="R234" s="1060">
        <v>90</v>
      </c>
    </row>
    <row r="235" spans="1:18" s="612" customFormat="1" ht="25.5" x14ac:dyDescent="0.2">
      <c r="A235" s="611"/>
      <c r="B235" s="2217"/>
      <c r="C235" s="2219"/>
      <c r="D235" s="2221"/>
      <c r="E235" s="2098"/>
      <c r="F235" s="1508"/>
      <c r="G235" s="1508"/>
      <c r="H235" s="1597"/>
      <c r="I235" s="1597"/>
      <c r="J235" s="1597"/>
      <c r="K235" s="614" t="s">
        <v>2368</v>
      </c>
      <c r="M235" s="1059" t="s">
        <v>17</v>
      </c>
      <c r="N235" s="1060">
        <v>50</v>
      </c>
      <c r="O235" s="1060">
        <v>50</v>
      </c>
      <c r="P235" s="1060">
        <v>50</v>
      </c>
      <c r="Q235" s="1060">
        <v>50</v>
      </c>
      <c r="R235" s="1060">
        <v>50</v>
      </c>
    </row>
    <row r="236" spans="1:18" s="612" customFormat="1" ht="25.5" x14ac:dyDescent="0.2">
      <c r="A236" s="611"/>
      <c r="B236" s="2216"/>
      <c r="C236" s="2218">
        <v>4</v>
      </c>
      <c r="D236" s="2220">
        <v>0</v>
      </c>
      <c r="E236" s="2096" t="s">
        <v>26</v>
      </c>
      <c r="F236" s="1045">
        <v>3332.2</v>
      </c>
      <c r="G236" s="1045">
        <v>3131</v>
      </c>
      <c r="H236" s="2095">
        <v>3131</v>
      </c>
      <c r="I236" s="2095">
        <v>3190.9</v>
      </c>
      <c r="J236" s="2095">
        <v>3221.4</v>
      </c>
      <c r="K236" s="614" t="s">
        <v>2369</v>
      </c>
      <c r="M236" s="1059" t="s">
        <v>31</v>
      </c>
      <c r="N236" s="1060">
        <v>8</v>
      </c>
      <c r="O236" s="1060">
        <v>8</v>
      </c>
      <c r="P236" s="1060">
        <v>8</v>
      </c>
      <c r="Q236" s="1060">
        <v>8</v>
      </c>
      <c r="R236" s="1060">
        <v>8</v>
      </c>
    </row>
    <row r="237" spans="1:18" s="612" customFormat="1" ht="25.5" x14ac:dyDescent="0.2">
      <c r="A237" s="611"/>
      <c r="B237" s="2222"/>
      <c r="C237" s="2223"/>
      <c r="D237" s="2224"/>
      <c r="E237" s="2097"/>
      <c r="F237" s="1036"/>
      <c r="G237" s="1036"/>
      <c r="H237" s="1641"/>
      <c r="I237" s="1641"/>
      <c r="J237" s="1641"/>
      <c r="K237" s="614" t="s">
        <v>2370</v>
      </c>
      <c r="M237" s="1059" t="s">
        <v>31</v>
      </c>
      <c r="N237" s="1060">
        <v>125</v>
      </c>
      <c r="O237" s="1060">
        <v>125</v>
      </c>
      <c r="P237" s="1060">
        <v>125</v>
      </c>
      <c r="Q237" s="1060">
        <v>125</v>
      </c>
      <c r="R237" s="1060">
        <v>125</v>
      </c>
    </row>
    <row r="238" spans="1:18" s="612" customFormat="1" ht="25.5" x14ac:dyDescent="0.2">
      <c r="A238" s="611"/>
      <c r="B238" s="2217"/>
      <c r="C238" s="2219"/>
      <c r="D238" s="2221"/>
      <c r="E238" s="2098"/>
      <c r="F238" s="1508"/>
      <c r="G238" s="1508"/>
      <c r="H238" s="1597"/>
      <c r="I238" s="1597"/>
      <c r="J238" s="1597"/>
      <c r="K238" s="614" t="s">
        <v>2371</v>
      </c>
      <c r="M238" s="1059" t="s">
        <v>31</v>
      </c>
      <c r="N238" s="1060">
        <v>85</v>
      </c>
      <c r="O238" s="1060">
        <v>85</v>
      </c>
      <c r="P238" s="1060">
        <v>85</v>
      </c>
      <c r="Q238" s="1060">
        <v>85</v>
      </c>
      <c r="R238" s="1060">
        <v>85</v>
      </c>
    </row>
    <row r="239" spans="1:18" s="612" customFormat="1" x14ac:dyDescent="0.2">
      <c r="A239" s="611"/>
      <c r="B239" s="1057"/>
      <c r="C239" s="1063">
        <v>6</v>
      </c>
      <c r="D239" s="1052">
        <v>0</v>
      </c>
      <c r="E239" s="1064" t="s">
        <v>32</v>
      </c>
      <c r="F239" s="987">
        <v>14659.6</v>
      </c>
      <c r="G239" s="987">
        <v>13728.3</v>
      </c>
      <c r="H239" s="987">
        <v>13728.3</v>
      </c>
      <c r="I239" s="987">
        <v>13991</v>
      </c>
      <c r="J239" s="987">
        <v>14124.5</v>
      </c>
      <c r="K239" s="613" t="s">
        <v>2372</v>
      </c>
      <c r="M239" s="1059" t="s">
        <v>17</v>
      </c>
      <c r="N239" s="1060">
        <v>100</v>
      </c>
      <c r="O239" s="1060">
        <v>100</v>
      </c>
      <c r="P239" s="1060">
        <v>100</v>
      </c>
      <c r="Q239" s="1060">
        <v>100</v>
      </c>
      <c r="R239" s="1060">
        <v>100</v>
      </c>
    </row>
    <row r="240" spans="1:18" s="612" customFormat="1" ht="58.5" customHeight="1" x14ac:dyDescent="0.2">
      <c r="A240" s="611"/>
      <c r="B240" s="1065" t="s">
        <v>138</v>
      </c>
      <c r="C240" s="1066"/>
      <c r="D240" s="1066"/>
      <c r="E240" s="1067" t="s">
        <v>2512</v>
      </c>
      <c r="F240" s="959">
        <v>211112.9</v>
      </c>
      <c r="G240" s="959">
        <v>199662.2</v>
      </c>
      <c r="H240" s="959">
        <v>199662.2</v>
      </c>
      <c r="I240" s="959">
        <v>203483.9</v>
      </c>
      <c r="J240" s="959">
        <v>205424.5</v>
      </c>
      <c r="K240" s="1064" t="s">
        <v>2785</v>
      </c>
      <c r="M240" s="1059"/>
      <c r="N240" s="1064"/>
      <c r="O240" s="1068"/>
      <c r="P240" s="1068"/>
      <c r="Q240" s="1068"/>
      <c r="R240" s="1068"/>
    </row>
    <row r="241" spans="1:18" s="612" customFormat="1" x14ac:dyDescent="0.2">
      <c r="A241" s="611"/>
      <c r="B241" s="2101"/>
      <c r="C241" s="2214" t="s">
        <v>123</v>
      </c>
      <c r="D241" s="2214" t="s">
        <v>121</v>
      </c>
      <c r="E241" s="2099" t="s">
        <v>2373</v>
      </c>
      <c r="F241" s="1062">
        <v>211112.9</v>
      </c>
      <c r="G241" s="1062">
        <v>199662.2</v>
      </c>
      <c r="H241" s="2093">
        <v>199662.2</v>
      </c>
      <c r="I241" s="2093">
        <v>203483.9</v>
      </c>
      <c r="J241" s="2093">
        <v>205424.5</v>
      </c>
      <c r="K241" s="1064" t="s">
        <v>2374</v>
      </c>
      <c r="M241" s="1059" t="s">
        <v>31</v>
      </c>
      <c r="N241" s="1059">
        <v>287</v>
      </c>
      <c r="O241" s="1059">
        <v>287</v>
      </c>
      <c r="P241" s="1059">
        <v>287</v>
      </c>
      <c r="Q241" s="1059">
        <v>287</v>
      </c>
      <c r="R241" s="1059">
        <v>287</v>
      </c>
    </row>
    <row r="242" spans="1:18" s="612" customFormat="1" ht="93.75" customHeight="1" thickBot="1" x14ac:dyDescent="0.25">
      <c r="A242" s="611"/>
      <c r="B242" s="2102"/>
      <c r="C242" s="2215"/>
      <c r="D242" s="2215"/>
      <c r="E242" s="2100"/>
      <c r="F242" s="1069"/>
      <c r="G242" s="1069"/>
      <c r="H242" s="2094"/>
      <c r="I242" s="2094"/>
      <c r="J242" s="2094"/>
      <c r="K242" s="1064" t="s">
        <v>2375</v>
      </c>
      <c r="M242" s="1059" t="s">
        <v>17</v>
      </c>
      <c r="N242" s="1059">
        <v>100</v>
      </c>
      <c r="O242" s="1059">
        <v>100</v>
      </c>
      <c r="P242" s="1059">
        <v>100</v>
      </c>
      <c r="Q242" s="1059">
        <v>100</v>
      </c>
      <c r="R242" s="1059">
        <v>100</v>
      </c>
    </row>
    <row r="243" spans="1:18" s="125" customFormat="1" ht="24.75" customHeight="1" x14ac:dyDescent="0.2">
      <c r="A243" s="2039" t="s">
        <v>64</v>
      </c>
      <c r="B243" s="2040"/>
      <c r="C243" s="2040"/>
      <c r="D243" s="2040"/>
      <c r="E243" s="2041"/>
      <c r="F243" s="904">
        <v>254719.59999999998</v>
      </c>
      <c r="G243" s="904">
        <v>240847.1</v>
      </c>
      <c r="H243" s="904">
        <v>240847.1</v>
      </c>
      <c r="I243" s="904">
        <v>245457</v>
      </c>
      <c r="J243" s="904">
        <v>247798</v>
      </c>
      <c r="K243" s="124"/>
      <c r="L243" s="124"/>
      <c r="M243" s="36"/>
      <c r="N243" s="36"/>
      <c r="O243" s="36"/>
      <c r="P243" s="36"/>
      <c r="Q243" s="36"/>
      <c r="R243" s="36"/>
    </row>
    <row r="244" spans="1:18" s="17" customFormat="1" ht="25.5" customHeight="1" x14ac:dyDescent="0.2">
      <c r="A244" s="2091" t="s">
        <v>325</v>
      </c>
      <c r="B244" s="2091" t="s">
        <v>326</v>
      </c>
      <c r="C244" s="2091"/>
      <c r="D244" s="2091"/>
      <c r="E244" s="2091"/>
      <c r="F244" s="2092"/>
      <c r="G244" s="2092"/>
      <c r="H244" s="2092"/>
      <c r="I244" s="2092"/>
      <c r="J244" s="2092"/>
      <c r="K244" s="2091"/>
      <c r="L244" s="2091"/>
      <c r="M244" s="2091"/>
      <c r="N244" s="2091"/>
      <c r="O244" s="2091"/>
      <c r="P244" s="2091"/>
      <c r="Q244" s="2091"/>
      <c r="R244" s="2091"/>
    </row>
    <row r="245" spans="1:18" s="20" customFormat="1" ht="26.25" customHeight="1" x14ac:dyDescent="0.2">
      <c r="A245" s="131"/>
      <c r="B245" s="132" t="s">
        <v>120</v>
      </c>
      <c r="C245" s="768"/>
      <c r="D245" s="768">
        <v>1</v>
      </c>
      <c r="E245" s="311" t="s">
        <v>327</v>
      </c>
      <c r="F245" s="1924">
        <f>F247</f>
        <v>85782.5</v>
      </c>
      <c r="G245" s="1924">
        <f>G247</f>
        <v>100000</v>
      </c>
      <c r="H245" s="1924">
        <f t="shared" ref="H245" si="7">H247</f>
        <v>100000</v>
      </c>
      <c r="I245" s="1924">
        <f>I247</f>
        <v>100000</v>
      </c>
      <c r="J245" s="1661">
        <f>J247</f>
        <v>100000</v>
      </c>
      <c r="K245" s="1558" t="s">
        <v>16</v>
      </c>
      <c r="L245" s="768"/>
      <c r="M245" s="1846" t="s">
        <v>17</v>
      </c>
      <c r="N245" s="689"/>
      <c r="O245" s="2048">
        <v>100</v>
      </c>
      <c r="P245" s="1846">
        <v>100</v>
      </c>
      <c r="Q245" s="1846">
        <v>100</v>
      </c>
      <c r="R245" s="1846">
        <v>100</v>
      </c>
    </row>
    <row r="246" spans="1:18" s="47" customFormat="1" ht="26.25" customHeight="1" x14ac:dyDescent="0.2">
      <c r="A246" s="45"/>
      <c r="B246" s="759"/>
      <c r="C246" s="132"/>
      <c r="D246" s="759"/>
      <c r="E246" s="768" t="s">
        <v>2513</v>
      </c>
      <c r="F246" s="1778"/>
      <c r="G246" s="1778"/>
      <c r="H246" s="1778"/>
      <c r="I246" s="1778"/>
      <c r="J246" s="1661"/>
      <c r="K246" s="1558"/>
      <c r="L246" s="768"/>
      <c r="M246" s="1846"/>
      <c r="N246" s="690"/>
      <c r="O246" s="1806"/>
      <c r="P246" s="1846"/>
      <c r="Q246" s="1846"/>
      <c r="R246" s="1846"/>
    </row>
    <row r="247" spans="1:18" s="47" customFormat="1" ht="36" customHeight="1" x14ac:dyDescent="0.2">
      <c r="A247" s="45"/>
      <c r="C247" s="132" t="s">
        <v>123</v>
      </c>
      <c r="D247" s="688">
        <v>1</v>
      </c>
      <c r="E247" s="768" t="s">
        <v>328</v>
      </c>
      <c r="F247" s="901">
        <v>85782.5</v>
      </c>
      <c r="G247" s="901">
        <v>100000</v>
      </c>
      <c r="H247" s="901">
        <v>100000</v>
      </c>
      <c r="I247" s="901">
        <v>100000</v>
      </c>
      <c r="J247" s="901">
        <v>100000</v>
      </c>
      <c r="K247" s="768" t="s">
        <v>19</v>
      </c>
      <c r="L247" s="768"/>
      <c r="M247" s="688"/>
      <c r="N247" s="688"/>
      <c r="O247" s="688"/>
      <c r="P247" s="688"/>
      <c r="Q247" s="688"/>
      <c r="R247" s="688"/>
    </row>
    <row r="248" spans="1:18" s="47" customFormat="1" ht="38.25" customHeight="1" x14ac:dyDescent="0.2">
      <c r="A248" s="45"/>
      <c r="B248" s="132" t="s">
        <v>138</v>
      </c>
      <c r="C248" s="132"/>
      <c r="D248" s="132"/>
      <c r="E248" s="311" t="s">
        <v>329</v>
      </c>
      <c r="F248" s="1661">
        <f>F250</f>
        <v>25928.9</v>
      </c>
      <c r="G248" s="1924">
        <f>G250</f>
        <v>722981.1</v>
      </c>
      <c r="H248" s="1661">
        <f>H250</f>
        <v>1335671.2</v>
      </c>
      <c r="I248" s="1661">
        <v>595611.4</v>
      </c>
      <c r="J248" s="1661">
        <v>602458.19999999995</v>
      </c>
      <c r="K248" s="1558"/>
      <c r="L248" s="768"/>
      <c r="M248" s="1846"/>
      <c r="N248" s="2048"/>
      <c r="O248" s="1846"/>
      <c r="P248" s="1846"/>
      <c r="Q248" s="1846"/>
      <c r="R248" s="1846"/>
    </row>
    <row r="249" spans="1:18" s="47" customFormat="1" ht="41.25" customHeight="1" x14ac:dyDescent="0.2">
      <c r="A249" s="45"/>
      <c r="B249" s="132"/>
      <c r="C249" s="132"/>
      <c r="D249" s="132"/>
      <c r="E249" s="768" t="s">
        <v>2514</v>
      </c>
      <c r="F249" s="1661"/>
      <c r="G249" s="1778"/>
      <c r="H249" s="1661"/>
      <c r="I249" s="1661"/>
      <c r="J249" s="1661"/>
      <c r="K249" s="1558"/>
      <c r="L249" s="768"/>
      <c r="M249" s="1846"/>
      <c r="N249" s="1806"/>
      <c r="O249" s="1846"/>
      <c r="P249" s="1846"/>
      <c r="Q249" s="1846"/>
      <c r="R249" s="1846"/>
    </row>
    <row r="250" spans="1:18" s="47" customFormat="1" ht="55.5" customHeight="1" x14ac:dyDescent="0.2">
      <c r="A250" s="45"/>
      <c r="B250" s="768"/>
      <c r="C250" s="132" t="s">
        <v>123</v>
      </c>
      <c r="D250" s="768"/>
      <c r="E250" s="133" t="s">
        <v>330</v>
      </c>
      <c r="F250" s="905">
        <v>25928.9</v>
      </c>
      <c r="G250" s="905">
        <v>722981.1</v>
      </c>
      <c r="H250" s="901">
        <v>1335671.2</v>
      </c>
      <c r="I250" s="901">
        <v>595611</v>
      </c>
      <c r="J250" s="901">
        <v>602458</v>
      </c>
      <c r="K250" s="689" t="s">
        <v>2409</v>
      </c>
      <c r="L250" s="689"/>
      <c r="M250" s="689" t="s">
        <v>17</v>
      </c>
      <c r="N250" s="689"/>
      <c r="O250" s="689">
        <v>100</v>
      </c>
      <c r="P250" s="689">
        <v>100</v>
      </c>
      <c r="Q250" s="689">
        <v>100</v>
      </c>
      <c r="R250" s="689">
        <v>100</v>
      </c>
    </row>
    <row r="251" spans="1:18" s="125" customFormat="1" ht="18" customHeight="1" x14ac:dyDescent="0.2">
      <c r="B251" s="2039" t="s">
        <v>64</v>
      </c>
      <c r="C251" s="2040"/>
      <c r="D251" s="2040"/>
      <c r="E251" s="2040"/>
      <c r="F251" s="904">
        <v>111711.4</v>
      </c>
      <c r="G251" s="904">
        <v>822981.1</v>
      </c>
      <c r="H251" s="904">
        <f>H245+H248</f>
        <v>1435671.2</v>
      </c>
      <c r="I251" s="904">
        <v>695611.4</v>
      </c>
      <c r="J251" s="904">
        <v>702458.2</v>
      </c>
      <c r="K251" s="124"/>
      <c r="L251" s="124"/>
      <c r="M251" s="36"/>
      <c r="N251" s="36"/>
      <c r="O251" s="36"/>
      <c r="P251" s="36"/>
      <c r="Q251" s="36"/>
      <c r="R251" s="36"/>
    </row>
    <row r="252" spans="1:18" s="17" customFormat="1" ht="24.75" customHeight="1" x14ac:dyDescent="0.2">
      <c r="B252" s="724" t="s">
        <v>331</v>
      </c>
      <c r="C252" s="134"/>
      <c r="D252" s="134"/>
      <c r="E252" s="134"/>
      <c r="F252" s="968"/>
      <c r="G252" s="968"/>
      <c r="H252" s="968"/>
      <c r="I252" s="968"/>
      <c r="J252" s="968"/>
      <c r="K252" s="134"/>
      <c r="L252" s="134"/>
      <c r="M252" s="998"/>
      <c r="N252" s="134"/>
      <c r="O252" s="134"/>
      <c r="P252" s="134"/>
      <c r="Q252" s="134"/>
      <c r="R252" s="135"/>
    </row>
    <row r="253" spans="1:18" s="20" customFormat="1" ht="38.25" x14ac:dyDescent="0.2">
      <c r="A253" s="131"/>
      <c r="B253" s="136">
        <v>1</v>
      </c>
      <c r="C253" s="137"/>
      <c r="D253" s="137"/>
      <c r="E253" s="138" t="s">
        <v>2515</v>
      </c>
      <c r="F253" s="925">
        <v>256354.09999999998</v>
      </c>
      <c r="G253" s="925">
        <v>254189.89999999997</v>
      </c>
      <c r="H253" s="925">
        <f>H254+H255+H256+H257+H258+H259</f>
        <v>209670.9</v>
      </c>
      <c r="I253" s="925">
        <v>245577.4</v>
      </c>
      <c r="J253" s="925">
        <v>251509.59999999998</v>
      </c>
      <c r="K253" s="676" t="s">
        <v>16</v>
      </c>
      <c r="L253" s="676"/>
      <c r="M253" s="678" t="s">
        <v>17</v>
      </c>
      <c r="N253" s="139">
        <v>26</v>
      </c>
      <c r="O253" s="139">
        <v>26</v>
      </c>
      <c r="P253" s="139">
        <v>26</v>
      </c>
      <c r="Q253" s="139">
        <v>26</v>
      </c>
      <c r="R253" s="139">
        <v>26</v>
      </c>
    </row>
    <row r="254" spans="1:18" s="20" customFormat="1" x14ac:dyDescent="0.2">
      <c r="A254" s="131"/>
      <c r="B254" s="140"/>
      <c r="C254" s="141">
        <v>1</v>
      </c>
      <c r="D254" s="680">
        <v>0</v>
      </c>
      <c r="E254" s="142" t="s">
        <v>18</v>
      </c>
      <c r="F254" s="901">
        <v>32332.7</v>
      </c>
      <c r="G254" s="901">
        <v>23984.5</v>
      </c>
      <c r="H254" s="901">
        <v>21901.199999999997</v>
      </c>
      <c r="I254" s="901">
        <v>21901.199999999997</v>
      </c>
      <c r="J254" s="901">
        <v>21901.199999999997</v>
      </c>
      <c r="K254" s="144" t="s">
        <v>19</v>
      </c>
      <c r="L254" s="144"/>
      <c r="M254" s="22" t="s">
        <v>20</v>
      </c>
      <c r="N254" s="22"/>
      <c r="O254" s="22"/>
      <c r="P254" s="22"/>
      <c r="Q254" s="22"/>
      <c r="R254" s="22"/>
    </row>
    <row r="255" spans="1:18" s="20" customFormat="1" ht="25.5" x14ac:dyDescent="0.2">
      <c r="A255" s="131"/>
      <c r="B255" s="140"/>
      <c r="C255" s="145">
        <v>2</v>
      </c>
      <c r="D255" s="680">
        <v>0</v>
      </c>
      <c r="E255" s="27" t="s">
        <v>22</v>
      </c>
      <c r="F255" s="901">
        <v>19726.3</v>
      </c>
      <c r="G255" s="901">
        <v>12618.3</v>
      </c>
      <c r="H255" s="901">
        <v>14239</v>
      </c>
      <c r="I255" s="901">
        <v>14239</v>
      </c>
      <c r="J255" s="901">
        <v>14239</v>
      </c>
      <c r="K255" s="144" t="s">
        <v>23</v>
      </c>
      <c r="L255" s="144"/>
      <c r="M255" s="22" t="s">
        <v>17</v>
      </c>
      <c r="N255" s="22" t="s">
        <v>332</v>
      </c>
      <c r="O255" s="22" t="s">
        <v>332</v>
      </c>
      <c r="P255" s="22" t="s">
        <v>332</v>
      </c>
      <c r="Q255" s="22" t="s">
        <v>332</v>
      </c>
      <c r="R255" s="22" t="s">
        <v>332</v>
      </c>
    </row>
    <row r="256" spans="1:18" s="20" customFormat="1" x14ac:dyDescent="0.2">
      <c r="B256" s="140"/>
      <c r="C256" s="145">
        <v>3</v>
      </c>
      <c r="D256" s="680">
        <v>0</v>
      </c>
      <c r="E256" s="27" t="s">
        <v>24</v>
      </c>
      <c r="F256" s="901">
        <v>8280.4</v>
      </c>
      <c r="G256" s="901">
        <v>10899.4</v>
      </c>
      <c r="H256" s="901">
        <v>8616.1</v>
      </c>
      <c r="I256" s="901">
        <v>8616.1</v>
      </c>
      <c r="J256" s="901">
        <v>8616.1</v>
      </c>
      <c r="K256" s="146" t="s">
        <v>25</v>
      </c>
      <c r="L256" s="146"/>
      <c r="M256" s="22" t="s">
        <v>17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</row>
    <row r="257" spans="2:18" s="47" customFormat="1" ht="12.75" customHeight="1" x14ac:dyDescent="0.2">
      <c r="B257" s="140"/>
      <c r="C257" s="145">
        <v>5</v>
      </c>
      <c r="D257" s="680">
        <v>0</v>
      </c>
      <c r="E257" s="27" t="s">
        <v>29</v>
      </c>
      <c r="F257" s="901">
        <v>39022.5</v>
      </c>
      <c r="G257" s="901">
        <v>9602.6</v>
      </c>
      <c r="H257" s="901">
        <v>5107.7</v>
      </c>
      <c r="I257" s="901">
        <v>10967.7</v>
      </c>
      <c r="J257" s="901">
        <v>16899.900000000001</v>
      </c>
      <c r="K257" s="144" t="s">
        <v>333</v>
      </c>
      <c r="L257" s="144"/>
      <c r="M257" s="22" t="s">
        <v>31</v>
      </c>
      <c r="N257" s="22">
        <v>741</v>
      </c>
      <c r="O257" s="22">
        <v>741</v>
      </c>
      <c r="P257" s="22">
        <v>741</v>
      </c>
      <c r="Q257" s="22">
        <v>741</v>
      </c>
      <c r="R257" s="22">
        <v>741</v>
      </c>
    </row>
    <row r="258" spans="2:18" s="20" customFormat="1" ht="25.5" x14ac:dyDescent="0.2">
      <c r="B258" s="140"/>
      <c r="C258" s="147">
        <v>6</v>
      </c>
      <c r="D258" s="680">
        <v>0</v>
      </c>
      <c r="E258" s="148" t="s">
        <v>32</v>
      </c>
      <c r="F258" s="901">
        <v>154278.79999999999</v>
      </c>
      <c r="G258" s="901">
        <v>194402.8</v>
      </c>
      <c r="H258" s="901">
        <v>157175.19999999998</v>
      </c>
      <c r="I258" s="901">
        <v>187221.69999999998</v>
      </c>
      <c r="J258" s="901">
        <v>187221.69999999998</v>
      </c>
      <c r="K258" s="144" t="s">
        <v>249</v>
      </c>
      <c r="L258" s="144"/>
      <c r="M258" s="22" t="s">
        <v>17</v>
      </c>
      <c r="N258" s="22">
        <v>16.100000000000001</v>
      </c>
      <c r="O258" s="22">
        <v>16.100000000000001</v>
      </c>
      <c r="P258" s="22">
        <v>16.100000000000001</v>
      </c>
      <c r="Q258" s="22">
        <v>16.100000000000001</v>
      </c>
      <c r="R258" s="22">
        <v>16.100000000000001</v>
      </c>
    </row>
    <row r="259" spans="2:18" s="20" customFormat="1" ht="38.25" x14ac:dyDescent="0.2">
      <c r="B259" s="140"/>
      <c r="C259" s="149">
        <v>12</v>
      </c>
      <c r="D259" s="150"/>
      <c r="E259" s="151" t="s">
        <v>334</v>
      </c>
      <c r="F259" s="901">
        <v>2713.4</v>
      </c>
      <c r="G259" s="901">
        <v>2682.3</v>
      </c>
      <c r="H259" s="901">
        <v>2631.7</v>
      </c>
      <c r="I259" s="901">
        <v>2631.7</v>
      </c>
      <c r="J259" s="901">
        <v>2631.7</v>
      </c>
      <c r="K259" s="144" t="s">
        <v>335</v>
      </c>
      <c r="L259" s="144"/>
      <c r="M259" s="22" t="s">
        <v>31</v>
      </c>
      <c r="N259" s="22" t="s">
        <v>336</v>
      </c>
      <c r="O259" s="22" t="s">
        <v>336</v>
      </c>
      <c r="P259" s="22" t="s">
        <v>336</v>
      </c>
      <c r="Q259" s="22" t="s">
        <v>336</v>
      </c>
      <c r="R259" s="22" t="s">
        <v>336</v>
      </c>
    </row>
    <row r="260" spans="2:18" s="20" customFormat="1" ht="63.75" x14ac:dyDescent="0.2">
      <c r="B260" s="844" t="s">
        <v>138</v>
      </c>
      <c r="C260" s="152"/>
      <c r="D260" s="150"/>
      <c r="E260" s="843" t="s">
        <v>337</v>
      </c>
      <c r="F260" s="901">
        <v>106189.3</v>
      </c>
      <c r="G260" s="901">
        <v>230002.5</v>
      </c>
      <c r="H260" s="901">
        <v>224015.9</v>
      </c>
      <c r="I260" s="901">
        <v>224015.9</v>
      </c>
      <c r="J260" s="901">
        <v>224015.9</v>
      </c>
      <c r="K260" s="148" t="s">
        <v>338</v>
      </c>
      <c r="L260" s="148"/>
      <c r="M260" s="22"/>
      <c r="N260" s="22" t="s">
        <v>339</v>
      </c>
      <c r="O260" s="22" t="s">
        <v>339</v>
      </c>
      <c r="P260" s="22" t="s">
        <v>339</v>
      </c>
      <c r="Q260" s="22" t="s">
        <v>339</v>
      </c>
      <c r="R260" s="22" t="s">
        <v>339</v>
      </c>
    </row>
    <row r="261" spans="2:18" s="20" customFormat="1" ht="51" x14ac:dyDescent="0.2">
      <c r="B261" s="149"/>
      <c r="C261" s="149" t="s">
        <v>123</v>
      </c>
      <c r="D261" s="150">
        <v>0</v>
      </c>
      <c r="E261" s="153" t="s">
        <v>340</v>
      </c>
      <c r="F261" s="901">
        <v>52138.9</v>
      </c>
      <c r="G261" s="901">
        <v>221118.9</v>
      </c>
      <c r="H261" s="901">
        <v>211409.7</v>
      </c>
      <c r="I261" s="901">
        <v>211409.7</v>
      </c>
      <c r="J261" s="901">
        <v>211409.7</v>
      </c>
      <c r="K261" s="148" t="s">
        <v>338</v>
      </c>
      <c r="L261" s="148"/>
      <c r="M261" s="22"/>
      <c r="N261" s="22" t="s">
        <v>341</v>
      </c>
      <c r="O261" s="22" t="s">
        <v>341</v>
      </c>
      <c r="P261" s="22" t="s">
        <v>341</v>
      </c>
      <c r="Q261" s="22" t="s">
        <v>341</v>
      </c>
      <c r="R261" s="22" t="s">
        <v>341</v>
      </c>
    </row>
    <row r="262" spans="2:18" s="20" customFormat="1" ht="51" x14ac:dyDescent="0.2">
      <c r="B262" s="149"/>
      <c r="C262" s="149" t="s">
        <v>125</v>
      </c>
      <c r="D262" s="150">
        <v>0</v>
      </c>
      <c r="E262" s="153" t="s">
        <v>342</v>
      </c>
      <c r="F262" s="901">
        <v>34830.1</v>
      </c>
      <c r="G262" s="901">
        <v>5874.1</v>
      </c>
      <c r="H262" s="901">
        <v>5805</v>
      </c>
      <c r="I262" s="901">
        <v>5805</v>
      </c>
      <c r="J262" s="901">
        <v>5805</v>
      </c>
      <c r="K262" s="148" t="s">
        <v>343</v>
      </c>
      <c r="L262" s="148"/>
      <c r="M262" s="22"/>
      <c r="N262" s="22" t="s">
        <v>344</v>
      </c>
      <c r="O262" s="22" t="s">
        <v>344</v>
      </c>
      <c r="P262" s="22" t="s">
        <v>344</v>
      </c>
      <c r="Q262" s="22" t="s">
        <v>344</v>
      </c>
      <c r="R262" s="22" t="s">
        <v>344</v>
      </c>
    </row>
    <row r="263" spans="2:18" s="20" customFormat="1" ht="51" x14ac:dyDescent="0.2">
      <c r="B263" s="149"/>
      <c r="C263" s="149" t="s">
        <v>127</v>
      </c>
      <c r="D263" s="150">
        <v>0</v>
      </c>
      <c r="E263" s="153" t="s">
        <v>345</v>
      </c>
      <c r="F263" s="901">
        <v>19220.3</v>
      </c>
      <c r="G263" s="901">
        <v>3009.5</v>
      </c>
      <c r="H263" s="901">
        <v>2776.9</v>
      </c>
      <c r="I263" s="901">
        <v>2776.9</v>
      </c>
      <c r="J263" s="901">
        <v>2776.9</v>
      </c>
      <c r="K263" s="148" t="s">
        <v>346</v>
      </c>
      <c r="L263" s="148"/>
      <c r="M263" s="22"/>
      <c r="N263" s="22" t="s">
        <v>347</v>
      </c>
      <c r="O263" s="22" t="s">
        <v>347</v>
      </c>
      <c r="P263" s="22" t="s">
        <v>347</v>
      </c>
      <c r="Q263" s="22" t="s">
        <v>347</v>
      </c>
      <c r="R263" s="22" t="s">
        <v>347</v>
      </c>
    </row>
    <row r="264" spans="2:18" s="20" customFormat="1" ht="51" x14ac:dyDescent="0.2">
      <c r="B264" s="149"/>
      <c r="C264" s="154" t="s">
        <v>132</v>
      </c>
      <c r="D264" s="150">
        <v>0</v>
      </c>
      <c r="E264" s="153" t="s">
        <v>348</v>
      </c>
      <c r="F264" s="901"/>
      <c r="G264" s="901"/>
      <c r="H264" s="901">
        <v>4024.3</v>
      </c>
      <c r="I264" s="901">
        <v>4024.3</v>
      </c>
      <c r="J264" s="901">
        <v>4024.3</v>
      </c>
      <c r="K264" s="148" t="s">
        <v>349</v>
      </c>
      <c r="L264" s="148"/>
      <c r="M264" s="22"/>
      <c r="N264" s="22"/>
      <c r="O264" s="22"/>
      <c r="P264" s="22"/>
      <c r="Q264" s="22"/>
      <c r="R264" s="22"/>
    </row>
    <row r="265" spans="2:18" s="20" customFormat="1" ht="115.5" customHeight="1" x14ac:dyDescent="0.2">
      <c r="B265" s="845" t="s">
        <v>161</v>
      </c>
      <c r="C265" s="154"/>
      <c r="D265" s="155"/>
      <c r="E265" s="846" t="s">
        <v>350</v>
      </c>
      <c r="F265" s="902">
        <v>147771.29999999999</v>
      </c>
      <c r="G265" s="902">
        <v>51040</v>
      </c>
      <c r="H265" s="902">
        <v>49962.1</v>
      </c>
      <c r="I265" s="902">
        <v>49962.1</v>
      </c>
      <c r="J265" s="902">
        <v>49962.1</v>
      </c>
      <c r="K265" s="148" t="s">
        <v>2410</v>
      </c>
      <c r="L265" s="148"/>
      <c r="M265" s="22"/>
      <c r="N265" s="22" t="s">
        <v>351</v>
      </c>
      <c r="O265" s="22" t="s">
        <v>351</v>
      </c>
      <c r="P265" s="22" t="s">
        <v>351</v>
      </c>
      <c r="Q265" s="22" t="s">
        <v>351</v>
      </c>
      <c r="R265" s="22" t="s">
        <v>351</v>
      </c>
    </row>
    <row r="266" spans="2:18" s="20" customFormat="1" ht="123" customHeight="1" x14ac:dyDescent="0.2">
      <c r="B266" s="154"/>
      <c r="C266" s="154" t="s">
        <v>123</v>
      </c>
      <c r="D266" s="157" t="s">
        <v>121</v>
      </c>
      <c r="E266" s="151" t="s">
        <v>352</v>
      </c>
      <c r="F266" s="901">
        <v>71078</v>
      </c>
      <c r="G266" s="901">
        <v>43673.9</v>
      </c>
      <c r="H266" s="901">
        <v>42787.899999999994</v>
      </c>
      <c r="I266" s="901">
        <v>42787.899999999994</v>
      </c>
      <c r="J266" s="901">
        <v>42787.899999999994</v>
      </c>
      <c r="K266" s="148" t="s">
        <v>2411</v>
      </c>
      <c r="L266" s="148"/>
      <c r="M266" s="22"/>
      <c r="N266" s="156" t="s">
        <v>353</v>
      </c>
      <c r="O266" s="156" t="s">
        <v>353</v>
      </c>
      <c r="P266" s="156" t="s">
        <v>353</v>
      </c>
      <c r="Q266" s="156" t="s">
        <v>353</v>
      </c>
      <c r="R266" s="156" t="s">
        <v>353</v>
      </c>
    </row>
    <row r="267" spans="2:18" s="20" customFormat="1" ht="126" customHeight="1" x14ac:dyDescent="0.2">
      <c r="B267" s="154"/>
      <c r="C267" s="154" t="s">
        <v>125</v>
      </c>
      <c r="D267" s="674" t="s">
        <v>121</v>
      </c>
      <c r="E267" s="151" t="s">
        <v>354</v>
      </c>
      <c r="F267" s="901">
        <v>28963.200000000001</v>
      </c>
      <c r="G267" s="901">
        <v>4226.7</v>
      </c>
      <c r="H267" s="901">
        <v>4099.8</v>
      </c>
      <c r="I267" s="901">
        <v>4099.8</v>
      </c>
      <c r="J267" s="901">
        <v>4099.8</v>
      </c>
      <c r="K267" s="148" t="s">
        <v>2411</v>
      </c>
      <c r="L267" s="148"/>
      <c r="M267" s="22"/>
      <c r="N267" s="156" t="s">
        <v>355</v>
      </c>
      <c r="O267" s="156" t="s">
        <v>355</v>
      </c>
      <c r="P267" s="156" t="s">
        <v>355</v>
      </c>
      <c r="Q267" s="156" t="s">
        <v>355</v>
      </c>
      <c r="R267" s="156" t="s">
        <v>355</v>
      </c>
    </row>
    <row r="268" spans="2:18" s="20" customFormat="1" ht="137.25" customHeight="1" x14ac:dyDescent="0.2">
      <c r="B268" s="158"/>
      <c r="C268" s="158" t="s">
        <v>127</v>
      </c>
      <c r="D268" s="674" t="s">
        <v>121</v>
      </c>
      <c r="E268" s="153" t="s">
        <v>356</v>
      </c>
      <c r="F268" s="905">
        <v>47730.1</v>
      </c>
      <c r="G268" s="905">
        <v>3139.4</v>
      </c>
      <c r="H268" s="905">
        <v>3074.4</v>
      </c>
      <c r="I268" s="905">
        <v>3074.4</v>
      </c>
      <c r="J268" s="905">
        <v>3074.4</v>
      </c>
      <c r="K268" s="148" t="s">
        <v>2412</v>
      </c>
      <c r="L268" s="148"/>
      <c r="M268" s="22"/>
      <c r="N268" s="156" t="s">
        <v>357</v>
      </c>
      <c r="O268" s="156" t="s">
        <v>357</v>
      </c>
      <c r="P268" s="156" t="s">
        <v>357</v>
      </c>
      <c r="Q268" s="156" t="s">
        <v>357</v>
      </c>
      <c r="R268" s="156" t="s">
        <v>357</v>
      </c>
    </row>
    <row r="269" spans="2:18" s="20" customFormat="1" ht="76.5" x14ac:dyDescent="0.2">
      <c r="B269" s="845" t="s">
        <v>169</v>
      </c>
      <c r="C269" s="845"/>
      <c r="D269" s="848"/>
      <c r="E269" s="849" t="s">
        <v>358</v>
      </c>
      <c r="F269" s="902">
        <v>90654.6</v>
      </c>
      <c r="G269" s="926">
        <v>41604.400000000001</v>
      </c>
      <c r="H269" s="926">
        <v>42923.6</v>
      </c>
      <c r="I269" s="926">
        <v>42923.6</v>
      </c>
      <c r="J269" s="926">
        <v>42923.6</v>
      </c>
      <c r="K269" s="628" t="s">
        <v>359</v>
      </c>
      <c r="L269" s="628"/>
      <c r="M269" s="850"/>
      <c r="N269" s="847" t="s">
        <v>360</v>
      </c>
      <c r="O269" s="847" t="s">
        <v>360</v>
      </c>
      <c r="P269" s="847" t="s">
        <v>360</v>
      </c>
      <c r="Q269" s="847" t="s">
        <v>360</v>
      </c>
      <c r="R269" s="847" t="s">
        <v>360</v>
      </c>
    </row>
    <row r="270" spans="2:18" s="20" customFormat="1" ht="82.5" customHeight="1" x14ac:dyDescent="0.2">
      <c r="B270" s="160"/>
      <c r="C270" s="154" t="s">
        <v>123</v>
      </c>
      <c r="D270" s="674" t="s">
        <v>121</v>
      </c>
      <c r="E270" s="159" t="s">
        <v>361</v>
      </c>
      <c r="F270" s="901">
        <v>36624.5</v>
      </c>
      <c r="G270" s="905">
        <v>38620.5</v>
      </c>
      <c r="H270" s="905">
        <v>39951.1</v>
      </c>
      <c r="I270" s="905">
        <v>39951.1</v>
      </c>
      <c r="J270" s="905">
        <v>39951.1</v>
      </c>
      <c r="K270" s="144" t="s">
        <v>362</v>
      </c>
      <c r="L270" s="144"/>
      <c r="M270" s="22"/>
      <c r="N270" s="156" t="s">
        <v>363</v>
      </c>
      <c r="O270" s="156" t="s">
        <v>363</v>
      </c>
      <c r="P270" s="156" t="s">
        <v>363</v>
      </c>
      <c r="Q270" s="156" t="s">
        <v>363</v>
      </c>
      <c r="R270" s="156" t="s">
        <v>363</v>
      </c>
    </row>
    <row r="271" spans="2:18" s="20" customFormat="1" ht="64.5" thickBot="1" x14ac:dyDescent="0.25">
      <c r="B271" s="160"/>
      <c r="C271" s="154" t="s">
        <v>125</v>
      </c>
      <c r="D271" s="674" t="s">
        <v>121</v>
      </c>
      <c r="E271" s="159" t="s">
        <v>364</v>
      </c>
      <c r="F271" s="901">
        <v>54030.1</v>
      </c>
      <c r="G271" s="905">
        <v>2983.9</v>
      </c>
      <c r="H271" s="905">
        <v>2972.5</v>
      </c>
      <c r="I271" s="905">
        <v>2972.5</v>
      </c>
      <c r="J271" s="905">
        <v>2972.5</v>
      </c>
      <c r="K271" s="675" t="s">
        <v>365</v>
      </c>
      <c r="L271" s="675"/>
      <c r="M271" s="677"/>
      <c r="N271" s="161" t="s">
        <v>366</v>
      </c>
      <c r="O271" s="161" t="s">
        <v>366</v>
      </c>
      <c r="P271" s="161" t="s">
        <v>366</v>
      </c>
      <c r="Q271" s="161" t="s">
        <v>366</v>
      </c>
      <c r="R271" s="161" t="s">
        <v>366</v>
      </c>
    </row>
    <row r="272" spans="2:18" s="20" customFormat="1" ht="66.75" customHeight="1" thickBot="1" x14ac:dyDescent="0.25">
      <c r="B272" s="845" t="s">
        <v>241</v>
      </c>
      <c r="C272" s="845"/>
      <c r="D272" s="851"/>
      <c r="E272" s="849" t="s">
        <v>367</v>
      </c>
      <c r="F272" s="902">
        <v>0</v>
      </c>
      <c r="G272" s="902">
        <v>38342.400000000001</v>
      </c>
      <c r="H272" s="902">
        <v>37203.800000000003</v>
      </c>
      <c r="I272" s="902">
        <v>37203.800000000003</v>
      </c>
      <c r="J272" s="902">
        <v>37203.800000000003</v>
      </c>
      <c r="K272" s="852" t="s">
        <v>368</v>
      </c>
      <c r="L272" s="853"/>
      <c r="M272" s="850"/>
      <c r="N272" s="847"/>
      <c r="O272" s="847"/>
      <c r="P272" s="847"/>
      <c r="Q272" s="847"/>
      <c r="R272" s="847"/>
    </row>
    <row r="273" spans="1:18" s="20" customFormat="1" ht="77.25" thickBot="1" x14ac:dyDescent="0.25">
      <c r="B273" s="155"/>
      <c r="C273" s="154" t="s">
        <v>123</v>
      </c>
      <c r="D273" s="157"/>
      <c r="E273" s="159" t="s">
        <v>369</v>
      </c>
      <c r="F273" s="901"/>
      <c r="G273" s="901">
        <v>38342.400000000001</v>
      </c>
      <c r="H273" s="901">
        <v>37203.800000000003</v>
      </c>
      <c r="I273" s="901">
        <v>37203.800000000003</v>
      </c>
      <c r="J273" s="901">
        <v>37203.800000000003</v>
      </c>
      <c r="K273" s="163" t="s">
        <v>370</v>
      </c>
      <c r="L273" s="162"/>
      <c r="M273" s="22"/>
      <c r="N273" s="156"/>
      <c r="O273" s="156"/>
      <c r="P273" s="156"/>
      <c r="Q273" s="156"/>
      <c r="R273" s="156"/>
    </row>
    <row r="274" spans="1:18" s="20" customFormat="1" x14ac:dyDescent="0.2">
      <c r="B274" s="854" t="s">
        <v>152</v>
      </c>
      <c r="C274" s="845"/>
      <c r="D274" s="851"/>
      <c r="E274" s="849" t="s">
        <v>371</v>
      </c>
      <c r="F274" s="902"/>
      <c r="G274" s="902">
        <v>0</v>
      </c>
      <c r="H274" s="902">
        <v>7410.2000000000007</v>
      </c>
      <c r="I274" s="902">
        <v>7410.2000000000007</v>
      </c>
      <c r="J274" s="902">
        <v>7410.2000000000007</v>
      </c>
      <c r="K274" s="144"/>
      <c r="L274" s="164"/>
      <c r="M274" s="165"/>
      <c r="N274" s="166"/>
      <c r="O274" s="166"/>
      <c r="P274" s="166"/>
      <c r="Q274" s="166"/>
      <c r="R274" s="166"/>
    </row>
    <row r="275" spans="1:18" s="20" customFormat="1" ht="25.5" x14ac:dyDescent="0.2">
      <c r="B275" s="155"/>
      <c r="C275" s="154" t="s">
        <v>123</v>
      </c>
      <c r="D275" s="157"/>
      <c r="E275" s="159" t="s">
        <v>372</v>
      </c>
      <c r="F275" s="901"/>
      <c r="G275" s="901"/>
      <c r="H275" s="901">
        <v>7410.2000000000007</v>
      </c>
      <c r="I275" s="901">
        <v>7410.2000000000007</v>
      </c>
      <c r="J275" s="901">
        <v>7410.2000000000007</v>
      </c>
      <c r="K275" s="144" t="s">
        <v>373</v>
      </c>
      <c r="L275" s="164"/>
      <c r="M275" s="165"/>
      <c r="N275" s="166"/>
      <c r="O275" s="166"/>
      <c r="P275" s="166"/>
      <c r="Q275" s="166"/>
      <c r="R275" s="166"/>
    </row>
    <row r="276" spans="1:18" s="125" customFormat="1" ht="33" customHeight="1" x14ac:dyDescent="0.2">
      <c r="B276" s="2039" t="s">
        <v>64</v>
      </c>
      <c r="C276" s="2040"/>
      <c r="D276" s="2040"/>
      <c r="E276" s="2040"/>
      <c r="F276" s="904">
        <v>600969.29999999993</v>
      </c>
      <c r="G276" s="904">
        <v>615179.19999999995</v>
      </c>
      <c r="H276" s="904">
        <f>H253+H260+H265+H269+H272+H274</f>
        <v>571186.5</v>
      </c>
      <c r="I276" s="904">
        <v>607093</v>
      </c>
      <c r="J276" s="904">
        <v>613025.19999999995</v>
      </c>
      <c r="K276" s="124"/>
      <c r="L276" s="124"/>
      <c r="M276" s="36"/>
      <c r="N276" s="36"/>
      <c r="O276" s="36"/>
      <c r="P276" s="36"/>
      <c r="Q276" s="36"/>
      <c r="R276" s="36"/>
    </row>
    <row r="277" spans="1:18" ht="26.25" customHeight="1" thickBot="1" x14ac:dyDescent="0.25">
      <c r="B277" s="1961" t="s">
        <v>374</v>
      </c>
      <c r="C277" s="1962"/>
      <c r="D277" s="1962"/>
      <c r="E277" s="1962"/>
      <c r="F277" s="969"/>
      <c r="G277" s="969"/>
      <c r="H277" s="969"/>
      <c r="I277" s="969"/>
      <c r="J277" s="969"/>
      <c r="K277" s="167"/>
      <c r="L277" s="167"/>
      <c r="M277" s="996"/>
      <c r="N277" s="167"/>
      <c r="O277" s="167"/>
      <c r="P277" s="167"/>
      <c r="Q277" s="167"/>
      <c r="R277" s="168"/>
    </row>
    <row r="278" spans="1:18" s="20" customFormat="1" ht="38.25" x14ac:dyDescent="0.2">
      <c r="A278" s="131"/>
      <c r="B278" s="855">
        <v>1</v>
      </c>
      <c r="C278" s="169"/>
      <c r="D278" s="169">
        <v>0</v>
      </c>
      <c r="E278" s="626" t="s">
        <v>375</v>
      </c>
      <c r="F278" s="927">
        <v>19139.2</v>
      </c>
      <c r="G278" s="927">
        <v>16598.099999999999</v>
      </c>
      <c r="H278" s="927">
        <v>21426.400000000001</v>
      </c>
      <c r="I278" s="927">
        <v>16657</v>
      </c>
      <c r="J278" s="927">
        <v>16750</v>
      </c>
      <c r="K278" s="171" t="s">
        <v>376</v>
      </c>
      <c r="L278" s="172"/>
      <c r="M278" s="170" t="s">
        <v>17</v>
      </c>
      <c r="N278" s="173"/>
      <c r="O278" s="173"/>
      <c r="P278" s="173"/>
      <c r="Q278" s="173"/>
      <c r="R278" s="173"/>
    </row>
    <row r="279" spans="1:18" s="20" customFormat="1" x14ac:dyDescent="0.2">
      <c r="A279" s="131"/>
      <c r="B279" s="856"/>
      <c r="C279" s="174">
        <v>1</v>
      </c>
      <c r="D279" s="169">
        <v>0</v>
      </c>
      <c r="E279" s="175" t="s">
        <v>18</v>
      </c>
      <c r="F279" s="928">
        <v>8553.6</v>
      </c>
      <c r="G279" s="928">
        <v>9469.6</v>
      </c>
      <c r="H279" s="928">
        <v>11684.2</v>
      </c>
      <c r="I279" s="928">
        <v>9600</v>
      </c>
      <c r="J279" s="928">
        <v>9600</v>
      </c>
      <c r="K279" s="171" t="s">
        <v>377</v>
      </c>
      <c r="L279" s="171"/>
      <c r="M279" s="176" t="s">
        <v>17</v>
      </c>
      <c r="N279" s="170">
        <v>100</v>
      </c>
      <c r="O279" s="170">
        <v>100</v>
      </c>
      <c r="P279" s="170">
        <v>100</v>
      </c>
      <c r="Q279" s="170">
        <v>100</v>
      </c>
      <c r="R279" s="170">
        <v>100</v>
      </c>
    </row>
    <row r="280" spans="1:18" s="20" customFormat="1" x14ac:dyDescent="0.2">
      <c r="A280" s="131"/>
      <c r="B280" s="856"/>
      <c r="C280" s="177">
        <v>2</v>
      </c>
      <c r="D280" s="169">
        <v>0</v>
      </c>
      <c r="E280" s="178" t="s">
        <v>378</v>
      </c>
      <c r="F280" s="928">
        <v>3654.1</v>
      </c>
      <c r="G280" s="928">
        <v>2482.5</v>
      </c>
      <c r="H280" s="928">
        <v>3397.1</v>
      </c>
      <c r="I280" s="928">
        <v>2600</v>
      </c>
      <c r="J280" s="928">
        <v>2600</v>
      </c>
      <c r="K280" s="171" t="s">
        <v>23</v>
      </c>
      <c r="L280" s="171"/>
      <c r="M280" s="176" t="s">
        <v>17</v>
      </c>
      <c r="N280" s="170">
        <v>100</v>
      </c>
      <c r="O280" s="170">
        <v>100</v>
      </c>
      <c r="P280" s="170">
        <v>100</v>
      </c>
      <c r="Q280" s="170">
        <v>100</v>
      </c>
      <c r="R280" s="170">
        <v>100</v>
      </c>
    </row>
    <row r="281" spans="1:18" s="20" customFormat="1" x14ac:dyDescent="0.2">
      <c r="A281" s="131"/>
      <c r="B281" s="856"/>
      <c r="C281" s="177">
        <v>3</v>
      </c>
      <c r="D281" s="169">
        <v>0</v>
      </c>
      <c r="E281" s="178" t="s">
        <v>24</v>
      </c>
      <c r="F281" s="928">
        <v>6398</v>
      </c>
      <c r="G281" s="928">
        <v>3868.4</v>
      </c>
      <c r="H281" s="928">
        <v>5427.7</v>
      </c>
      <c r="I281" s="928">
        <v>3907</v>
      </c>
      <c r="J281" s="928">
        <v>3980</v>
      </c>
      <c r="K281" s="171" t="s">
        <v>379</v>
      </c>
      <c r="L281" s="171"/>
      <c r="M281" s="176" t="s">
        <v>380</v>
      </c>
      <c r="N281" s="176" t="s">
        <v>381</v>
      </c>
      <c r="O281" s="176" t="s">
        <v>382</v>
      </c>
      <c r="P281" s="176" t="s">
        <v>383</v>
      </c>
      <c r="Q281" s="176" t="s">
        <v>384</v>
      </c>
      <c r="R281" s="176" t="s">
        <v>385</v>
      </c>
    </row>
    <row r="282" spans="1:18" s="20" customFormat="1" ht="38.25" x14ac:dyDescent="0.2">
      <c r="A282" s="131"/>
      <c r="B282" s="856"/>
      <c r="C282" s="177">
        <v>5</v>
      </c>
      <c r="D282" s="169">
        <v>0</v>
      </c>
      <c r="E282" s="178" t="s">
        <v>2413</v>
      </c>
      <c r="F282" s="928">
        <v>533.5</v>
      </c>
      <c r="G282" s="928">
        <v>777.6</v>
      </c>
      <c r="H282" s="928">
        <v>917.4</v>
      </c>
      <c r="I282" s="928">
        <v>550</v>
      </c>
      <c r="J282" s="928">
        <v>570</v>
      </c>
      <c r="K282" s="171" t="s">
        <v>386</v>
      </c>
      <c r="L282" s="171"/>
      <c r="M282" s="176" t="s">
        <v>387</v>
      </c>
      <c r="N282" s="176">
        <v>72</v>
      </c>
      <c r="O282" s="176">
        <v>32</v>
      </c>
      <c r="P282" s="176">
        <v>70</v>
      </c>
      <c r="Q282" s="176">
        <v>80</v>
      </c>
      <c r="R282" s="176">
        <v>90</v>
      </c>
    </row>
    <row r="283" spans="1:18" s="20" customFormat="1" ht="25.5" x14ac:dyDescent="0.2">
      <c r="A283" s="131"/>
      <c r="B283" s="856">
        <v>2</v>
      </c>
      <c r="C283" s="179"/>
      <c r="D283" s="169">
        <v>0</v>
      </c>
      <c r="E283" s="625" t="s">
        <v>388</v>
      </c>
      <c r="F283" s="928">
        <v>8106</v>
      </c>
      <c r="G283" s="928">
        <v>6511.1</v>
      </c>
      <c r="H283" s="928">
        <v>8467.7999999999993</v>
      </c>
      <c r="I283" s="928">
        <v>6657</v>
      </c>
      <c r="J283" s="928">
        <v>6720</v>
      </c>
      <c r="K283" s="182" t="s">
        <v>389</v>
      </c>
      <c r="L283" s="182"/>
      <c r="M283" s="176"/>
      <c r="N283" s="176"/>
      <c r="O283" s="176"/>
      <c r="P283" s="176"/>
      <c r="Q283" s="176"/>
      <c r="R283" s="176"/>
    </row>
    <row r="284" spans="1:18" s="20" customFormat="1" ht="25.5" x14ac:dyDescent="0.2">
      <c r="A284" s="131"/>
      <c r="B284" s="856"/>
      <c r="C284" s="179">
        <v>1</v>
      </c>
      <c r="D284" s="169">
        <v>0</v>
      </c>
      <c r="E284" s="180" t="s">
        <v>390</v>
      </c>
      <c r="F284" s="928">
        <v>3111.5</v>
      </c>
      <c r="G284" s="928">
        <v>2780.5</v>
      </c>
      <c r="H284" s="928">
        <v>3619.1</v>
      </c>
      <c r="I284" s="928">
        <v>2807</v>
      </c>
      <c r="J284" s="928">
        <v>2920</v>
      </c>
      <c r="K284" s="171" t="s">
        <v>391</v>
      </c>
      <c r="L284" s="171"/>
      <c r="M284" s="176" t="s">
        <v>387</v>
      </c>
      <c r="N284" s="176" t="s">
        <v>392</v>
      </c>
      <c r="O284" s="176" t="s">
        <v>393</v>
      </c>
      <c r="P284" s="176" t="s">
        <v>394</v>
      </c>
      <c r="Q284" s="176" t="s">
        <v>395</v>
      </c>
      <c r="R284" s="176" t="s">
        <v>396</v>
      </c>
    </row>
    <row r="285" spans="1:18" s="20" customFormat="1" ht="38.25" x14ac:dyDescent="0.2">
      <c r="A285" s="131"/>
      <c r="B285" s="856"/>
      <c r="C285" s="179">
        <v>2</v>
      </c>
      <c r="D285" s="169">
        <v>0</v>
      </c>
      <c r="E285" s="180" t="s">
        <v>397</v>
      </c>
      <c r="F285" s="928">
        <v>2489.5</v>
      </c>
      <c r="G285" s="928">
        <v>2183.1999999999998</v>
      </c>
      <c r="H285" s="928">
        <v>2742.2999999999997</v>
      </c>
      <c r="I285" s="928">
        <v>2200</v>
      </c>
      <c r="J285" s="928">
        <v>2100</v>
      </c>
      <c r="K285" s="182" t="s">
        <v>398</v>
      </c>
      <c r="L285" s="182"/>
      <c r="M285" s="176" t="s">
        <v>399</v>
      </c>
      <c r="N285" s="176">
        <v>170</v>
      </c>
      <c r="O285" s="176">
        <v>55</v>
      </c>
      <c r="P285" s="176">
        <v>160</v>
      </c>
      <c r="Q285" s="176">
        <v>170</v>
      </c>
      <c r="R285" s="176">
        <v>180</v>
      </c>
    </row>
    <row r="286" spans="1:18" s="20" customFormat="1" ht="25.5" x14ac:dyDescent="0.2">
      <c r="A286" s="131"/>
      <c r="B286" s="856"/>
      <c r="C286" s="183" t="s">
        <v>127</v>
      </c>
      <c r="D286" s="169">
        <v>0</v>
      </c>
      <c r="E286" s="180" t="s">
        <v>2415</v>
      </c>
      <c r="F286" s="928">
        <v>2505</v>
      </c>
      <c r="G286" s="928">
        <v>1547.4</v>
      </c>
      <c r="H286" s="928">
        <v>2106.4</v>
      </c>
      <c r="I286" s="928">
        <v>1650</v>
      </c>
      <c r="J286" s="928">
        <v>1700</v>
      </c>
      <c r="K286" s="182" t="s">
        <v>400</v>
      </c>
      <c r="L286" s="182"/>
      <c r="M286" s="176" t="s">
        <v>387</v>
      </c>
      <c r="N286" s="176">
        <v>25</v>
      </c>
      <c r="O286" s="176">
        <v>15</v>
      </c>
      <c r="P286" s="176">
        <v>30</v>
      </c>
      <c r="Q286" s="176">
        <v>40</v>
      </c>
      <c r="R286" s="176">
        <v>50</v>
      </c>
    </row>
    <row r="287" spans="1:18" s="20" customFormat="1" ht="25.5" x14ac:dyDescent="0.2">
      <c r="A287" s="131"/>
      <c r="B287" s="857" t="s">
        <v>161</v>
      </c>
      <c r="C287" s="183"/>
      <c r="D287" s="169">
        <v>0</v>
      </c>
      <c r="E287" s="627" t="s">
        <v>2414</v>
      </c>
      <c r="F287" s="929">
        <v>7309.2</v>
      </c>
      <c r="G287" s="929">
        <v>5613</v>
      </c>
      <c r="H287" s="928">
        <v>7430</v>
      </c>
      <c r="I287" s="928">
        <v>5784</v>
      </c>
      <c r="J287" s="928">
        <v>5800</v>
      </c>
      <c r="K287" s="182" t="s">
        <v>401</v>
      </c>
      <c r="L287" s="182"/>
      <c r="M287" s="176"/>
      <c r="N287" s="176"/>
      <c r="O287" s="181"/>
      <c r="P287" s="181"/>
      <c r="Q287" s="181"/>
      <c r="R287" s="181"/>
    </row>
    <row r="288" spans="1:18" s="20" customFormat="1" ht="25.5" x14ac:dyDescent="0.2">
      <c r="A288" s="131"/>
      <c r="B288" s="857"/>
      <c r="C288" s="183" t="s">
        <v>123</v>
      </c>
      <c r="D288" s="169">
        <v>0</v>
      </c>
      <c r="E288" s="180" t="s">
        <v>402</v>
      </c>
      <c r="F288" s="929">
        <v>3927.2</v>
      </c>
      <c r="G288" s="929">
        <v>3854.5</v>
      </c>
      <c r="H288" s="928">
        <v>4832.8999999999996</v>
      </c>
      <c r="I288" s="928">
        <v>3536</v>
      </c>
      <c r="J288" s="928">
        <v>3700</v>
      </c>
      <c r="K288" s="182" t="s">
        <v>403</v>
      </c>
      <c r="L288" s="182"/>
      <c r="M288" s="176" t="s">
        <v>404</v>
      </c>
      <c r="N288" s="176" t="s">
        <v>405</v>
      </c>
      <c r="O288" s="176" t="s">
        <v>406</v>
      </c>
      <c r="P288" s="176" t="s">
        <v>407</v>
      </c>
      <c r="Q288" s="176" t="s">
        <v>408</v>
      </c>
      <c r="R288" s="176" t="s">
        <v>409</v>
      </c>
    </row>
    <row r="289" spans="1:18" s="20" customFormat="1" ht="38.25" x14ac:dyDescent="0.2">
      <c r="A289" s="131"/>
      <c r="B289" s="857"/>
      <c r="C289" s="183" t="s">
        <v>125</v>
      </c>
      <c r="D289" s="169">
        <v>0</v>
      </c>
      <c r="E289" s="180" t="s">
        <v>410</v>
      </c>
      <c r="F289" s="929">
        <v>3382</v>
      </c>
      <c r="G289" s="929">
        <v>1758.5</v>
      </c>
      <c r="H289" s="928">
        <v>2597.1</v>
      </c>
      <c r="I289" s="928">
        <v>2248</v>
      </c>
      <c r="J289" s="928">
        <v>2100</v>
      </c>
      <c r="K289" s="182" t="s">
        <v>411</v>
      </c>
      <c r="L289" s="182"/>
      <c r="M289" s="176" t="s">
        <v>17</v>
      </c>
      <c r="N289" s="176">
        <v>100</v>
      </c>
      <c r="O289" s="176">
        <v>100</v>
      </c>
      <c r="P289" s="176">
        <v>100</v>
      </c>
      <c r="Q289" s="176">
        <v>100</v>
      </c>
      <c r="R289" s="176">
        <v>100</v>
      </c>
    </row>
    <row r="290" spans="1:18" s="20" customFormat="1" ht="25.5" x14ac:dyDescent="0.2">
      <c r="A290" s="131"/>
      <c r="B290" s="857" t="s">
        <v>169</v>
      </c>
      <c r="C290" s="183"/>
      <c r="D290" s="169">
        <v>0</v>
      </c>
      <c r="E290" s="627" t="s">
        <v>412</v>
      </c>
      <c r="F290" s="929">
        <v>4828.6000000000004</v>
      </c>
      <c r="G290" s="929">
        <v>4105.3999999999996</v>
      </c>
      <c r="H290" s="928">
        <v>5503.4</v>
      </c>
      <c r="I290" s="928">
        <v>4357.8999999999996</v>
      </c>
      <c r="J290" s="928">
        <v>4505.1000000000004</v>
      </c>
      <c r="K290" s="182" t="s">
        <v>413</v>
      </c>
      <c r="L290" s="182"/>
      <c r="M290" s="176"/>
      <c r="N290" s="176"/>
      <c r="O290" s="181"/>
      <c r="P290" s="181"/>
      <c r="Q290" s="181"/>
      <c r="R290" s="181"/>
    </row>
    <row r="291" spans="1:18" s="20" customFormat="1" ht="25.5" x14ac:dyDescent="0.2">
      <c r="A291" s="131"/>
      <c r="B291" s="183"/>
      <c r="C291" s="183" t="s">
        <v>123</v>
      </c>
      <c r="D291" s="169">
        <v>0</v>
      </c>
      <c r="E291" s="184" t="s">
        <v>414</v>
      </c>
      <c r="F291" s="929">
        <v>2423.4</v>
      </c>
      <c r="G291" s="929">
        <v>2053.6</v>
      </c>
      <c r="H291" s="928">
        <v>2752.6</v>
      </c>
      <c r="I291" s="928">
        <v>2200</v>
      </c>
      <c r="J291" s="928">
        <v>2300</v>
      </c>
      <c r="K291" s="182" t="s">
        <v>415</v>
      </c>
      <c r="L291" s="182"/>
      <c r="M291" s="176" t="s">
        <v>404</v>
      </c>
      <c r="N291" s="176" t="s">
        <v>381</v>
      </c>
      <c r="O291" s="176" t="s">
        <v>382</v>
      </c>
      <c r="P291" s="176" t="s">
        <v>416</v>
      </c>
      <c r="Q291" s="176" t="s">
        <v>417</v>
      </c>
      <c r="R291" s="176" t="s">
        <v>418</v>
      </c>
    </row>
    <row r="292" spans="1:18" s="20" customFormat="1" ht="25.5" x14ac:dyDescent="0.2">
      <c r="A292" s="131"/>
      <c r="B292" s="183"/>
      <c r="C292" s="183" t="s">
        <v>125</v>
      </c>
      <c r="D292" s="169">
        <v>0</v>
      </c>
      <c r="E292" s="180" t="s">
        <v>419</v>
      </c>
      <c r="F292" s="929">
        <v>2405.1999999999998</v>
      </c>
      <c r="G292" s="929">
        <v>2051.8000000000002</v>
      </c>
      <c r="H292" s="928">
        <v>2750.8</v>
      </c>
      <c r="I292" s="928">
        <v>2157.9</v>
      </c>
      <c r="J292" s="928">
        <v>2205.1</v>
      </c>
      <c r="K292" s="185" t="s">
        <v>2416</v>
      </c>
      <c r="L292" s="185"/>
      <c r="M292" s="176" t="s">
        <v>420</v>
      </c>
      <c r="N292" s="176">
        <v>149</v>
      </c>
      <c r="O292" s="176">
        <v>50</v>
      </c>
      <c r="P292" s="176">
        <v>150</v>
      </c>
      <c r="Q292" s="176">
        <v>200</v>
      </c>
      <c r="R292" s="176">
        <v>250</v>
      </c>
    </row>
    <row r="293" spans="1:18" s="17" customFormat="1" ht="32.25" customHeight="1" x14ac:dyDescent="0.2">
      <c r="B293" s="186" t="s">
        <v>64</v>
      </c>
      <c r="C293" s="187"/>
      <c r="D293" s="187"/>
      <c r="E293" s="188"/>
      <c r="F293" s="904">
        <v>39383</v>
      </c>
      <c r="G293" s="904">
        <v>32827.599999999999</v>
      </c>
      <c r="H293" s="904">
        <v>42827.6</v>
      </c>
      <c r="I293" s="904">
        <v>33455.9</v>
      </c>
      <c r="J293" s="904">
        <v>33775.1</v>
      </c>
      <c r="K293" s="794"/>
      <c r="L293" s="794"/>
      <c r="M293" s="1004"/>
      <c r="N293" s="189"/>
      <c r="O293" s="189"/>
      <c r="P293" s="189"/>
      <c r="Q293" s="189"/>
      <c r="R293" s="190"/>
    </row>
    <row r="294" spans="1:18" s="17" customFormat="1" ht="36" customHeight="1" thickBot="1" x14ac:dyDescent="0.25">
      <c r="B294" s="1961" t="s">
        <v>421</v>
      </c>
      <c r="C294" s="1962"/>
      <c r="D294" s="1962"/>
      <c r="E294" s="1962"/>
      <c r="F294" s="970"/>
      <c r="G294" s="970"/>
      <c r="H294" s="970"/>
      <c r="I294" s="970"/>
      <c r="J294" s="970"/>
      <c r="K294" s="191"/>
      <c r="L294" s="191"/>
      <c r="M294" s="997"/>
      <c r="N294" s="191"/>
      <c r="O294" s="191"/>
      <c r="P294" s="191"/>
      <c r="Q294" s="191"/>
      <c r="R294" s="192"/>
    </row>
    <row r="295" spans="1:18" s="20" customFormat="1" ht="38.25" x14ac:dyDescent="0.2">
      <c r="A295" s="131"/>
      <c r="B295" s="193">
        <v>1</v>
      </c>
      <c r="C295" s="680"/>
      <c r="D295" s="680">
        <v>0</v>
      </c>
      <c r="E295" s="629" t="s">
        <v>15</v>
      </c>
      <c r="F295" s="930">
        <f>SUM(F296+F297+F298+F299+F300+F301+F302+F303)</f>
        <v>37293.399999999994</v>
      </c>
      <c r="G295" s="930">
        <f>SUM(G296+G297+G298+G299+G300+G301+G302+G303)</f>
        <v>36650.900000000009</v>
      </c>
      <c r="H295" s="931">
        <f>H296+H297+H298+H299+H300+H301+H302+H303</f>
        <v>44232.079999999994</v>
      </c>
      <c r="I295" s="931">
        <v>43812.68</v>
      </c>
      <c r="J295" s="931">
        <v>43812.68</v>
      </c>
      <c r="K295" s="138" t="s">
        <v>16</v>
      </c>
      <c r="L295" s="138"/>
      <c r="M295" s="678" t="s">
        <v>17</v>
      </c>
      <c r="N295" s="678"/>
      <c r="O295" s="678"/>
      <c r="P295" s="678"/>
      <c r="Q295" s="678"/>
      <c r="R295" s="678"/>
    </row>
    <row r="296" spans="1:18" s="20" customFormat="1" x14ac:dyDescent="0.2">
      <c r="A296" s="131"/>
      <c r="B296" s="194"/>
      <c r="C296" s="195">
        <v>1</v>
      </c>
      <c r="D296" s="680">
        <v>0</v>
      </c>
      <c r="E296" s="705" t="s">
        <v>18</v>
      </c>
      <c r="F296" s="932">
        <v>6290.7</v>
      </c>
      <c r="G296" s="932">
        <v>5385.2</v>
      </c>
      <c r="H296" s="933">
        <v>6301.44</v>
      </c>
      <c r="I296" s="933">
        <v>6301.44</v>
      </c>
      <c r="J296" s="933">
        <v>6301.44</v>
      </c>
      <c r="K296" s="148" t="s">
        <v>19</v>
      </c>
      <c r="L296" s="148"/>
      <c r="M296" s="22" t="s">
        <v>20</v>
      </c>
      <c r="N296" s="22"/>
      <c r="O296" s="22"/>
      <c r="P296" s="22"/>
      <c r="Q296" s="22"/>
      <c r="R296" s="22"/>
    </row>
    <row r="297" spans="1:18" s="20" customFormat="1" x14ac:dyDescent="0.2">
      <c r="A297" s="131"/>
      <c r="B297" s="194"/>
      <c r="C297" s="196">
        <v>2</v>
      </c>
      <c r="D297" s="680">
        <v>0</v>
      </c>
      <c r="E297" s="27" t="s">
        <v>22</v>
      </c>
      <c r="F297" s="932">
        <v>2584.6</v>
      </c>
      <c r="G297" s="932">
        <v>2307.3000000000002</v>
      </c>
      <c r="H297" s="933">
        <v>2524.7800000000002</v>
      </c>
      <c r="I297" s="933">
        <v>2524.7800000000002</v>
      </c>
      <c r="J297" s="933">
        <v>2524.7800000000002</v>
      </c>
      <c r="K297" s="148" t="s">
        <v>23</v>
      </c>
      <c r="L297" s="148"/>
      <c r="M297" s="22" t="s">
        <v>17</v>
      </c>
      <c r="N297" s="22">
        <v>100</v>
      </c>
      <c r="O297" s="22">
        <v>100</v>
      </c>
      <c r="P297" s="22">
        <v>100</v>
      </c>
      <c r="Q297" s="22">
        <v>100</v>
      </c>
      <c r="R297" s="22">
        <v>100</v>
      </c>
    </row>
    <row r="298" spans="1:18" s="20" customFormat="1" x14ac:dyDescent="0.2">
      <c r="A298" s="131"/>
      <c r="B298" s="194"/>
      <c r="C298" s="196">
        <v>3</v>
      </c>
      <c r="D298" s="680">
        <v>0</v>
      </c>
      <c r="E298" s="27" t="s">
        <v>24</v>
      </c>
      <c r="F298" s="932">
        <v>3234.3</v>
      </c>
      <c r="G298" s="932">
        <v>947.2</v>
      </c>
      <c r="H298" s="933">
        <v>1243.74</v>
      </c>
      <c r="I298" s="933">
        <v>1243.74</v>
      </c>
      <c r="J298" s="933">
        <v>1243.74</v>
      </c>
      <c r="K298" s="197" t="s">
        <v>25</v>
      </c>
      <c r="L298" s="197"/>
      <c r="M298" s="22" t="s">
        <v>17</v>
      </c>
      <c r="N298" s="22">
        <v>91.2</v>
      </c>
      <c r="O298" s="22">
        <v>92.2</v>
      </c>
      <c r="P298" s="22">
        <v>92.3</v>
      </c>
      <c r="Q298" s="22">
        <v>92.4</v>
      </c>
      <c r="R298" s="22">
        <v>92.5</v>
      </c>
    </row>
    <row r="299" spans="1:18" s="20" customFormat="1" ht="25.5" x14ac:dyDescent="0.2">
      <c r="A299" s="131"/>
      <c r="B299" s="194"/>
      <c r="C299" s="196">
        <v>4</v>
      </c>
      <c r="D299" s="680">
        <v>0</v>
      </c>
      <c r="E299" s="27" t="s">
        <v>26</v>
      </c>
      <c r="F299" s="932">
        <v>2400.1</v>
      </c>
      <c r="G299" s="932">
        <v>1997.3</v>
      </c>
      <c r="H299" s="933">
        <v>2258.63</v>
      </c>
      <c r="I299" s="933">
        <v>2258.63</v>
      </c>
      <c r="J299" s="933">
        <v>2258.63</v>
      </c>
      <c r="K299" s="148" t="s">
        <v>27</v>
      </c>
      <c r="L299" s="148"/>
      <c r="M299" s="22" t="s">
        <v>28</v>
      </c>
      <c r="N299" s="22">
        <v>78.3</v>
      </c>
      <c r="O299" s="22">
        <v>78.400000000000006</v>
      </c>
      <c r="P299" s="22">
        <v>78.5</v>
      </c>
      <c r="Q299" s="22">
        <v>78.599999999999994</v>
      </c>
      <c r="R299" s="22">
        <v>78.7</v>
      </c>
    </row>
    <row r="300" spans="1:18" s="20" customFormat="1" ht="25.5" x14ac:dyDescent="0.2">
      <c r="A300" s="131"/>
      <c r="B300" s="194"/>
      <c r="C300" s="196">
        <v>5</v>
      </c>
      <c r="D300" s="680">
        <v>0</v>
      </c>
      <c r="E300" s="27" t="s">
        <v>29</v>
      </c>
      <c r="F300" s="932">
        <v>2042.4</v>
      </c>
      <c r="G300" s="932">
        <v>1977.2</v>
      </c>
      <c r="H300" s="933">
        <v>2225.39</v>
      </c>
      <c r="I300" s="933">
        <v>2225.39</v>
      </c>
      <c r="J300" s="933">
        <v>2225.39</v>
      </c>
      <c r="K300" s="148" t="s">
        <v>333</v>
      </c>
      <c r="L300" s="148"/>
      <c r="M300" s="22" t="s">
        <v>31</v>
      </c>
      <c r="N300" s="22">
        <v>100</v>
      </c>
      <c r="O300" s="22">
        <v>100</v>
      </c>
      <c r="P300" s="22">
        <v>100</v>
      </c>
      <c r="Q300" s="22">
        <v>100</v>
      </c>
      <c r="R300" s="22">
        <v>100</v>
      </c>
    </row>
    <row r="301" spans="1:18" s="20" customFormat="1" ht="25.5" x14ac:dyDescent="0.2">
      <c r="A301" s="131"/>
      <c r="B301" s="194"/>
      <c r="C301" s="198">
        <v>6</v>
      </c>
      <c r="D301" s="680">
        <v>0</v>
      </c>
      <c r="E301" s="144" t="s">
        <v>32</v>
      </c>
      <c r="F301" s="932">
        <v>3440</v>
      </c>
      <c r="G301" s="932">
        <v>6055.1</v>
      </c>
      <c r="H301" s="933">
        <f>6468.2+419.4</f>
        <v>6887.5999999999995</v>
      </c>
      <c r="I301" s="933">
        <v>6468.2</v>
      </c>
      <c r="J301" s="933">
        <v>6468.2</v>
      </c>
      <c r="K301" s="148" t="s">
        <v>422</v>
      </c>
      <c r="L301" s="148"/>
      <c r="M301" s="22" t="s">
        <v>17</v>
      </c>
      <c r="N301" s="22">
        <v>7.5</v>
      </c>
      <c r="O301" s="22">
        <v>8.5</v>
      </c>
      <c r="P301" s="22">
        <v>8.9</v>
      </c>
      <c r="Q301" s="22">
        <v>9.1</v>
      </c>
      <c r="R301" s="22">
        <v>9.4</v>
      </c>
    </row>
    <row r="302" spans="1:18" s="20" customFormat="1" ht="25.5" x14ac:dyDescent="0.2">
      <c r="A302" s="131"/>
      <c r="B302" s="194"/>
      <c r="C302" s="198">
        <v>7</v>
      </c>
      <c r="D302" s="680">
        <v>0</v>
      </c>
      <c r="E302" s="144" t="s">
        <v>251</v>
      </c>
      <c r="F302" s="932">
        <v>4505.3</v>
      </c>
      <c r="G302" s="932">
        <v>6250.9</v>
      </c>
      <c r="H302" s="933">
        <v>6981.9</v>
      </c>
      <c r="I302" s="933">
        <v>6981.9</v>
      </c>
      <c r="J302" s="933">
        <v>6981.9</v>
      </c>
      <c r="K302" s="199" t="s">
        <v>423</v>
      </c>
      <c r="L302" s="199"/>
      <c r="M302" s="22">
        <v>98.9</v>
      </c>
      <c r="N302" s="22">
        <v>99.9</v>
      </c>
      <c r="O302" s="22">
        <v>100</v>
      </c>
      <c r="P302" s="22">
        <v>100</v>
      </c>
      <c r="Q302" s="22">
        <v>100</v>
      </c>
      <c r="R302" s="22">
        <v>100</v>
      </c>
    </row>
    <row r="303" spans="1:18" s="20" customFormat="1" ht="25.5" x14ac:dyDescent="0.2">
      <c r="A303" s="131"/>
      <c r="B303" s="194"/>
      <c r="C303" s="198">
        <v>8</v>
      </c>
      <c r="D303" s="680">
        <v>0</v>
      </c>
      <c r="E303" s="144" t="s">
        <v>247</v>
      </c>
      <c r="F303" s="932">
        <v>12796</v>
      </c>
      <c r="G303" s="932">
        <v>11730.7</v>
      </c>
      <c r="H303" s="933">
        <v>15808.6</v>
      </c>
      <c r="I303" s="933">
        <v>15808.6</v>
      </c>
      <c r="J303" s="933">
        <v>15808.6</v>
      </c>
      <c r="K303" s="148" t="s">
        <v>424</v>
      </c>
      <c r="L303" s="148"/>
      <c r="M303" s="22">
        <v>89.2</v>
      </c>
      <c r="N303" s="22">
        <v>89.9</v>
      </c>
      <c r="O303" s="22">
        <v>90</v>
      </c>
      <c r="P303" s="22">
        <v>90.1</v>
      </c>
      <c r="Q303" s="22">
        <v>90.3</v>
      </c>
      <c r="R303" s="22">
        <v>90.5</v>
      </c>
    </row>
    <row r="304" spans="1:18" s="20" customFormat="1" ht="38.25" x14ac:dyDescent="0.2">
      <c r="A304" s="131"/>
      <c r="B304" s="674" t="s">
        <v>138</v>
      </c>
      <c r="C304" s="674"/>
      <c r="D304" s="674"/>
      <c r="E304" s="628" t="s">
        <v>2417</v>
      </c>
      <c r="F304" s="934">
        <f>SUM(F306+F307+F308+F309+F310+F311)</f>
        <v>11879.8</v>
      </c>
      <c r="G304" s="934">
        <f>SUM(G306+G307+G308+G309+G310+G311)</f>
        <v>10370.800000000001</v>
      </c>
      <c r="H304" s="935">
        <v>15914.5</v>
      </c>
      <c r="I304" s="935">
        <v>17102.8</v>
      </c>
      <c r="J304" s="935">
        <v>17603.5</v>
      </c>
      <c r="K304" s="148" t="s">
        <v>2418</v>
      </c>
      <c r="L304" s="148"/>
      <c r="M304" s="22">
        <v>88.5</v>
      </c>
      <c r="N304" s="22">
        <v>88.6</v>
      </c>
      <c r="O304" s="200">
        <v>90.1</v>
      </c>
      <c r="P304" s="200">
        <v>90.5</v>
      </c>
      <c r="Q304" s="200">
        <v>91</v>
      </c>
      <c r="R304" s="200">
        <v>91.5</v>
      </c>
    </row>
    <row r="305" spans="1:18" s="20" customFormat="1" x14ac:dyDescent="0.2">
      <c r="A305" s="131"/>
      <c r="B305" s="674"/>
      <c r="C305" s="195">
        <v>1</v>
      </c>
      <c r="D305" s="674"/>
      <c r="E305" s="144" t="s">
        <v>2420</v>
      </c>
      <c r="F305" s="934"/>
      <c r="G305" s="934"/>
      <c r="H305" s="933">
        <v>15914.5</v>
      </c>
      <c r="I305" s="933">
        <v>17102.8</v>
      </c>
      <c r="J305" s="933">
        <v>17603.5</v>
      </c>
      <c r="K305" s="148" t="s">
        <v>425</v>
      </c>
      <c r="L305" s="148"/>
      <c r="M305" s="22">
        <v>90</v>
      </c>
      <c r="N305" s="22">
        <v>91.2</v>
      </c>
      <c r="O305" s="156">
        <v>92</v>
      </c>
      <c r="P305" s="156">
        <v>93</v>
      </c>
      <c r="Q305" s="156">
        <v>95</v>
      </c>
      <c r="R305" s="156">
        <v>96.6</v>
      </c>
    </row>
    <row r="306" spans="1:18" s="20" customFormat="1" ht="25.5" x14ac:dyDescent="0.2">
      <c r="A306" s="131"/>
      <c r="B306" s="674"/>
      <c r="C306" s="195">
        <v>1</v>
      </c>
      <c r="D306" s="674"/>
      <c r="E306" s="144" t="s">
        <v>426</v>
      </c>
      <c r="F306" s="936">
        <v>1901.6</v>
      </c>
      <c r="G306" s="936">
        <v>1838.1</v>
      </c>
      <c r="H306" s="933"/>
      <c r="I306" s="933"/>
      <c r="J306" s="933"/>
      <c r="K306" s="148" t="s">
        <v>2421</v>
      </c>
      <c r="L306" s="148"/>
      <c r="M306" s="22">
        <v>90</v>
      </c>
      <c r="N306" s="22">
        <v>91.2</v>
      </c>
      <c r="O306" s="156">
        <v>92</v>
      </c>
      <c r="P306" s="156">
        <v>93</v>
      </c>
      <c r="Q306" s="156">
        <v>95</v>
      </c>
      <c r="R306" s="156">
        <v>96</v>
      </c>
    </row>
    <row r="307" spans="1:18" s="20" customFormat="1" ht="25.5" x14ac:dyDescent="0.2">
      <c r="A307" s="131"/>
      <c r="B307" s="674"/>
      <c r="C307" s="195">
        <v>2</v>
      </c>
      <c r="D307" s="674"/>
      <c r="E307" s="144" t="s">
        <v>427</v>
      </c>
      <c r="F307" s="936">
        <v>2374.8000000000002</v>
      </c>
      <c r="G307" s="936">
        <v>2048</v>
      </c>
      <c r="H307" s="933"/>
      <c r="I307" s="933"/>
      <c r="J307" s="933"/>
      <c r="K307" s="148" t="s">
        <v>428</v>
      </c>
      <c r="L307" s="148"/>
      <c r="M307" s="22">
        <v>50.6</v>
      </c>
      <c r="N307" s="22">
        <v>50.7</v>
      </c>
      <c r="O307" s="156">
        <v>50.8</v>
      </c>
      <c r="P307" s="156">
        <v>50.9</v>
      </c>
      <c r="Q307" s="156">
        <v>61.2</v>
      </c>
      <c r="R307" s="156">
        <v>61.5</v>
      </c>
    </row>
    <row r="308" spans="1:18" s="20" customFormat="1" ht="25.5" x14ac:dyDescent="0.2">
      <c r="A308" s="131"/>
      <c r="B308" s="674"/>
      <c r="C308" s="195">
        <v>3</v>
      </c>
      <c r="D308" s="674"/>
      <c r="E308" s="144" t="s">
        <v>2419</v>
      </c>
      <c r="F308" s="936">
        <v>2178.9</v>
      </c>
      <c r="G308" s="936">
        <v>2173.4</v>
      </c>
      <c r="H308" s="933"/>
      <c r="I308" s="933"/>
      <c r="J308" s="933"/>
      <c r="K308" s="148" t="s">
        <v>429</v>
      </c>
      <c r="L308" s="148"/>
      <c r="M308" s="22">
        <v>62.3</v>
      </c>
      <c r="N308" s="22">
        <v>64.7</v>
      </c>
      <c r="O308" s="156">
        <v>64.900000000000006</v>
      </c>
      <c r="P308" s="156">
        <v>65</v>
      </c>
      <c r="Q308" s="156">
        <v>65.599999999999994</v>
      </c>
      <c r="R308" s="156">
        <v>66</v>
      </c>
    </row>
    <row r="309" spans="1:18" s="20" customFormat="1" ht="38.25" x14ac:dyDescent="0.2">
      <c r="A309" s="131"/>
      <c r="B309" s="674"/>
      <c r="C309" s="195">
        <v>4</v>
      </c>
      <c r="D309" s="674"/>
      <c r="E309" s="144" t="s">
        <v>430</v>
      </c>
      <c r="F309" s="936">
        <v>1821.8</v>
      </c>
      <c r="G309" s="936">
        <v>1297.0999999999999</v>
      </c>
      <c r="H309" s="933"/>
      <c r="I309" s="933"/>
      <c r="J309" s="933"/>
      <c r="K309" s="148" t="s">
        <v>431</v>
      </c>
      <c r="L309" s="148"/>
      <c r="M309" s="22">
        <v>48.6</v>
      </c>
      <c r="N309" s="22">
        <v>50.8</v>
      </c>
      <c r="O309" s="156">
        <v>52</v>
      </c>
      <c r="P309" s="156">
        <v>54.8</v>
      </c>
      <c r="Q309" s="156">
        <v>55.2</v>
      </c>
      <c r="R309" s="156">
        <v>60</v>
      </c>
    </row>
    <row r="310" spans="1:18" s="20" customFormat="1" ht="25.5" x14ac:dyDescent="0.2">
      <c r="A310" s="131"/>
      <c r="B310" s="674"/>
      <c r="C310" s="195">
        <v>5</v>
      </c>
      <c r="D310" s="674"/>
      <c r="E310" s="144" t="s">
        <v>2422</v>
      </c>
      <c r="F310" s="936">
        <v>2160.5</v>
      </c>
      <c r="G310" s="936">
        <v>1918.6</v>
      </c>
      <c r="H310" s="933"/>
      <c r="I310" s="933"/>
      <c r="J310" s="933"/>
      <c r="K310" s="148" t="s">
        <v>432</v>
      </c>
      <c r="L310" s="148"/>
      <c r="M310" s="22">
        <v>50.8</v>
      </c>
      <c r="N310" s="22">
        <v>51.2</v>
      </c>
      <c r="O310" s="156">
        <v>52.4</v>
      </c>
      <c r="P310" s="156">
        <v>53.7</v>
      </c>
      <c r="Q310" s="156" t="s">
        <v>433</v>
      </c>
      <c r="R310" s="156">
        <v>55</v>
      </c>
    </row>
    <row r="311" spans="1:18" s="20" customFormat="1" x14ac:dyDescent="0.2">
      <c r="A311" s="131"/>
      <c r="B311" s="674"/>
      <c r="C311" s="674" t="s">
        <v>197</v>
      </c>
      <c r="D311" s="674"/>
      <c r="E311" s="1509" t="s">
        <v>434</v>
      </c>
      <c r="F311" s="936">
        <v>1442.2</v>
      </c>
      <c r="G311" s="936">
        <v>1095.5999999999999</v>
      </c>
      <c r="H311" s="1510"/>
      <c r="I311" s="1510"/>
      <c r="J311" s="1510"/>
      <c r="K311" s="1511" t="s">
        <v>23</v>
      </c>
      <c r="L311" s="1511"/>
      <c r="M311" s="1512">
        <v>100</v>
      </c>
      <c r="N311" s="1512">
        <v>100</v>
      </c>
      <c r="O311" s="1513">
        <v>100</v>
      </c>
      <c r="P311" s="1513">
        <v>100</v>
      </c>
      <c r="Q311" s="1513">
        <v>100</v>
      </c>
      <c r="R311" s="1513">
        <v>100</v>
      </c>
    </row>
    <row r="312" spans="1:18" s="17" customFormat="1" ht="21" customHeight="1" x14ac:dyDescent="0.2">
      <c r="B312" s="186" t="s">
        <v>64</v>
      </c>
      <c r="C312" s="187"/>
      <c r="D312" s="187"/>
      <c r="E312" s="124"/>
      <c r="F312" s="937">
        <f>SUM(F295+F304)</f>
        <v>49173.2</v>
      </c>
      <c r="G312" s="937">
        <f>SUM(G295+G304)</f>
        <v>47021.700000000012</v>
      </c>
      <c r="H312" s="937">
        <f>SUM(H295+H304)</f>
        <v>60146.579999999994</v>
      </c>
      <c r="I312" s="1091">
        <f>SUM(I295+I304)</f>
        <v>60915.479999999996</v>
      </c>
      <c r="J312" s="1091">
        <f>SUM(J295+J304)</f>
        <v>61416.18</v>
      </c>
      <c r="K312" s="794"/>
      <c r="L312" s="794"/>
      <c r="M312" s="36"/>
      <c r="N312" s="794"/>
      <c r="O312" s="794"/>
      <c r="P312" s="794"/>
      <c r="Q312" s="794"/>
      <c r="R312" s="794"/>
    </row>
    <row r="313" spans="1:18" s="17" customFormat="1" ht="19.5" customHeight="1" x14ac:dyDescent="0.2">
      <c r="B313" s="201" t="s">
        <v>435</v>
      </c>
      <c r="C313" s="202"/>
      <c r="D313" s="202"/>
      <c r="E313" s="1514"/>
      <c r="F313" s="1515"/>
      <c r="G313" s="1515"/>
      <c r="H313" s="1515"/>
      <c r="I313" s="1515"/>
      <c r="J313" s="1515"/>
      <c r="K313" s="1514"/>
      <c r="L313" s="1514"/>
      <c r="M313" s="1010"/>
      <c r="N313" s="1514"/>
      <c r="O313" s="1514"/>
      <c r="P313" s="1514"/>
      <c r="Q313" s="1514"/>
      <c r="R313" s="1516"/>
    </row>
    <row r="314" spans="1:18" s="47" customFormat="1" ht="39.75" x14ac:dyDescent="0.2">
      <c r="A314" s="45"/>
      <c r="B314" s="1517">
        <v>1</v>
      </c>
      <c r="C314" s="766"/>
      <c r="D314" s="766"/>
      <c r="E314" s="630" t="s">
        <v>2377</v>
      </c>
      <c r="F314" s="938">
        <v>55348.100000000006</v>
      </c>
      <c r="G314" s="938">
        <v>73141.899999999994</v>
      </c>
      <c r="H314" s="938">
        <f>H325</f>
        <v>68797.100000000006</v>
      </c>
      <c r="I314" s="938">
        <v>69041.899999999994</v>
      </c>
      <c r="J314" s="938">
        <v>71741.899999999994</v>
      </c>
      <c r="K314" s="203" t="s">
        <v>16</v>
      </c>
      <c r="L314" s="203"/>
      <c r="M314" s="204" t="s">
        <v>17</v>
      </c>
      <c r="N314" s="204"/>
      <c r="O314" s="204"/>
      <c r="P314" s="204"/>
      <c r="Q314" s="204"/>
      <c r="R314" s="204"/>
    </row>
    <row r="315" spans="1:18" s="47" customFormat="1" x14ac:dyDescent="0.2">
      <c r="A315" s="45"/>
      <c r="B315" s="762"/>
      <c r="C315" s="763">
        <v>1</v>
      </c>
      <c r="D315" s="766"/>
      <c r="E315" s="738" t="s">
        <v>18</v>
      </c>
      <c r="F315" s="917">
        <v>9951.2000000000007</v>
      </c>
      <c r="G315" s="914"/>
      <c r="H315" s="914"/>
      <c r="I315" s="914"/>
      <c r="J315" s="914"/>
      <c r="K315" s="205" t="s">
        <v>436</v>
      </c>
      <c r="L315" s="205"/>
      <c r="M315" s="206" t="s">
        <v>20</v>
      </c>
      <c r="N315" s="206">
        <v>100</v>
      </c>
      <c r="O315" s="206">
        <v>100</v>
      </c>
      <c r="P315" s="206">
        <v>100</v>
      </c>
      <c r="Q315" s="206">
        <v>100</v>
      </c>
      <c r="R315" s="206">
        <v>100</v>
      </c>
    </row>
    <row r="316" spans="1:18" s="47" customFormat="1" x14ac:dyDescent="0.2">
      <c r="A316" s="45"/>
      <c r="B316" s="762"/>
      <c r="C316" s="207">
        <v>2</v>
      </c>
      <c r="D316" s="766"/>
      <c r="E316" s="25" t="s">
        <v>22</v>
      </c>
      <c r="F316" s="917">
        <v>6586.6</v>
      </c>
      <c r="G316" s="914"/>
      <c r="H316" s="914"/>
      <c r="I316" s="914"/>
      <c r="J316" s="914"/>
      <c r="K316" s="205" t="s">
        <v>23</v>
      </c>
      <c r="L316" s="205"/>
      <c r="M316" s="206" t="s">
        <v>17</v>
      </c>
      <c r="N316" s="206">
        <v>100</v>
      </c>
      <c r="O316" s="206">
        <v>100</v>
      </c>
      <c r="P316" s="206">
        <v>100</v>
      </c>
      <c r="Q316" s="206">
        <v>100</v>
      </c>
      <c r="R316" s="206">
        <v>100</v>
      </c>
    </row>
    <row r="317" spans="1:18" s="47" customFormat="1" ht="25.5" x14ac:dyDescent="0.2">
      <c r="A317" s="45"/>
      <c r="B317" s="2067"/>
      <c r="C317" s="1529">
        <v>3</v>
      </c>
      <c r="D317" s="2073"/>
      <c r="E317" s="2013" t="s">
        <v>24</v>
      </c>
      <c r="F317" s="1531">
        <v>3856.9</v>
      </c>
      <c r="G317" s="1531"/>
      <c r="H317" s="1531"/>
      <c r="I317" s="939"/>
      <c r="J317" s="1531"/>
      <c r="K317" s="208" t="s">
        <v>437</v>
      </c>
      <c r="L317" s="208"/>
      <c r="M317" s="206" t="s">
        <v>17</v>
      </c>
      <c r="N317" s="206">
        <v>79</v>
      </c>
      <c r="O317" s="206">
        <v>77</v>
      </c>
      <c r="P317" s="206">
        <v>75</v>
      </c>
      <c r="Q317" s="206">
        <v>75</v>
      </c>
      <c r="R317" s="206">
        <v>75</v>
      </c>
    </row>
    <row r="318" spans="1:18" s="47" customFormat="1" x14ac:dyDescent="0.2">
      <c r="A318" s="45"/>
      <c r="B318" s="2068"/>
      <c r="C318" s="1530"/>
      <c r="D318" s="2075"/>
      <c r="E318" s="2018"/>
      <c r="F318" s="1532"/>
      <c r="G318" s="1532"/>
      <c r="H318" s="1532"/>
      <c r="I318" s="938"/>
      <c r="J318" s="1532"/>
      <c r="K318" s="205" t="s">
        <v>438</v>
      </c>
      <c r="L318" s="205"/>
      <c r="M318" s="206" t="s">
        <v>17</v>
      </c>
      <c r="N318" s="206">
        <v>10</v>
      </c>
      <c r="O318" s="206">
        <v>15</v>
      </c>
      <c r="P318" s="206">
        <v>20</v>
      </c>
      <c r="Q318" s="206">
        <v>22</v>
      </c>
      <c r="R318" s="206">
        <v>22</v>
      </c>
    </row>
    <row r="319" spans="1:18" s="47" customFormat="1" ht="25.5" x14ac:dyDescent="0.2">
      <c r="A319" s="45"/>
      <c r="B319" s="2067"/>
      <c r="C319" s="1529">
        <v>4</v>
      </c>
      <c r="D319" s="2073"/>
      <c r="E319" s="2013" t="s">
        <v>29</v>
      </c>
      <c r="F319" s="1531">
        <v>7352.8</v>
      </c>
      <c r="G319" s="1531"/>
      <c r="H319" s="1531"/>
      <c r="I319" s="939"/>
      <c r="J319" s="1531"/>
      <c r="K319" s="205" t="s">
        <v>333</v>
      </c>
      <c r="L319" s="205"/>
      <c r="M319" s="206" t="s">
        <v>31</v>
      </c>
      <c r="N319" s="206">
        <v>490</v>
      </c>
      <c r="O319" s="206">
        <v>490</v>
      </c>
      <c r="P319" s="206">
        <v>490</v>
      </c>
      <c r="Q319" s="206">
        <v>490</v>
      </c>
      <c r="R319" s="206">
        <v>490</v>
      </c>
    </row>
    <row r="320" spans="1:18" s="47" customFormat="1" ht="51" x14ac:dyDescent="0.2">
      <c r="A320" s="45"/>
      <c r="B320" s="2071"/>
      <c r="C320" s="2072"/>
      <c r="D320" s="2074"/>
      <c r="E320" s="2014"/>
      <c r="F320" s="1533"/>
      <c r="G320" s="1533"/>
      <c r="H320" s="1533"/>
      <c r="I320" s="940"/>
      <c r="J320" s="1533"/>
      <c r="K320" s="205" t="s">
        <v>2423</v>
      </c>
      <c r="L320" s="205"/>
      <c r="M320" s="206" t="s">
        <v>163</v>
      </c>
      <c r="N320" s="206">
        <v>6</v>
      </c>
      <c r="O320" s="206">
        <v>6</v>
      </c>
      <c r="P320" s="206">
        <v>6</v>
      </c>
      <c r="Q320" s="206">
        <v>6</v>
      </c>
      <c r="R320" s="206">
        <v>6</v>
      </c>
    </row>
    <row r="321" spans="1:18" s="47" customFormat="1" ht="51" x14ac:dyDescent="0.2">
      <c r="A321" s="45"/>
      <c r="B321" s="2071"/>
      <c r="C321" s="2072"/>
      <c r="D321" s="2074"/>
      <c r="E321" s="2014"/>
      <c r="F321" s="1533"/>
      <c r="G321" s="1533"/>
      <c r="H321" s="1533"/>
      <c r="I321" s="940"/>
      <c r="J321" s="1533"/>
      <c r="K321" s="205" t="s">
        <v>439</v>
      </c>
      <c r="L321" s="205"/>
      <c r="M321" s="206" t="s">
        <v>163</v>
      </c>
      <c r="N321" s="206">
        <v>1</v>
      </c>
      <c r="O321" s="206" t="s">
        <v>21</v>
      </c>
      <c r="P321" s="206">
        <v>1</v>
      </c>
      <c r="Q321" s="206" t="s">
        <v>21</v>
      </c>
      <c r="R321" s="206" t="s">
        <v>21</v>
      </c>
    </row>
    <row r="322" spans="1:18" s="47" customFormat="1" ht="25.5" x14ac:dyDescent="0.2">
      <c r="A322" s="45"/>
      <c r="B322" s="2068"/>
      <c r="C322" s="1530"/>
      <c r="D322" s="2075"/>
      <c r="E322" s="2018"/>
      <c r="F322" s="1532"/>
      <c r="G322" s="1532"/>
      <c r="H322" s="1532"/>
      <c r="I322" s="938"/>
      <c r="J322" s="1532"/>
      <c r="K322" s="205" t="s">
        <v>440</v>
      </c>
      <c r="L322" s="205"/>
      <c r="M322" s="206" t="s">
        <v>163</v>
      </c>
      <c r="N322" s="206">
        <v>1500</v>
      </c>
      <c r="O322" s="206">
        <v>1677</v>
      </c>
      <c r="P322" s="206">
        <v>1677</v>
      </c>
      <c r="Q322" s="206">
        <v>1677</v>
      </c>
      <c r="R322" s="206">
        <v>1677</v>
      </c>
    </row>
    <row r="323" spans="1:18" s="47" customFormat="1" ht="25.5" x14ac:dyDescent="0.2">
      <c r="A323" s="45"/>
      <c r="B323" s="762"/>
      <c r="C323" s="209">
        <v>5</v>
      </c>
      <c r="D323" s="766"/>
      <c r="E323" s="210" t="s">
        <v>32</v>
      </c>
      <c r="F323" s="917">
        <v>4836.8</v>
      </c>
      <c r="G323" s="914"/>
      <c r="H323" s="914"/>
      <c r="I323" s="914"/>
      <c r="J323" s="914"/>
      <c r="K323" s="205" t="s">
        <v>249</v>
      </c>
      <c r="L323" s="205"/>
      <c r="M323" s="206" t="s">
        <v>17</v>
      </c>
      <c r="N323" s="206">
        <v>21</v>
      </c>
      <c r="O323" s="206">
        <v>21</v>
      </c>
      <c r="P323" s="206">
        <v>21</v>
      </c>
      <c r="Q323" s="206">
        <v>21</v>
      </c>
      <c r="R323" s="206">
        <v>21</v>
      </c>
    </row>
    <row r="324" spans="1:18" s="47" customFormat="1" x14ac:dyDescent="0.2">
      <c r="A324" s="45"/>
      <c r="B324" s="762"/>
      <c r="C324" s="209">
        <v>6</v>
      </c>
      <c r="D324" s="766"/>
      <c r="E324" s="210" t="s">
        <v>247</v>
      </c>
      <c r="F324" s="941">
        <v>22763.8</v>
      </c>
      <c r="G324" s="914"/>
      <c r="H324" s="914"/>
      <c r="I324" s="914"/>
      <c r="J324" s="914"/>
      <c r="K324" s="205" t="s">
        <v>441</v>
      </c>
      <c r="L324" s="205"/>
      <c r="M324" s="206" t="s">
        <v>17</v>
      </c>
      <c r="N324" s="206">
        <v>100</v>
      </c>
      <c r="O324" s="206">
        <v>100</v>
      </c>
      <c r="P324" s="206">
        <v>100</v>
      </c>
      <c r="Q324" s="206">
        <v>100</v>
      </c>
      <c r="R324" s="206">
        <v>100</v>
      </c>
    </row>
    <row r="325" spans="1:18" s="47" customFormat="1" ht="51" x14ac:dyDescent="0.2">
      <c r="A325" s="45"/>
      <c r="B325" s="762"/>
      <c r="C325" s="209">
        <v>7</v>
      </c>
      <c r="D325" s="766"/>
      <c r="E325" s="765" t="s">
        <v>2425</v>
      </c>
      <c r="F325" s="914"/>
      <c r="G325" s="914">
        <v>73141.899999999994</v>
      </c>
      <c r="H325" s="914">
        <v>68797.100000000006</v>
      </c>
      <c r="I325" s="914">
        <v>69041.899999999994</v>
      </c>
      <c r="J325" s="914">
        <v>71741.899999999994</v>
      </c>
      <c r="K325" s="205" t="s">
        <v>442</v>
      </c>
      <c r="L325" s="205"/>
      <c r="M325" s="206" t="s">
        <v>163</v>
      </c>
      <c r="N325" s="206">
        <v>165</v>
      </c>
      <c r="O325" s="206">
        <v>140</v>
      </c>
      <c r="P325" s="206">
        <v>150</v>
      </c>
      <c r="Q325" s="206">
        <v>120</v>
      </c>
      <c r="R325" s="206">
        <v>120</v>
      </c>
    </row>
    <row r="326" spans="1:18" s="47" customFormat="1" ht="91.5" customHeight="1" x14ac:dyDescent="0.2">
      <c r="A326" s="45"/>
      <c r="B326" s="858">
        <v>2</v>
      </c>
      <c r="C326" s="209"/>
      <c r="D326" s="766"/>
      <c r="E326" s="630" t="s">
        <v>443</v>
      </c>
      <c r="F326" s="914"/>
      <c r="G326" s="914">
        <v>76709.3</v>
      </c>
      <c r="H326" s="914">
        <f>H327</f>
        <v>85651.869000000006</v>
      </c>
      <c r="I326" s="914">
        <v>81761.5</v>
      </c>
      <c r="J326" s="914">
        <v>81881.7</v>
      </c>
      <c r="K326" s="203"/>
      <c r="L326" s="203"/>
      <c r="M326" s="206"/>
      <c r="N326" s="206"/>
      <c r="O326" s="206"/>
      <c r="P326" s="206"/>
      <c r="Q326" s="206"/>
      <c r="R326" s="206"/>
    </row>
    <row r="327" spans="1:18" s="47" customFormat="1" ht="63.75" x14ac:dyDescent="0.2">
      <c r="A327" s="45"/>
      <c r="B327" s="762"/>
      <c r="C327" s="209">
        <v>1</v>
      </c>
      <c r="D327" s="766"/>
      <c r="E327" s="765" t="s">
        <v>444</v>
      </c>
      <c r="F327" s="938"/>
      <c r="G327" s="938">
        <v>76709.3</v>
      </c>
      <c r="H327" s="938">
        <f>85201.869+450</f>
        <v>85651.869000000006</v>
      </c>
      <c r="I327" s="938">
        <v>81761.5</v>
      </c>
      <c r="J327" s="938">
        <v>81881.7</v>
      </c>
      <c r="K327" s="205" t="s">
        <v>2424</v>
      </c>
      <c r="L327" s="205"/>
      <c r="M327" s="206" t="s">
        <v>163</v>
      </c>
      <c r="N327" s="206">
        <v>5100</v>
      </c>
      <c r="O327" s="206">
        <v>5500</v>
      </c>
      <c r="P327" s="206">
        <v>5600</v>
      </c>
      <c r="Q327" s="206">
        <v>5800</v>
      </c>
      <c r="R327" s="206">
        <v>5800</v>
      </c>
    </row>
    <row r="328" spans="1:18" s="47" customFormat="1" ht="92.25" customHeight="1" x14ac:dyDescent="0.2">
      <c r="A328" s="45"/>
      <c r="B328" s="858">
        <v>3</v>
      </c>
      <c r="C328" s="209"/>
      <c r="D328" s="766"/>
      <c r="E328" s="765" t="s">
        <v>2470</v>
      </c>
      <c r="F328" s="914">
        <v>40158.9</v>
      </c>
      <c r="G328" s="914"/>
      <c r="H328" s="914"/>
      <c r="I328" s="914"/>
      <c r="J328" s="914"/>
      <c r="K328" s="203" t="s">
        <v>445</v>
      </c>
      <c r="L328" s="203"/>
      <c r="M328" s="206"/>
      <c r="N328" s="206"/>
      <c r="O328" s="206"/>
      <c r="P328" s="206"/>
      <c r="Q328" s="206"/>
      <c r="R328" s="206"/>
    </row>
    <row r="329" spans="1:18" s="47" customFormat="1" ht="38.25" x14ac:dyDescent="0.2">
      <c r="A329" s="45"/>
      <c r="B329" s="762"/>
      <c r="C329" s="209">
        <v>1</v>
      </c>
      <c r="D329" s="766"/>
      <c r="E329" s="210" t="s">
        <v>446</v>
      </c>
      <c r="F329" s="917">
        <v>15899.1</v>
      </c>
      <c r="G329" s="914"/>
      <c r="H329" s="914"/>
      <c r="I329" s="914"/>
      <c r="J329" s="914"/>
      <c r="K329" s="205" t="s">
        <v>447</v>
      </c>
      <c r="L329" s="205"/>
      <c r="M329" s="206" t="s">
        <v>163</v>
      </c>
      <c r="N329" s="206"/>
      <c r="O329" s="206"/>
      <c r="P329" s="206"/>
      <c r="Q329" s="206"/>
      <c r="R329" s="206"/>
    </row>
    <row r="330" spans="1:18" s="47" customFormat="1" ht="38.25" x14ac:dyDescent="0.2">
      <c r="A330" s="45"/>
      <c r="B330" s="762"/>
      <c r="C330" s="209">
        <v>2</v>
      </c>
      <c r="D330" s="766"/>
      <c r="E330" s="210" t="s">
        <v>448</v>
      </c>
      <c r="F330" s="914">
        <v>14873.4</v>
      </c>
      <c r="G330" s="914"/>
      <c r="H330" s="914"/>
      <c r="I330" s="914"/>
      <c r="J330" s="914"/>
      <c r="K330" s="205" t="s">
        <v>447</v>
      </c>
      <c r="L330" s="205"/>
      <c r="M330" s="206" t="s">
        <v>163</v>
      </c>
      <c r="N330" s="206"/>
      <c r="O330" s="206"/>
      <c r="P330" s="206"/>
      <c r="Q330" s="206"/>
      <c r="R330" s="206"/>
    </row>
    <row r="331" spans="1:18" s="47" customFormat="1" ht="25.5" x14ac:dyDescent="0.2">
      <c r="A331" s="45"/>
      <c r="B331" s="762"/>
      <c r="C331" s="209">
        <v>3</v>
      </c>
      <c r="D331" s="766"/>
      <c r="E331" s="210" t="s">
        <v>449</v>
      </c>
      <c r="F331" s="1531">
        <v>9386.4</v>
      </c>
      <c r="G331" s="1531"/>
      <c r="H331" s="1531"/>
      <c r="I331" s="1531"/>
      <c r="J331" s="1531"/>
      <c r="K331" s="205" t="s">
        <v>450</v>
      </c>
      <c r="L331" s="205"/>
      <c r="M331" s="206" t="s">
        <v>163</v>
      </c>
      <c r="N331" s="206">
        <v>10670</v>
      </c>
      <c r="O331" s="206">
        <v>10670</v>
      </c>
      <c r="P331" s="206">
        <v>10670</v>
      </c>
      <c r="Q331" s="206">
        <v>10670</v>
      </c>
      <c r="R331" s="206">
        <v>10670</v>
      </c>
    </row>
    <row r="332" spans="1:18" s="47" customFormat="1" ht="25.5" x14ac:dyDescent="0.2">
      <c r="A332" s="45"/>
      <c r="B332" s="762"/>
      <c r="C332" s="209">
        <v>4</v>
      </c>
      <c r="D332" s="766"/>
      <c r="E332" s="765" t="s">
        <v>451</v>
      </c>
      <c r="F332" s="1532"/>
      <c r="G332" s="1532"/>
      <c r="H332" s="1532"/>
      <c r="I332" s="1532"/>
      <c r="J332" s="1532"/>
      <c r="K332" s="205" t="s">
        <v>452</v>
      </c>
      <c r="L332" s="205"/>
      <c r="M332" s="206" t="s">
        <v>163</v>
      </c>
      <c r="N332" s="206">
        <v>12643</v>
      </c>
      <c r="O332" s="206">
        <v>12643</v>
      </c>
      <c r="P332" s="206">
        <v>12643</v>
      </c>
      <c r="Q332" s="206">
        <v>12643</v>
      </c>
      <c r="R332" s="206">
        <v>12643</v>
      </c>
    </row>
    <row r="333" spans="1:18" s="47" customFormat="1" ht="92.25" customHeight="1" x14ac:dyDescent="0.2">
      <c r="A333" s="45"/>
      <c r="B333" s="858">
        <v>4</v>
      </c>
      <c r="C333" s="209"/>
      <c r="D333" s="209"/>
      <c r="E333" s="765" t="s">
        <v>2516</v>
      </c>
      <c r="F333" s="914">
        <v>55290.6</v>
      </c>
      <c r="G333" s="914"/>
      <c r="H333" s="914"/>
      <c r="I333" s="914"/>
      <c r="J333" s="914"/>
      <c r="K333" s="205" t="s">
        <v>453</v>
      </c>
      <c r="L333" s="205"/>
      <c r="M333" s="206"/>
      <c r="N333" s="206"/>
      <c r="O333" s="206"/>
      <c r="P333" s="206"/>
      <c r="Q333" s="206"/>
      <c r="R333" s="206"/>
    </row>
    <row r="334" spans="1:18" s="47" customFormat="1" ht="47.25" customHeight="1" x14ac:dyDescent="0.2">
      <c r="A334" s="45"/>
      <c r="B334" s="1529"/>
      <c r="C334" s="1529">
        <v>1</v>
      </c>
      <c r="D334" s="1529"/>
      <c r="E334" s="2069" t="s">
        <v>454</v>
      </c>
      <c r="F334" s="1531">
        <v>7190.7</v>
      </c>
      <c r="G334" s="1531"/>
      <c r="H334" s="939"/>
      <c r="I334" s="939"/>
      <c r="J334" s="1531"/>
      <c r="K334" s="203" t="s">
        <v>455</v>
      </c>
      <c r="L334" s="203"/>
      <c r="M334" s="206" t="s">
        <v>163</v>
      </c>
      <c r="N334" s="206">
        <v>6300</v>
      </c>
      <c r="O334" s="206">
        <v>6300</v>
      </c>
      <c r="P334" s="206">
        <v>6300</v>
      </c>
      <c r="Q334" s="206">
        <v>6300</v>
      </c>
      <c r="R334" s="206">
        <v>6300</v>
      </c>
    </row>
    <row r="335" spans="1:18" s="47" customFormat="1" x14ac:dyDescent="0.2">
      <c r="A335" s="45"/>
      <c r="B335" s="1530"/>
      <c r="C335" s="1530"/>
      <c r="D335" s="1530"/>
      <c r="E335" s="2070"/>
      <c r="F335" s="1532"/>
      <c r="G335" s="1532"/>
      <c r="H335" s="938"/>
      <c r="I335" s="938"/>
      <c r="J335" s="1532"/>
      <c r="K335" s="203" t="s">
        <v>456</v>
      </c>
      <c r="L335" s="203"/>
      <c r="M335" s="206" t="s">
        <v>163</v>
      </c>
      <c r="N335" s="206">
        <v>6000</v>
      </c>
      <c r="O335" s="206">
        <v>6000</v>
      </c>
      <c r="P335" s="206">
        <v>6000</v>
      </c>
      <c r="Q335" s="206">
        <v>6000</v>
      </c>
      <c r="R335" s="206">
        <v>6000</v>
      </c>
    </row>
    <row r="336" spans="1:18" s="47" customFormat="1" x14ac:dyDescent="0.2">
      <c r="A336" s="45"/>
      <c r="B336" s="762">
        <v>3</v>
      </c>
      <c r="C336" s="209">
        <v>2</v>
      </c>
      <c r="D336" s="209"/>
      <c r="E336" s="210" t="s">
        <v>457</v>
      </c>
      <c r="F336" s="914">
        <v>48099.9</v>
      </c>
      <c r="G336" s="914"/>
      <c r="H336" s="914"/>
      <c r="I336" s="914"/>
      <c r="J336" s="914"/>
      <c r="K336" s="205" t="s">
        <v>458</v>
      </c>
      <c r="L336" s="205"/>
      <c r="M336" s="206" t="s">
        <v>163</v>
      </c>
      <c r="N336" s="206">
        <v>441100</v>
      </c>
      <c r="O336" s="206">
        <v>441200</v>
      </c>
      <c r="P336" s="206">
        <v>441200</v>
      </c>
      <c r="Q336" s="206">
        <v>441200</v>
      </c>
      <c r="R336" s="206">
        <v>441200</v>
      </c>
    </row>
    <row r="337" spans="1:18" s="47" customFormat="1" ht="89.25" x14ac:dyDescent="0.2">
      <c r="A337" s="45"/>
      <c r="B337" s="858">
        <v>5</v>
      </c>
      <c r="C337" s="209"/>
      <c r="D337" s="209"/>
      <c r="E337" s="630" t="s">
        <v>459</v>
      </c>
      <c r="F337" s="939"/>
      <c r="G337" s="939">
        <v>77831.399999999994</v>
      </c>
      <c r="H337" s="939">
        <f>H338</f>
        <v>121591.78199999999</v>
      </c>
      <c r="I337" s="939">
        <v>77831.399999999994</v>
      </c>
      <c r="J337" s="939">
        <v>77831.399999999994</v>
      </c>
      <c r="K337" s="203"/>
      <c r="L337" s="203"/>
      <c r="M337" s="206"/>
      <c r="N337" s="206"/>
      <c r="O337" s="206"/>
      <c r="P337" s="206"/>
      <c r="Q337" s="206"/>
      <c r="R337" s="206"/>
    </row>
    <row r="338" spans="1:18" s="47" customFormat="1" ht="51" x14ac:dyDescent="0.2">
      <c r="A338" s="45"/>
      <c r="B338" s="762"/>
      <c r="C338" s="209">
        <v>6</v>
      </c>
      <c r="D338" s="209"/>
      <c r="E338" s="765" t="s">
        <v>460</v>
      </c>
      <c r="F338" s="914"/>
      <c r="G338" s="914">
        <v>77831.399999999994</v>
      </c>
      <c r="H338" s="914">
        <f>77831.4+40539.582+3220.8</f>
        <v>121591.78199999999</v>
      </c>
      <c r="I338" s="914">
        <v>77831.399999999994</v>
      </c>
      <c r="J338" s="914">
        <v>77831.399999999994</v>
      </c>
      <c r="K338" s="203" t="s">
        <v>2426</v>
      </c>
      <c r="L338" s="211"/>
      <c r="M338" s="212" t="s">
        <v>163</v>
      </c>
      <c r="N338" s="212">
        <v>1000</v>
      </c>
      <c r="O338" s="206">
        <v>1200</v>
      </c>
      <c r="P338" s="206">
        <v>1400</v>
      </c>
      <c r="Q338" s="206">
        <v>1800</v>
      </c>
      <c r="R338" s="206">
        <v>1800</v>
      </c>
    </row>
    <row r="339" spans="1:18" s="47" customFormat="1" ht="63.75" x14ac:dyDescent="0.2">
      <c r="A339" s="45"/>
      <c r="B339" s="858">
        <v>6</v>
      </c>
      <c r="C339" s="209"/>
      <c r="D339" s="209"/>
      <c r="E339" s="765" t="s">
        <v>2517</v>
      </c>
      <c r="F339" s="914">
        <v>10325.200000000001</v>
      </c>
      <c r="G339" s="914"/>
      <c r="H339" s="914"/>
      <c r="I339" s="914"/>
      <c r="J339" s="914"/>
      <c r="K339" s="203" t="s">
        <v>461</v>
      </c>
      <c r="L339" s="203"/>
      <c r="M339" s="206"/>
      <c r="N339" s="206"/>
      <c r="O339" s="206"/>
      <c r="P339" s="206"/>
      <c r="Q339" s="206"/>
      <c r="R339" s="206"/>
    </row>
    <row r="340" spans="1:18" s="47" customFormat="1" ht="25.5" x14ac:dyDescent="0.2">
      <c r="A340" s="45"/>
      <c r="B340" s="762"/>
      <c r="C340" s="209">
        <v>1</v>
      </c>
      <c r="D340" s="209"/>
      <c r="E340" s="210" t="s">
        <v>462</v>
      </c>
      <c r="F340" s="1531">
        <v>6409.6</v>
      </c>
      <c r="G340" s="1531"/>
      <c r="H340" s="1531"/>
      <c r="I340" s="1531"/>
      <c r="J340" s="1531"/>
      <c r="K340" s="205" t="s">
        <v>2427</v>
      </c>
      <c r="L340" s="205"/>
      <c r="M340" s="206" t="s">
        <v>163</v>
      </c>
      <c r="N340" s="206">
        <v>5400</v>
      </c>
      <c r="O340" s="206">
        <v>5400</v>
      </c>
      <c r="P340" s="206">
        <v>5400</v>
      </c>
      <c r="Q340" s="206">
        <v>5400</v>
      </c>
      <c r="R340" s="206">
        <v>5400</v>
      </c>
    </row>
    <row r="341" spans="1:18" s="47" customFormat="1" x14ac:dyDescent="0.2">
      <c r="A341" s="45"/>
      <c r="B341" s="2067"/>
      <c r="C341" s="1529">
        <v>2</v>
      </c>
      <c r="D341" s="1529"/>
      <c r="E341" s="2069" t="s">
        <v>463</v>
      </c>
      <c r="F341" s="1533"/>
      <c r="G341" s="1533"/>
      <c r="H341" s="1533"/>
      <c r="I341" s="1533"/>
      <c r="J341" s="1533"/>
      <c r="K341" s="213" t="s">
        <v>464</v>
      </c>
      <c r="L341" s="213"/>
      <c r="M341" s="206" t="s">
        <v>17</v>
      </c>
      <c r="N341" s="206">
        <v>80</v>
      </c>
      <c r="O341" s="206">
        <v>100</v>
      </c>
      <c r="P341" s="206">
        <v>100</v>
      </c>
      <c r="Q341" s="206">
        <v>100</v>
      </c>
      <c r="R341" s="206">
        <v>100</v>
      </c>
    </row>
    <row r="342" spans="1:18" s="47" customFormat="1" ht="51" x14ac:dyDescent="0.2">
      <c r="A342" s="45"/>
      <c r="B342" s="2068"/>
      <c r="C342" s="1530"/>
      <c r="D342" s="1530"/>
      <c r="E342" s="2070"/>
      <c r="F342" s="1533"/>
      <c r="G342" s="1533"/>
      <c r="H342" s="1533"/>
      <c r="I342" s="1533"/>
      <c r="J342" s="1533"/>
      <c r="K342" s="214" t="s">
        <v>2428</v>
      </c>
      <c r="L342" s="214"/>
      <c r="M342" s="206" t="s">
        <v>17</v>
      </c>
      <c r="N342" s="206">
        <v>50</v>
      </c>
      <c r="O342" s="206">
        <v>100</v>
      </c>
      <c r="P342" s="206">
        <v>100</v>
      </c>
      <c r="Q342" s="206">
        <v>100</v>
      </c>
      <c r="R342" s="206">
        <v>100</v>
      </c>
    </row>
    <row r="343" spans="1:18" s="47" customFormat="1" ht="38.25" x14ac:dyDescent="0.2">
      <c r="A343" s="45"/>
      <c r="B343" s="2067"/>
      <c r="C343" s="1529">
        <v>3</v>
      </c>
      <c r="D343" s="2067"/>
      <c r="E343" s="2069" t="s">
        <v>465</v>
      </c>
      <c r="F343" s="1533"/>
      <c r="G343" s="1533"/>
      <c r="H343" s="1533"/>
      <c r="I343" s="1533"/>
      <c r="J343" s="1533"/>
      <c r="K343" s="213" t="s">
        <v>466</v>
      </c>
      <c r="L343" s="213"/>
      <c r="M343" s="206" t="s">
        <v>163</v>
      </c>
      <c r="N343" s="206">
        <v>1</v>
      </c>
      <c r="O343" s="206">
        <v>1</v>
      </c>
      <c r="P343" s="206">
        <v>1</v>
      </c>
      <c r="Q343" s="206">
        <v>1</v>
      </c>
      <c r="R343" s="206">
        <v>1</v>
      </c>
    </row>
    <row r="344" spans="1:18" s="47" customFormat="1" ht="25.5" x14ac:dyDescent="0.2">
      <c r="A344" s="45"/>
      <c r="B344" s="2071"/>
      <c r="C344" s="2072"/>
      <c r="D344" s="2071"/>
      <c r="E344" s="2076"/>
      <c r="F344" s="1533"/>
      <c r="G344" s="1533"/>
      <c r="H344" s="1533"/>
      <c r="I344" s="1533"/>
      <c r="J344" s="1533"/>
      <c r="K344" s="213" t="s">
        <v>467</v>
      </c>
      <c r="L344" s="213"/>
      <c r="M344" s="206" t="s">
        <v>17</v>
      </c>
      <c r="N344" s="206">
        <v>100</v>
      </c>
      <c r="O344" s="206">
        <v>100</v>
      </c>
      <c r="P344" s="206">
        <v>100</v>
      </c>
      <c r="Q344" s="206">
        <v>100</v>
      </c>
      <c r="R344" s="206">
        <v>100</v>
      </c>
    </row>
    <row r="345" spans="1:18" s="47" customFormat="1" ht="38.25" x14ac:dyDescent="0.2">
      <c r="A345" s="45"/>
      <c r="B345" s="2071"/>
      <c r="C345" s="2072"/>
      <c r="D345" s="2071"/>
      <c r="E345" s="2076"/>
      <c r="F345" s="1533"/>
      <c r="G345" s="1533"/>
      <c r="H345" s="1533"/>
      <c r="I345" s="1533"/>
      <c r="J345" s="1533"/>
      <c r="K345" s="215" t="s">
        <v>468</v>
      </c>
      <c r="L345" s="215"/>
      <c r="M345" s="206" t="s">
        <v>163</v>
      </c>
      <c r="N345" s="206">
        <v>15</v>
      </c>
      <c r="O345" s="206">
        <v>15</v>
      </c>
      <c r="P345" s="206">
        <v>15</v>
      </c>
      <c r="Q345" s="206">
        <v>15</v>
      </c>
      <c r="R345" s="206">
        <v>15</v>
      </c>
    </row>
    <row r="346" spans="1:18" s="47" customFormat="1" ht="38.25" x14ac:dyDescent="0.2">
      <c r="A346" s="45"/>
      <c r="B346" s="2071"/>
      <c r="C346" s="2072"/>
      <c r="D346" s="2071"/>
      <c r="E346" s="2076"/>
      <c r="F346" s="1533"/>
      <c r="G346" s="1533"/>
      <c r="H346" s="1533"/>
      <c r="I346" s="1533"/>
      <c r="J346" s="1533"/>
      <c r="K346" s="213" t="s">
        <v>469</v>
      </c>
      <c r="L346" s="213"/>
      <c r="M346" s="206" t="s">
        <v>163</v>
      </c>
      <c r="N346" s="206">
        <v>8</v>
      </c>
      <c r="O346" s="206">
        <v>8</v>
      </c>
      <c r="P346" s="206">
        <v>8</v>
      </c>
      <c r="Q346" s="206">
        <v>8</v>
      </c>
      <c r="R346" s="206">
        <v>8</v>
      </c>
    </row>
    <row r="347" spans="1:18" s="47" customFormat="1" ht="25.5" x14ac:dyDescent="0.2">
      <c r="A347" s="45"/>
      <c r="B347" s="2068"/>
      <c r="C347" s="1530"/>
      <c r="D347" s="2068"/>
      <c r="E347" s="2070"/>
      <c r="F347" s="1533"/>
      <c r="G347" s="1533"/>
      <c r="H347" s="1533"/>
      <c r="I347" s="1533"/>
      <c r="J347" s="1533"/>
      <c r="K347" s="213" t="s">
        <v>470</v>
      </c>
      <c r="L347" s="213"/>
      <c r="M347" s="206" t="s">
        <v>17</v>
      </c>
      <c r="N347" s="206">
        <v>100</v>
      </c>
      <c r="O347" s="206">
        <v>100</v>
      </c>
      <c r="P347" s="206">
        <v>100</v>
      </c>
      <c r="Q347" s="206">
        <v>100</v>
      </c>
      <c r="R347" s="206">
        <v>100</v>
      </c>
    </row>
    <row r="348" spans="1:18" s="47" customFormat="1" ht="25.5" x14ac:dyDescent="0.2">
      <c r="A348" s="45"/>
      <c r="B348" s="762"/>
      <c r="C348" s="209">
        <v>4</v>
      </c>
      <c r="D348" s="209"/>
      <c r="E348" s="765" t="s">
        <v>471</v>
      </c>
      <c r="F348" s="1533"/>
      <c r="G348" s="1533"/>
      <c r="H348" s="1533"/>
      <c r="I348" s="1533"/>
      <c r="J348" s="1533"/>
      <c r="K348" s="213" t="s">
        <v>472</v>
      </c>
      <c r="L348" s="213"/>
      <c r="M348" s="206" t="s">
        <v>17</v>
      </c>
      <c r="N348" s="206">
        <v>100</v>
      </c>
      <c r="O348" s="206">
        <v>100</v>
      </c>
      <c r="P348" s="206">
        <v>100</v>
      </c>
      <c r="Q348" s="206">
        <v>100</v>
      </c>
      <c r="R348" s="206">
        <v>100</v>
      </c>
    </row>
    <row r="349" spans="1:18" s="47" customFormat="1" ht="25.5" x14ac:dyDescent="0.2">
      <c r="A349" s="45"/>
      <c r="B349" s="762"/>
      <c r="C349" s="209">
        <v>5</v>
      </c>
      <c r="D349" s="209"/>
      <c r="E349" s="210" t="s">
        <v>473</v>
      </c>
      <c r="F349" s="914">
        <v>3915.6</v>
      </c>
      <c r="G349" s="914"/>
      <c r="H349" s="914"/>
      <c r="I349" s="914"/>
      <c r="J349" s="914"/>
      <c r="K349" s="205" t="s">
        <v>474</v>
      </c>
      <c r="L349" s="205"/>
      <c r="M349" s="206" t="s">
        <v>163</v>
      </c>
      <c r="N349" s="206">
        <v>61600</v>
      </c>
      <c r="O349" s="206">
        <v>61650</v>
      </c>
      <c r="P349" s="206">
        <v>61650</v>
      </c>
      <c r="Q349" s="206">
        <v>61650</v>
      </c>
      <c r="R349" s="206">
        <v>61650</v>
      </c>
    </row>
    <row r="350" spans="1:18" s="47" customFormat="1" ht="38.25" x14ac:dyDescent="0.2">
      <c r="A350" s="45"/>
      <c r="B350" s="858">
        <v>7</v>
      </c>
      <c r="C350" s="209"/>
      <c r="D350" s="209"/>
      <c r="E350" s="765" t="s">
        <v>2518</v>
      </c>
      <c r="F350" s="914">
        <v>2561.6</v>
      </c>
      <c r="G350" s="914">
        <v>84495.2</v>
      </c>
      <c r="H350" s="914">
        <f>H351</f>
        <v>84756</v>
      </c>
      <c r="I350" s="914">
        <v>84495.2</v>
      </c>
      <c r="J350" s="914">
        <v>84495.2</v>
      </c>
      <c r="K350" s="203" t="s">
        <v>475</v>
      </c>
      <c r="L350" s="211"/>
      <c r="M350" s="216"/>
      <c r="N350" s="216"/>
      <c r="O350" s="206"/>
      <c r="P350" s="206"/>
      <c r="Q350" s="206"/>
      <c r="R350" s="206"/>
    </row>
    <row r="351" spans="1:18" s="47" customFormat="1" ht="25.5" x14ac:dyDescent="0.2">
      <c r="A351" s="45"/>
      <c r="B351" s="858"/>
      <c r="C351" s="763">
        <v>1</v>
      </c>
      <c r="D351" s="763"/>
      <c r="E351" s="764" t="s">
        <v>2429</v>
      </c>
      <c r="F351" s="942">
        <v>2561.6</v>
      </c>
      <c r="G351" s="914">
        <v>84495.2</v>
      </c>
      <c r="H351" s="914">
        <v>84756</v>
      </c>
      <c r="I351" s="914">
        <v>84495.2</v>
      </c>
      <c r="J351" s="914">
        <v>84495.2</v>
      </c>
      <c r="K351" s="217" t="s">
        <v>476</v>
      </c>
      <c r="L351" s="217"/>
      <c r="M351" s="206" t="s">
        <v>163</v>
      </c>
      <c r="N351" s="206">
        <v>6850</v>
      </c>
      <c r="O351" s="206">
        <v>6900</v>
      </c>
      <c r="P351" s="206">
        <v>6900</v>
      </c>
      <c r="Q351" s="206">
        <v>6900</v>
      </c>
      <c r="R351" s="206">
        <v>6900</v>
      </c>
    </row>
    <row r="352" spans="1:18" s="47" customFormat="1" ht="51" x14ac:dyDescent="0.2">
      <c r="A352" s="45"/>
      <c r="B352" s="858">
        <v>8</v>
      </c>
      <c r="C352" s="763">
        <v>1</v>
      </c>
      <c r="D352" s="763"/>
      <c r="E352" s="764" t="s">
        <v>2519</v>
      </c>
      <c r="F352" s="914">
        <v>27279.9</v>
      </c>
      <c r="G352" s="914">
        <v>0</v>
      </c>
      <c r="H352" s="914"/>
      <c r="I352" s="914"/>
      <c r="J352" s="914">
        <v>0</v>
      </c>
      <c r="K352" s="217" t="s">
        <v>477</v>
      </c>
      <c r="L352" s="217"/>
      <c r="M352" s="206"/>
      <c r="N352" s="206"/>
      <c r="O352" s="206"/>
      <c r="P352" s="206"/>
      <c r="Q352" s="206"/>
      <c r="R352" s="206"/>
    </row>
    <row r="353" spans="1:18" s="47" customFormat="1" ht="33" customHeight="1" x14ac:dyDescent="0.2">
      <c r="A353" s="45"/>
      <c r="B353" s="762"/>
      <c r="C353" s="763">
        <v>1</v>
      </c>
      <c r="D353" s="763"/>
      <c r="E353" s="764" t="s">
        <v>478</v>
      </c>
      <c r="F353" s="941">
        <v>27279.9</v>
      </c>
      <c r="G353" s="914"/>
      <c r="H353" s="914"/>
      <c r="I353" s="914"/>
      <c r="J353" s="914"/>
      <c r="K353" s="217" t="s">
        <v>479</v>
      </c>
      <c r="L353" s="217"/>
      <c r="M353" s="206" t="s">
        <v>17</v>
      </c>
      <c r="N353" s="206">
        <v>100</v>
      </c>
      <c r="O353" s="206">
        <v>100</v>
      </c>
      <c r="P353" s="206">
        <v>100</v>
      </c>
      <c r="Q353" s="206">
        <v>100</v>
      </c>
      <c r="R353" s="206">
        <v>100</v>
      </c>
    </row>
    <row r="354" spans="1:18" s="17" customFormat="1" ht="21" customHeight="1" x14ac:dyDescent="0.2">
      <c r="B354" s="186" t="s">
        <v>64</v>
      </c>
      <c r="C354" s="187"/>
      <c r="D354" s="187"/>
      <c r="E354" s="188"/>
      <c r="F354" s="943">
        <v>190964.30000000002</v>
      </c>
      <c r="G354" s="943">
        <v>312177.8</v>
      </c>
      <c r="H354" s="943">
        <f>H350+H337+H326+H314</f>
        <v>360796.75100000005</v>
      </c>
      <c r="I354" s="943">
        <f t="shared" ref="I354:J354" si="8">I350+I337+I326+I314</f>
        <v>313130</v>
      </c>
      <c r="J354" s="943">
        <f t="shared" si="8"/>
        <v>315950.19999999995</v>
      </c>
      <c r="K354" s="794"/>
      <c r="L354" s="794"/>
      <c r="M354" s="1004"/>
      <c r="N354" s="189"/>
      <c r="O354" s="189"/>
      <c r="P354" s="189"/>
      <c r="Q354" s="189"/>
      <c r="R354" s="190"/>
    </row>
    <row r="355" spans="1:18" s="17" customFormat="1" ht="27" customHeight="1" x14ac:dyDescent="0.2">
      <c r="B355" s="218" t="s">
        <v>480</v>
      </c>
      <c r="C355" s="219"/>
      <c r="D355" s="219"/>
      <c r="E355" s="219"/>
      <c r="F355" s="971"/>
      <c r="G355" s="971"/>
      <c r="H355" s="971"/>
      <c r="I355" s="971"/>
      <c r="J355" s="971"/>
      <c r="K355" s="219"/>
      <c r="L355" s="219"/>
      <c r="M355" s="1005"/>
      <c r="N355" s="219"/>
      <c r="O355" s="219"/>
      <c r="P355" s="219"/>
      <c r="Q355" s="219"/>
      <c r="R355" s="220"/>
    </row>
    <row r="356" spans="1:18" s="17" customFormat="1" ht="38.25" x14ac:dyDescent="0.2">
      <c r="B356" s="632">
        <v>1</v>
      </c>
      <c r="C356" s="222"/>
      <c r="D356" s="222"/>
      <c r="E356" s="630" t="s">
        <v>15</v>
      </c>
      <c r="F356" s="911"/>
      <c r="G356" s="911"/>
      <c r="H356" s="911"/>
      <c r="I356" s="911"/>
      <c r="J356" s="911"/>
      <c r="K356" s="222"/>
      <c r="L356" s="222"/>
      <c r="M356" s="223"/>
      <c r="N356" s="222"/>
      <c r="O356" s="222"/>
      <c r="P356" s="222"/>
      <c r="Q356" s="222"/>
      <c r="R356" s="222"/>
    </row>
    <row r="357" spans="1:18" ht="25.5" x14ac:dyDescent="0.2">
      <c r="A357" s="221"/>
      <c r="B357" s="632"/>
      <c r="C357" s="633"/>
      <c r="D357" s="633">
        <v>0</v>
      </c>
      <c r="E357" s="222" t="s">
        <v>481</v>
      </c>
      <c r="F357" s="911">
        <v>264039.8</v>
      </c>
      <c r="G357" s="911">
        <v>452018.2</v>
      </c>
      <c r="H357" s="911">
        <f>H358+H359+H360</f>
        <v>471858.20699999999</v>
      </c>
      <c r="I357" s="911">
        <v>157354.13</v>
      </c>
      <c r="J357" s="911">
        <v>159353.20000000001</v>
      </c>
      <c r="K357" s="222" t="s">
        <v>481</v>
      </c>
      <c r="L357" s="222"/>
      <c r="M357" s="223"/>
      <c r="N357" s="22"/>
      <c r="O357" s="22"/>
      <c r="P357" s="22"/>
      <c r="Q357" s="143"/>
      <c r="R357" s="22"/>
    </row>
    <row r="358" spans="1:18" ht="38.25" x14ac:dyDescent="0.2">
      <c r="A358" s="221"/>
      <c r="B358" s="632"/>
      <c r="C358" s="147">
        <v>1</v>
      </c>
      <c r="D358" s="633">
        <v>0</v>
      </c>
      <c r="E358" s="222" t="s">
        <v>482</v>
      </c>
      <c r="F358" s="911">
        <v>88013.3</v>
      </c>
      <c r="G358" s="911">
        <v>150672.79999999999</v>
      </c>
      <c r="H358" s="901">
        <f>155352+5000+232.625+34.778</f>
        <v>160619.40299999999</v>
      </c>
      <c r="I358" s="911">
        <v>157354.13</v>
      </c>
      <c r="J358" s="911">
        <v>159353.20000000001</v>
      </c>
      <c r="K358" s="222" t="s">
        <v>483</v>
      </c>
      <c r="L358" s="222"/>
      <c r="M358" s="223" t="s">
        <v>17</v>
      </c>
      <c r="N358" s="143">
        <v>100</v>
      </c>
      <c r="O358" s="143">
        <v>100</v>
      </c>
      <c r="P358" s="143">
        <v>100</v>
      </c>
      <c r="Q358" s="143">
        <v>100</v>
      </c>
      <c r="R358" s="143">
        <v>100</v>
      </c>
    </row>
    <row r="359" spans="1:18" ht="38.25" x14ac:dyDescent="0.2">
      <c r="A359" s="221"/>
      <c r="B359" s="140"/>
      <c r="C359" s="145">
        <v>2</v>
      </c>
      <c r="D359" s="137">
        <v>0</v>
      </c>
      <c r="E359" s="27" t="s">
        <v>484</v>
      </c>
      <c r="F359" s="911">
        <v>88013.3</v>
      </c>
      <c r="G359" s="914">
        <v>150672.70000000001</v>
      </c>
      <c r="H359" s="911">
        <f>155352+232.625+34.778</f>
        <v>155619.40299999999</v>
      </c>
      <c r="I359" s="911">
        <v>157351.53</v>
      </c>
      <c r="J359" s="911">
        <v>159352</v>
      </c>
      <c r="K359" s="224" t="s">
        <v>484</v>
      </c>
      <c r="L359" s="224"/>
      <c r="M359" s="223" t="s">
        <v>17</v>
      </c>
      <c r="N359" s="143">
        <v>100</v>
      </c>
      <c r="O359" s="143">
        <v>100</v>
      </c>
      <c r="P359" s="143">
        <v>100</v>
      </c>
      <c r="Q359" s="143">
        <v>100</v>
      </c>
      <c r="R359" s="143">
        <v>100</v>
      </c>
    </row>
    <row r="360" spans="1:18" ht="51" x14ac:dyDescent="0.2">
      <c r="A360" s="221"/>
      <c r="B360" s="140"/>
      <c r="C360" s="145">
        <v>3</v>
      </c>
      <c r="D360" s="137">
        <v>0</v>
      </c>
      <c r="E360" s="222" t="s">
        <v>485</v>
      </c>
      <c r="F360" s="911">
        <v>88013.2</v>
      </c>
      <c r="G360" s="911">
        <v>150672.70000000001</v>
      </c>
      <c r="H360" s="911">
        <f>155352+232.625+34.776</f>
        <v>155619.40100000001</v>
      </c>
      <c r="I360" s="911">
        <v>157351.53</v>
      </c>
      <c r="J360" s="911">
        <v>159352</v>
      </c>
      <c r="K360" s="222" t="s">
        <v>486</v>
      </c>
      <c r="L360" s="222"/>
      <c r="M360" s="223" t="s">
        <v>17</v>
      </c>
      <c r="N360" s="143">
        <v>100</v>
      </c>
      <c r="O360" s="143">
        <v>100</v>
      </c>
      <c r="P360" s="143">
        <v>100</v>
      </c>
      <c r="Q360" s="143">
        <v>100</v>
      </c>
      <c r="R360" s="143">
        <v>100</v>
      </c>
    </row>
    <row r="361" spans="1:18" ht="38.25" x14ac:dyDescent="0.2">
      <c r="A361" s="221"/>
      <c r="B361" s="859">
        <v>2</v>
      </c>
      <c r="C361" s="860"/>
      <c r="D361" s="861">
        <v>0</v>
      </c>
      <c r="E361" s="862" t="s">
        <v>487</v>
      </c>
      <c r="F361" s="911">
        <v>10797.9</v>
      </c>
      <c r="G361" s="911">
        <v>57680.2</v>
      </c>
      <c r="H361" s="911">
        <v>49895.7</v>
      </c>
      <c r="I361" s="911">
        <v>47638.7</v>
      </c>
      <c r="J361" s="911">
        <v>48767.199999999997</v>
      </c>
      <c r="K361" s="222" t="s">
        <v>487</v>
      </c>
      <c r="L361" s="225"/>
      <c r="M361" s="226"/>
      <c r="N361" s="143"/>
      <c r="O361" s="143"/>
      <c r="P361" s="143"/>
      <c r="Q361" s="143"/>
      <c r="R361" s="143"/>
    </row>
    <row r="362" spans="1:18" ht="63.75" x14ac:dyDescent="0.2">
      <c r="A362" s="221"/>
      <c r="B362" s="140"/>
      <c r="C362" s="145">
        <v>1</v>
      </c>
      <c r="D362" s="137">
        <v>0</v>
      </c>
      <c r="E362" s="222" t="s">
        <v>488</v>
      </c>
      <c r="F362" s="911">
        <v>10797.9</v>
      </c>
      <c r="G362" s="911">
        <v>57680.2</v>
      </c>
      <c r="H362" s="911">
        <v>49895.7</v>
      </c>
      <c r="I362" s="911">
        <v>47638.7</v>
      </c>
      <c r="J362" s="911">
        <v>48767.199999999997</v>
      </c>
      <c r="K362" s="222" t="s">
        <v>488</v>
      </c>
      <c r="L362" s="225"/>
      <c r="M362" s="226" t="s">
        <v>17</v>
      </c>
      <c r="N362" s="143">
        <v>100</v>
      </c>
      <c r="O362" s="143">
        <v>100</v>
      </c>
      <c r="P362" s="143">
        <v>100</v>
      </c>
      <c r="Q362" s="143">
        <v>100</v>
      </c>
      <c r="R362" s="143">
        <v>100</v>
      </c>
    </row>
    <row r="363" spans="1:18" ht="42" customHeight="1" x14ac:dyDescent="0.2">
      <c r="A363" s="221"/>
      <c r="B363" s="859">
        <v>3</v>
      </c>
      <c r="C363" s="863"/>
      <c r="D363" s="861"/>
      <c r="E363" s="864" t="s">
        <v>489</v>
      </c>
      <c r="F363" s="911">
        <v>1245477</v>
      </c>
      <c r="G363" s="911">
        <v>1316909.1000000001</v>
      </c>
      <c r="H363" s="911">
        <f>H364+H365</f>
        <v>1294402.8999999999</v>
      </c>
      <c r="I363" s="911">
        <v>1143871.52</v>
      </c>
      <c r="J363" s="911">
        <v>1154477.8999999999</v>
      </c>
      <c r="K363" s="222" t="s">
        <v>489</v>
      </c>
      <c r="L363" s="225"/>
      <c r="M363" s="226"/>
      <c r="N363" s="143"/>
      <c r="O363" s="143"/>
      <c r="P363" s="143"/>
      <c r="Q363" s="143"/>
      <c r="R363" s="143"/>
    </row>
    <row r="364" spans="1:18" ht="76.5" x14ac:dyDescent="0.2">
      <c r="A364" s="221"/>
      <c r="B364" s="140"/>
      <c r="C364" s="147">
        <v>1</v>
      </c>
      <c r="D364" s="137"/>
      <c r="E364" s="222" t="s">
        <v>490</v>
      </c>
      <c r="F364" s="911">
        <v>622738.5</v>
      </c>
      <c r="G364" s="911">
        <v>658454.70000000007</v>
      </c>
      <c r="H364" s="911">
        <f>561542.45+28947.25+56711.75</f>
        <v>647201.44999999995</v>
      </c>
      <c r="I364" s="911">
        <v>571935.75</v>
      </c>
      <c r="J364" s="911">
        <v>577238.94999999995</v>
      </c>
      <c r="K364" s="222" t="s">
        <v>491</v>
      </c>
      <c r="L364" s="225"/>
      <c r="M364" s="226" t="s">
        <v>17</v>
      </c>
      <c r="N364" s="143">
        <v>100</v>
      </c>
      <c r="O364" s="143">
        <v>100</v>
      </c>
      <c r="P364" s="143">
        <v>100</v>
      </c>
      <c r="Q364" s="143">
        <v>100</v>
      </c>
      <c r="R364" s="143">
        <v>100</v>
      </c>
    </row>
    <row r="365" spans="1:18" ht="25.5" x14ac:dyDescent="0.2">
      <c r="A365" s="221"/>
      <c r="B365" s="140"/>
      <c r="C365" s="147">
        <v>2</v>
      </c>
      <c r="D365" s="137"/>
      <c r="E365" s="222" t="s">
        <v>492</v>
      </c>
      <c r="F365" s="911">
        <v>622738.5</v>
      </c>
      <c r="G365" s="911">
        <v>658454.4</v>
      </c>
      <c r="H365" s="911">
        <f>561542.45+28947.25+56711.75</f>
        <v>647201.44999999995</v>
      </c>
      <c r="I365" s="911">
        <v>571935.77</v>
      </c>
      <c r="J365" s="911">
        <v>577238.94999999995</v>
      </c>
      <c r="K365" s="222" t="s">
        <v>492</v>
      </c>
      <c r="L365" s="222"/>
      <c r="M365" s="223" t="s">
        <v>17</v>
      </c>
      <c r="N365" s="143">
        <v>100</v>
      </c>
      <c r="O365" s="143">
        <v>100</v>
      </c>
      <c r="P365" s="143">
        <v>100</v>
      </c>
      <c r="Q365" s="143">
        <v>100</v>
      </c>
      <c r="R365" s="143">
        <v>100</v>
      </c>
    </row>
    <row r="366" spans="1:18" ht="38.25" x14ac:dyDescent="0.2">
      <c r="A366" s="221"/>
      <c r="B366" s="859">
        <v>4</v>
      </c>
      <c r="C366" s="865"/>
      <c r="D366" s="866"/>
      <c r="E366" s="862" t="s">
        <v>493</v>
      </c>
      <c r="F366" s="911">
        <v>24999.1</v>
      </c>
      <c r="G366" s="911">
        <v>28637.599999999999</v>
      </c>
      <c r="H366" s="911">
        <v>28893.599999999999</v>
      </c>
      <c r="I366" s="911">
        <v>29593.599999999999</v>
      </c>
      <c r="J366" s="911">
        <v>29593.599999999999</v>
      </c>
      <c r="K366" s="222" t="s">
        <v>493</v>
      </c>
      <c r="L366" s="222"/>
      <c r="M366" s="223"/>
      <c r="N366" s="143"/>
      <c r="O366" s="143"/>
      <c r="P366" s="143"/>
      <c r="Q366" s="143"/>
      <c r="R366" s="143"/>
    </row>
    <row r="367" spans="1:18" ht="38.25" x14ac:dyDescent="0.2">
      <c r="A367" s="221"/>
      <c r="B367" s="160"/>
      <c r="C367" s="160" t="s">
        <v>123</v>
      </c>
      <c r="D367" s="157"/>
      <c r="E367" s="227" t="s">
        <v>494</v>
      </c>
      <c r="F367" s="911">
        <v>24999.1</v>
      </c>
      <c r="G367" s="911">
        <v>28637.599999999999</v>
      </c>
      <c r="H367" s="911">
        <v>28893.599999999999</v>
      </c>
      <c r="I367" s="911">
        <v>29593.599999999999</v>
      </c>
      <c r="J367" s="911">
        <v>29593.599999999999</v>
      </c>
      <c r="K367" s="148" t="s">
        <v>495</v>
      </c>
      <c r="L367" s="228"/>
      <c r="M367" s="226" t="s">
        <v>17</v>
      </c>
      <c r="N367" s="229">
        <v>100</v>
      </c>
      <c r="O367" s="229">
        <v>100</v>
      </c>
      <c r="P367" s="229">
        <v>100</v>
      </c>
      <c r="Q367" s="229">
        <v>100</v>
      </c>
      <c r="R367" s="229">
        <v>100</v>
      </c>
    </row>
    <row r="368" spans="1:18" ht="13.5" thickBot="1" x14ac:dyDescent="0.25">
      <c r="A368" s="221"/>
      <c r="B368" s="160"/>
      <c r="C368" s="160"/>
      <c r="D368" s="160"/>
      <c r="E368" s="210"/>
      <c r="F368" s="939"/>
      <c r="G368" s="914"/>
      <c r="H368" s="901"/>
      <c r="I368" s="901"/>
      <c r="J368" s="901"/>
      <c r="K368" s="230"/>
      <c r="L368" s="230"/>
      <c r="M368" s="22"/>
      <c r="N368" s="22"/>
      <c r="O368" s="156"/>
      <c r="P368" s="156"/>
      <c r="Q368" s="156"/>
      <c r="R368" s="156"/>
    </row>
    <row r="369" spans="1:18" s="17" customFormat="1" ht="28.5" customHeight="1" x14ac:dyDescent="0.2">
      <c r="A369" s="231"/>
      <c r="B369" s="2060" t="s">
        <v>64</v>
      </c>
      <c r="C369" s="2061"/>
      <c r="D369" s="2061"/>
      <c r="E369" s="2062"/>
      <c r="F369" s="907">
        <v>1545313.8</v>
      </c>
      <c r="G369" s="907">
        <v>1855245.1</v>
      </c>
      <c r="H369" s="903">
        <v>1845051.6070000001</v>
      </c>
      <c r="I369" s="907">
        <v>1693161.0100000002</v>
      </c>
      <c r="J369" s="907">
        <v>1710895.9</v>
      </c>
      <c r="K369" s="57"/>
      <c r="L369" s="57"/>
      <c r="M369" s="2063"/>
      <c r="N369" s="2063"/>
      <c r="O369" s="2063"/>
      <c r="P369" s="2063"/>
      <c r="Q369" s="2063"/>
      <c r="R369" s="2063"/>
    </row>
    <row r="370" spans="1:18" s="17" customFormat="1" ht="30.75" customHeight="1" x14ac:dyDescent="0.2">
      <c r="B370" s="2030" t="s">
        <v>496</v>
      </c>
      <c r="C370" s="2031"/>
      <c r="D370" s="2031"/>
      <c r="E370" s="2031"/>
      <c r="F370" s="972"/>
      <c r="G370" s="972"/>
      <c r="H370" s="972"/>
      <c r="I370" s="972"/>
      <c r="J370" s="972"/>
      <c r="K370" s="232"/>
      <c r="L370" s="232"/>
      <c r="M370" s="999"/>
      <c r="N370" s="232"/>
      <c r="O370" s="232"/>
      <c r="P370" s="232"/>
      <c r="Q370" s="232"/>
      <c r="R370" s="233"/>
    </row>
    <row r="371" spans="1:18" s="20" customFormat="1" x14ac:dyDescent="0.2">
      <c r="A371" s="234"/>
      <c r="B371" s="795">
        <v>1</v>
      </c>
      <c r="C371" s="670"/>
      <c r="D371" s="670"/>
      <c r="E371" s="670" t="s">
        <v>497</v>
      </c>
      <c r="F371" s="941">
        <f t="shared" ref="F371:G371" si="9">SUM(F372:F377)</f>
        <v>1038222.2000000001</v>
      </c>
      <c r="G371" s="941">
        <f t="shared" si="9"/>
        <v>1086458.8</v>
      </c>
      <c r="H371" s="944">
        <f>H372+H373+H374+H375+H376+H377</f>
        <v>1488867.2</v>
      </c>
      <c r="I371" s="944"/>
      <c r="J371" s="944"/>
      <c r="K371" s="236"/>
      <c r="L371" s="236"/>
      <c r="M371" s="235"/>
      <c r="N371" s="235"/>
      <c r="O371" s="235"/>
      <c r="P371" s="235"/>
      <c r="Q371" s="235"/>
      <c r="R371" s="235"/>
    </row>
    <row r="372" spans="1:18" s="20" customFormat="1" x14ac:dyDescent="0.2">
      <c r="A372" s="234"/>
      <c r="B372" s="795"/>
      <c r="C372" s="668" t="s">
        <v>123</v>
      </c>
      <c r="D372" s="670"/>
      <c r="E372" s="670" t="s">
        <v>498</v>
      </c>
      <c r="F372" s="941">
        <v>440000</v>
      </c>
      <c r="G372" s="941">
        <v>450000</v>
      </c>
      <c r="H372" s="944">
        <v>500000</v>
      </c>
      <c r="I372" s="944"/>
      <c r="J372" s="944"/>
      <c r="K372" s="236"/>
      <c r="L372" s="236"/>
      <c r="M372" s="235"/>
      <c r="N372" s="235"/>
      <c r="O372" s="235"/>
      <c r="P372" s="235"/>
      <c r="Q372" s="235"/>
      <c r="R372" s="235"/>
    </row>
    <row r="373" spans="1:18" s="20" customFormat="1" x14ac:dyDescent="0.2">
      <c r="A373" s="234"/>
      <c r="B373" s="795"/>
      <c r="C373" s="668" t="s">
        <v>125</v>
      </c>
      <c r="D373" s="670"/>
      <c r="E373" s="670" t="s">
        <v>499</v>
      </c>
      <c r="F373" s="941">
        <v>283767.40000000002</v>
      </c>
      <c r="G373" s="941">
        <v>244540.9</v>
      </c>
      <c r="H373" s="944">
        <v>515066</v>
      </c>
      <c r="I373" s="944"/>
      <c r="J373" s="944"/>
      <c r="K373" s="236"/>
      <c r="L373" s="236"/>
      <c r="M373" s="235"/>
      <c r="N373" s="235"/>
      <c r="O373" s="235"/>
      <c r="P373" s="235"/>
      <c r="Q373" s="235"/>
      <c r="R373" s="235"/>
    </row>
    <row r="374" spans="1:18" s="20" customFormat="1" x14ac:dyDescent="0.2">
      <c r="A374" s="234"/>
      <c r="B374" s="795"/>
      <c r="C374" s="668" t="s">
        <v>127</v>
      </c>
      <c r="D374" s="670"/>
      <c r="E374" s="670" t="s">
        <v>500</v>
      </c>
      <c r="F374" s="941">
        <v>98454.8</v>
      </c>
      <c r="G374" s="941">
        <v>175917.9</v>
      </c>
      <c r="H374" s="944">
        <v>177401.2</v>
      </c>
      <c r="I374" s="944"/>
      <c r="J374" s="944"/>
      <c r="K374" s="236"/>
      <c r="L374" s="236"/>
      <c r="M374" s="235"/>
      <c r="N374" s="235"/>
      <c r="O374" s="235"/>
      <c r="P374" s="235"/>
      <c r="Q374" s="235"/>
      <c r="R374" s="235"/>
    </row>
    <row r="375" spans="1:18" s="20" customFormat="1" ht="25.5" x14ac:dyDescent="0.2">
      <c r="A375" s="234"/>
      <c r="B375" s="795"/>
      <c r="C375" s="668" t="s">
        <v>132</v>
      </c>
      <c r="D375" s="670"/>
      <c r="E375" s="670" t="s">
        <v>501</v>
      </c>
      <c r="F375" s="941">
        <v>30000</v>
      </c>
      <c r="G375" s="941">
        <v>30000</v>
      </c>
      <c r="H375" s="944">
        <v>30000</v>
      </c>
      <c r="I375" s="944"/>
      <c r="J375" s="944"/>
      <c r="K375" s="236"/>
      <c r="L375" s="236"/>
      <c r="M375" s="235"/>
      <c r="N375" s="235"/>
      <c r="O375" s="235"/>
      <c r="P375" s="235"/>
      <c r="Q375" s="235"/>
      <c r="R375" s="235"/>
    </row>
    <row r="376" spans="1:18" s="20" customFormat="1" x14ac:dyDescent="0.2">
      <c r="A376" s="234"/>
      <c r="B376" s="670"/>
      <c r="C376" s="668" t="s">
        <v>74</v>
      </c>
      <c r="D376" s="670"/>
      <c r="E376" s="670" t="s">
        <v>502</v>
      </c>
      <c r="F376" s="941">
        <v>30000</v>
      </c>
      <c r="G376" s="941">
        <v>30000</v>
      </c>
      <c r="H376" s="944">
        <v>30000</v>
      </c>
      <c r="I376" s="944"/>
      <c r="J376" s="944"/>
      <c r="K376" s="236"/>
      <c r="L376" s="236"/>
      <c r="M376" s="235"/>
      <c r="N376" s="235"/>
      <c r="O376" s="235"/>
      <c r="P376" s="235"/>
      <c r="Q376" s="235"/>
      <c r="R376" s="235"/>
    </row>
    <row r="377" spans="1:18" s="20" customFormat="1" ht="25.5" x14ac:dyDescent="0.2">
      <c r="A377" s="234"/>
      <c r="B377" s="670"/>
      <c r="C377" s="668" t="s">
        <v>197</v>
      </c>
      <c r="D377" s="670"/>
      <c r="E377" s="670" t="s">
        <v>503</v>
      </c>
      <c r="F377" s="941">
        <v>156000</v>
      </c>
      <c r="G377" s="941">
        <v>156000</v>
      </c>
      <c r="H377" s="944">
        <v>236400</v>
      </c>
      <c r="I377" s="944"/>
      <c r="J377" s="944"/>
      <c r="K377" s="236"/>
      <c r="L377" s="236"/>
      <c r="M377" s="235"/>
      <c r="N377" s="235"/>
      <c r="O377" s="235"/>
      <c r="P377" s="235"/>
      <c r="Q377" s="235"/>
      <c r="R377" s="235"/>
    </row>
    <row r="378" spans="1:18" s="125" customFormat="1" ht="27" customHeight="1" x14ac:dyDescent="0.2">
      <c r="A378" s="761"/>
      <c r="B378" s="2064" t="s">
        <v>64</v>
      </c>
      <c r="C378" s="2065"/>
      <c r="D378" s="2065"/>
      <c r="E378" s="2066"/>
      <c r="F378" s="904">
        <f>F371</f>
        <v>1038222.2000000001</v>
      </c>
      <c r="G378" s="904">
        <f t="shared" ref="G378:H378" si="10">G371</f>
        <v>1086458.8</v>
      </c>
      <c r="H378" s="904">
        <f t="shared" si="10"/>
        <v>1488867.2</v>
      </c>
      <c r="I378" s="904"/>
      <c r="J378" s="904"/>
      <c r="K378" s="187"/>
      <c r="L378" s="187"/>
      <c r="M378" s="237"/>
      <c r="N378" s="237"/>
      <c r="O378" s="237"/>
      <c r="P378" s="237"/>
      <c r="Q378" s="237"/>
      <c r="R378" s="238"/>
    </row>
    <row r="379" spans="1:18" s="125" customFormat="1" ht="27.75" customHeight="1" x14ac:dyDescent="0.2">
      <c r="B379" s="2030" t="s">
        <v>504</v>
      </c>
      <c r="C379" s="2031"/>
      <c r="D379" s="2031"/>
      <c r="E379" s="2031"/>
      <c r="F379" s="972"/>
      <c r="G379" s="972"/>
      <c r="H379" s="972"/>
      <c r="I379" s="972"/>
      <c r="J379" s="972"/>
      <c r="K379" s="232"/>
      <c r="L379" s="232"/>
      <c r="M379" s="999"/>
      <c r="N379" s="232"/>
      <c r="O379" s="232"/>
      <c r="P379" s="232"/>
      <c r="Q379" s="232"/>
      <c r="R379" s="233"/>
    </row>
    <row r="380" spans="1:18" s="20" customFormat="1" ht="38.25" x14ac:dyDescent="0.2">
      <c r="A380" s="131"/>
      <c r="B380" s="815">
        <v>1</v>
      </c>
      <c r="C380" s="748"/>
      <c r="D380" s="749"/>
      <c r="E380" s="687" t="s">
        <v>2520</v>
      </c>
      <c r="F380" s="902">
        <f>SUM(F381:F387)</f>
        <v>144696.71</v>
      </c>
      <c r="G380" s="902">
        <f>SUM(G381:G387)</f>
        <v>154681.79999999999</v>
      </c>
      <c r="H380" s="902">
        <f>SUM(H381:H387)</f>
        <v>144505.80000000002</v>
      </c>
      <c r="I380" s="902">
        <f>SUM(I381:I387)</f>
        <v>146946.46101199999</v>
      </c>
      <c r="J380" s="902">
        <f>SUM(J381:J387)</f>
        <v>148186.49240599273</v>
      </c>
      <c r="K380" s="239" t="s">
        <v>505</v>
      </c>
      <c r="L380" s="239"/>
      <c r="M380" s="749"/>
      <c r="N380" s="749"/>
      <c r="O380" s="749"/>
      <c r="P380" s="749"/>
      <c r="Q380" s="240"/>
      <c r="R380" s="97"/>
    </row>
    <row r="381" spans="1:18" s="20" customFormat="1" ht="15.75" customHeight="1" x14ac:dyDescent="0.2">
      <c r="A381" s="131"/>
      <c r="B381" s="815"/>
      <c r="C381" s="748">
        <v>1</v>
      </c>
      <c r="D381" s="749">
        <v>0</v>
      </c>
      <c r="E381" s="687" t="s">
        <v>18</v>
      </c>
      <c r="F381" s="901">
        <v>3536.9</v>
      </c>
      <c r="G381" s="901">
        <v>8578.7999999999993</v>
      </c>
      <c r="H381" s="901">
        <f>6368.8+69.1+10.3</f>
        <v>6448.2000000000007</v>
      </c>
      <c r="I381" s="901">
        <f>H381*101.914%+0.2</f>
        <v>6571.8185480000002</v>
      </c>
      <c r="J381" s="945">
        <f>I381*100.9539%+0.5</f>
        <v>6635.0071251293721</v>
      </c>
      <c r="K381" s="619" t="s">
        <v>19</v>
      </c>
      <c r="L381" s="619"/>
      <c r="M381" s="620"/>
      <c r="N381" s="620"/>
      <c r="O381" s="620"/>
      <c r="P381" s="620"/>
      <c r="Q381" s="623"/>
      <c r="R381" s="624"/>
    </row>
    <row r="382" spans="1:18" s="20" customFormat="1" x14ac:dyDescent="0.2">
      <c r="A382" s="131"/>
      <c r="B382" s="815"/>
      <c r="C382" s="748">
        <v>2</v>
      </c>
      <c r="D382" s="749">
        <v>0</v>
      </c>
      <c r="E382" s="687" t="s">
        <v>22</v>
      </c>
      <c r="F382" s="901">
        <v>4244.2</v>
      </c>
      <c r="G382" s="901">
        <v>3655</v>
      </c>
      <c r="H382" s="901">
        <f>3655+17.2+2.5</f>
        <v>3674.7</v>
      </c>
      <c r="I382" s="901">
        <f>H382*101.914%</f>
        <v>3745.0337579999996</v>
      </c>
      <c r="J382" s="901">
        <f>I382*100.9539%</f>
        <v>3780.7576350175614</v>
      </c>
      <c r="K382" s="242" t="s">
        <v>23</v>
      </c>
      <c r="L382" s="621"/>
      <c r="M382" s="750" t="s">
        <v>17</v>
      </c>
      <c r="N382" s="690">
        <v>99</v>
      </c>
      <c r="O382" s="690">
        <v>99</v>
      </c>
      <c r="P382" s="690">
        <v>99</v>
      </c>
      <c r="Q382" s="243">
        <v>99</v>
      </c>
      <c r="R382" s="688">
        <v>99</v>
      </c>
    </row>
    <row r="383" spans="1:18" s="20" customFormat="1" x14ac:dyDescent="0.2">
      <c r="A383" s="131"/>
      <c r="B383" s="815"/>
      <c r="C383" s="748">
        <v>3</v>
      </c>
      <c r="D383" s="749">
        <v>0</v>
      </c>
      <c r="E383" s="687" t="s">
        <v>24</v>
      </c>
      <c r="F383" s="901">
        <v>4244.2</v>
      </c>
      <c r="G383" s="901">
        <v>3608.4</v>
      </c>
      <c r="H383" s="901">
        <f>3598.4+8.7+1.4</f>
        <v>3608.5</v>
      </c>
      <c r="I383" s="901">
        <f>H383*101.914%</f>
        <v>3677.5666899999997</v>
      </c>
      <c r="J383" s="901">
        <f>I383*100.9539%</f>
        <v>3712.6469986559096</v>
      </c>
      <c r="K383" s="244" t="s">
        <v>25</v>
      </c>
      <c r="L383" s="244"/>
      <c r="M383" s="750" t="s">
        <v>17</v>
      </c>
      <c r="N383" s="690">
        <v>91</v>
      </c>
      <c r="O383" s="690">
        <v>90</v>
      </c>
      <c r="P383" s="690">
        <v>90</v>
      </c>
      <c r="Q383" s="243">
        <v>90</v>
      </c>
      <c r="R383" s="688">
        <v>90</v>
      </c>
    </row>
    <row r="384" spans="1:18" s="20" customFormat="1" ht="25.5" x14ac:dyDescent="0.2">
      <c r="A384" s="131"/>
      <c r="B384" s="815"/>
      <c r="C384" s="748">
        <v>4</v>
      </c>
      <c r="D384" s="749">
        <v>0</v>
      </c>
      <c r="E384" s="687" t="s">
        <v>26</v>
      </c>
      <c r="F384" s="901">
        <v>6366.33</v>
      </c>
      <c r="G384" s="901">
        <v>5207</v>
      </c>
      <c r="H384" s="901">
        <v>5107</v>
      </c>
      <c r="I384" s="901">
        <f>H384*101.914%</f>
        <v>5204.7479800000001</v>
      </c>
      <c r="J384" s="901">
        <f>I384*100.9539%</f>
        <v>5254.39607098122</v>
      </c>
      <c r="K384" s="242" t="s">
        <v>27</v>
      </c>
      <c r="L384" s="621"/>
      <c r="M384" s="750" t="s">
        <v>17</v>
      </c>
      <c r="N384" s="690">
        <v>95</v>
      </c>
      <c r="O384" s="690">
        <v>95</v>
      </c>
      <c r="P384" s="690">
        <v>95</v>
      </c>
      <c r="Q384" s="243">
        <v>95</v>
      </c>
      <c r="R384" s="688">
        <v>95</v>
      </c>
    </row>
    <row r="385" spans="1:18" s="20" customFormat="1" ht="25.5" x14ac:dyDescent="0.2">
      <c r="A385" s="131"/>
      <c r="B385" s="815"/>
      <c r="C385" s="748">
        <v>5</v>
      </c>
      <c r="D385" s="749">
        <v>0</v>
      </c>
      <c r="E385" s="687" t="s">
        <v>29</v>
      </c>
      <c r="F385" s="901">
        <v>1414.74</v>
      </c>
      <c r="G385" s="901">
        <v>1130</v>
      </c>
      <c r="H385" s="901">
        <v>1080</v>
      </c>
      <c r="I385" s="901">
        <f>H385*101.914%</f>
        <v>1100.6712</v>
      </c>
      <c r="J385" s="901">
        <f>I385*100.9539%</f>
        <v>1111.1705025767999</v>
      </c>
      <c r="K385" s="242" t="s">
        <v>30</v>
      </c>
      <c r="L385" s="621"/>
      <c r="M385" s="750"/>
      <c r="N385" s="690">
        <v>1450</v>
      </c>
      <c r="O385" s="690">
        <v>1450</v>
      </c>
      <c r="P385" s="690">
        <v>1500</v>
      </c>
      <c r="Q385" s="243">
        <v>1500</v>
      </c>
      <c r="R385" s="688">
        <v>1500</v>
      </c>
    </row>
    <row r="386" spans="1:18" s="20" customFormat="1" ht="12.75" customHeight="1" x14ac:dyDescent="0.2">
      <c r="A386" s="131"/>
      <c r="B386" s="815"/>
      <c r="C386" s="748">
        <v>6</v>
      </c>
      <c r="D386" s="749">
        <v>0</v>
      </c>
      <c r="E386" s="687" t="s">
        <v>32</v>
      </c>
      <c r="F386" s="901">
        <v>105258.34</v>
      </c>
      <c r="G386" s="901">
        <f>66952.8+45917.8</f>
        <v>112870.6</v>
      </c>
      <c r="H386" s="901">
        <f>611.2+532.7+638.4+541.6+2391.8+3505.1+3439.1+52755.6+40573.8</f>
        <v>104989.3</v>
      </c>
      <c r="I386" s="945">
        <f>H386*101.914%</f>
        <v>106998.79520199999</v>
      </c>
      <c r="J386" s="901">
        <f>I386*100.9539%</f>
        <v>108019.45670943186</v>
      </c>
      <c r="K386" s="687" t="s">
        <v>506</v>
      </c>
      <c r="L386" s="687"/>
      <c r="M386" s="753" t="s">
        <v>17</v>
      </c>
      <c r="N386" s="753">
        <v>16.842105263157894</v>
      </c>
      <c r="O386" s="753">
        <f>71/285*100</f>
        <v>24.912280701754387</v>
      </c>
      <c r="P386" s="753">
        <f>71/285*100</f>
        <v>24.912280701754387</v>
      </c>
      <c r="Q386" s="622">
        <f>71/285*100</f>
        <v>24.912280701754387</v>
      </c>
      <c r="R386" s="753">
        <f>71/285*100</f>
        <v>24.912280701754387</v>
      </c>
    </row>
    <row r="387" spans="1:18" s="20" customFormat="1" ht="38.25" x14ac:dyDescent="0.2">
      <c r="A387" s="131"/>
      <c r="B387" s="815"/>
      <c r="C387" s="748" t="s">
        <v>507</v>
      </c>
      <c r="D387" s="749">
        <v>0</v>
      </c>
      <c r="E387" s="687" t="s">
        <v>2521</v>
      </c>
      <c r="F387" s="901">
        <v>19632</v>
      </c>
      <c r="G387" s="901">
        <f>2632+17000</f>
        <v>19632</v>
      </c>
      <c r="H387" s="901">
        <f>2598.1+17000</f>
        <v>19598.099999999999</v>
      </c>
      <c r="I387" s="901">
        <f>(2598.1*101.914%)+17000</f>
        <v>19647.827634000001</v>
      </c>
      <c r="J387" s="901">
        <f>(2647.8*100.9539%)+17000</f>
        <v>19673.057364200002</v>
      </c>
      <c r="K387" s="687" t="s">
        <v>2438</v>
      </c>
      <c r="L387" s="687"/>
      <c r="M387" s="815" t="s">
        <v>124</v>
      </c>
      <c r="N387" s="690">
        <v>4950</v>
      </c>
      <c r="O387" s="690">
        <v>5000</v>
      </c>
      <c r="P387" s="690">
        <v>5050</v>
      </c>
      <c r="Q387" s="243">
        <v>5100</v>
      </c>
      <c r="R387" s="688">
        <v>5101</v>
      </c>
    </row>
    <row r="388" spans="1:18" s="20" customFormat="1" ht="76.5" x14ac:dyDescent="0.2">
      <c r="A388" s="131"/>
      <c r="B388" s="532">
        <v>2</v>
      </c>
      <c r="C388" s="748"/>
      <c r="D388" s="749"/>
      <c r="E388" s="245" t="s">
        <v>2522</v>
      </c>
      <c r="F388" s="902">
        <v>63663.360000000001</v>
      </c>
      <c r="G388" s="902">
        <f>SUM(G389:G396)</f>
        <v>55518</v>
      </c>
      <c r="H388" s="902">
        <f t="shared" ref="H388:J388" si="11">SUM(H389:H396)</f>
        <v>51107</v>
      </c>
      <c r="I388" s="902">
        <f t="shared" si="11"/>
        <v>52085.187979999995</v>
      </c>
      <c r="J388" s="902">
        <f t="shared" si="11"/>
        <v>52582.028588141213</v>
      </c>
      <c r="K388" s="687" t="s">
        <v>508</v>
      </c>
      <c r="L388" s="687"/>
      <c r="M388" s="688"/>
      <c r="N388" s="688" t="s">
        <v>509</v>
      </c>
      <c r="O388" s="688" t="s">
        <v>509</v>
      </c>
      <c r="P388" s="688" t="s">
        <v>509</v>
      </c>
      <c r="Q388" s="241" t="s">
        <v>509</v>
      </c>
      <c r="R388" s="688" t="s">
        <v>509</v>
      </c>
    </row>
    <row r="389" spans="1:18" s="20" customFormat="1" ht="25.5" x14ac:dyDescent="0.2">
      <c r="A389" s="131"/>
      <c r="B389" s="815"/>
      <c r="C389" s="247">
        <v>1</v>
      </c>
      <c r="D389" s="248">
        <v>0</v>
      </c>
      <c r="E389" s="758" t="s">
        <v>2523</v>
      </c>
      <c r="F389" s="2046">
        <v>38198.019999999997</v>
      </c>
      <c r="G389" s="2046">
        <v>33037.300000000003</v>
      </c>
      <c r="H389" s="2046">
        <v>31630</v>
      </c>
      <c r="I389" s="2046">
        <f>H389*101.914%</f>
        <v>32235.3982</v>
      </c>
      <c r="J389" s="2046">
        <f>I389*100.9539%</f>
        <v>32542.8916634298</v>
      </c>
      <c r="K389" s="687" t="s">
        <v>2436</v>
      </c>
      <c r="L389" s="687"/>
      <c r="M389" s="816" t="s">
        <v>17</v>
      </c>
      <c r="N389" s="688" t="s">
        <v>510</v>
      </c>
      <c r="O389" s="249">
        <v>1</v>
      </c>
      <c r="P389" s="249">
        <v>1</v>
      </c>
      <c r="Q389" s="250">
        <v>1</v>
      </c>
      <c r="R389" s="249">
        <v>1</v>
      </c>
    </row>
    <row r="390" spans="1:18" s="20" customFormat="1" x14ac:dyDescent="0.2">
      <c r="A390" s="131"/>
      <c r="B390" s="815"/>
      <c r="C390" s="754">
        <v>2</v>
      </c>
      <c r="D390" s="246">
        <v>0</v>
      </c>
      <c r="E390" s="768" t="s">
        <v>2524</v>
      </c>
      <c r="F390" s="1852"/>
      <c r="G390" s="1852"/>
      <c r="H390" s="1852"/>
      <c r="I390" s="1852"/>
      <c r="J390" s="1852"/>
      <c r="K390" s="687" t="s">
        <v>2437</v>
      </c>
      <c r="L390" s="687"/>
      <c r="M390" s="816" t="s">
        <v>17</v>
      </c>
      <c r="N390" s="816">
        <v>54</v>
      </c>
      <c r="O390" s="816">
        <v>54</v>
      </c>
      <c r="P390" s="816">
        <v>54</v>
      </c>
      <c r="Q390" s="816">
        <v>54</v>
      </c>
      <c r="R390" s="816">
        <v>54</v>
      </c>
    </row>
    <row r="391" spans="1:18" s="20" customFormat="1" ht="38.25" x14ac:dyDescent="0.2">
      <c r="A391" s="131"/>
      <c r="B391" s="1870"/>
      <c r="C391" s="1870">
        <v>3</v>
      </c>
      <c r="D391" s="2049">
        <v>0</v>
      </c>
      <c r="E391" s="1878" t="s">
        <v>2525</v>
      </c>
      <c r="F391" s="1852"/>
      <c r="G391" s="1852"/>
      <c r="H391" s="1852"/>
      <c r="I391" s="1852"/>
      <c r="J391" s="1852"/>
      <c r="K391" s="687" t="s">
        <v>511</v>
      </c>
      <c r="L391" s="687"/>
      <c r="M391" s="816"/>
      <c r="N391" s="688" t="s">
        <v>509</v>
      </c>
      <c r="O391" s="688" t="s">
        <v>509</v>
      </c>
      <c r="P391" s="688" t="s">
        <v>509</v>
      </c>
      <c r="Q391" s="688" t="s">
        <v>509</v>
      </c>
      <c r="R391" s="688" t="s">
        <v>509</v>
      </c>
    </row>
    <row r="392" spans="1:18" s="20" customFormat="1" ht="38.25" x14ac:dyDescent="0.2">
      <c r="A392" s="131"/>
      <c r="B392" s="1871"/>
      <c r="C392" s="1871"/>
      <c r="D392" s="2050"/>
      <c r="E392" s="1880"/>
      <c r="F392" s="1778"/>
      <c r="G392" s="1778"/>
      <c r="H392" s="1778"/>
      <c r="I392" s="1778"/>
      <c r="J392" s="1778"/>
      <c r="K392" s="687" t="s">
        <v>512</v>
      </c>
      <c r="L392" s="687"/>
      <c r="M392" s="816" t="s">
        <v>513</v>
      </c>
      <c r="N392" s="688">
        <v>20</v>
      </c>
      <c r="O392" s="688">
        <v>20</v>
      </c>
      <c r="P392" s="688">
        <v>20</v>
      </c>
      <c r="Q392" s="688">
        <v>20</v>
      </c>
      <c r="R392" s="688">
        <v>21</v>
      </c>
    </row>
    <row r="393" spans="1:18" s="20" customFormat="1" ht="25.5" x14ac:dyDescent="0.2">
      <c r="A393" s="131"/>
      <c r="B393" s="815"/>
      <c r="C393" s="252">
        <v>4</v>
      </c>
      <c r="D393" s="253">
        <v>0</v>
      </c>
      <c r="E393" s="758" t="s">
        <v>2526</v>
      </c>
      <c r="F393" s="901">
        <v>11317.93</v>
      </c>
      <c r="G393" s="901">
        <v>9999.2000000000007</v>
      </c>
      <c r="H393" s="901">
        <v>8358.1</v>
      </c>
      <c r="I393" s="901">
        <f>H393*101.914%</f>
        <v>8518.0740339999993</v>
      </c>
      <c r="J393" s="901">
        <f>I393*100.9539%</f>
        <v>8599.3279422103242</v>
      </c>
      <c r="K393" s="687" t="s">
        <v>514</v>
      </c>
      <c r="L393" s="687"/>
      <c r="M393" s="688" t="s">
        <v>515</v>
      </c>
      <c r="N393" s="781">
        <v>142129.79999999999</v>
      </c>
      <c r="O393" s="254">
        <v>157043.29999999999</v>
      </c>
      <c r="P393" s="254">
        <v>161890.29999999999</v>
      </c>
      <c r="Q393" s="781">
        <v>190140.7</v>
      </c>
      <c r="R393" s="781">
        <v>190140.7</v>
      </c>
    </row>
    <row r="394" spans="1:18" s="20" customFormat="1" ht="25.5" x14ac:dyDescent="0.2">
      <c r="A394" s="131"/>
      <c r="B394" s="815"/>
      <c r="C394" s="754">
        <v>5</v>
      </c>
      <c r="D394" s="255">
        <v>0</v>
      </c>
      <c r="E394" s="758" t="s">
        <v>2527</v>
      </c>
      <c r="F394" s="901">
        <v>2829.48</v>
      </c>
      <c r="G394" s="901">
        <v>2385.6999999999998</v>
      </c>
      <c r="H394" s="901">
        <v>2459.6</v>
      </c>
      <c r="I394" s="901">
        <f>H394*101.914%</f>
        <v>2506.6767439999999</v>
      </c>
      <c r="J394" s="901">
        <f>I394*100.9539%</f>
        <v>2530.5879334610158</v>
      </c>
      <c r="K394" s="687" t="s">
        <v>516</v>
      </c>
      <c r="L394" s="687"/>
      <c r="M394" s="688" t="s">
        <v>517</v>
      </c>
      <c r="N394" s="688">
        <v>60</v>
      </c>
      <c r="O394" s="688">
        <v>60</v>
      </c>
      <c r="P394" s="688">
        <v>60</v>
      </c>
      <c r="Q394" s="688">
        <v>50</v>
      </c>
      <c r="R394" s="688">
        <v>51</v>
      </c>
    </row>
    <row r="395" spans="1:18" s="20" customFormat="1" x14ac:dyDescent="0.2">
      <c r="A395" s="131"/>
      <c r="B395" s="1870"/>
      <c r="C395" s="1870">
        <v>6</v>
      </c>
      <c r="D395" s="2049">
        <v>0</v>
      </c>
      <c r="E395" s="1878" t="s">
        <v>2528</v>
      </c>
      <c r="F395" s="2046">
        <v>11317.93</v>
      </c>
      <c r="G395" s="2046">
        <v>10095.799999999999</v>
      </c>
      <c r="H395" s="2046">
        <v>8659.2999999999993</v>
      </c>
      <c r="I395" s="2046">
        <f>H395*101.914%</f>
        <v>8825.0390019999995</v>
      </c>
      <c r="J395" s="2046">
        <f>I395*100.9539%</f>
        <v>8909.2210490400776</v>
      </c>
      <c r="K395" s="768" t="s">
        <v>518</v>
      </c>
      <c r="L395" s="768"/>
      <c r="M395" s="688" t="s">
        <v>515</v>
      </c>
      <c r="N395" s="688">
        <v>9748.1</v>
      </c>
      <c r="O395" s="688">
        <v>10166.9</v>
      </c>
      <c r="P395" s="256">
        <v>8293</v>
      </c>
      <c r="Q395" s="688" t="s">
        <v>21</v>
      </c>
      <c r="R395" s="688" t="s">
        <v>21</v>
      </c>
    </row>
    <row r="396" spans="1:18" s="20" customFormat="1" x14ac:dyDescent="0.2">
      <c r="A396" s="131"/>
      <c r="B396" s="1871"/>
      <c r="C396" s="1871"/>
      <c r="D396" s="2050"/>
      <c r="E396" s="1880"/>
      <c r="F396" s="1778"/>
      <c r="G396" s="1778"/>
      <c r="H396" s="1778"/>
      <c r="I396" s="1778"/>
      <c r="J396" s="1778"/>
      <c r="K396" s="768" t="s">
        <v>519</v>
      </c>
      <c r="L396" s="768"/>
      <c r="M396" s="688" t="s">
        <v>515</v>
      </c>
      <c r="N396" s="688">
        <v>34278.199999999997</v>
      </c>
      <c r="O396" s="256">
        <v>26965</v>
      </c>
      <c r="P396" s="688">
        <v>27931.1</v>
      </c>
      <c r="Q396" s="688" t="s">
        <v>21</v>
      </c>
      <c r="R396" s="688" t="s">
        <v>21</v>
      </c>
    </row>
    <row r="397" spans="1:18" s="20" customFormat="1" x14ac:dyDescent="0.2">
      <c r="A397" s="131"/>
      <c r="B397" s="815"/>
      <c r="C397" s="257"/>
      <c r="D397" s="255"/>
      <c r="E397" s="768"/>
      <c r="F397" s="902"/>
      <c r="G397" s="902"/>
      <c r="H397" s="902"/>
      <c r="I397" s="902"/>
      <c r="J397" s="902"/>
      <c r="K397" s="768"/>
      <c r="L397" s="768"/>
      <c r="M397" s="688"/>
      <c r="N397" s="688"/>
      <c r="O397" s="688"/>
      <c r="P397" s="688"/>
      <c r="Q397" s="688"/>
      <c r="R397" s="688"/>
    </row>
    <row r="398" spans="1:18" s="20" customFormat="1" ht="38.25" x14ac:dyDescent="0.2">
      <c r="A398" s="131"/>
      <c r="B398" s="532">
        <v>3</v>
      </c>
      <c r="C398" s="748"/>
      <c r="D398" s="749"/>
      <c r="E398" s="687" t="s">
        <v>2552</v>
      </c>
      <c r="F398" s="902">
        <v>109242.35</v>
      </c>
      <c r="G398" s="902">
        <f>SUM(G399:G403)</f>
        <v>121797.90000000001</v>
      </c>
      <c r="H398" s="902">
        <f t="shared" ref="H398:J398" si="12">SUM(H399:H403)</f>
        <v>120555.1</v>
      </c>
      <c r="I398" s="902">
        <f t="shared" si="12"/>
        <v>122862.52461399999</v>
      </c>
      <c r="J398" s="902">
        <f t="shared" si="12"/>
        <v>124034.51023629293</v>
      </c>
      <c r="K398" s="687" t="s">
        <v>2433</v>
      </c>
      <c r="L398" s="687"/>
      <c r="M398" s="688" t="s">
        <v>17</v>
      </c>
      <c r="N398" s="688">
        <v>22.5</v>
      </c>
      <c r="O398" s="688">
        <v>22.9</v>
      </c>
      <c r="P398" s="256">
        <v>23</v>
      </c>
      <c r="Q398" s="688">
        <v>23.1</v>
      </c>
      <c r="R398" s="688">
        <v>23.1</v>
      </c>
    </row>
    <row r="399" spans="1:18" s="20" customFormat="1" ht="25.5" x14ac:dyDescent="0.2">
      <c r="A399" s="131"/>
      <c r="B399" s="1872"/>
      <c r="C399" s="1870">
        <v>1</v>
      </c>
      <c r="D399" s="1872">
        <v>0</v>
      </c>
      <c r="E399" s="1872" t="s">
        <v>2529</v>
      </c>
      <c r="F399" s="1661">
        <v>8488.4500000000007</v>
      </c>
      <c r="G399" s="1661">
        <v>7196.4</v>
      </c>
      <c r="H399" s="1661">
        <v>6993.4</v>
      </c>
      <c r="I399" s="1661">
        <f>H399*101.914%</f>
        <v>7127.2536759999994</v>
      </c>
      <c r="J399" s="2046">
        <f>I399*100.9539%</f>
        <v>7195.2405488153627</v>
      </c>
      <c r="K399" s="687" t="s">
        <v>2433</v>
      </c>
      <c r="L399" s="687"/>
      <c r="M399" s="688" t="s">
        <v>17</v>
      </c>
      <c r="N399" s="688">
        <v>22.5</v>
      </c>
      <c r="O399" s="688">
        <v>22.9</v>
      </c>
      <c r="P399" s="256">
        <v>23</v>
      </c>
      <c r="Q399" s="688">
        <v>23.1</v>
      </c>
      <c r="R399" s="688">
        <v>23.1</v>
      </c>
    </row>
    <row r="400" spans="1:18" s="20" customFormat="1" ht="38.25" x14ac:dyDescent="0.2">
      <c r="A400" s="131"/>
      <c r="B400" s="1873"/>
      <c r="C400" s="1871"/>
      <c r="D400" s="1873">
        <v>0</v>
      </c>
      <c r="E400" s="1873"/>
      <c r="F400" s="1661"/>
      <c r="G400" s="1661"/>
      <c r="H400" s="1661"/>
      <c r="I400" s="1661"/>
      <c r="J400" s="1852"/>
      <c r="K400" s="687" t="s">
        <v>2434</v>
      </c>
      <c r="L400" s="687"/>
      <c r="M400" s="688" t="s">
        <v>17</v>
      </c>
      <c r="N400" s="688">
        <v>0.5</v>
      </c>
      <c r="O400" s="688">
        <v>0.5</v>
      </c>
      <c r="P400" s="688">
        <v>0.5</v>
      </c>
      <c r="Q400" s="688">
        <v>0.5</v>
      </c>
      <c r="R400" s="688">
        <v>0.5</v>
      </c>
    </row>
    <row r="401" spans="1:18" s="20" customFormat="1" ht="25.5" x14ac:dyDescent="0.2">
      <c r="A401" s="131"/>
      <c r="B401" s="815"/>
      <c r="C401" s="257">
        <v>2</v>
      </c>
      <c r="D401" s="246">
        <v>0</v>
      </c>
      <c r="E401" s="768" t="s">
        <v>2530</v>
      </c>
      <c r="F401" s="1661"/>
      <c r="G401" s="1661"/>
      <c r="H401" s="1661"/>
      <c r="I401" s="1661"/>
      <c r="J401" s="1778"/>
      <c r="K401" s="687" t="s">
        <v>2435</v>
      </c>
      <c r="L401" s="687"/>
      <c r="M401" s="688" t="s">
        <v>520</v>
      </c>
      <c r="N401" s="688">
        <v>4</v>
      </c>
      <c r="O401" s="688">
        <v>4</v>
      </c>
      <c r="P401" s="688">
        <v>4</v>
      </c>
      <c r="Q401" s="688">
        <v>4</v>
      </c>
      <c r="R401" s="688">
        <v>4</v>
      </c>
    </row>
    <row r="402" spans="1:18" s="20" customFormat="1" ht="25.5" x14ac:dyDescent="0.2">
      <c r="A402" s="131"/>
      <c r="B402" s="815"/>
      <c r="C402" s="257">
        <v>3</v>
      </c>
      <c r="D402" s="246">
        <v>0</v>
      </c>
      <c r="E402" s="768" t="s">
        <v>2553</v>
      </c>
      <c r="F402" s="901">
        <v>2829.48</v>
      </c>
      <c r="G402" s="901">
        <v>2320.4</v>
      </c>
      <c r="H402" s="901">
        <v>2410.4</v>
      </c>
      <c r="I402" s="901">
        <f>H402*101.914%</f>
        <v>2456.5350559999997</v>
      </c>
      <c r="J402" s="901">
        <f>I402*100.9539%</f>
        <v>2479.9679438991834</v>
      </c>
      <c r="K402" s="687" t="s">
        <v>521</v>
      </c>
      <c r="L402" s="687"/>
      <c r="M402" s="688" t="s">
        <v>515</v>
      </c>
      <c r="N402" s="781">
        <v>700</v>
      </c>
      <c r="O402" s="781">
        <v>700</v>
      </c>
      <c r="P402" s="781">
        <v>800</v>
      </c>
      <c r="Q402" s="781">
        <v>900</v>
      </c>
      <c r="R402" s="781">
        <v>900</v>
      </c>
    </row>
    <row r="403" spans="1:18" s="20" customFormat="1" ht="38.25" x14ac:dyDescent="0.2">
      <c r="A403" s="131"/>
      <c r="B403" s="815"/>
      <c r="C403" s="257">
        <v>4</v>
      </c>
      <c r="D403" s="246">
        <v>0</v>
      </c>
      <c r="E403" s="768" t="s">
        <v>2554</v>
      </c>
      <c r="F403" s="901">
        <v>97924.42</v>
      </c>
      <c r="G403" s="901">
        <v>112281.1</v>
      </c>
      <c r="H403" s="901">
        <f>107060.9+3562.6+527.8</f>
        <v>111151.3</v>
      </c>
      <c r="I403" s="901">
        <f>H403*101.914%</f>
        <v>113278.73588199999</v>
      </c>
      <c r="J403" s="901">
        <f>I403*100.9539%</f>
        <v>114359.30174357838</v>
      </c>
      <c r="K403" s="687" t="s">
        <v>2432</v>
      </c>
      <c r="L403" s="687"/>
      <c r="M403" s="688" t="s">
        <v>522</v>
      </c>
      <c r="N403" s="688">
        <v>71</v>
      </c>
      <c r="O403" s="688">
        <v>71</v>
      </c>
      <c r="P403" s="688">
        <v>71</v>
      </c>
      <c r="Q403" s="688">
        <v>71</v>
      </c>
      <c r="R403" s="688">
        <v>71</v>
      </c>
    </row>
    <row r="404" spans="1:18" s="20" customFormat="1" ht="38.25" x14ac:dyDescent="0.2">
      <c r="A404" s="131"/>
      <c r="B404" s="867">
        <v>4</v>
      </c>
      <c r="C404" s="704"/>
      <c r="D404" s="752"/>
      <c r="E404" s="258" t="s">
        <v>2555</v>
      </c>
      <c r="F404" s="900">
        <v>6366.33</v>
      </c>
      <c r="G404" s="900">
        <f>G405</f>
        <v>5017.6000000000004</v>
      </c>
      <c r="H404" s="900">
        <f t="shared" ref="H404:J404" si="13">H405</f>
        <v>5285.4</v>
      </c>
      <c r="I404" s="900">
        <f t="shared" si="13"/>
        <v>5386.5625559999989</v>
      </c>
      <c r="J404" s="900">
        <f t="shared" si="13"/>
        <v>5437.9449762216827</v>
      </c>
      <c r="K404" s="682" t="s">
        <v>523</v>
      </c>
      <c r="L404" s="682"/>
      <c r="M404" s="690" t="s">
        <v>17</v>
      </c>
      <c r="N404" s="690" t="s">
        <v>524</v>
      </c>
      <c r="O404" s="690" t="s">
        <v>524</v>
      </c>
      <c r="P404" s="690" t="s">
        <v>524</v>
      </c>
      <c r="Q404" s="690" t="s">
        <v>524</v>
      </c>
      <c r="R404" s="690" t="s">
        <v>524</v>
      </c>
    </row>
    <row r="405" spans="1:18" s="20" customFormat="1" ht="25.5" x14ac:dyDescent="0.2">
      <c r="A405" s="131"/>
      <c r="B405" s="1874"/>
      <c r="C405" s="259">
        <v>1</v>
      </c>
      <c r="D405" s="260">
        <v>0</v>
      </c>
      <c r="E405" s="142" t="s">
        <v>2531</v>
      </c>
      <c r="F405" s="2046">
        <v>6366.33</v>
      </c>
      <c r="G405" s="2046">
        <v>5017.6000000000004</v>
      </c>
      <c r="H405" s="2046">
        <v>5285.4</v>
      </c>
      <c r="I405" s="2046">
        <f>H405*101.914%</f>
        <v>5386.5625559999989</v>
      </c>
      <c r="J405" s="2057">
        <f>I405*100.9539%</f>
        <v>5437.9449762216827</v>
      </c>
      <c r="K405" s="687"/>
      <c r="L405" s="687"/>
      <c r="M405" s="688"/>
      <c r="N405" s="688"/>
      <c r="O405" s="688"/>
      <c r="P405" s="688"/>
      <c r="Q405" s="688"/>
      <c r="R405" s="97"/>
    </row>
    <row r="406" spans="1:18" s="20" customFormat="1" ht="20.25" customHeight="1" x14ac:dyDescent="0.2">
      <c r="A406" s="131"/>
      <c r="B406" s="1868"/>
      <c r="C406" s="1877"/>
      <c r="D406" s="2054"/>
      <c r="E406" s="2056"/>
      <c r="F406" s="1852"/>
      <c r="G406" s="1852"/>
      <c r="H406" s="1852"/>
      <c r="I406" s="1852"/>
      <c r="J406" s="2058"/>
      <c r="K406" s="244" t="s">
        <v>525</v>
      </c>
      <c r="L406" s="244"/>
      <c r="M406" s="688" t="s">
        <v>526</v>
      </c>
      <c r="N406" s="688">
        <v>0</v>
      </c>
      <c r="O406" s="688">
        <v>0</v>
      </c>
      <c r="P406" s="688">
        <v>0</v>
      </c>
      <c r="Q406" s="688">
        <v>0</v>
      </c>
      <c r="R406" s="688">
        <v>1</v>
      </c>
    </row>
    <row r="407" spans="1:18" s="20" customFormat="1" ht="25.5" hidden="1" x14ac:dyDescent="0.2">
      <c r="A407" s="131"/>
      <c r="B407" s="1869"/>
      <c r="C407" s="1877"/>
      <c r="D407" s="2054"/>
      <c r="E407" s="2056"/>
      <c r="F407" s="1852"/>
      <c r="G407" s="1852"/>
      <c r="H407" s="1852"/>
      <c r="I407" s="1852"/>
      <c r="J407" s="2058"/>
      <c r="K407" s="687" t="s">
        <v>527</v>
      </c>
      <c r="L407" s="687"/>
      <c r="M407" s="688" t="s">
        <v>17</v>
      </c>
      <c r="N407" s="688" t="s">
        <v>528</v>
      </c>
      <c r="O407" s="688" t="s">
        <v>528</v>
      </c>
      <c r="P407" s="688" t="s">
        <v>528</v>
      </c>
      <c r="Q407" s="688" t="s">
        <v>528</v>
      </c>
      <c r="R407" s="688" t="s">
        <v>528</v>
      </c>
    </row>
    <row r="408" spans="1:18" s="20" customFormat="1" x14ac:dyDescent="0.2">
      <c r="A408" s="131"/>
      <c r="B408" s="1875"/>
      <c r="C408" s="1875">
        <v>2</v>
      </c>
      <c r="D408" s="2052">
        <v>0</v>
      </c>
      <c r="E408" s="1905" t="s">
        <v>2532</v>
      </c>
      <c r="F408" s="1852"/>
      <c r="G408" s="1852"/>
      <c r="H408" s="1852"/>
      <c r="I408" s="1852"/>
      <c r="J408" s="2058"/>
      <c r="K408" s="687" t="s">
        <v>529</v>
      </c>
      <c r="L408" s="687"/>
      <c r="M408" s="688" t="s">
        <v>17</v>
      </c>
      <c r="N408" s="688">
        <v>100</v>
      </c>
      <c r="O408" s="688">
        <v>100</v>
      </c>
      <c r="P408" s="688">
        <v>100</v>
      </c>
      <c r="Q408" s="688">
        <v>100</v>
      </c>
      <c r="R408" s="688">
        <v>101</v>
      </c>
    </row>
    <row r="409" spans="1:18" s="20" customFormat="1" ht="38.25" x14ac:dyDescent="0.2">
      <c r="A409" s="131"/>
      <c r="B409" s="1875"/>
      <c r="C409" s="1875"/>
      <c r="D409" s="2052"/>
      <c r="E409" s="1905"/>
      <c r="F409" s="1852"/>
      <c r="G409" s="1852"/>
      <c r="H409" s="1852"/>
      <c r="I409" s="1852"/>
      <c r="J409" s="2058"/>
      <c r="K409" s="687" t="s">
        <v>530</v>
      </c>
      <c r="L409" s="687"/>
      <c r="M409" s="688" t="s">
        <v>531</v>
      </c>
      <c r="N409" s="688" t="s">
        <v>532</v>
      </c>
      <c r="O409" s="688" t="s">
        <v>532</v>
      </c>
      <c r="P409" s="688" t="s">
        <v>532</v>
      </c>
      <c r="Q409" s="688" t="s">
        <v>532</v>
      </c>
      <c r="R409" s="688" t="s">
        <v>532</v>
      </c>
    </row>
    <row r="410" spans="1:18" s="20" customFormat="1" ht="25.5" x14ac:dyDescent="0.2">
      <c r="A410" s="131"/>
      <c r="B410" s="1875"/>
      <c r="C410" s="1875"/>
      <c r="D410" s="2052"/>
      <c r="E410" s="1905"/>
      <c r="F410" s="1852"/>
      <c r="G410" s="1852"/>
      <c r="H410" s="1852"/>
      <c r="I410" s="1852"/>
      <c r="J410" s="2059"/>
      <c r="K410" s="244" t="s">
        <v>533</v>
      </c>
      <c r="L410" s="244"/>
      <c r="M410" s="688" t="s">
        <v>526</v>
      </c>
      <c r="N410" s="688">
        <v>0</v>
      </c>
      <c r="O410" s="688">
        <v>0</v>
      </c>
      <c r="P410" s="688">
        <v>0</v>
      </c>
      <c r="Q410" s="688">
        <v>0</v>
      </c>
      <c r="R410" s="688">
        <v>0</v>
      </c>
    </row>
    <row r="411" spans="1:18" s="20" customFormat="1" ht="63.75" x14ac:dyDescent="0.2">
      <c r="A411" s="131"/>
      <c r="B411" s="867">
        <v>5</v>
      </c>
      <c r="C411" s="748"/>
      <c r="D411" s="749"/>
      <c r="E411" s="245" t="s">
        <v>2556</v>
      </c>
      <c r="F411" s="902">
        <v>141729.13</v>
      </c>
      <c r="G411" s="902">
        <f>G412</f>
        <v>130373.9</v>
      </c>
      <c r="H411" s="902">
        <f t="shared" ref="H411:J411" si="14">H412</f>
        <v>131213.29999999999</v>
      </c>
      <c r="I411" s="902">
        <f t="shared" si="14"/>
        <v>133724.72256199998</v>
      </c>
      <c r="J411" s="902">
        <f t="shared" si="14"/>
        <v>135000.32269051889</v>
      </c>
      <c r="K411" s="687" t="s">
        <v>534</v>
      </c>
      <c r="L411" s="687"/>
      <c r="M411" s="688" t="s">
        <v>17</v>
      </c>
      <c r="N411" s="688">
        <v>100</v>
      </c>
      <c r="O411" s="688">
        <v>100</v>
      </c>
      <c r="P411" s="688">
        <v>100</v>
      </c>
      <c r="Q411" s="688">
        <v>100</v>
      </c>
      <c r="R411" s="688">
        <v>100</v>
      </c>
    </row>
    <row r="412" spans="1:18" s="20" customFormat="1" ht="38.25" x14ac:dyDescent="0.2">
      <c r="A412" s="131"/>
      <c r="B412" s="1876"/>
      <c r="C412" s="1876">
        <v>1</v>
      </c>
      <c r="D412" s="2049">
        <v>0</v>
      </c>
      <c r="E412" s="1878" t="s">
        <v>2533</v>
      </c>
      <c r="F412" s="2046">
        <v>141729.13</v>
      </c>
      <c r="G412" s="2046">
        <f>22886.4+107487.5</f>
        <v>130373.9</v>
      </c>
      <c r="H412" s="2046">
        <f>129707+1311.9+194.4</f>
        <v>131213.29999999999</v>
      </c>
      <c r="I412" s="2046">
        <f>H412*101.914%</f>
        <v>133724.72256199998</v>
      </c>
      <c r="J412" s="2046">
        <f>I412*100.9539%</f>
        <v>135000.32269051889</v>
      </c>
      <c r="K412" s="687" t="s">
        <v>535</v>
      </c>
      <c r="L412" s="687"/>
      <c r="M412" s="688" t="s">
        <v>17</v>
      </c>
      <c r="N412" s="688">
        <v>100</v>
      </c>
      <c r="O412" s="688">
        <v>100</v>
      </c>
      <c r="P412" s="688">
        <v>100</v>
      </c>
      <c r="Q412" s="688">
        <v>100</v>
      </c>
      <c r="R412" s="688">
        <v>100</v>
      </c>
    </row>
    <row r="413" spans="1:18" s="20" customFormat="1" ht="38.25" x14ac:dyDescent="0.2">
      <c r="A413" s="131"/>
      <c r="B413" s="1877"/>
      <c r="C413" s="1877"/>
      <c r="D413" s="2054"/>
      <c r="E413" s="1879"/>
      <c r="F413" s="1852"/>
      <c r="G413" s="1852"/>
      <c r="H413" s="1852"/>
      <c r="I413" s="1852"/>
      <c r="J413" s="1852"/>
      <c r="K413" s="687" t="s">
        <v>536</v>
      </c>
      <c r="L413" s="687"/>
      <c r="M413" s="688" t="s">
        <v>17</v>
      </c>
      <c r="N413" s="688">
        <v>100</v>
      </c>
      <c r="O413" s="688">
        <v>100</v>
      </c>
      <c r="P413" s="688">
        <v>100</v>
      </c>
      <c r="Q413" s="688">
        <v>100</v>
      </c>
      <c r="R413" s="688">
        <v>100</v>
      </c>
    </row>
    <row r="414" spans="1:18" s="20" customFormat="1" ht="25.5" x14ac:dyDescent="0.2">
      <c r="A414" s="131"/>
      <c r="B414" s="815"/>
      <c r="C414" s="703">
        <v>2</v>
      </c>
      <c r="D414" s="751">
        <v>0</v>
      </c>
      <c r="E414" s="681" t="s">
        <v>2534</v>
      </c>
      <c r="F414" s="1852"/>
      <c r="G414" s="1852"/>
      <c r="H414" s="1852"/>
      <c r="I414" s="1852"/>
      <c r="J414" s="1852"/>
      <c r="K414" s="681" t="s">
        <v>537</v>
      </c>
      <c r="L414" s="681"/>
      <c r="M414" s="688" t="s">
        <v>17</v>
      </c>
      <c r="N414" s="689">
        <v>103</v>
      </c>
      <c r="O414" s="689">
        <v>103</v>
      </c>
      <c r="P414" s="689">
        <v>103</v>
      </c>
      <c r="Q414" s="689">
        <v>103</v>
      </c>
      <c r="R414" s="689">
        <v>103</v>
      </c>
    </row>
    <row r="415" spans="1:18" s="20" customFormat="1" ht="38.25" x14ac:dyDescent="0.2">
      <c r="A415" s="131"/>
      <c r="B415" s="1878"/>
      <c r="C415" s="1876">
        <v>3</v>
      </c>
      <c r="D415" s="2049">
        <v>0</v>
      </c>
      <c r="E415" s="1878" t="s">
        <v>2535</v>
      </c>
      <c r="F415" s="1852"/>
      <c r="G415" s="1852"/>
      <c r="H415" s="1852"/>
      <c r="I415" s="1852"/>
      <c r="J415" s="1852"/>
      <c r="K415" s="687" t="s">
        <v>538</v>
      </c>
      <c r="L415" s="687"/>
      <c r="M415" s="688" t="s">
        <v>539</v>
      </c>
      <c r="N415" s="688" t="s">
        <v>540</v>
      </c>
      <c r="O415" s="688" t="s">
        <v>540</v>
      </c>
      <c r="P415" s="688" t="s">
        <v>540</v>
      </c>
      <c r="Q415" s="688" t="s">
        <v>540</v>
      </c>
      <c r="R415" s="688" t="s">
        <v>541</v>
      </c>
    </row>
    <row r="416" spans="1:18" s="20" customFormat="1" ht="25.5" x14ac:dyDescent="0.2">
      <c r="A416" s="131"/>
      <c r="B416" s="1879"/>
      <c r="C416" s="1877"/>
      <c r="D416" s="2054"/>
      <c r="E416" s="1879"/>
      <c r="F416" s="1852"/>
      <c r="G416" s="1852"/>
      <c r="H416" s="1852"/>
      <c r="I416" s="1852"/>
      <c r="J416" s="1852"/>
      <c r="K416" s="687" t="s">
        <v>542</v>
      </c>
      <c r="L416" s="687"/>
      <c r="M416" s="688" t="s">
        <v>539</v>
      </c>
      <c r="N416" s="688" t="s">
        <v>543</v>
      </c>
      <c r="O416" s="688" t="s">
        <v>543</v>
      </c>
      <c r="P416" s="688" t="s">
        <v>543</v>
      </c>
      <c r="Q416" s="688" t="s">
        <v>543</v>
      </c>
      <c r="R416" s="688" t="s">
        <v>543</v>
      </c>
    </row>
    <row r="417" spans="1:18" s="20" customFormat="1" ht="38.25" x14ac:dyDescent="0.2">
      <c r="A417" s="131"/>
      <c r="B417" s="1880"/>
      <c r="C417" s="2053"/>
      <c r="D417" s="2050"/>
      <c r="E417" s="1880"/>
      <c r="F417" s="1852"/>
      <c r="G417" s="1852"/>
      <c r="H417" s="1852"/>
      <c r="I417" s="1852"/>
      <c r="J417" s="1852"/>
      <c r="K417" s="687" t="s">
        <v>544</v>
      </c>
      <c r="L417" s="687"/>
      <c r="M417" s="688" t="s">
        <v>539</v>
      </c>
      <c r="N417" s="688" t="s">
        <v>545</v>
      </c>
      <c r="O417" s="688" t="s">
        <v>545</v>
      </c>
      <c r="P417" s="688" t="s">
        <v>545</v>
      </c>
      <c r="Q417" s="688" t="s">
        <v>545</v>
      </c>
      <c r="R417" s="688" t="s">
        <v>545</v>
      </c>
    </row>
    <row r="418" spans="1:18" s="20" customFormat="1" ht="63.75" x14ac:dyDescent="0.2">
      <c r="A418" s="131"/>
      <c r="B418" s="815"/>
      <c r="C418" s="703">
        <v>4</v>
      </c>
      <c r="D418" s="751">
        <v>0</v>
      </c>
      <c r="E418" s="768" t="s">
        <v>2536</v>
      </c>
      <c r="F418" s="1778"/>
      <c r="G418" s="1778"/>
      <c r="H418" s="1778"/>
      <c r="I418" s="1778"/>
      <c r="J418" s="1778"/>
      <c r="K418" s="687" t="s">
        <v>546</v>
      </c>
      <c r="L418" s="687"/>
      <c r="M418" s="688" t="s">
        <v>17</v>
      </c>
      <c r="N418" s="688">
        <v>100</v>
      </c>
      <c r="O418" s="688">
        <v>100</v>
      </c>
      <c r="P418" s="688">
        <v>100</v>
      </c>
      <c r="Q418" s="688">
        <v>100</v>
      </c>
      <c r="R418" s="688">
        <v>101</v>
      </c>
    </row>
    <row r="419" spans="1:18" s="20" customFormat="1" ht="76.5" x14ac:dyDescent="0.2">
      <c r="A419" s="131"/>
      <c r="B419" s="532">
        <v>6</v>
      </c>
      <c r="C419" s="748"/>
      <c r="D419" s="749"/>
      <c r="E419" s="245" t="s">
        <v>2557</v>
      </c>
      <c r="F419" s="902">
        <v>23831.5</v>
      </c>
      <c r="G419" s="902">
        <f>G420</f>
        <v>12431.5</v>
      </c>
      <c r="H419" s="902">
        <f t="shared" ref="H419:I419" si="15">H420</f>
        <v>10093.799999999999</v>
      </c>
      <c r="I419" s="902">
        <f t="shared" si="15"/>
        <v>10286.995331999999</v>
      </c>
      <c r="J419" s="902">
        <f>J420</f>
        <v>10385.122980471946</v>
      </c>
      <c r="K419" s="768" t="s">
        <v>547</v>
      </c>
      <c r="L419" s="768"/>
      <c r="M419" s="688" t="s">
        <v>17</v>
      </c>
      <c r="N419" s="688">
        <v>100</v>
      </c>
      <c r="O419" s="688"/>
      <c r="P419" s="688"/>
      <c r="Q419" s="688"/>
      <c r="R419" s="97"/>
    </row>
    <row r="420" spans="1:18" s="20" customFormat="1" ht="47.25" customHeight="1" x14ac:dyDescent="0.2">
      <c r="A420" s="131"/>
      <c r="B420" s="1881"/>
      <c r="C420" s="1881">
        <v>1</v>
      </c>
      <c r="D420" s="2055">
        <v>0</v>
      </c>
      <c r="E420" s="1878" t="s">
        <v>2537</v>
      </c>
      <c r="F420" s="2046">
        <v>23831.5</v>
      </c>
      <c r="G420" s="2046">
        <v>12431.5</v>
      </c>
      <c r="H420" s="2046">
        <v>10093.799999999999</v>
      </c>
      <c r="I420" s="2046">
        <f>H420*101.914%</f>
        <v>10286.995331999999</v>
      </c>
      <c r="J420" s="2046">
        <f>I420*100.9539%</f>
        <v>10385.122980471946</v>
      </c>
      <c r="K420" s="768" t="s">
        <v>548</v>
      </c>
      <c r="L420" s="758"/>
      <c r="M420" s="689" t="s">
        <v>31</v>
      </c>
      <c r="N420" s="689">
        <v>440</v>
      </c>
      <c r="O420" s="689"/>
      <c r="P420" s="689"/>
      <c r="Q420" s="689"/>
      <c r="R420" s="97"/>
    </row>
    <row r="421" spans="1:18" s="20" customFormat="1" ht="25.5" x14ac:dyDescent="0.2">
      <c r="A421" s="131"/>
      <c r="B421" s="1881"/>
      <c r="C421" s="1881"/>
      <c r="D421" s="2055"/>
      <c r="E421" s="1879"/>
      <c r="F421" s="1852"/>
      <c r="G421" s="1852"/>
      <c r="H421" s="1852"/>
      <c r="I421" s="1852"/>
      <c r="J421" s="1852"/>
      <c r="K421" s="758" t="s">
        <v>549</v>
      </c>
      <c r="L421" s="758"/>
      <c r="M421" s="688" t="s">
        <v>17</v>
      </c>
      <c r="N421" s="688">
        <v>80</v>
      </c>
      <c r="O421" s="688"/>
      <c r="P421" s="688"/>
      <c r="Q421" s="688"/>
      <c r="R421" s="97"/>
    </row>
    <row r="422" spans="1:18" s="20" customFormat="1" x14ac:dyDescent="0.2">
      <c r="A422" s="131"/>
      <c r="B422" s="1881"/>
      <c r="C422" s="1881"/>
      <c r="D422" s="2055"/>
      <c r="E422" s="1880"/>
      <c r="F422" s="1852"/>
      <c r="G422" s="1852"/>
      <c r="H422" s="1852"/>
      <c r="I422" s="1852"/>
      <c r="J422" s="1852"/>
      <c r="K422" s="758" t="s">
        <v>550</v>
      </c>
      <c r="L422" s="758"/>
      <c r="M422" s="688" t="s">
        <v>551</v>
      </c>
      <c r="N422" s="256">
        <v>1480</v>
      </c>
      <c r="O422" s="688"/>
      <c r="P422" s="688"/>
      <c r="Q422" s="688"/>
      <c r="R422" s="97"/>
    </row>
    <row r="423" spans="1:18" s="20" customFormat="1" ht="38.25" x14ac:dyDescent="0.2">
      <c r="A423" s="131"/>
      <c r="B423" s="756"/>
      <c r="C423" s="756">
        <v>2</v>
      </c>
      <c r="D423" s="757">
        <v>0</v>
      </c>
      <c r="E423" s="768" t="s">
        <v>2538</v>
      </c>
      <c r="F423" s="1852"/>
      <c r="G423" s="1852"/>
      <c r="H423" s="1852"/>
      <c r="I423" s="1852"/>
      <c r="J423" s="1852"/>
      <c r="K423" s="758" t="s">
        <v>552</v>
      </c>
      <c r="L423" s="758"/>
      <c r="M423" s="688" t="s">
        <v>551</v>
      </c>
      <c r="N423" s="688">
        <v>2340</v>
      </c>
      <c r="O423" s="688">
        <v>2380</v>
      </c>
      <c r="P423" s="688">
        <v>2420</v>
      </c>
      <c r="Q423" s="688">
        <v>2460</v>
      </c>
      <c r="R423" s="688">
        <v>2460</v>
      </c>
    </row>
    <row r="424" spans="1:18" s="20" customFormat="1" ht="38.25" x14ac:dyDescent="0.2">
      <c r="A424" s="131"/>
      <c r="B424" s="815"/>
      <c r="C424" s="261">
        <v>3</v>
      </c>
      <c r="D424" s="262">
        <v>0</v>
      </c>
      <c r="E424" s="768" t="s">
        <v>2539</v>
      </c>
      <c r="F424" s="1778"/>
      <c r="G424" s="1778"/>
      <c r="H424" s="1778"/>
      <c r="I424" s="1778"/>
      <c r="J424" s="1778"/>
      <c r="K424" s="768" t="s">
        <v>547</v>
      </c>
      <c r="L424" s="768"/>
      <c r="M424" s="688" t="s">
        <v>17</v>
      </c>
      <c r="N424" s="688">
        <v>100</v>
      </c>
      <c r="O424" s="688"/>
      <c r="P424" s="688"/>
      <c r="Q424" s="688"/>
      <c r="R424" s="97"/>
    </row>
    <row r="425" spans="1:18" s="20" customFormat="1" ht="51" x14ac:dyDescent="0.2">
      <c r="A425" s="131"/>
      <c r="B425" s="532">
        <v>7</v>
      </c>
      <c r="C425" s="748"/>
      <c r="D425" s="749"/>
      <c r="E425" s="245" t="s">
        <v>2855</v>
      </c>
      <c r="F425" s="902">
        <v>22175.739999999998</v>
      </c>
      <c r="G425" s="902">
        <f>G426+G427+G428+G429</f>
        <v>20145.7</v>
      </c>
      <c r="H425" s="902">
        <f t="shared" ref="H425:J425" si="16">H426+H427+H428+H429</f>
        <v>20457.7</v>
      </c>
      <c r="I425" s="902">
        <f t="shared" si="16"/>
        <v>20849.260377999999</v>
      </c>
      <c r="J425" s="902">
        <f t="shared" si="16"/>
        <v>21048.141472745741</v>
      </c>
      <c r="K425" s="687" t="s">
        <v>2430</v>
      </c>
      <c r="L425" s="687"/>
      <c r="M425" s="688" t="s">
        <v>163</v>
      </c>
      <c r="N425" s="688" t="s">
        <v>553</v>
      </c>
      <c r="O425" s="688" t="s">
        <v>554</v>
      </c>
      <c r="P425" s="688" t="s">
        <v>554</v>
      </c>
      <c r="Q425" s="688" t="s">
        <v>554</v>
      </c>
      <c r="R425" s="688" t="s">
        <v>555</v>
      </c>
    </row>
    <row r="426" spans="1:18" s="20" customFormat="1" x14ac:dyDescent="0.2">
      <c r="A426" s="131"/>
      <c r="B426" s="815"/>
      <c r="C426" s="257">
        <v>1</v>
      </c>
      <c r="D426" s="255">
        <v>0</v>
      </c>
      <c r="E426" s="758" t="s">
        <v>2540</v>
      </c>
      <c r="F426" s="901">
        <v>4244.22</v>
      </c>
      <c r="G426" s="901">
        <v>4544.3999999999996</v>
      </c>
      <c r="H426" s="901">
        <v>3539.4</v>
      </c>
      <c r="I426" s="901">
        <f>H426*101.914%</f>
        <v>3607.1441159999999</v>
      </c>
      <c r="J426" s="901">
        <f>I426*100.9539%</f>
        <v>3641.5526637225239</v>
      </c>
      <c r="K426" s="687" t="s">
        <v>2431</v>
      </c>
      <c r="L426" s="687"/>
      <c r="M426" s="688" t="s">
        <v>556</v>
      </c>
      <c r="N426" s="688">
        <v>1460</v>
      </c>
      <c r="O426" s="688">
        <v>1491</v>
      </c>
      <c r="P426" s="688">
        <v>1492</v>
      </c>
      <c r="Q426" s="688">
        <v>1471</v>
      </c>
      <c r="R426" s="688">
        <v>1472</v>
      </c>
    </row>
    <row r="427" spans="1:18" s="20" customFormat="1" ht="25.5" x14ac:dyDescent="0.2">
      <c r="A427" s="131"/>
      <c r="B427" s="815"/>
      <c r="C427" s="263">
        <v>2</v>
      </c>
      <c r="D427" s="255">
        <v>0</v>
      </c>
      <c r="E427" s="758" t="s">
        <v>2541</v>
      </c>
      <c r="F427" s="901">
        <v>707.37</v>
      </c>
      <c r="G427" s="901">
        <v>639.29999999999995</v>
      </c>
      <c r="H427" s="901">
        <v>531</v>
      </c>
      <c r="I427" s="901">
        <f>H427*101.914%</f>
        <v>541.16333999999995</v>
      </c>
      <c r="J427" s="901">
        <f>I427*100.9539%</f>
        <v>546.32549710025989</v>
      </c>
      <c r="K427" s="687" t="s">
        <v>2430</v>
      </c>
      <c r="L427" s="687"/>
      <c r="M427" s="688" t="s">
        <v>163</v>
      </c>
      <c r="N427" s="688" t="s">
        <v>553</v>
      </c>
      <c r="O427" s="688" t="s">
        <v>554</v>
      </c>
      <c r="P427" s="688" t="s">
        <v>554</v>
      </c>
      <c r="Q427" s="688" t="s">
        <v>554</v>
      </c>
      <c r="R427" s="688" t="s">
        <v>555</v>
      </c>
    </row>
    <row r="428" spans="1:18" s="20" customFormat="1" ht="25.5" x14ac:dyDescent="0.2">
      <c r="A428" s="131"/>
      <c r="B428" s="815"/>
      <c r="C428" s="263">
        <v>3</v>
      </c>
      <c r="D428" s="255">
        <v>0</v>
      </c>
      <c r="E428" s="758" t="s">
        <v>2542</v>
      </c>
      <c r="F428" s="901">
        <v>13687.3</v>
      </c>
      <c r="G428" s="901">
        <v>12074.2</v>
      </c>
      <c r="H428" s="901">
        <v>13346.2</v>
      </c>
      <c r="I428" s="901">
        <f>H428*101.914%</f>
        <v>13601.646268</v>
      </c>
      <c r="J428" s="901">
        <f>I428*100.9539%</f>
        <v>13731.392371750451</v>
      </c>
      <c r="K428" s="687" t="s">
        <v>557</v>
      </c>
      <c r="L428" s="687"/>
      <c r="M428" s="688"/>
      <c r="N428" s="688">
        <v>5</v>
      </c>
      <c r="O428" s="688">
        <v>5</v>
      </c>
      <c r="P428" s="688">
        <v>5</v>
      </c>
      <c r="Q428" s="688">
        <v>5</v>
      </c>
      <c r="R428" s="688">
        <v>5</v>
      </c>
    </row>
    <row r="429" spans="1:18" s="20" customFormat="1" ht="25.5" x14ac:dyDescent="0.2">
      <c r="A429" s="131"/>
      <c r="B429" s="815"/>
      <c r="C429" s="257">
        <v>4</v>
      </c>
      <c r="D429" s="255">
        <v>0</v>
      </c>
      <c r="E429" s="758" t="s">
        <v>2543</v>
      </c>
      <c r="F429" s="901">
        <v>3536.85</v>
      </c>
      <c r="G429" s="901">
        <v>2887.8</v>
      </c>
      <c r="H429" s="901">
        <v>3041.1</v>
      </c>
      <c r="I429" s="901">
        <f>H429*101.914%</f>
        <v>3099.3066539999995</v>
      </c>
      <c r="J429" s="901">
        <f>I429*100.9539%</f>
        <v>3128.8709401725055</v>
      </c>
      <c r="K429" s="687" t="s">
        <v>558</v>
      </c>
      <c r="L429" s="687"/>
      <c r="M429" s="688" t="s">
        <v>517</v>
      </c>
      <c r="N429" s="688">
        <v>11</v>
      </c>
      <c r="O429" s="688">
        <v>16</v>
      </c>
      <c r="P429" s="688">
        <v>16</v>
      </c>
      <c r="Q429" s="688">
        <v>16</v>
      </c>
      <c r="R429" s="688">
        <v>16</v>
      </c>
    </row>
    <row r="430" spans="1:18" s="20" customFormat="1" ht="63.75" x14ac:dyDescent="0.2">
      <c r="A430" s="131"/>
      <c r="B430" s="532">
        <v>8</v>
      </c>
      <c r="C430" s="748"/>
      <c r="D430" s="749"/>
      <c r="E430" s="245" t="s">
        <v>2558</v>
      </c>
      <c r="F430" s="902">
        <v>15991.57</v>
      </c>
      <c r="G430" s="902">
        <f>G431+G432+G434+G439</f>
        <v>16330.3</v>
      </c>
      <c r="H430" s="902">
        <f t="shared" ref="H430:J430" si="17">H431+H432+H434+H439</f>
        <v>14447.9</v>
      </c>
      <c r="I430" s="902">
        <f t="shared" si="17"/>
        <v>14724.432805999997</v>
      </c>
      <c r="J430" s="902">
        <f t="shared" si="17"/>
        <v>14864.889170536433</v>
      </c>
      <c r="K430" s="687"/>
      <c r="L430" s="687"/>
      <c r="M430" s="688"/>
      <c r="N430" s="688"/>
      <c r="O430" s="688"/>
      <c r="P430" s="688"/>
      <c r="Q430" s="688"/>
      <c r="R430" s="688"/>
    </row>
    <row r="431" spans="1:18" s="20" customFormat="1" ht="38.25" x14ac:dyDescent="0.2">
      <c r="A431" s="131"/>
      <c r="B431" s="815"/>
      <c r="C431" s="257">
        <v>1</v>
      </c>
      <c r="D431" s="255">
        <v>0</v>
      </c>
      <c r="E431" s="758" t="s">
        <v>2544</v>
      </c>
      <c r="F431" s="901">
        <v>2122.11</v>
      </c>
      <c r="G431" s="901">
        <v>2153.8000000000002</v>
      </c>
      <c r="H431" s="901">
        <v>2174</v>
      </c>
      <c r="I431" s="901">
        <f>H431*101.914%</f>
        <v>2215.6103599999997</v>
      </c>
      <c r="J431" s="901">
        <f>I431*100.9539%</f>
        <v>2236.7450672240398</v>
      </c>
      <c r="K431" s="687" t="s">
        <v>559</v>
      </c>
      <c r="L431" s="687"/>
      <c r="M431" s="688" t="s">
        <v>560</v>
      </c>
      <c r="N431" s="688">
        <v>4</v>
      </c>
      <c r="O431" s="688">
        <v>1</v>
      </c>
      <c r="P431" s="688">
        <v>1</v>
      </c>
      <c r="Q431" s="688">
        <v>1</v>
      </c>
      <c r="R431" s="688">
        <v>1</v>
      </c>
    </row>
    <row r="432" spans="1:18" s="20" customFormat="1" x14ac:dyDescent="0.2">
      <c r="A432" s="131"/>
      <c r="B432" s="1874"/>
      <c r="C432" s="1882">
        <v>2</v>
      </c>
      <c r="D432" s="2049">
        <v>0</v>
      </c>
      <c r="E432" s="1878" t="s">
        <v>2545</v>
      </c>
      <c r="F432" s="2046">
        <v>2829.48</v>
      </c>
      <c r="G432" s="2046">
        <v>2527.5</v>
      </c>
      <c r="H432" s="2046">
        <v>2445.5</v>
      </c>
      <c r="I432" s="2046">
        <f>H432*101.914%</f>
        <v>2492.3068699999999</v>
      </c>
      <c r="J432" s="2046">
        <f>I432*100.9539%</f>
        <v>2516.0809852329298</v>
      </c>
      <c r="K432" s="687" t="s">
        <v>2439</v>
      </c>
      <c r="L432" s="687"/>
      <c r="M432" s="688" t="s">
        <v>560</v>
      </c>
      <c r="N432" s="688">
        <v>3</v>
      </c>
      <c r="O432" s="688">
        <v>3</v>
      </c>
      <c r="P432" s="688">
        <v>3</v>
      </c>
      <c r="Q432" s="688">
        <v>3</v>
      </c>
      <c r="R432" s="688">
        <v>3</v>
      </c>
    </row>
    <row r="433" spans="1:18" s="20" customFormat="1" ht="25.5" x14ac:dyDescent="0.2">
      <c r="A433" s="131"/>
      <c r="B433" s="1869"/>
      <c r="C433" s="1883"/>
      <c r="D433" s="2050"/>
      <c r="E433" s="1880"/>
      <c r="F433" s="1778"/>
      <c r="G433" s="1778"/>
      <c r="H433" s="1778"/>
      <c r="I433" s="1778"/>
      <c r="J433" s="1778"/>
      <c r="K433" s="682" t="s">
        <v>2440</v>
      </c>
      <c r="L433" s="682"/>
      <c r="M433" s="690" t="s">
        <v>17</v>
      </c>
      <c r="N433" s="264">
        <v>1</v>
      </c>
      <c r="O433" s="264">
        <v>1</v>
      </c>
      <c r="P433" s="264">
        <v>1</v>
      </c>
      <c r="Q433" s="264">
        <v>1</v>
      </c>
      <c r="R433" s="264">
        <v>1</v>
      </c>
    </row>
    <row r="434" spans="1:18" s="20" customFormat="1" x14ac:dyDescent="0.2">
      <c r="A434" s="131"/>
      <c r="B434" s="815"/>
      <c r="C434" s="257">
        <v>3</v>
      </c>
      <c r="D434" s="255">
        <v>0</v>
      </c>
      <c r="E434" s="768" t="s">
        <v>2546</v>
      </c>
      <c r="F434" s="1661">
        <v>3258.9</v>
      </c>
      <c r="G434" s="1661">
        <v>4872</v>
      </c>
      <c r="H434" s="1661">
        <v>3600</v>
      </c>
      <c r="I434" s="1661">
        <f>H434*101.914%</f>
        <v>3668.9039999999995</v>
      </c>
      <c r="J434" s="2046">
        <f>I434*100.9539%</f>
        <v>3703.9016752559992</v>
      </c>
      <c r="K434" s="1878" t="s">
        <v>2441</v>
      </c>
      <c r="L434" s="681"/>
      <c r="M434" s="2048"/>
      <c r="N434" s="2048" t="s">
        <v>561</v>
      </c>
      <c r="O434" s="2048" t="s">
        <v>561</v>
      </c>
      <c r="P434" s="2048" t="s">
        <v>561</v>
      </c>
      <c r="Q434" s="2048" t="s">
        <v>561</v>
      </c>
      <c r="R434" s="2048" t="s">
        <v>561</v>
      </c>
    </row>
    <row r="435" spans="1:18" s="20" customFormat="1" ht="25.5" x14ac:dyDescent="0.2">
      <c r="A435" s="131"/>
      <c r="B435" s="815"/>
      <c r="C435" s="754">
        <v>4</v>
      </c>
      <c r="D435" s="255">
        <v>0</v>
      </c>
      <c r="E435" s="265" t="s">
        <v>2547</v>
      </c>
      <c r="F435" s="1661"/>
      <c r="G435" s="1661"/>
      <c r="H435" s="1661"/>
      <c r="I435" s="1661"/>
      <c r="J435" s="1852"/>
      <c r="K435" s="1880"/>
      <c r="L435" s="682"/>
      <c r="M435" s="1806"/>
      <c r="N435" s="1806"/>
      <c r="O435" s="1806"/>
      <c r="P435" s="1806"/>
      <c r="Q435" s="1806"/>
      <c r="R435" s="1806"/>
    </row>
    <row r="436" spans="1:18" s="20" customFormat="1" ht="38.25" x14ac:dyDescent="0.2">
      <c r="A436" s="131"/>
      <c r="B436" s="1874"/>
      <c r="C436" s="1870">
        <v>5</v>
      </c>
      <c r="D436" s="2052">
        <v>0</v>
      </c>
      <c r="E436" s="1905" t="s">
        <v>2548</v>
      </c>
      <c r="F436" s="1661"/>
      <c r="G436" s="1661"/>
      <c r="H436" s="1661"/>
      <c r="I436" s="1661"/>
      <c r="J436" s="1852"/>
      <c r="K436" s="687" t="s">
        <v>562</v>
      </c>
      <c r="L436" s="687"/>
      <c r="M436" s="688"/>
      <c r="N436" s="688">
        <v>100</v>
      </c>
      <c r="O436" s="688">
        <v>100</v>
      </c>
      <c r="P436" s="688">
        <v>100</v>
      </c>
      <c r="Q436" s="688">
        <v>100</v>
      </c>
      <c r="R436" s="688">
        <v>101</v>
      </c>
    </row>
    <row r="437" spans="1:18" s="20" customFormat="1" ht="38.25" x14ac:dyDescent="0.2">
      <c r="A437" s="131"/>
      <c r="B437" s="1868"/>
      <c r="C437" s="2051"/>
      <c r="D437" s="2052"/>
      <c r="E437" s="1905"/>
      <c r="F437" s="1661"/>
      <c r="G437" s="1661"/>
      <c r="H437" s="1661"/>
      <c r="I437" s="1661"/>
      <c r="J437" s="1852"/>
      <c r="K437" s="687" t="s">
        <v>563</v>
      </c>
      <c r="L437" s="687"/>
      <c r="M437" s="688"/>
      <c r="N437" s="688" t="s">
        <v>564</v>
      </c>
      <c r="O437" s="688" t="s">
        <v>565</v>
      </c>
      <c r="P437" s="688" t="s">
        <v>565</v>
      </c>
      <c r="Q437" s="688" t="s">
        <v>565</v>
      </c>
      <c r="R437" s="688" t="s">
        <v>566</v>
      </c>
    </row>
    <row r="438" spans="1:18" s="20" customFormat="1" ht="25.5" x14ac:dyDescent="0.2">
      <c r="A438" s="131"/>
      <c r="B438" s="1869"/>
      <c r="C438" s="1871"/>
      <c r="D438" s="2052"/>
      <c r="E438" s="1905"/>
      <c r="F438" s="1661"/>
      <c r="G438" s="1661"/>
      <c r="H438" s="1661"/>
      <c r="I438" s="1661"/>
      <c r="J438" s="1778"/>
      <c r="K438" s="681" t="s">
        <v>567</v>
      </c>
      <c r="L438" s="681"/>
      <c r="M438" s="688"/>
      <c r="N438" s="688">
        <v>100</v>
      </c>
      <c r="O438" s="688">
        <v>100</v>
      </c>
      <c r="P438" s="688">
        <v>100</v>
      </c>
      <c r="Q438" s="688">
        <v>100</v>
      </c>
      <c r="R438" s="688">
        <v>100</v>
      </c>
    </row>
    <row r="439" spans="1:18" s="20" customFormat="1" ht="51" x14ac:dyDescent="0.2">
      <c r="A439" s="131"/>
      <c r="B439" s="815"/>
      <c r="C439" s="266">
        <v>6</v>
      </c>
      <c r="D439" s="267"/>
      <c r="E439" s="705" t="s">
        <v>2549</v>
      </c>
      <c r="F439" s="2046">
        <v>7781.08</v>
      </c>
      <c r="G439" s="2046">
        <v>6777</v>
      </c>
      <c r="H439" s="2046">
        <v>6228.4</v>
      </c>
      <c r="I439" s="2046">
        <f>H439*101.914%</f>
        <v>6347.6115759999993</v>
      </c>
      <c r="J439" s="2046">
        <f>I439*100.9539%</f>
        <v>6408.1614428234634</v>
      </c>
      <c r="K439" s="268" t="s">
        <v>568</v>
      </c>
      <c r="L439" s="269"/>
      <c r="M439" s="270" t="s">
        <v>96</v>
      </c>
      <c r="N439" s="688">
        <v>40</v>
      </c>
      <c r="O439" s="688">
        <v>40</v>
      </c>
      <c r="P439" s="688">
        <v>40</v>
      </c>
      <c r="Q439" s="688">
        <v>40</v>
      </c>
      <c r="R439" s="688">
        <v>40</v>
      </c>
    </row>
    <row r="440" spans="1:18" s="20" customFormat="1" ht="38.25" x14ac:dyDescent="0.2">
      <c r="A440" s="131"/>
      <c r="B440" s="815"/>
      <c r="C440" s="271">
        <v>7</v>
      </c>
      <c r="D440" s="272">
        <v>0</v>
      </c>
      <c r="E440" s="755" t="s">
        <v>2550</v>
      </c>
      <c r="F440" s="2047"/>
      <c r="G440" s="2047"/>
      <c r="H440" s="2047"/>
      <c r="I440" s="2047"/>
      <c r="J440" s="1778"/>
      <c r="K440" s="268" t="s">
        <v>569</v>
      </c>
      <c r="L440" s="269"/>
      <c r="M440" s="270" t="s">
        <v>93</v>
      </c>
      <c r="N440" s="688">
        <v>4</v>
      </c>
      <c r="O440" s="688">
        <v>4</v>
      </c>
      <c r="P440" s="688">
        <v>5</v>
      </c>
      <c r="Q440" s="688">
        <v>5</v>
      </c>
      <c r="R440" s="688">
        <v>5</v>
      </c>
    </row>
    <row r="441" spans="1:18" s="20" customFormat="1" ht="40.5" customHeight="1" x14ac:dyDescent="0.2">
      <c r="A441" s="131"/>
      <c r="B441" s="868">
        <v>9</v>
      </c>
      <c r="C441" s="748"/>
      <c r="D441" s="749"/>
      <c r="E441" s="245" t="s">
        <v>2559</v>
      </c>
      <c r="F441" s="902">
        <v>88842.9</v>
      </c>
      <c r="G441" s="902">
        <f>G442</f>
        <v>88842.9</v>
      </c>
      <c r="H441" s="902">
        <f t="shared" ref="H441:J441" si="18">H442</f>
        <v>87425.599999999991</v>
      </c>
      <c r="I441" s="902">
        <f t="shared" si="18"/>
        <v>89098.925983999987</v>
      </c>
      <c r="J441" s="902">
        <f t="shared" si="18"/>
        <v>89948.840638961366</v>
      </c>
      <c r="K441" s="682"/>
      <c r="L441" s="682"/>
      <c r="M441" s="690"/>
      <c r="N441" s="690"/>
      <c r="O441" s="690"/>
      <c r="P441" s="690"/>
      <c r="Q441" s="690"/>
      <c r="R441" s="97"/>
    </row>
    <row r="442" spans="1:18" s="20" customFormat="1" ht="25.5" x14ac:dyDescent="0.2">
      <c r="A442" s="131"/>
      <c r="B442" s="815"/>
      <c r="C442" s="754">
        <v>1</v>
      </c>
      <c r="D442" s="255">
        <v>0</v>
      </c>
      <c r="E442" s="142" t="s">
        <v>2551</v>
      </c>
      <c r="F442" s="945">
        <v>88842.9</v>
      </c>
      <c r="G442" s="945">
        <v>88842.9</v>
      </c>
      <c r="H442" s="945">
        <f>73521.4+13904.2</f>
        <v>87425.599999999991</v>
      </c>
      <c r="I442" s="945">
        <f>H442*101.914%</f>
        <v>89098.925983999987</v>
      </c>
      <c r="J442" s="945">
        <f>I442*100.9539%</f>
        <v>89948.840638961366</v>
      </c>
      <c r="K442" s="687" t="s">
        <v>2442</v>
      </c>
      <c r="L442" s="687"/>
      <c r="M442" s="688" t="s">
        <v>515</v>
      </c>
      <c r="N442" s="688">
        <v>3063.8</v>
      </c>
      <c r="O442" s="256">
        <v>3746</v>
      </c>
      <c r="P442" s="688">
        <v>3576.8</v>
      </c>
      <c r="Q442" s="688">
        <v>3572.6</v>
      </c>
      <c r="R442" s="688">
        <v>3572.6</v>
      </c>
    </row>
    <row r="443" spans="1:18" s="20" customFormat="1" x14ac:dyDescent="0.2">
      <c r="A443" s="131"/>
      <c r="B443" s="868">
        <v>10</v>
      </c>
      <c r="C443" s="869"/>
      <c r="D443" s="870"/>
      <c r="E443" s="871" t="s">
        <v>2453</v>
      </c>
      <c r="F443" s="946"/>
      <c r="G443" s="947">
        <v>108337</v>
      </c>
      <c r="H443" s="947">
        <f>1048642+2124887.1</f>
        <v>3173529.1</v>
      </c>
      <c r="I443" s="946"/>
      <c r="J443" s="946"/>
      <c r="K443" s="687"/>
      <c r="L443" s="687"/>
      <c r="M443" s="688"/>
      <c r="N443" s="688"/>
      <c r="O443" s="256"/>
      <c r="P443" s="688"/>
      <c r="Q443" s="688"/>
      <c r="R443" s="688"/>
    </row>
    <row r="444" spans="1:18" s="20" customFormat="1" x14ac:dyDescent="0.2">
      <c r="A444" s="131"/>
      <c r="B444" s="868"/>
      <c r="C444" s="754">
        <v>1</v>
      </c>
      <c r="D444" s="255"/>
      <c r="E444" s="142" t="s">
        <v>765</v>
      </c>
      <c r="F444" s="945"/>
      <c r="G444" s="945">
        <v>108337</v>
      </c>
      <c r="H444" s="945">
        <f>1048642+2124887.1</f>
        <v>3173529.1</v>
      </c>
      <c r="I444" s="945"/>
      <c r="J444" s="945"/>
      <c r="K444" s="687"/>
      <c r="L444" s="687"/>
      <c r="M444" s="688"/>
      <c r="N444" s="688"/>
      <c r="O444" s="256"/>
      <c r="P444" s="688"/>
      <c r="Q444" s="688"/>
      <c r="R444" s="688"/>
    </row>
    <row r="445" spans="1:18" s="125" customFormat="1" ht="25.5" customHeight="1" x14ac:dyDescent="0.2">
      <c r="B445" s="2039" t="s">
        <v>64</v>
      </c>
      <c r="C445" s="2040"/>
      <c r="D445" s="2040"/>
      <c r="E445" s="2040"/>
      <c r="F445" s="908">
        <v>616539.59</v>
      </c>
      <c r="G445" s="908">
        <v>713476.6</v>
      </c>
      <c r="H445" s="908">
        <f>H380+H388+H398+H404+H411+H419+H425+H430+H441+H444</f>
        <v>3758620.7</v>
      </c>
      <c r="I445" s="908">
        <v>590149.962298</v>
      </c>
      <c r="J445" s="908">
        <v>595617.71189075976</v>
      </c>
      <c r="K445" s="124"/>
      <c r="L445" s="124"/>
      <c r="M445" s="36"/>
      <c r="N445" s="36"/>
      <c r="O445" s="36"/>
      <c r="P445" s="36"/>
      <c r="Q445" s="36"/>
      <c r="R445" s="36"/>
    </row>
    <row r="446" spans="1:18" s="125" customFormat="1" ht="24.75" customHeight="1" x14ac:dyDescent="0.2">
      <c r="B446" s="2030" t="s">
        <v>570</v>
      </c>
      <c r="C446" s="2031"/>
      <c r="D446" s="2031"/>
      <c r="E446" s="2031"/>
      <c r="F446" s="972"/>
      <c r="G446" s="972"/>
      <c r="H446" s="972"/>
      <c r="I446" s="972"/>
      <c r="J446" s="972"/>
      <c r="K446" s="232"/>
      <c r="L446" s="232"/>
      <c r="M446" s="999"/>
      <c r="N446" s="232"/>
      <c r="O446" s="232"/>
      <c r="P446" s="232"/>
      <c r="Q446" s="232"/>
      <c r="R446" s="232"/>
    </row>
    <row r="447" spans="1:18" s="125" customFormat="1" ht="23.25" customHeight="1" x14ac:dyDescent="0.2">
      <c r="B447" s="2030" t="s">
        <v>571</v>
      </c>
      <c r="C447" s="2031"/>
      <c r="D447" s="2031"/>
      <c r="E447" s="2031"/>
      <c r="F447" s="972"/>
      <c r="G447" s="972"/>
      <c r="H447" s="972"/>
      <c r="I447" s="972"/>
      <c r="J447" s="972"/>
      <c r="K447" s="232"/>
      <c r="L447" s="232"/>
      <c r="M447" s="999"/>
      <c r="N447" s="232"/>
      <c r="O447" s="232"/>
      <c r="P447" s="232"/>
      <c r="Q447" s="232"/>
      <c r="R447" s="232"/>
    </row>
    <row r="448" spans="1:18" ht="39.75" customHeight="1" x14ac:dyDescent="0.2">
      <c r="B448" s="2011" t="s">
        <v>120</v>
      </c>
      <c r="C448" s="2011"/>
      <c r="D448" s="2011"/>
      <c r="E448" s="2042" t="s">
        <v>2560</v>
      </c>
      <c r="F448" s="973"/>
      <c r="G448" s="973"/>
      <c r="H448" s="973"/>
      <c r="I448" s="973"/>
      <c r="J448" s="974"/>
      <c r="K448" s="741" t="s">
        <v>572</v>
      </c>
      <c r="M448" s="745" t="s">
        <v>17</v>
      </c>
      <c r="N448" s="73">
        <v>0.7</v>
      </c>
      <c r="O448" s="73">
        <v>0.71</v>
      </c>
      <c r="P448" s="73">
        <v>0.72</v>
      </c>
      <c r="Q448" s="73">
        <v>0.73</v>
      </c>
      <c r="R448" s="273"/>
    </row>
    <row r="449" spans="2:18" ht="49.5" customHeight="1" x14ac:dyDescent="0.2">
      <c r="B449" s="1851"/>
      <c r="C449" s="1851"/>
      <c r="D449" s="1851"/>
      <c r="E449" s="2044"/>
      <c r="F449" s="975"/>
      <c r="G449" s="975"/>
      <c r="H449" s="975"/>
      <c r="I449" s="975"/>
      <c r="J449" s="976"/>
      <c r="K449" s="741" t="s">
        <v>19</v>
      </c>
      <c r="M449" s="745" t="s">
        <v>20</v>
      </c>
      <c r="N449" s="274">
        <v>35</v>
      </c>
      <c r="O449" s="274">
        <v>36</v>
      </c>
      <c r="P449" s="274">
        <v>36.5</v>
      </c>
      <c r="Q449" s="274">
        <v>37</v>
      </c>
      <c r="R449" s="273"/>
    </row>
    <row r="450" spans="2:18" ht="25.5" x14ac:dyDescent="0.2">
      <c r="B450" s="697"/>
      <c r="C450" s="697" t="s">
        <v>123</v>
      </c>
      <c r="D450" s="697"/>
      <c r="E450" s="741" t="s">
        <v>18</v>
      </c>
      <c r="F450" s="941">
        <v>2895.1</v>
      </c>
      <c r="G450" s="941">
        <v>2877.3</v>
      </c>
      <c r="H450" s="941">
        <v>2751.9</v>
      </c>
      <c r="I450" s="941">
        <v>2751.9</v>
      </c>
      <c r="J450" s="941">
        <v>2751.9</v>
      </c>
      <c r="K450" s="741" t="s">
        <v>573</v>
      </c>
      <c r="M450" s="745" t="s">
        <v>17</v>
      </c>
      <c r="N450" s="73" t="s">
        <v>574</v>
      </c>
      <c r="O450" s="73" t="s">
        <v>575</v>
      </c>
      <c r="P450" s="73" t="s">
        <v>575</v>
      </c>
      <c r="Q450" s="73" t="s">
        <v>575</v>
      </c>
      <c r="R450" s="273"/>
    </row>
    <row r="451" spans="2:18" ht="25.5" x14ac:dyDescent="0.2">
      <c r="B451" s="697"/>
      <c r="C451" s="697" t="s">
        <v>125</v>
      </c>
      <c r="D451" s="697"/>
      <c r="E451" s="741" t="s">
        <v>576</v>
      </c>
      <c r="F451" s="941">
        <v>6584.2</v>
      </c>
      <c r="G451" s="941">
        <v>6659.5</v>
      </c>
      <c r="H451" s="941">
        <v>6695.6</v>
      </c>
      <c r="I451" s="941">
        <v>6695.6</v>
      </c>
      <c r="J451" s="941">
        <v>6695.6</v>
      </c>
      <c r="K451" s="741" t="s">
        <v>577</v>
      </c>
      <c r="M451" s="745" t="s">
        <v>17</v>
      </c>
      <c r="N451" s="275" t="s">
        <v>575</v>
      </c>
      <c r="O451" s="275" t="s">
        <v>575</v>
      </c>
      <c r="P451" s="275" t="s">
        <v>575</v>
      </c>
      <c r="Q451" s="275" t="s">
        <v>575</v>
      </c>
      <c r="R451" s="273"/>
    </row>
    <row r="452" spans="2:18" ht="25.5" x14ac:dyDescent="0.2">
      <c r="B452" s="697"/>
      <c r="C452" s="697" t="s">
        <v>127</v>
      </c>
      <c r="D452" s="697"/>
      <c r="E452" s="276" t="s">
        <v>578</v>
      </c>
      <c r="F452" s="941">
        <v>1798.5</v>
      </c>
      <c r="G452" s="941">
        <v>1811</v>
      </c>
      <c r="H452" s="941">
        <v>1780.3</v>
      </c>
      <c r="I452" s="941">
        <v>1780.3</v>
      </c>
      <c r="J452" s="941">
        <v>1780.3</v>
      </c>
      <c r="K452" s="741" t="s">
        <v>579</v>
      </c>
      <c r="M452" s="745" t="s">
        <v>17</v>
      </c>
      <c r="N452" s="275">
        <v>0.85</v>
      </c>
      <c r="O452" s="275">
        <v>0.9</v>
      </c>
      <c r="P452" s="275">
        <v>0.95</v>
      </c>
      <c r="Q452" s="275">
        <v>0.95</v>
      </c>
      <c r="R452" s="273"/>
    </row>
    <row r="453" spans="2:18" ht="25.5" x14ac:dyDescent="0.2">
      <c r="B453" s="1752"/>
      <c r="C453" s="1752" t="s">
        <v>132</v>
      </c>
      <c r="D453" s="1752"/>
      <c r="E453" s="2019" t="s">
        <v>580</v>
      </c>
      <c r="F453" s="2015">
        <v>3213.5</v>
      </c>
      <c r="G453" s="2015">
        <v>3234.2</v>
      </c>
      <c r="H453" s="2015">
        <v>3070.8</v>
      </c>
      <c r="I453" s="2015">
        <v>3070.8</v>
      </c>
      <c r="J453" s="2015">
        <v>3070.8</v>
      </c>
      <c r="K453" s="741" t="s">
        <v>581</v>
      </c>
      <c r="M453" s="745" t="s">
        <v>582</v>
      </c>
      <c r="N453" s="277" t="s">
        <v>583</v>
      </c>
      <c r="O453" s="277" t="s">
        <v>583</v>
      </c>
      <c r="P453" s="277" t="s">
        <v>583</v>
      </c>
      <c r="Q453" s="277" t="s">
        <v>583</v>
      </c>
      <c r="R453" s="273"/>
    </row>
    <row r="454" spans="2:18" ht="25.5" x14ac:dyDescent="0.2">
      <c r="B454" s="1752"/>
      <c r="C454" s="1752"/>
      <c r="D454" s="1752"/>
      <c r="E454" s="2019"/>
      <c r="F454" s="1991"/>
      <c r="G454" s="1991"/>
      <c r="H454" s="1991"/>
      <c r="I454" s="1991"/>
      <c r="J454" s="1991"/>
      <c r="K454" s="75" t="s">
        <v>584</v>
      </c>
      <c r="M454" s="745" t="s">
        <v>582</v>
      </c>
      <c r="N454" s="696" t="s">
        <v>585</v>
      </c>
      <c r="O454" s="696" t="s">
        <v>585</v>
      </c>
      <c r="P454" s="696" t="s">
        <v>585</v>
      </c>
      <c r="Q454" s="696" t="s">
        <v>585</v>
      </c>
      <c r="R454" s="273"/>
    </row>
    <row r="455" spans="2:18" ht="38.25" x14ac:dyDescent="0.2">
      <c r="B455" s="697"/>
      <c r="C455" s="697" t="s">
        <v>74</v>
      </c>
      <c r="D455" s="697"/>
      <c r="E455" s="741" t="s">
        <v>586</v>
      </c>
      <c r="F455" s="941">
        <v>4897.6000000000004</v>
      </c>
      <c r="G455" s="941">
        <v>4903.2</v>
      </c>
      <c r="H455" s="941">
        <v>3443.3</v>
      </c>
      <c r="I455" s="941">
        <v>3443.3</v>
      </c>
      <c r="J455" s="941">
        <v>3443.3</v>
      </c>
      <c r="K455" s="278" t="s">
        <v>587</v>
      </c>
      <c r="M455" s="745" t="s">
        <v>17</v>
      </c>
      <c r="N455" s="275" t="s">
        <v>588</v>
      </c>
      <c r="O455" s="275" t="s">
        <v>588</v>
      </c>
      <c r="P455" s="275" t="s">
        <v>588</v>
      </c>
      <c r="Q455" s="275" t="s">
        <v>588</v>
      </c>
      <c r="R455" s="273"/>
    </row>
    <row r="456" spans="2:18" x14ac:dyDescent="0.2">
      <c r="B456" s="1752"/>
      <c r="C456" s="1752" t="s">
        <v>197</v>
      </c>
      <c r="D456" s="1752"/>
      <c r="E456" s="2019" t="s">
        <v>589</v>
      </c>
      <c r="F456" s="2015">
        <v>3783.6</v>
      </c>
      <c r="G456" s="2015">
        <v>3767.6</v>
      </c>
      <c r="H456" s="2015">
        <v>3554.4</v>
      </c>
      <c r="I456" s="2015">
        <v>3554.4</v>
      </c>
      <c r="J456" s="2015">
        <v>3554.4</v>
      </c>
      <c r="K456" s="279" t="s">
        <v>590</v>
      </c>
      <c r="M456" s="745" t="s">
        <v>31</v>
      </c>
      <c r="N456" s="280">
        <v>1062</v>
      </c>
      <c r="O456" s="280">
        <v>1062</v>
      </c>
      <c r="P456" s="280">
        <v>1062</v>
      </c>
      <c r="Q456" s="280">
        <v>1062</v>
      </c>
      <c r="R456" s="273"/>
    </row>
    <row r="457" spans="2:18" x14ac:dyDescent="0.2">
      <c r="B457" s="1752"/>
      <c r="C457" s="1752"/>
      <c r="D457" s="1752"/>
      <c r="E457" s="2019"/>
      <c r="F457" s="1990"/>
      <c r="G457" s="1990"/>
      <c r="H457" s="1990"/>
      <c r="I457" s="1990"/>
      <c r="J457" s="1990"/>
      <c r="K457" s="279" t="s">
        <v>591</v>
      </c>
      <c r="M457" s="745" t="s">
        <v>31</v>
      </c>
      <c r="N457" s="280">
        <v>6750</v>
      </c>
      <c r="O457" s="280">
        <v>6750</v>
      </c>
      <c r="P457" s="280">
        <v>6750</v>
      </c>
      <c r="Q457" s="280">
        <v>6750</v>
      </c>
      <c r="R457" s="273"/>
    </row>
    <row r="458" spans="2:18" ht="25.5" x14ac:dyDescent="0.2">
      <c r="B458" s="1752"/>
      <c r="C458" s="1752"/>
      <c r="D458" s="1752"/>
      <c r="E458" s="2019"/>
      <c r="F458" s="1991"/>
      <c r="G458" s="1991"/>
      <c r="H458" s="1991"/>
      <c r="I458" s="1991"/>
      <c r="J458" s="1991"/>
      <c r="K458" s="281" t="s">
        <v>592</v>
      </c>
      <c r="M458" s="745" t="s">
        <v>31</v>
      </c>
      <c r="N458" s="280">
        <v>560</v>
      </c>
      <c r="O458" s="280">
        <v>560</v>
      </c>
      <c r="P458" s="280">
        <v>560</v>
      </c>
      <c r="Q458" s="280">
        <v>560</v>
      </c>
      <c r="R458" s="273"/>
    </row>
    <row r="459" spans="2:18" ht="25.5" x14ac:dyDescent="0.2">
      <c r="B459" s="697"/>
      <c r="C459" s="697" t="s">
        <v>155</v>
      </c>
      <c r="D459" s="697"/>
      <c r="E459" s="282" t="s">
        <v>593</v>
      </c>
      <c r="F459" s="941">
        <v>2651.3</v>
      </c>
      <c r="G459" s="941">
        <v>2713.3</v>
      </c>
      <c r="H459" s="941">
        <v>2545.3000000000002</v>
      </c>
      <c r="I459" s="941">
        <v>2545.3000000000002</v>
      </c>
      <c r="J459" s="941">
        <v>2545.3000000000002</v>
      </c>
      <c r="K459" s="741" t="s">
        <v>594</v>
      </c>
      <c r="M459" s="745" t="s">
        <v>31</v>
      </c>
      <c r="N459" s="280">
        <v>11</v>
      </c>
      <c r="O459" s="280">
        <v>12</v>
      </c>
      <c r="P459" s="280">
        <v>13</v>
      </c>
      <c r="Q459" s="280">
        <v>13</v>
      </c>
      <c r="R459" s="273"/>
    </row>
    <row r="460" spans="2:18" ht="25.5" x14ac:dyDescent="0.2">
      <c r="B460" s="2011"/>
      <c r="C460" s="2011" t="s">
        <v>158</v>
      </c>
      <c r="D460" s="2011"/>
      <c r="E460" s="2013" t="s">
        <v>595</v>
      </c>
      <c r="F460" s="2015">
        <v>8978.9</v>
      </c>
      <c r="G460" s="2015">
        <v>15684.5</v>
      </c>
      <c r="H460" s="2015">
        <v>21000</v>
      </c>
      <c r="I460" s="2015">
        <v>26000</v>
      </c>
      <c r="J460" s="2015">
        <v>31000</v>
      </c>
      <c r="K460" s="741" t="s">
        <v>596</v>
      </c>
      <c r="M460" s="745" t="s">
        <v>17</v>
      </c>
      <c r="N460" s="71">
        <v>0.95</v>
      </c>
      <c r="O460" s="71">
        <v>0.98</v>
      </c>
      <c r="P460" s="71">
        <v>1</v>
      </c>
      <c r="Q460" s="71">
        <v>1</v>
      </c>
      <c r="R460" s="273"/>
    </row>
    <row r="461" spans="2:18" ht="25.5" x14ac:dyDescent="0.2">
      <c r="B461" s="1851"/>
      <c r="C461" s="1851"/>
      <c r="D461" s="1851"/>
      <c r="E461" s="2018"/>
      <c r="F461" s="1991"/>
      <c r="G461" s="1991"/>
      <c r="H461" s="1991"/>
      <c r="I461" s="1991"/>
      <c r="J461" s="1991"/>
      <c r="K461" s="741" t="s">
        <v>597</v>
      </c>
      <c r="M461" s="745" t="s">
        <v>17</v>
      </c>
      <c r="N461" s="71">
        <v>0.05</v>
      </c>
      <c r="O461" s="71">
        <v>0.06</v>
      </c>
      <c r="P461" s="71">
        <v>7.0000000000000007E-2</v>
      </c>
      <c r="Q461" s="71">
        <v>0.08</v>
      </c>
      <c r="R461" s="273"/>
    </row>
    <row r="462" spans="2:18" ht="25.5" x14ac:dyDescent="0.2">
      <c r="B462" s="697"/>
      <c r="C462" s="697" t="s">
        <v>264</v>
      </c>
      <c r="D462" s="697"/>
      <c r="E462" s="741" t="s">
        <v>598</v>
      </c>
      <c r="F462" s="941">
        <v>15265.9</v>
      </c>
      <c r="G462" s="941">
        <v>18699.5</v>
      </c>
      <c r="H462" s="941">
        <v>36935</v>
      </c>
      <c r="I462" s="941">
        <v>36935</v>
      </c>
      <c r="J462" s="941">
        <v>36935</v>
      </c>
      <c r="K462" s="741" t="s">
        <v>599</v>
      </c>
      <c r="M462" s="745" t="s">
        <v>17</v>
      </c>
      <c r="N462" s="275" t="s">
        <v>600</v>
      </c>
      <c r="O462" s="275" t="str">
        <f>N462</f>
        <v>не более 20%</v>
      </c>
      <c r="P462" s="275" t="str">
        <f>O462</f>
        <v>не более 20%</v>
      </c>
      <c r="Q462" s="275" t="str">
        <f>P462</f>
        <v>не более 20%</v>
      </c>
      <c r="R462" s="273"/>
    </row>
    <row r="463" spans="2:18" x14ac:dyDescent="0.2">
      <c r="B463" s="2011"/>
      <c r="C463" s="2011" t="s">
        <v>269</v>
      </c>
      <c r="D463" s="2011"/>
      <c r="E463" s="2045" t="s">
        <v>247</v>
      </c>
      <c r="F463" s="2015">
        <v>82535.199999999997</v>
      </c>
      <c r="G463" s="2015">
        <v>81406.7</v>
      </c>
      <c r="H463" s="2015">
        <v>89223.4</v>
      </c>
      <c r="I463" s="2015">
        <v>89223.4</v>
      </c>
      <c r="J463" s="2015">
        <v>89223.4</v>
      </c>
      <c r="K463" s="741" t="s">
        <v>601</v>
      </c>
      <c r="M463" s="745" t="s">
        <v>17</v>
      </c>
      <c r="N463" s="283" t="s">
        <v>602</v>
      </c>
      <c r="O463" s="283" t="s">
        <v>603</v>
      </c>
      <c r="P463" s="283" t="s">
        <v>603</v>
      </c>
      <c r="Q463" s="283" t="s">
        <v>604</v>
      </c>
      <c r="R463" s="273"/>
    </row>
    <row r="464" spans="2:18" ht="38.25" x14ac:dyDescent="0.2">
      <c r="B464" s="2012"/>
      <c r="C464" s="2012"/>
      <c r="D464" s="2012"/>
      <c r="E464" s="2014"/>
      <c r="F464" s="1990"/>
      <c r="G464" s="1990"/>
      <c r="H464" s="1990"/>
      <c r="I464" s="1990"/>
      <c r="J464" s="1990"/>
      <c r="K464" s="741" t="s">
        <v>605</v>
      </c>
      <c r="M464" s="745" t="s">
        <v>17</v>
      </c>
      <c r="N464" s="284" t="s">
        <v>606</v>
      </c>
      <c r="O464" s="284" t="s">
        <v>606</v>
      </c>
      <c r="P464" s="284" t="s">
        <v>606</v>
      </c>
      <c r="Q464" s="284" t="s">
        <v>606</v>
      </c>
      <c r="R464" s="273"/>
    </row>
    <row r="465" spans="2:18" ht="25.5" x14ac:dyDescent="0.2">
      <c r="B465" s="1851"/>
      <c r="C465" s="1851"/>
      <c r="D465" s="1851"/>
      <c r="E465" s="2018"/>
      <c r="F465" s="1991"/>
      <c r="G465" s="1991"/>
      <c r="H465" s="1991"/>
      <c r="I465" s="1991"/>
      <c r="J465" s="1991"/>
      <c r="K465" s="741" t="s">
        <v>607</v>
      </c>
      <c r="M465" s="745" t="s">
        <v>17</v>
      </c>
      <c r="N465" s="284" t="s">
        <v>608</v>
      </c>
      <c r="O465" s="284" t="s">
        <v>608</v>
      </c>
      <c r="P465" s="284" t="s">
        <v>609</v>
      </c>
      <c r="Q465" s="284" t="s">
        <v>609</v>
      </c>
      <c r="R465" s="273"/>
    </row>
    <row r="466" spans="2:18" x14ac:dyDescent="0.2">
      <c r="B466" s="285"/>
      <c r="C466" s="697"/>
      <c r="D466" s="697"/>
      <c r="E466" s="872" t="s">
        <v>610</v>
      </c>
      <c r="F466" s="914">
        <f>SUM(F450:F465)</f>
        <v>132603.79999999999</v>
      </c>
      <c r="G466" s="914">
        <f>SUM(G450:G465)</f>
        <v>141756.79999999999</v>
      </c>
      <c r="H466" s="914">
        <f>SUM(H450:H465)</f>
        <v>171000</v>
      </c>
      <c r="I466" s="914">
        <f>SUM(I450:I465)</f>
        <v>176000</v>
      </c>
      <c r="J466" s="914">
        <f>SUM(J450:J465)</f>
        <v>181000</v>
      </c>
      <c r="K466" s="75"/>
      <c r="M466" s="745"/>
      <c r="N466" s="283"/>
      <c r="O466" s="283"/>
      <c r="P466" s="283"/>
      <c r="Q466" s="283"/>
      <c r="R466" s="273"/>
    </row>
    <row r="467" spans="2:18" ht="25.5" customHeight="1" x14ac:dyDescent="0.2">
      <c r="B467" s="2011" t="s">
        <v>138</v>
      </c>
      <c r="C467" s="2011"/>
      <c r="D467" s="2011"/>
      <c r="E467" s="2042" t="s">
        <v>2561</v>
      </c>
      <c r="F467" s="973"/>
      <c r="G467" s="973"/>
      <c r="H467" s="973"/>
      <c r="I467" s="973"/>
      <c r="J467" s="974"/>
      <c r="K467" s="741" t="s">
        <v>611</v>
      </c>
      <c r="M467" s="745" t="s">
        <v>17</v>
      </c>
      <c r="N467" s="73">
        <f>G486/G515</f>
        <v>0.38287459948650127</v>
      </c>
      <c r="O467" s="73">
        <f>H486/H515</f>
        <v>0.35321297170787036</v>
      </c>
      <c r="P467" s="73">
        <f>I486/I515</f>
        <v>0.36502480389027964</v>
      </c>
      <c r="Q467" s="73">
        <f>J486/J515</f>
        <v>0.36505092752441137</v>
      </c>
      <c r="R467" s="273"/>
    </row>
    <row r="468" spans="2:18" x14ac:dyDescent="0.2">
      <c r="B468" s="2012"/>
      <c r="C468" s="2012"/>
      <c r="D468" s="2012"/>
      <c r="E468" s="2043"/>
      <c r="F468" s="977"/>
      <c r="G468" s="977"/>
      <c r="H468" s="977"/>
      <c r="I468" s="977"/>
      <c r="J468" s="978"/>
      <c r="K468" s="741" t="s">
        <v>612</v>
      </c>
      <c r="M468" s="745" t="s">
        <v>31</v>
      </c>
      <c r="N468" s="286">
        <v>2.5</v>
      </c>
      <c r="O468" s="286">
        <v>2.5</v>
      </c>
      <c r="P468" s="286">
        <v>2.6</v>
      </c>
      <c r="Q468" s="286">
        <v>2.7</v>
      </c>
      <c r="R468" s="273"/>
    </row>
    <row r="469" spans="2:18" ht="25.5" x14ac:dyDescent="0.2">
      <c r="B469" s="2012"/>
      <c r="C469" s="2012"/>
      <c r="D469" s="2012"/>
      <c r="E469" s="2043"/>
      <c r="F469" s="977"/>
      <c r="G469" s="977"/>
      <c r="H469" s="977"/>
      <c r="I469" s="977"/>
      <c r="J469" s="978"/>
      <c r="K469" s="741" t="s">
        <v>613</v>
      </c>
      <c r="M469" s="745" t="s">
        <v>17</v>
      </c>
      <c r="N469" s="73">
        <v>1</v>
      </c>
      <c r="O469" s="73">
        <v>1</v>
      </c>
      <c r="P469" s="73">
        <v>1</v>
      </c>
      <c r="Q469" s="73">
        <v>1</v>
      </c>
      <c r="R469" s="273"/>
    </row>
    <row r="470" spans="2:18" x14ac:dyDescent="0.2">
      <c r="B470" s="737"/>
      <c r="C470" s="737"/>
      <c r="D470" s="737"/>
      <c r="E470" s="2044"/>
      <c r="F470" s="975"/>
      <c r="G470" s="975"/>
      <c r="H470" s="975"/>
      <c r="I470" s="975"/>
      <c r="J470" s="976"/>
      <c r="K470" s="741" t="s">
        <v>614</v>
      </c>
      <c r="M470" s="745" t="s">
        <v>17</v>
      </c>
      <c r="N470" s="73">
        <v>0.7</v>
      </c>
      <c r="O470" s="73">
        <v>0.72</v>
      </c>
      <c r="P470" s="73">
        <v>0.73</v>
      </c>
      <c r="Q470" s="73">
        <v>0.75</v>
      </c>
      <c r="R470" s="273"/>
    </row>
    <row r="471" spans="2:18" ht="38.25" x14ac:dyDescent="0.2">
      <c r="B471" s="2011"/>
      <c r="C471" s="2011" t="s">
        <v>123</v>
      </c>
      <c r="D471" s="2011"/>
      <c r="E471" s="2013" t="s">
        <v>615</v>
      </c>
      <c r="F471" s="1531">
        <v>427199.7</v>
      </c>
      <c r="G471" s="1531">
        <v>593367.9</v>
      </c>
      <c r="H471" s="1531">
        <v>447802.4</v>
      </c>
      <c r="I471" s="1531">
        <v>447802.4</v>
      </c>
      <c r="J471" s="1531">
        <v>447802.4</v>
      </c>
      <c r="K471" s="741" t="s">
        <v>616</v>
      </c>
      <c r="M471" s="745" t="s">
        <v>17</v>
      </c>
      <c r="N471" s="73">
        <v>0.96</v>
      </c>
      <c r="O471" s="73">
        <v>0.96</v>
      </c>
      <c r="P471" s="73">
        <v>1</v>
      </c>
      <c r="Q471" s="73">
        <v>1</v>
      </c>
      <c r="R471" s="273"/>
    </row>
    <row r="472" spans="2:18" x14ac:dyDescent="0.2">
      <c r="B472" s="1851"/>
      <c r="C472" s="1851"/>
      <c r="D472" s="1851"/>
      <c r="E472" s="2018"/>
      <c r="F472" s="1532"/>
      <c r="G472" s="1532"/>
      <c r="H472" s="1532"/>
      <c r="I472" s="1532"/>
      <c r="J472" s="1532"/>
      <c r="K472" s="741" t="s">
        <v>617</v>
      </c>
      <c r="M472" s="745" t="s">
        <v>618</v>
      </c>
      <c r="N472" s="286">
        <v>100.7</v>
      </c>
      <c r="O472" s="287">
        <v>100.7</v>
      </c>
      <c r="P472" s="287">
        <v>100.7</v>
      </c>
      <c r="Q472" s="286">
        <v>100.7</v>
      </c>
      <c r="R472" s="273"/>
    </row>
    <row r="473" spans="2:18" ht="38.25" x14ac:dyDescent="0.2">
      <c r="B473" s="2011"/>
      <c r="C473" s="2011" t="s">
        <v>125</v>
      </c>
      <c r="D473" s="2011"/>
      <c r="E473" s="2013" t="s">
        <v>619</v>
      </c>
      <c r="F473" s="1531">
        <v>4048761.2</v>
      </c>
      <c r="G473" s="1531">
        <v>4036376.8</v>
      </c>
      <c r="H473" s="1531">
        <v>4022287.8</v>
      </c>
      <c r="I473" s="1531">
        <v>4248436.5999999996</v>
      </c>
      <c r="J473" s="1531">
        <v>4297806.5</v>
      </c>
      <c r="K473" s="741" t="s">
        <v>620</v>
      </c>
      <c r="M473" s="745" t="s">
        <v>17</v>
      </c>
      <c r="N473" s="71">
        <v>0.83</v>
      </c>
      <c r="O473" s="71">
        <v>0.84</v>
      </c>
      <c r="P473" s="71">
        <v>0.85</v>
      </c>
      <c r="Q473" s="71">
        <v>0.9</v>
      </c>
      <c r="R473" s="273"/>
    </row>
    <row r="474" spans="2:18" ht="25.5" x14ac:dyDescent="0.2">
      <c r="B474" s="2012"/>
      <c r="C474" s="2012"/>
      <c r="D474" s="2012"/>
      <c r="E474" s="2014"/>
      <c r="F474" s="1533"/>
      <c r="G474" s="1533"/>
      <c r="H474" s="1533"/>
      <c r="I474" s="1533"/>
      <c r="J474" s="1533"/>
      <c r="K474" s="741" t="s">
        <v>621</v>
      </c>
      <c r="M474" s="745" t="s">
        <v>17</v>
      </c>
      <c r="N474" s="71">
        <v>0.83</v>
      </c>
      <c r="O474" s="71">
        <v>0.84</v>
      </c>
      <c r="P474" s="71">
        <v>0.85</v>
      </c>
      <c r="Q474" s="71">
        <v>0.87</v>
      </c>
      <c r="R474" s="273"/>
    </row>
    <row r="475" spans="2:18" ht="25.5" x14ac:dyDescent="0.2">
      <c r="B475" s="2012"/>
      <c r="C475" s="2012"/>
      <c r="D475" s="2012"/>
      <c r="E475" s="2014"/>
      <c r="F475" s="1533"/>
      <c r="G475" s="1533"/>
      <c r="H475" s="1533"/>
      <c r="I475" s="1533"/>
      <c r="J475" s="1532"/>
      <c r="K475" s="738" t="s">
        <v>622</v>
      </c>
      <c r="M475" s="742" t="s">
        <v>17</v>
      </c>
      <c r="N475" s="71">
        <v>0.75</v>
      </c>
      <c r="O475" s="71">
        <v>0.77</v>
      </c>
      <c r="P475" s="71">
        <v>0.8</v>
      </c>
      <c r="Q475" s="71">
        <v>0.85</v>
      </c>
      <c r="R475" s="273"/>
    </row>
    <row r="476" spans="2:18" ht="38.25" x14ac:dyDescent="0.2">
      <c r="B476" s="2011"/>
      <c r="C476" s="2011" t="s">
        <v>127</v>
      </c>
      <c r="D476" s="2011"/>
      <c r="E476" s="2045" t="s">
        <v>623</v>
      </c>
      <c r="F476" s="1531"/>
      <c r="G476" s="1531">
        <v>286919.3</v>
      </c>
      <c r="H476" s="1531">
        <v>283417.5</v>
      </c>
      <c r="I476" s="1531">
        <v>283417.5</v>
      </c>
      <c r="J476" s="1531">
        <v>283417.5</v>
      </c>
      <c r="K476" s="741" t="s">
        <v>624</v>
      </c>
      <c r="M476" s="745" t="s">
        <v>582</v>
      </c>
      <c r="N476" s="288">
        <v>30133</v>
      </c>
      <c r="O476" s="288">
        <v>30500</v>
      </c>
      <c r="P476" s="288">
        <v>30700</v>
      </c>
      <c r="Q476" s="288">
        <v>40100</v>
      </c>
      <c r="R476" s="273"/>
    </row>
    <row r="477" spans="2:18" ht="38.25" x14ac:dyDescent="0.2">
      <c r="B477" s="2012"/>
      <c r="C477" s="2012"/>
      <c r="D477" s="2012"/>
      <c r="E477" s="2014"/>
      <c r="F477" s="1533"/>
      <c r="G477" s="1533"/>
      <c r="H477" s="1533"/>
      <c r="I477" s="1533"/>
      <c r="J477" s="1533"/>
      <c r="K477" s="740" t="s">
        <v>625</v>
      </c>
      <c r="M477" s="744" t="s">
        <v>17</v>
      </c>
      <c r="N477" s="71">
        <v>0.72</v>
      </c>
      <c r="O477" s="71">
        <v>0.73</v>
      </c>
      <c r="P477" s="71">
        <v>0.74</v>
      </c>
      <c r="Q477" s="71">
        <v>0.75</v>
      </c>
      <c r="R477" s="273"/>
    </row>
    <row r="478" spans="2:18" ht="25.5" x14ac:dyDescent="0.2">
      <c r="B478" s="2012"/>
      <c r="C478" s="2012"/>
      <c r="D478" s="2012"/>
      <c r="E478" s="2014"/>
      <c r="F478" s="1533"/>
      <c r="G478" s="1533"/>
      <c r="H478" s="1533"/>
      <c r="I478" s="1533"/>
      <c r="J478" s="1533"/>
      <c r="K478" s="740" t="s">
        <v>626</v>
      </c>
      <c r="M478" s="744" t="s">
        <v>17</v>
      </c>
      <c r="N478" s="71">
        <v>0.75</v>
      </c>
      <c r="O478" s="71">
        <v>0.76</v>
      </c>
      <c r="P478" s="71">
        <v>0.77</v>
      </c>
      <c r="Q478" s="71">
        <v>0.78</v>
      </c>
      <c r="R478" s="273"/>
    </row>
    <row r="479" spans="2:18" ht="25.5" x14ac:dyDescent="0.2">
      <c r="B479" s="1851"/>
      <c r="C479" s="1851"/>
      <c r="D479" s="1851"/>
      <c r="E479" s="2018"/>
      <c r="F479" s="1532"/>
      <c r="G479" s="1532"/>
      <c r="H479" s="1532"/>
      <c r="I479" s="1532"/>
      <c r="J479" s="1532"/>
      <c r="K479" s="740" t="s">
        <v>627</v>
      </c>
      <c r="M479" s="744" t="s">
        <v>17</v>
      </c>
      <c r="N479" s="71">
        <v>0.57999999999999996</v>
      </c>
      <c r="O479" s="71">
        <v>0.59</v>
      </c>
      <c r="P479" s="71">
        <v>0.6</v>
      </c>
      <c r="Q479" s="71">
        <v>0.61</v>
      </c>
      <c r="R479" s="273"/>
    </row>
    <row r="480" spans="2:18" ht="38.25" x14ac:dyDescent="0.2">
      <c r="B480" s="737"/>
      <c r="C480" s="737" t="s">
        <v>132</v>
      </c>
      <c r="D480" s="737"/>
      <c r="E480" s="739" t="s">
        <v>628</v>
      </c>
      <c r="F480" s="938">
        <v>32352</v>
      </c>
      <c r="G480" s="938">
        <v>34236</v>
      </c>
      <c r="H480" s="938">
        <v>33096</v>
      </c>
      <c r="I480" s="938">
        <v>33096</v>
      </c>
      <c r="J480" s="938">
        <v>33096</v>
      </c>
      <c r="K480" s="740" t="s">
        <v>629</v>
      </c>
      <c r="M480" s="744" t="s">
        <v>31</v>
      </c>
      <c r="N480" s="288">
        <v>2320</v>
      </c>
      <c r="O480" s="288">
        <v>2500</v>
      </c>
      <c r="P480" s="288">
        <v>4036</v>
      </c>
      <c r="Q480" s="288">
        <v>3638</v>
      </c>
      <c r="R480" s="273"/>
    </row>
    <row r="481" spans="2:18" ht="120" customHeight="1" x14ac:dyDescent="0.2">
      <c r="B481" s="697"/>
      <c r="C481" s="697" t="s">
        <v>74</v>
      </c>
      <c r="D481" s="697"/>
      <c r="E481" s="741" t="s">
        <v>630</v>
      </c>
      <c r="F481" s="914">
        <v>48000</v>
      </c>
      <c r="G481" s="914">
        <v>55000</v>
      </c>
      <c r="H481" s="914">
        <v>55000</v>
      </c>
      <c r="I481" s="914">
        <v>55000</v>
      </c>
      <c r="J481" s="914">
        <v>55000</v>
      </c>
      <c r="K481" s="741" t="s">
        <v>631</v>
      </c>
      <c r="M481" s="745" t="s">
        <v>17</v>
      </c>
      <c r="N481" s="71" t="s">
        <v>632</v>
      </c>
      <c r="O481" s="71" t="s">
        <v>575</v>
      </c>
      <c r="P481" s="71" t="s">
        <v>575</v>
      </c>
      <c r="Q481" s="71" t="s">
        <v>575</v>
      </c>
      <c r="R481" s="273"/>
    </row>
    <row r="482" spans="2:18" ht="38.25" x14ac:dyDescent="0.2">
      <c r="B482" s="697"/>
      <c r="C482" s="697" t="s">
        <v>197</v>
      </c>
      <c r="D482" s="697"/>
      <c r="E482" s="741" t="s">
        <v>633</v>
      </c>
      <c r="F482" s="914">
        <v>286430</v>
      </c>
      <c r="G482" s="914">
        <v>307149.2</v>
      </c>
      <c r="H482" s="914">
        <v>353745.9</v>
      </c>
      <c r="I482" s="914">
        <v>398557.8</v>
      </c>
      <c r="J482" s="914">
        <v>450091.5</v>
      </c>
      <c r="K482" s="741" t="s">
        <v>634</v>
      </c>
      <c r="M482" s="745" t="s">
        <v>17</v>
      </c>
      <c r="N482" s="71">
        <v>0.55000000000000004</v>
      </c>
      <c r="O482" s="71">
        <v>0.56000000000000005</v>
      </c>
      <c r="P482" s="71">
        <v>0.57999999999999996</v>
      </c>
      <c r="Q482" s="71">
        <v>0.6</v>
      </c>
      <c r="R482" s="273"/>
    </row>
    <row r="483" spans="2:18" ht="25.5" x14ac:dyDescent="0.2">
      <c r="B483" s="697"/>
      <c r="C483" s="697" t="s">
        <v>155</v>
      </c>
      <c r="D483" s="697"/>
      <c r="E483" s="741" t="s">
        <v>635</v>
      </c>
      <c r="F483" s="914">
        <v>57980.6</v>
      </c>
      <c r="G483" s="914">
        <v>298543.90000000002</v>
      </c>
      <c r="H483" s="914">
        <v>72241.899999999994</v>
      </c>
      <c r="I483" s="914">
        <v>72241.899999999994</v>
      </c>
      <c r="J483" s="914">
        <v>72241.899999999994</v>
      </c>
      <c r="K483" s="738" t="s">
        <v>636</v>
      </c>
      <c r="M483" s="742" t="s">
        <v>17</v>
      </c>
      <c r="N483" s="289">
        <v>0.83699999999999997</v>
      </c>
      <c r="O483" s="289">
        <v>1</v>
      </c>
      <c r="P483" s="289">
        <v>1</v>
      </c>
      <c r="Q483" s="289">
        <v>1</v>
      </c>
      <c r="R483" s="273"/>
    </row>
    <row r="484" spans="2:18" ht="38.25" x14ac:dyDescent="0.2">
      <c r="B484" s="697"/>
      <c r="C484" s="697" t="s">
        <v>158</v>
      </c>
      <c r="D484" s="697"/>
      <c r="E484" s="741" t="s">
        <v>637</v>
      </c>
      <c r="F484" s="914">
        <v>185339.6</v>
      </c>
      <c r="G484" s="914">
        <v>577418.9</v>
      </c>
      <c r="H484" s="914">
        <v>183844.7</v>
      </c>
      <c r="I484" s="914">
        <v>183844.7</v>
      </c>
      <c r="J484" s="948">
        <v>183844.7</v>
      </c>
      <c r="K484" s="738" t="s">
        <v>638</v>
      </c>
      <c r="M484" s="742" t="s">
        <v>17</v>
      </c>
      <c r="N484" s="289" t="s">
        <v>639</v>
      </c>
      <c r="O484" s="289">
        <v>1</v>
      </c>
      <c r="P484" s="289">
        <v>1</v>
      </c>
      <c r="Q484" s="289">
        <v>1</v>
      </c>
      <c r="R484" s="273"/>
    </row>
    <row r="485" spans="2:18" ht="38.25" x14ac:dyDescent="0.2">
      <c r="B485" s="697"/>
      <c r="C485" s="697" t="s">
        <v>264</v>
      </c>
      <c r="D485" s="697"/>
      <c r="E485" s="741" t="s">
        <v>640</v>
      </c>
      <c r="F485" s="914">
        <v>63119.1</v>
      </c>
      <c r="G485" s="914">
        <v>70000</v>
      </c>
      <c r="H485" s="914"/>
      <c r="I485" s="914"/>
      <c r="J485" s="948"/>
      <c r="K485" s="741" t="s">
        <v>641</v>
      </c>
      <c r="M485" s="742" t="s">
        <v>17</v>
      </c>
      <c r="N485" s="73">
        <v>1</v>
      </c>
      <c r="O485" s="73">
        <v>1</v>
      </c>
      <c r="P485" s="73">
        <v>1</v>
      </c>
      <c r="Q485" s="290">
        <v>1</v>
      </c>
      <c r="R485" s="273"/>
    </row>
    <row r="486" spans="2:18" x14ac:dyDescent="0.2">
      <c r="B486" s="285"/>
      <c r="C486" s="285"/>
      <c r="D486" s="285"/>
      <c r="E486" s="738" t="s">
        <v>642</v>
      </c>
      <c r="F486" s="914">
        <f>SUM(F471:F485)</f>
        <v>5149182.1999999993</v>
      </c>
      <c r="G486" s="914">
        <f>SUM(G471:G485)</f>
        <v>6259012.0000000009</v>
      </c>
      <c r="H486" s="914">
        <f>SUM(H471:H485)</f>
        <v>5451436.2000000011</v>
      </c>
      <c r="I486" s="914">
        <f>SUM(I471:I485)</f>
        <v>5722396.9000000004</v>
      </c>
      <c r="J486" s="914">
        <f>SUM(J471:J485)</f>
        <v>5823300.5000000009</v>
      </c>
      <c r="K486" s="291"/>
      <c r="M486" s="1006"/>
      <c r="N486" s="293"/>
      <c r="O486" s="293"/>
      <c r="P486" s="293"/>
      <c r="Q486" s="294"/>
      <c r="R486" s="273"/>
    </row>
    <row r="487" spans="2:18" ht="25.5" customHeight="1" x14ac:dyDescent="0.2">
      <c r="B487" s="2020" t="s">
        <v>161</v>
      </c>
      <c r="C487" s="2011"/>
      <c r="D487" s="2011"/>
      <c r="E487" s="2022" t="s">
        <v>2562</v>
      </c>
      <c r="F487" s="973"/>
      <c r="G487" s="973"/>
      <c r="H487" s="973"/>
      <c r="I487" s="973"/>
      <c r="J487" s="974"/>
      <c r="K487" s="740" t="s">
        <v>643</v>
      </c>
      <c r="M487" s="744" t="s">
        <v>17</v>
      </c>
      <c r="N487" s="295" t="s">
        <v>644</v>
      </c>
      <c r="O487" s="295" t="s">
        <v>645</v>
      </c>
      <c r="P487" s="295" t="s">
        <v>646</v>
      </c>
      <c r="Q487" s="295" t="s">
        <v>647</v>
      </c>
      <c r="R487" s="273"/>
    </row>
    <row r="488" spans="2:18" x14ac:dyDescent="0.2">
      <c r="B488" s="2021"/>
      <c r="C488" s="2012"/>
      <c r="D488" s="2012"/>
      <c r="E488" s="2023"/>
      <c r="F488" s="977"/>
      <c r="G488" s="977"/>
      <c r="H488" s="977"/>
      <c r="I488" s="977"/>
      <c r="J488" s="978"/>
      <c r="K488" s="740" t="s">
        <v>648</v>
      </c>
      <c r="M488" s="743" t="s">
        <v>17</v>
      </c>
      <c r="N488" s="296">
        <v>0.82</v>
      </c>
      <c r="O488" s="296">
        <v>0.83</v>
      </c>
      <c r="P488" s="296">
        <v>0.85</v>
      </c>
      <c r="Q488" s="296" t="s">
        <v>649</v>
      </c>
      <c r="R488" s="273"/>
    </row>
    <row r="489" spans="2:18" ht="25.5" x14ac:dyDescent="0.2">
      <c r="B489" s="2021"/>
      <c r="C489" s="2012"/>
      <c r="D489" s="2012"/>
      <c r="E489" s="2023"/>
      <c r="F489" s="977"/>
      <c r="G489" s="977"/>
      <c r="H489" s="977"/>
      <c r="I489" s="977"/>
      <c r="J489" s="978"/>
      <c r="K489" s="738" t="s">
        <v>650</v>
      </c>
      <c r="M489" s="2025" t="s">
        <v>17</v>
      </c>
      <c r="N489" s="289"/>
      <c r="O489" s="289"/>
      <c r="P489" s="289"/>
      <c r="Q489" s="289"/>
      <c r="R489" s="273"/>
    </row>
    <row r="490" spans="2:18" x14ac:dyDescent="0.2">
      <c r="B490" s="737"/>
      <c r="C490" s="737"/>
      <c r="D490" s="737"/>
      <c r="E490" s="2023"/>
      <c r="F490" s="977"/>
      <c r="G490" s="977"/>
      <c r="H490" s="977"/>
      <c r="I490" s="977"/>
      <c r="J490" s="978"/>
      <c r="K490" s="739" t="s">
        <v>651</v>
      </c>
      <c r="M490" s="2026"/>
      <c r="N490" s="296">
        <v>0.14899999999999999</v>
      </c>
      <c r="O490" s="296">
        <v>0.15</v>
      </c>
      <c r="P490" s="296">
        <v>0.151</v>
      </c>
      <c r="Q490" s="296">
        <v>0.152</v>
      </c>
      <c r="R490" s="273"/>
    </row>
    <row r="491" spans="2:18" x14ac:dyDescent="0.2">
      <c r="B491" s="737"/>
      <c r="C491" s="737"/>
      <c r="D491" s="737"/>
      <c r="E491" s="2024"/>
      <c r="F491" s="975"/>
      <c r="G491" s="975"/>
      <c r="H491" s="975"/>
      <c r="I491" s="975"/>
      <c r="J491" s="976"/>
      <c r="K491" s="740" t="s">
        <v>652</v>
      </c>
      <c r="M491" s="2027"/>
      <c r="N491" s="295">
        <v>5.5E-2</v>
      </c>
      <c r="O491" s="295">
        <v>5.6000000000000001E-2</v>
      </c>
      <c r="P491" s="295">
        <v>5.7000000000000002E-2</v>
      </c>
      <c r="Q491" s="295">
        <v>5.8000000000000003E-2</v>
      </c>
      <c r="R491" s="273"/>
    </row>
    <row r="492" spans="2:18" ht="25.5" x14ac:dyDescent="0.2">
      <c r="B492" s="2011"/>
      <c r="C492" s="2011" t="s">
        <v>123</v>
      </c>
      <c r="D492" s="2011"/>
      <c r="E492" s="2018" t="s">
        <v>653</v>
      </c>
      <c r="F492" s="1756">
        <v>6272748.0999999996</v>
      </c>
      <c r="G492" s="1756">
        <v>6391248.2999999998</v>
      </c>
      <c r="H492" s="1756">
        <v>6231419.2999999998</v>
      </c>
      <c r="I492" s="1756">
        <v>6581774</v>
      </c>
      <c r="J492" s="1756">
        <v>6658259.0999999996</v>
      </c>
      <c r="K492" s="65" t="s">
        <v>654</v>
      </c>
      <c r="M492" s="745" t="s">
        <v>17</v>
      </c>
      <c r="N492" s="73" t="s">
        <v>655</v>
      </c>
      <c r="O492" s="73" t="s">
        <v>655</v>
      </c>
      <c r="P492" s="73" t="s">
        <v>655</v>
      </c>
      <c r="Q492" s="73" t="s">
        <v>655</v>
      </c>
      <c r="R492" s="273"/>
    </row>
    <row r="493" spans="2:18" ht="51" x14ac:dyDescent="0.2">
      <c r="B493" s="2012"/>
      <c r="C493" s="2012"/>
      <c r="D493" s="2012"/>
      <c r="E493" s="2019"/>
      <c r="F493" s="1756"/>
      <c r="G493" s="1756"/>
      <c r="H493" s="1756"/>
      <c r="I493" s="1756"/>
      <c r="J493" s="1756"/>
      <c r="K493" s="65" t="s">
        <v>656</v>
      </c>
      <c r="M493" s="745" t="s">
        <v>17</v>
      </c>
      <c r="N493" s="73">
        <v>6.5000000000000002E-2</v>
      </c>
      <c r="O493" s="73">
        <v>7.0000000000000007E-2</v>
      </c>
      <c r="P493" s="73">
        <v>7.4999999999999997E-2</v>
      </c>
      <c r="Q493" s="73">
        <v>0.08</v>
      </c>
      <c r="R493" s="273"/>
    </row>
    <row r="494" spans="2:18" ht="25.5" x14ac:dyDescent="0.2">
      <c r="B494" s="2012"/>
      <c r="C494" s="2012"/>
      <c r="D494" s="2012"/>
      <c r="E494" s="2019"/>
      <c r="F494" s="1756"/>
      <c r="G494" s="1756"/>
      <c r="H494" s="1756"/>
      <c r="I494" s="1756"/>
      <c r="J494" s="1756"/>
      <c r="K494" s="741" t="s">
        <v>657</v>
      </c>
      <c r="M494" s="744" t="s">
        <v>17</v>
      </c>
      <c r="N494" s="295">
        <v>1.05</v>
      </c>
      <c r="O494" s="295">
        <v>1.03</v>
      </c>
      <c r="P494" s="295">
        <v>1.01</v>
      </c>
      <c r="Q494" s="295">
        <v>1</v>
      </c>
      <c r="R494" s="273"/>
    </row>
    <row r="495" spans="2:18" ht="25.5" x14ac:dyDescent="0.2">
      <c r="B495" s="2012"/>
      <c r="C495" s="2012"/>
      <c r="D495" s="2012"/>
      <c r="E495" s="2019"/>
      <c r="F495" s="1756"/>
      <c r="G495" s="1756"/>
      <c r="H495" s="1756"/>
      <c r="I495" s="1756"/>
      <c r="J495" s="1756"/>
      <c r="K495" s="741" t="s">
        <v>658</v>
      </c>
      <c r="M495" s="745" t="s">
        <v>17</v>
      </c>
      <c r="N495" s="73" t="s">
        <v>659</v>
      </c>
      <c r="O495" s="73" t="s">
        <v>659</v>
      </c>
      <c r="P495" s="73" t="s">
        <v>659</v>
      </c>
      <c r="Q495" s="73" t="s">
        <v>659</v>
      </c>
      <c r="R495" s="273"/>
    </row>
    <row r="496" spans="2:18" ht="25.5" x14ac:dyDescent="0.2">
      <c r="B496" s="1851"/>
      <c r="C496" s="1851"/>
      <c r="D496" s="1851"/>
      <c r="E496" s="2019"/>
      <c r="F496" s="1756"/>
      <c r="G496" s="1756"/>
      <c r="H496" s="1756"/>
      <c r="I496" s="1756"/>
      <c r="J496" s="1756"/>
      <c r="K496" s="65" t="s">
        <v>657</v>
      </c>
      <c r="M496" s="745" t="s">
        <v>17</v>
      </c>
      <c r="N496" s="73">
        <v>1.06</v>
      </c>
      <c r="O496" s="73">
        <v>1.02</v>
      </c>
      <c r="P496" s="73" t="s">
        <v>660</v>
      </c>
      <c r="Q496" s="73" t="s">
        <v>660</v>
      </c>
      <c r="R496" s="273"/>
    </row>
    <row r="497" spans="2:18" ht="45" customHeight="1" x14ac:dyDescent="0.2">
      <c r="B497" s="697"/>
      <c r="C497" s="697" t="s">
        <v>125</v>
      </c>
      <c r="D497" s="697"/>
      <c r="E497" s="741" t="s">
        <v>661</v>
      </c>
      <c r="F497" s="914">
        <v>789601.6</v>
      </c>
      <c r="G497" s="914">
        <v>676147</v>
      </c>
      <c r="H497" s="914">
        <v>647299.4</v>
      </c>
      <c r="I497" s="914">
        <v>647299.4</v>
      </c>
      <c r="J497" s="914">
        <v>647299.4</v>
      </c>
      <c r="K497" s="741" t="s">
        <v>657</v>
      </c>
      <c r="M497" s="744" t="s">
        <v>17</v>
      </c>
      <c r="N497" s="295">
        <v>1</v>
      </c>
      <c r="O497" s="295">
        <v>1</v>
      </c>
      <c r="P497" s="295">
        <v>1</v>
      </c>
      <c r="Q497" s="295">
        <v>1</v>
      </c>
      <c r="R497" s="273"/>
    </row>
    <row r="498" spans="2:18" ht="38.25" x14ac:dyDescent="0.2">
      <c r="B498" s="699"/>
      <c r="C498" s="699" t="s">
        <v>127</v>
      </c>
      <c r="D498" s="699"/>
      <c r="E498" s="738" t="s">
        <v>662</v>
      </c>
      <c r="F498" s="914">
        <v>172714.2</v>
      </c>
      <c r="G498" s="914">
        <v>235864</v>
      </c>
      <c r="H498" s="914">
        <v>230680.3</v>
      </c>
      <c r="I498" s="914">
        <v>230680.3</v>
      </c>
      <c r="J498" s="914">
        <v>230680.3</v>
      </c>
      <c r="K498" s="741" t="s">
        <v>657</v>
      </c>
      <c r="M498" s="744" t="s">
        <v>17</v>
      </c>
      <c r="N498" s="295" t="s">
        <v>660</v>
      </c>
      <c r="O498" s="295" t="s">
        <v>660</v>
      </c>
      <c r="P498" s="295" t="s">
        <v>660</v>
      </c>
      <c r="Q498" s="295" t="s">
        <v>660</v>
      </c>
      <c r="R498" s="273"/>
    </row>
    <row r="499" spans="2:18" ht="25.5" x14ac:dyDescent="0.2">
      <c r="B499" s="699"/>
      <c r="C499" s="699" t="s">
        <v>132</v>
      </c>
      <c r="D499" s="699"/>
      <c r="E499" s="738" t="s">
        <v>663</v>
      </c>
      <c r="F499" s="914">
        <v>50943.7</v>
      </c>
      <c r="G499" s="914">
        <v>46414.2</v>
      </c>
      <c r="H499" s="914">
        <v>51929.9</v>
      </c>
      <c r="I499" s="914">
        <v>51929.9</v>
      </c>
      <c r="J499" s="914">
        <v>51929.9</v>
      </c>
      <c r="K499" s="741" t="s">
        <v>657</v>
      </c>
      <c r="M499" s="744" t="s">
        <v>17</v>
      </c>
      <c r="N499" s="295" t="s">
        <v>660</v>
      </c>
      <c r="O499" s="295" t="s">
        <v>660</v>
      </c>
      <c r="P499" s="295" t="s">
        <v>660</v>
      </c>
      <c r="Q499" s="295" t="s">
        <v>660</v>
      </c>
      <c r="R499" s="273"/>
    </row>
    <row r="500" spans="2:18" ht="25.5" x14ac:dyDescent="0.2">
      <c r="B500" s="699"/>
      <c r="C500" s="699" t="s">
        <v>74</v>
      </c>
      <c r="D500" s="699"/>
      <c r="E500" s="738" t="s">
        <v>664</v>
      </c>
      <c r="F500" s="914">
        <v>277663.40000000002</v>
      </c>
      <c r="G500" s="914">
        <v>275283.40000000002</v>
      </c>
      <c r="H500" s="914">
        <v>274574.2</v>
      </c>
      <c r="I500" s="914">
        <v>274574.2</v>
      </c>
      <c r="J500" s="914">
        <v>274574.2</v>
      </c>
      <c r="K500" s="741" t="s">
        <v>657</v>
      </c>
      <c r="M500" s="744" t="s">
        <v>17</v>
      </c>
      <c r="N500" s="295" t="s">
        <v>660</v>
      </c>
      <c r="O500" s="295" t="s">
        <v>660</v>
      </c>
      <c r="P500" s="295" t="s">
        <v>660</v>
      </c>
      <c r="Q500" s="295" t="s">
        <v>660</v>
      </c>
      <c r="R500" s="273"/>
    </row>
    <row r="501" spans="2:18" ht="25.5" x14ac:dyDescent="0.2">
      <c r="B501" s="699"/>
      <c r="C501" s="699" t="s">
        <v>197</v>
      </c>
      <c r="D501" s="699"/>
      <c r="E501" s="670" t="s">
        <v>635</v>
      </c>
      <c r="F501" s="914">
        <v>437579.9</v>
      </c>
      <c r="G501" s="914">
        <v>278547.59999999998</v>
      </c>
      <c r="H501" s="914">
        <v>448136.3</v>
      </c>
      <c r="I501" s="914">
        <v>448136.3</v>
      </c>
      <c r="J501" s="914">
        <v>448136.3</v>
      </c>
      <c r="K501" s="741" t="s">
        <v>665</v>
      </c>
      <c r="M501" s="744" t="s">
        <v>582</v>
      </c>
      <c r="N501" s="295">
        <v>0.95</v>
      </c>
      <c r="O501" s="295">
        <v>0.95</v>
      </c>
      <c r="P501" s="295">
        <v>0.95</v>
      </c>
      <c r="Q501" s="295">
        <v>0.95</v>
      </c>
      <c r="R501" s="273"/>
    </row>
    <row r="502" spans="2:18" ht="38.25" x14ac:dyDescent="0.2">
      <c r="B502" s="699"/>
      <c r="C502" s="699" t="s">
        <v>155</v>
      </c>
      <c r="D502" s="699"/>
      <c r="E502" s="738" t="s">
        <v>637</v>
      </c>
      <c r="F502" s="914">
        <v>310220.90000000002</v>
      </c>
      <c r="G502" s="914">
        <v>494322.4</v>
      </c>
      <c r="H502" s="914">
        <v>373830.9</v>
      </c>
      <c r="I502" s="914">
        <v>373830.9</v>
      </c>
      <c r="J502" s="914">
        <v>373830.9</v>
      </c>
      <c r="K502" s="741" t="s">
        <v>666</v>
      </c>
      <c r="M502" s="744" t="s">
        <v>582</v>
      </c>
      <c r="N502" s="295">
        <v>0.83</v>
      </c>
      <c r="O502" s="295">
        <v>0.83</v>
      </c>
      <c r="P502" s="295">
        <v>0.83</v>
      </c>
      <c r="Q502" s="295">
        <v>0.83</v>
      </c>
      <c r="R502" s="273"/>
    </row>
    <row r="503" spans="2:18" ht="51" x14ac:dyDescent="0.2">
      <c r="B503" s="697"/>
      <c r="C503" s="697" t="s">
        <v>158</v>
      </c>
      <c r="D503" s="697"/>
      <c r="E503" s="741" t="s">
        <v>667</v>
      </c>
      <c r="F503" s="914">
        <v>155695.79999999999</v>
      </c>
      <c r="G503" s="914">
        <v>90787.5</v>
      </c>
      <c r="H503" s="914"/>
      <c r="I503" s="914"/>
      <c r="J503" s="914"/>
      <c r="K503" s="741" t="s">
        <v>668</v>
      </c>
      <c r="M503" s="745" t="s">
        <v>17</v>
      </c>
      <c r="N503" s="73">
        <v>0.83699999999999997</v>
      </c>
      <c r="O503" s="73">
        <v>1</v>
      </c>
      <c r="P503" s="73">
        <v>1</v>
      </c>
      <c r="Q503" s="73">
        <v>1</v>
      </c>
      <c r="R503" s="273"/>
    </row>
    <row r="504" spans="2:18" x14ac:dyDescent="0.2">
      <c r="B504" s="285"/>
      <c r="C504" s="285"/>
      <c r="D504" s="285"/>
      <c r="E504" s="741" t="s">
        <v>669</v>
      </c>
      <c r="F504" s="914">
        <f>SUM(F492:F503)</f>
        <v>8467167.6000000015</v>
      </c>
      <c r="G504" s="914">
        <f>SUM(G492:G503)</f>
        <v>8488614.4000000004</v>
      </c>
      <c r="H504" s="914">
        <f>SUM(H492:H503)</f>
        <v>8257870.3000000007</v>
      </c>
      <c r="I504" s="914">
        <f>SUM(I492:I503)</f>
        <v>8608225</v>
      </c>
      <c r="J504" s="914">
        <f>SUM(J492:J503)</f>
        <v>8684710.0999999996</v>
      </c>
      <c r="K504" s="291"/>
      <c r="M504" s="1006"/>
      <c r="N504" s="292"/>
      <c r="O504" s="292"/>
      <c r="P504" s="292"/>
      <c r="Q504" s="297"/>
      <c r="R504" s="273"/>
    </row>
    <row r="505" spans="2:18" ht="86.25" customHeight="1" x14ac:dyDescent="0.2">
      <c r="B505" s="697" t="s">
        <v>169</v>
      </c>
      <c r="C505" s="697"/>
      <c r="D505" s="697"/>
      <c r="E505" s="298" t="s">
        <v>2563</v>
      </c>
      <c r="F505" s="979"/>
      <c r="G505" s="979"/>
      <c r="H505" s="979"/>
      <c r="I505" s="979"/>
      <c r="J505" s="917"/>
      <c r="K505" s="741" t="s">
        <v>670</v>
      </c>
      <c r="M505" s="745" t="s">
        <v>17</v>
      </c>
      <c r="N505" s="71">
        <v>0.78</v>
      </c>
      <c r="O505" s="71">
        <v>0.79</v>
      </c>
      <c r="P505" s="71">
        <v>0.8</v>
      </c>
      <c r="Q505" s="71">
        <v>0.81</v>
      </c>
      <c r="R505" s="273"/>
    </row>
    <row r="506" spans="2:18" ht="89.25" x14ac:dyDescent="0.2">
      <c r="B506" s="697"/>
      <c r="C506" s="697" t="s">
        <v>123</v>
      </c>
      <c r="D506" s="697"/>
      <c r="E506" s="741" t="s">
        <v>671</v>
      </c>
      <c r="F506" s="914">
        <v>527233.30000000005</v>
      </c>
      <c r="G506" s="914">
        <f>682700+75000</f>
        <v>757700</v>
      </c>
      <c r="H506" s="914">
        <v>757700</v>
      </c>
      <c r="I506" s="914">
        <v>757700</v>
      </c>
      <c r="J506" s="914">
        <v>757700</v>
      </c>
      <c r="K506" s="741" t="s">
        <v>672</v>
      </c>
      <c r="M506" s="745" t="s">
        <v>96</v>
      </c>
      <c r="N506" s="299">
        <v>170</v>
      </c>
      <c r="O506" s="299">
        <v>190</v>
      </c>
      <c r="P506" s="299"/>
      <c r="Q506" s="299"/>
      <c r="R506" s="273"/>
    </row>
    <row r="507" spans="2:18" ht="63.75" x14ac:dyDescent="0.2">
      <c r="B507" s="697"/>
      <c r="C507" s="700" t="s">
        <v>125</v>
      </c>
      <c r="D507" s="700"/>
      <c r="E507" s="740" t="s">
        <v>673</v>
      </c>
      <c r="F507" s="950"/>
      <c r="G507" s="950">
        <v>200337.1</v>
      </c>
      <c r="H507" s="950">
        <v>216510.1</v>
      </c>
      <c r="I507" s="950">
        <v>232012.5</v>
      </c>
      <c r="J507" s="950">
        <v>247211.6</v>
      </c>
      <c r="K507" s="741" t="s">
        <v>674</v>
      </c>
      <c r="M507" s="745" t="s">
        <v>17</v>
      </c>
      <c r="N507" s="73">
        <v>1.2999999999999999E-2</v>
      </c>
      <c r="O507" s="73">
        <v>1.2999999999999999E-2</v>
      </c>
      <c r="P507" s="73">
        <v>1.2999999999999999E-2</v>
      </c>
      <c r="Q507" s="73">
        <v>1.2999999999999999E-2</v>
      </c>
      <c r="R507" s="273"/>
    </row>
    <row r="508" spans="2:18" ht="25.5" x14ac:dyDescent="0.2">
      <c r="B508" s="697"/>
      <c r="C508" s="700" t="s">
        <v>127</v>
      </c>
      <c r="D508" s="700"/>
      <c r="E508" s="740" t="s">
        <v>675</v>
      </c>
      <c r="F508" s="950">
        <v>8175.7</v>
      </c>
      <c r="G508" s="950">
        <v>25000</v>
      </c>
      <c r="H508" s="950">
        <v>25000</v>
      </c>
      <c r="I508" s="950">
        <v>25000</v>
      </c>
      <c r="J508" s="950">
        <v>25000</v>
      </c>
      <c r="K508" s="741" t="s">
        <v>676</v>
      </c>
      <c r="M508" s="745" t="s">
        <v>17</v>
      </c>
      <c r="N508" s="73">
        <v>2E-3</v>
      </c>
      <c r="O508" s="73">
        <v>2E-3</v>
      </c>
      <c r="P508" s="73">
        <v>2E-3</v>
      </c>
      <c r="Q508" s="73">
        <v>2E-3</v>
      </c>
      <c r="R508" s="273"/>
    </row>
    <row r="509" spans="2:18" ht="38.25" x14ac:dyDescent="0.2">
      <c r="B509" s="2011"/>
      <c r="C509" s="2011" t="s">
        <v>132</v>
      </c>
      <c r="D509" s="2011"/>
      <c r="E509" s="2013" t="s">
        <v>677</v>
      </c>
      <c r="F509" s="2015">
        <v>357481.7</v>
      </c>
      <c r="G509" s="2015">
        <v>300000</v>
      </c>
      <c r="H509" s="2015">
        <v>243533.9</v>
      </c>
      <c r="I509" s="2015"/>
      <c r="J509" s="2015"/>
      <c r="K509" s="741" t="s">
        <v>678</v>
      </c>
      <c r="M509" s="745" t="s">
        <v>17</v>
      </c>
      <c r="N509" s="73">
        <v>1</v>
      </c>
      <c r="O509" s="73"/>
      <c r="P509" s="284"/>
      <c r="Q509" s="284"/>
      <c r="R509" s="273"/>
    </row>
    <row r="510" spans="2:18" ht="25.5" x14ac:dyDescent="0.2">
      <c r="B510" s="2012"/>
      <c r="C510" s="2012"/>
      <c r="D510" s="2012"/>
      <c r="E510" s="2014"/>
      <c r="F510" s="1990"/>
      <c r="G510" s="1990"/>
      <c r="H510" s="1990"/>
      <c r="I510" s="1990"/>
      <c r="J510" s="1990"/>
      <c r="K510" s="741" t="s">
        <v>679</v>
      </c>
      <c r="M510" s="745" t="s">
        <v>582</v>
      </c>
      <c r="N510" s="299">
        <v>6</v>
      </c>
      <c r="O510" s="299"/>
      <c r="P510" s="280"/>
      <c r="Q510" s="280"/>
      <c r="R510" s="273"/>
    </row>
    <row r="511" spans="2:18" x14ac:dyDescent="0.2">
      <c r="B511" s="697"/>
      <c r="C511" s="697" t="s">
        <v>74</v>
      </c>
      <c r="D511" s="697"/>
      <c r="E511" s="741" t="s">
        <v>680</v>
      </c>
      <c r="F511" s="941"/>
      <c r="G511" s="941"/>
      <c r="H511" s="941">
        <v>155400</v>
      </c>
      <c r="I511" s="941"/>
      <c r="J511" s="941"/>
      <c r="K511" s="741"/>
      <c r="M511" s="745"/>
      <c r="N511" s="299"/>
      <c r="O511" s="299"/>
      <c r="P511" s="280"/>
      <c r="Q511" s="280"/>
      <c r="R511" s="273"/>
    </row>
    <row r="512" spans="2:18" ht="25.5" x14ac:dyDescent="0.2">
      <c r="B512" s="697"/>
      <c r="C512" s="697" t="s">
        <v>197</v>
      </c>
      <c r="D512" s="697"/>
      <c r="E512" s="741" t="s">
        <v>681</v>
      </c>
      <c r="F512" s="941"/>
      <c r="G512" s="941">
        <v>175000</v>
      </c>
      <c r="H512" s="941">
        <v>77700</v>
      </c>
      <c r="I512" s="941">
        <v>155400</v>
      </c>
      <c r="J512" s="941">
        <v>233100</v>
      </c>
      <c r="K512" s="741" t="s">
        <v>682</v>
      </c>
      <c r="M512" s="745" t="s">
        <v>17</v>
      </c>
      <c r="N512" s="71"/>
      <c r="O512" s="299"/>
      <c r="P512" s="280"/>
      <c r="Q512" s="280"/>
      <c r="R512" s="273"/>
    </row>
    <row r="513" spans="1:18" ht="24.75" customHeight="1" x14ac:dyDescent="0.2">
      <c r="B513" s="697"/>
      <c r="C513" s="697" t="s">
        <v>155</v>
      </c>
      <c r="D513" s="697"/>
      <c r="E513" s="741" t="s">
        <v>683</v>
      </c>
      <c r="F513" s="941"/>
      <c r="G513" s="941"/>
      <c r="H513" s="941">
        <v>77700</v>
      </c>
      <c r="I513" s="941"/>
      <c r="J513" s="941"/>
      <c r="K513" s="741"/>
      <c r="M513" s="745"/>
      <c r="N513" s="71"/>
      <c r="O513" s="299"/>
      <c r="P513" s="280"/>
      <c r="Q513" s="280"/>
      <c r="R513" s="273"/>
    </row>
    <row r="514" spans="1:18" ht="21" customHeight="1" x14ac:dyDescent="0.2">
      <c r="B514" s="669"/>
      <c r="C514" s="669"/>
      <c r="D514" s="669"/>
      <c r="E514" s="741" t="s">
        <v>684</v>
      </c>
      <c r="F514" s="914">
        <f>SUM(F506:F509)</f>
        <v>892890.7</v>
      </c>
      <c r="G514" s="914">
        <f>SUM(G506:G512)</f>
        <v>1458037.1</v>
      </c>
      <c r="H514" s="914">
        <f>SUM(H506:H513)</f>
        <v>1553544</v>
      </c>
      <c r="I514" s="914">
        <f t="shared" ref="I514:J514" si="19">SUM(I506:I512)</f>
        <v>1170112.5</v>
      </c>
      <c r="J514" s="914">
        <f t="shared" si="19"/>
        <v>1263011.6000000001</v>
      </c>
      <c r="K514" s="2028"/>
      <c r="L514" s="2028"/>
      <c r="M514" s="2028"/>
      <c r="N514" s="2028"/>
      <c r="O514" s="2028"/>
      <c r="P514" s="2028"/>
      <c r="Q514" s="273"/>
      <c r="R514" s="273"/>
    </row>
    <row r="515" spans="1:18" ht="19.5" customHeight="1" x14ac:dyDescent="0.2">
      <c r="B515" s="300"/>
      <c r="C515" s="300"/>
      <c r="D515" s="300"/>
      <c r="E515" s="1123" t="s">
        <v>685</v>
      </c>
      <c r="F515" s="908">
        <f>F514+F504+F486+F466</f>
        <v>14641844.300000001</v>
      </c>
      <c r="G515" s="908">
        <f>G514+G504+G486+G466</f>
        <v>16347420.300000001</v>
      </c>
      <c r="H515" s="908">
        <f>H514+H504+H486+H466</f>
        <v>15433850.500000002</v>
      </c>
      <c r="I515" s="908">
        <f>I514+I504+I486+I466</f>
        <v>15676734.4</v>
      </c>
      <c r="J515" s="908">
        <f>J514+J504+J486+J466</f>
        <v>15952022.199999999</v>
      </c>
      <c r="K515" s="2029"/>
      <c r="L515" s="2029"/>
      <c r="M515" s="2029"/>
      <c r="N515" s="2029"/>
      <c r="O515" s="2029"/>
      <c r="P515" s="2029"/>
      <c r="Q515" s="273"/>
      <c r="R515" s="273"/>
    </row>
    <row r="516" spans="1:18" s="20" customFormat="1" ht="36" customHeight="1" x14ac:dyDescent="0.2">
      <c r="A516" s="131"/>
      <c r="B516" s="1518"/>
      <c r="C516" s="1519"/>
      <c r="D516" s="1520"/>
      <c r="E516" s="813" t="s">
        <v>686</v>
      </c>
      <c r="F516" s="1521"/>
      <c r="G516" s="1521"/>
      <c r="H516" s="1521"/>
      <c r="I516" s="1521"/>
      <c r="J516" s="1521"/>
      <c r="K516" s="1522"/>
      <c r="L516" s="1522"/>
      <c r="M516" s="1523"/>
      <c r="N516" s="1523"/>
      <c r="O516" s="1523"/>
      <c r="P516" s="1523"/>
      <c r="Q516" s="1523"/>
      <c r="R516" s="1523"/>
    </row>
    <row r="517" spans="1:18" s="20" customFormat="1" ht="30.75" customHeight="1" x14ac:dyDescent="0.2">
      <c r="A517" s="131"/>
      <c r="B517" s="795"/>
      <c r="C517" s="697" t="s">
        <v>123</v>
      </c>
      <c r="D517" s="67"/>
      <c r="E517" s="673" t="s">
        <v>687</v>
      </c>
      <c r="F517" s="901">
        <v>165100</v>
      </c>
      <c r="G517" s="914">
        <v>165100</v>
      </c>
      <c r="H517" s="944"/>
      <c r="I517" s="944"/>
      <c r="J517" s="944"/>
      <c r="K517" s="236"/>
      <c r="L517" s="236"/>
      <c r="M517" s="235"/>
      <c r="N517" s="235"/>
      <c r="O517" s="235"/>
      <c r="P517" s="235"/>
      <c r="Q517" s="235"/>
      <c r="R517" s="235"/>
    </row>
    <row r="518" spans="1:18" s="20" customFormat="1" ht="18" customHeight="1" x14ac:dyDescent="0.2">
      <c r="A518" s="131"/>
      <c r="B518" s="795"/>
      <c r="C518" s="697" t="s">
        <v>125</v>
      </c>
      <c r="D518" s="67"/>
      <c r="E518" s="673" t="s">
        <v>2378</v>
      </c>
      <c r="F518" s="901">
        <v>14100</v>
      </c>
      <c r="G518" s="914">
        <v>14100</v>
      </c>
      <c r="H518" s="944"/>
      <c r="I518" s="944"/>
      <c r="J518" s="944"/>
      <c r="K518" s="236"/>
      <c r="L518" s="236"/>
      <c r="M518" s="235"/>
      <c r="N518" s="235"/>
      <c r="O518" s="235"/>
      <c r="P518" s="235"/>
      <c r="Q518" s="235"/>
      <c r="R518" s="235"/>
    </row>
    <row r="519" spans="1:18" s="20" customFormat="1" ht="38.25" x14ac:dyDescent="0.2">
      <c r="A519" s="131"/>
      <c r="B519" s="795"/>
      <c r="C519" s="697" t="s">
        <v>127</v>
      </c>
      <c r="D519" s="67"/>
      <c r="E519" s="673" t="s">
        <v>688</v>
      </c>
      <c r="F519" s="901">
        <v>200000</v>
      </c>
      <c r="G519" s="914">
        <f>120000+80000</f>
        <v>200000</v>
      </c>
      <c r="H519" s="944">
        <v>70500</v>
      </c>
      <c r="I519" s="944"/>
      <c r="J519" s="944"/>
      <c r="K519" s="236"/>
      <c r="L519" s="236"/>
      <c r="M519" s="235"/>
      <c r="N519" s="235"/>
      <c r="O519" s="235"/>
      <c r="P519" s="235"/>
      <c r="Q519" s="235"/>
      <c r="R519" s="235"/>
    </row>
    <row r="520" spans="1:18" s="20" customFormat="1" x14ac:dyDescent="0.2">
      <c r="A520" s="131"/>
      <c r="B520" s="795"/>
      <c r="C520" s="697" t="s">
        <v>132</v>
      </c>
      <c r="D520" s="67"/>
      <c r="E520" s="673" t="s">
        <v>689</v>
      </c>
      <c r="F520" s="901">
        <v>500000</v>
      </c>
      <c r="G520" s="914">
        <v>500000</v>
      </c>
      <c r="H520" s="944">
        <v>500000</v>
      </c>
      <c r="I520" s="944"/>
      <c r="J520" s="944"/>
      <c r="K520" s="236"/>
      <c r="L520" s="236"/>
      <c r="M520" s="235"/>
      <c r="N520" s="235"/>
      <c r="O520" s="235"/>
      <c r="P520" s="235"/>
      <c r="Q520" s="235"/>
      <c r="R520" s="235"/>
    </row>
    <row r="521" spans="1:18" s="20" customFormat="1" x14ac:dyDescent="0.2">
      <c r="A521" s="131"/>
      <c r="B521" s="795"/>
      <c r="C521" s="697" t="s">
        <v>74</v>
      </c>
      <c r="D521" s="67"/>
      <c r="E521" s="673" t="s">
        <v>690</v>
      </c>
      <c r="F521" s="901">
        <v>2000000</v>
      </c>
      <c r="G521" s="914">
        <v>1000000</v>
      </c>
      <c r="H521" s="944"/>
      <c r="I521" s="944"/>
      <c r="J521" s="944"/>
      <c r="K521" s="236"/>
      <c r="L521" s="236"/>
      <c r="M521" s="235"/>
      <c r="N521" s="235"/>
      <c r="O521" s="235"/>
      <c r="P521" s="235"/>
      <c r="Q521" s="235"/>
      <c r="R521" s="235"/>
    </row>
    <row r="522" spans="1:18" s="20" customFormat="1" x14ac:dyDescent="0.2">
      <c r="A522" s="131"/>
      <c r="B522" s="795"/>
      <c r="C522" s="697" t="s">
        <v>197</v>
      </c>
      <c r="D522" s="67"/>
      <c r="E522" s="673" t="s">
        <v>691</v>
      </c>
      <c r="F522" s="901">
        <v>140111.20000000001</v>
      </c>
      <c r="G522" s="914">
        <v>1543589.9</v>
      </c>
      <c r="H522" s="944">
        <v>600000</v>
      </c>
      <c r="I522" s="944"/>
      <c r="J522" s="944"/>
      <c r="K522" s="236"/>
      <c r="L522" s="236"/>
      <c r="M522" s="235"/>
      <c r="N522" s="235"/>
      <c r="O522" s="235"/>
      <c r="P522" s="235"/>
      <c r="Q522" s="235"/>
      <c r="R522" s="235"/>
    </row>
    <row r="523" spans="1:18" s="20" customFormat="1" x14ac:dyDescent="0.2">
      <c r="A523" s="131"/>
      <c r="B523" s="795"/>
      <c r="C523" s="697" t="s">
        <v>155</v>
      </c>
      <c r="D523" s="67"/>
      <c r="E523" s="673" t="s">
        <v>692</v>
      </c>
      <c r="F523" s="901">
        <v>635000</v>
      </c>
      <c r="G523" s="914">
        <v>635000</v>
      </c>
      <c r="H523" s="944">
        <v>500000</v>
      </c>
      <c r="I523" s="944"/>
      <c r="J523" s="944"/>
      <c r="K523" s="236"/>
      <c r="L523" s="236"/>
      <c r="M523" s="235"/>
      <c r="N523" s="235"/>
      <c r="O523" s="235"/>
      <c r="P523" s="235"/>
      <c r="Q523" s="235"/>
      <c r="R523" s="235"/>
    </row>
    <row r="524" spans="1:18" s="20" customFormat="1" x14ac:dyDescent="0.2">
      <c r="A524" s="131"/>
      <c r="B524" s="795"/>
      <c r="C524" s="697" t="s">
        <v>158</v>
      </c>
      <c r="D524" s="67"/>
      <c r="E524" s="741" t="s">
        <v>693</v>
      </c>
      <c r="F524" s="901">
        <v>8048193.2000000002</v>
      </c>
      <c r="G524" s="914">
        <f>4328691.7+4093189.3</f>
        <v>8421881</v>
      </c>
      <c r="H524" s="944">
        <v>9904618.5999999996</v>
      </c>
      <c r="I524" s="944"/>
      <c r="J524" s="944"/>
      <c r="K524" s="236"/>
      <c r="L524" s="236"/>
      <c r="M524" s="235"/>
      <c r="N524" s="235"/>
      <c r="O524" s="235"/>
      <c r="P524" s="235"/>
      <c r="Q524" s="235"/>
      <c r="R524" s="235"/>
    </row>
    <row r="525" spans="1:18" s="20" customFormat="1" x14ac:dyDescent="0.2">
      <c r="A525" s="131"/>
      <c r="B525" s="795"/>
      <c r="C525" s="697" t="s">
        <v>264</v>
      </c>
      <c r="D525" s="67"/>
      <c r="E525" s="741" t="s">
        <v>694</v>
      </c>
      <c r="F525" s="901">
        <v>500000</v>
      </c>
      <c r="G525" s="914">
        <v>500000</v>
      </c>
      <c r="H525" s="944">
        <v>500000</v>
      </c>
      <c r="I525" s="944"/>
      <c r="J525" s="944"/>
      <c r="K525" s="236"/>
      <c r="L525" s="236"/>
      <c r="M525" s="235"/>
      <c r="N525" s="235"/>
      <c r="O525" s="235"/>
      <c r="P525" s="235"/>
      <c r="Q525" s="235"/>
      <c r="R525" s="235"/>
    </row>
    <row r="526" spans="1:18" s="20" customFormat="1" x14ac:dyDescent="0.2">
      <c r="A526" s="131"/>
      <c r="B526" s="795"/>
      <c r="C526" s="697" t="s">
        <v>269</v>
      </c>
      <c r="D526" s="67"/>
      <c r="E526" s="741" t="s">
        <v>695</v>
      </c>
      <c r="F526" s="901">
        <v>190300.79999999999</v>
      </c>
      <c r="G526" s="914">
        <v>190300.79999999999</v>
      </c>
      <c r="H526" s="944">
        <v>30300.799999999999</v>
      </c>
      <c r="I526" s="944"/>
      <c r="J526" s="944"/>
      <c r="K526" s="236"/>
      <c r="L526" s="236"/>
      <c r="M526" s="235"/>
      <c r="N526" s="235"/>
      <c r="O526" s="235"/>
      <c r="P526" s="235"/>
      <c r="Q526" s="235"/>
      <c r="R526" s="235"/>
    </row>
    <row r="527" spans="1:18" s="20" customFormat="1" x14ac:dyDescent="0.2">
      <c r="A527" s="131"/>
      <c r="B527" s="795"/>
      <c r="C527" s="697" t="s">
        <v>272</v>
      </c>
      <c r="D527" s="67"/>
      <c r="E527" s="741" t="s">
        <v>696</v>
      </c>
      <c r="F527" s="901">
        <v>77861.399999999994</v>
      </c>
      <c r="G527" s="914">
        <v>45000</v>
      </c>
      <c r="H527" s="944">
        <v>45000</v>
      </c>
      <c r="I527" s="944"/>
      <c r="J527" s="944"/>
      <c r="K527" s="236"/>
      <c r="L527" s="236"/>
      <c r="M527" s="235"/>
      <c r="N527" s="235"/>
      <c r="O527" s="235"/>
      <c r="P527" s="235"/>
      <c r="Q527" s="235"/>
      <c r="R527" s="235"/>
    </row>
    <row r="528" spans="1:18" s="20" customFormat="1" x14ac:dyDescent="0.2">
      <c r="A528" s="131"/>
      <c r="B528" s="795"/>
      <c r="C528" s="697" t="s">
        <v>275</v>
      </c>
      <c r="D528" s="67"/>
      <c r="E528" s="741" t="s">
        <v>697</v>
      </c>
      <c r="F528" s="901">
        <v>105500</v>
      </c>
      <c r="G528" s="914">
        <v>0</v>
      </c>
      <c r="H528" s="944"/>
      <c r="I528" s="944"/>
      <c r="J528" s="944"/>
      <c r="K528" s="236"/>
      <c r="L528" s="236"/>
      <c r="M528" s="235"/>
      <c r="N528" s="235"/>
      <c r="O528" s="235"/>
      <c r="P528" s="235"/>
      <c r="Q528" s="235"/>
      <c r="R528" s="235"/>
    </row>
    <row r="529" spans="1:18" s="20" customFormat="1" x14ac:dyDescent="0.2">
      <c r="A529" s="131"/>
      <c r="B529" s="795"/>
      <c r="C529" s="697" t="s">
        <v>278</v>
      </c>
      <c r="D529" s="67"/>
      <c r="E529" s="741" t="s">
        <v>698</v>
      </c>
      <c r="F529" s="901">
        <v>984900</v>
      </c>
      <c r="G529" s="914">
        <v>804700</v>
      </c>
      <c r="H529" s="944">
        <v>2365216</v>
      </c>
      <c r="I529" s="944"/>
      <c r="J529" s="944"/>
      <c r="K529" s="236"/>
      <c r="L529" s="236"/>
      <c r="M529" s="235"/>
      <c r="N529" s="235"/>
      <c r="O529" s="235"/>
      <c r="P529" s="235"/>
      <c r="Q529" s="235"/>
      <c r="R529" s="235"/>
    </row>
    <row r="530" spans="1:18" s="20" customFormat="1" x14ac:dyDescent="0.2">
      <c r="A530" s="131"/>
      <c r="B530" s="795"/>
      <c r="C530" s="697" t="s">
        <v>281</v>
      </c>
      <c r="D530" s="67"/>
      <c r="E530" s="741" t="s">
        <v>699</v>
      </c>
      <c r="F530" s="901">
        <v>100000</v>
      </c>
      <c r="G530" s="914">
        <v>100000</v>
      </c>
      <c r="H530" s="944">
        <v>100000</v>
      </c>
      <c r="I530" s="944"/>
      <c r="J530" s="944"/>
      <c r="K530" s="236"/>
      <c r="L530" s="236"/>
      <c r="M530" s="235"/>
      <c r="N530" s="235"/>
      <c r="O530" s="235"/>
      <c r="P530" s="235"/>
      <c r="Q530" s="235"/>
      <c r="R530" s="235"/>
    </row>
    <row r="531" spans="1:18" s="20" customFormat="1" x14ac:dyDescent="0.2">
      <c r="A531" s="131"/>
      <c r="B531" s="795"/>
      <c r="C531" s="697" t="s">
        <v>88</v>
      </c>
      <c r="D531" s="67"/>
      <c r="E531" s="673" t="s">
        <v>700</v>
      </c>
      <c r="F531" s="901">
        <v>500000</v>
      </c>
      <c r="G531" s="914">
        <v>500000</v>
      </c>
      <c r="H531" s="944">
        <v>500000</v>
      </c>
      <c r="I531" s="944"/>
      <c r="J531" s="944"/>
      <c r="K531" s="236"/>
      <c r="L531" s="236"/>
      <c r="M531" s="235"/>
      <c r="N531" s="235"/>
      <c r="O531" s="235"/>
      <c r="P531" s="235"/>
      <c r="Q531" s="235"/>
      <c r="R531" s="235"/>
    </row>
    <row r="532" spans="1:18" s="20" customFormat="1" x14ac:dyDescent="0.2">
      <c r="A532" s="131"/>
      <c r="B532" s="873">
        <v>7</v>
      </c>
      <c r="C532" s="838"/>
      <c r="D532" s="645"/>
      <c r="E532" s="641" t="s">
        <v>701</v>
      </c>
      <c r="F532" s="914">
        <f>SUM(F533:F541)</f>
        <v>9124624.9999999981</v>
      </c>
      <c r="G532" s="914">
        <f>SUM(G533:G543)</f>
        <v>22567948.900000002</v>
      </c>
      <c r="H532" s="944"/>
      <c r="I532" s="944"/>
      <c r="J532" s="944"/>
      <c r="K532" s="236"/>
      <c r="L532" s="236"/>
      <c r="M532" s="235"/>
      <c r="N532" s="235"/>
      <c r="O532" s="235"/>
      <c r="P532" s="235"/>
      <c r="Q532" s="235"/>
      <c r="R532" s="235"/>
    </row>
    <row r="533" spans="1:18" s="20" customFormat="1" x14ac:dyDescent="0.2">
      <c r="A533" s="131"/>
      <c r="B533" s="795"/>
      <c r="C533" s="697" t="s">
        <v>123</v>
      </c>
      <c r="D533" s="67"/>
      <c r="E533" s="741" t="s">
        <v>702</v>
      </c>
      <c r="F533" s="901">
        <v>3139687</v>
      </c>
      <c r="G533" s="914">
        <v>6000000</v>
      </c>
      <c r="H533" s="944">
        <v>3000000</v>
      </c>
      <c r="I533" s="944"/>
      <c r="J533" s="944"/>
      <c r="K533" s="236"/>
      <c r="L533" s="236"/>
      <c r="M533" s="235"/>
      <c r="N533" s="235"/>
      <c r="O533" s="235"/>
      <c r="P533" s="235"/>
      <c r="Q533" s="235"/>
      <c r="R533" s="235"/>
    </row>
    <row r="534" spans="1:18" s="20" customFormat="1" x14ac:dyDescent="0.2">
      <c r="A534" s="131"/>
      <c r="B534" s="795"/>
      <c r="C534" s="697" t="s">
        <v>125</v>
      </c>
      <c r="D534" s="67"/>
      <c r="E534" s="741" t="s">
        <v>703</v>
      </c>
      <c r="F534" s="901">
        <v>350000</v>
      </c>
      <c r="G534" s="914">
        <v>350000</v>
      </c>
      <c r="H534" s="944">
        <v>150000</v>
      </c>
      <c r="I534" s="944"/>
      <c r="J534" s="944"/>
      <c r="K534" s="236"/>
      <c r="L534" s="236"/>
      <c r="M534" s="235"/>
      <c r="N534" s="235"/>
      <c r="O534" s="235"/>
      <c r="P534" s="235"/>
      <c r="Q534" s="235"/>
      <c r="R534" s="235"/>
    </row>
    <row r="535" spans="1:18" s="20" customFormat="1" x14ac:dyDescent="0.2">
      <c r="A535" s="131"/>
      <c r="B535" s="795"/>
      <c r="C535" s="697" t="s">
        <v>127</v>
      </c>
      <c r="D535" s="67"/>
      <c r="E535" s="755" t="s">
        <v>704</v>
      </c>
      <c r="F535" s="901">
        <v>1059693.8</v>
      </c>
      <c r="G535" s="914">
        <f>11281446.6-4699.5+4000</f>
        <v>11280747.1</v>
      </c>
      <c r="H535" s="944">
        <v>1237807.7</v>
      </c>
      <c r="I535" s="944"/>
      <c r="J535" s="944"/>
      <c r="K535" s="236"/>
      <c r="L535" s="236"/>
      <c r="M535" s="235"/>
      <c r="N535" s="235"/>
      <c r="O535" s="235"/>
      <c r="P535" s="235"/>
      <c r="Q535" s="235"/>
      <c r="R535" s="235"/>
    </row>
    <row r="536" spans="1:18" s="20" customFormat="1" x14ac:dyDescent="0.2">
      <c r="A536" s="131"/>
      <c r="B536" s="795"/>
      <c r="C536" s="697" t="s">
        <v>132</v>
      </c>
      <c r="D536" s="67"/>
      <c r="E536" s="741" t="s">
        <v>705</v>
      </c>
      <c r="F536" s="901">
        <v>2000300</v>
      </c>
      <c r="G536" s="914">
        <v>1967300</v>
      </c>
      <c r="H536" s="944">
        <v>1967300</v>
      </c>
      <c r="I536" s="944"/>
      <c r="J536" s="944"/>
      <c r="K536" s="236"/>
      <c r="L536" s="236"/>
      <c r="M536" s="235"/>
      <c r="N536" s="235"/>
      <c r="O536" s="235"/>
      <c r="P536" s="235"/>
      <c r="Q536" s="235"/>
      <c r="R536" s="235"/>
    </row>
    <row r="537" spans="1:18" s="20" customFormat="1" x14ac:dyDescent="0.2">
      <c r="A537" s="131"/>
      <c r="B537" s="795"/>
      <c r="C537" s="697" t="s">
        <v>74</v>
      </c>
      <c r="D537" s="67"/>
      <c r="E537" s="741" t="s">
        <v>706</v>
      </c>
      <c r="F537" s="901">
        <v>1057000</v>
      </c>
      <c r="G537" s="914">
        <v>1057000</v>
      </c>
      <c r="H537" s="944">
        <v>1038234.9</v>
      </c>
      <c r="I537" s="944"/>
      <c r="J537" s="944"/>
      <c r="K537" s="236"/>
      <c r="L537" s="236"/>
      <c r="M537" s="235"/>
      <c r="N537" s="235"/>
      <c r="O537" s="235"/>
      <c r="P537" s="235"/>
      <c r="Q537" s="235"/>
      <c r="R537" s="235"/>
    </row>
    <row r="538" spans="1:18" s="20" customFormat="1" x14ac:dyDescent="0.2">
      <c r="A538" s="131"/>
      <c r="B538" s="795"/>
      <c r="C538" s="697" t="s">
        <v>197</v>
      </c>
      <c r="D538" s="67"/>
      <c r="E538" s="741" t="s">
        <v>707</v>
      </c>
      <c r="F538" s="901">
        <v>600000</v>
      </c>
      <c r="G538" s="914">
        <v>600000</v>
      </c>
      <c r="H538" s="944">
        <v>600000</v>
      </c>
      <c r="I538" s="944"/>
      <c r="J538" s="944"/>
      <c r="K538" s="236"/>
      <c r="L538" s="236"/>
      <c r="M538" s="235"/>
      <c r="N538" s="235"/>
      <c r="O538" s="235"/>
      <c r="P538" s="235"/>
      <c r="Q538" s="235"/>
      <c r="R538" s="235"/>
    </row>
    <row r="539" spans="1:18" s="20" customFormat="1" ht="25.5" x14ac:dyDescent="0.2">
      <c r="A539" s="131"/>
      <c r="B539" s="301"/>
      <c r="C539" s="697" t="s">
        <v>155</v>
      </c>
      <c r="D539" s="67"/>
      <c r="E539" s="741" t="s">
        <v>708</v>
      </c>
      <c r="F539" s="901">
        <v>195514.4</v>
      </c>
      <c r="G539" s="914">
        <f>194514.4+500</f>
        <v>195014.39999999999</v>
      </c>
      <c r="H539" s="944">
        <v>201540.8</v>
      </c>
      <c r="I539" s="944"/>
      <c r="J539" s="944"/>
      <c r="K539" s="236"/>
      <c r="L539" s="236"/>
      <c r="M539" s="235"/>
      <c r="N539" s="235"/>
      <c r="O539" s="235"/>
      <c r="P539" s="235"/>
      <c r="Q539" s="235"/>
      <c r="R539" s="235"/>
    </row>
    <row r="540" spans="1:18" s="20" customFormat="1" ht="25.5" x14ac:dyDescent="0.2">
      <c r="A540" s="131"/>
      <c r="B540" s="301"/>
      <c r="C540" s="697" t="s">
        <v>158</v>
      </c>
      <c r="D540" s="67"/>
      <c r="E540" s="741" t="s">
        <v>709</v>
      </c>
      <c r="F540" s="901">
        <v>356869.2</v>
      </c>
      <c r="G540" s="914">
        <f>351326.8+1000</f>
        <v>352326.8</v>
      </c>
      <c r="H540" s="944">
        <v>371590.40000000002</v>
      </c>
      <c r="I540" s="944"/>
      <c r="J540" s="944"/>
      <c r="K540" s="236"/>
      <c r="L540" s="236"/>
      <c r="M540" s="235"/>
      <c r="N540" s="235"/>
      <c r="O540" s="235"/>
      <c r="P540" s="235"/>
      <c r="Q540" s="235"/>
      <c r="R540" s="235"/>
    </row>
    <row r="541" spans="1:18" s="20" customFormat="1" x14ac:dyDescent="0.2">
      <c r="A541" s="131"/>
      <c r="B541" s="795"/>
      <c r="C541" s="697" t="s">
        <v>264</v>
      </c>
      <c r="D541" s="67"/>
      <c r="E541" s="755" t="s">
        <v>710</v>
      </c>
      <c r="F541" s="901">
        <v>365560.6</v>
      </c>
      <c r="G541" s="914">
        <v>665560.6</v>
      </c>
      <c r="H541" s="944">
        <v>2311061.7000000002</v>
      </c>
      <c r="I541" s="944"/>
      <c r="J541" s="944"/>
      <c r="K541" s="236"/>
      <c r="L541" s="236"/>
      <c r="M541" s="235"/>
      <c r="N541" s="235"/>
      <c r="O541" s="235"/>
      <c r="P541" s="235"/>
      <c r="Q541" s="235"/>
      <c r="R541" s="235"/>
    </row>
    <row r="542" spans="1:18" s="20" customFormat="1" x14ac:dyDescent="0.2">
      <c r="A542" s="131"/>
      <c r="B542" s="795"/>
      <c r="C542" s="819" t="s">
        <v>269</v>
      </c>
      <c r="D542" s="67"/>
      <c r="E542" s="820" t="s">
        <v>2878</v>
      </c>
      <c r="F542" s="924"/>
      <c r="G542" s="949"/>
      <c r="H542" s="1080">
        <v>2000000</v>
      </c>
      <c r="I542" s="1080"/>
      <c r="J542" s="1080"/>
      <c r="K542" s="236"/>
      <c r="L542" s="236"/>
      <c r="M542" s="235"/>
      <c r="N542" s="235"/>
      <c r="O542" s="235"/>
      <c r="P542" s="235"/>
      <c r="Q542" s="235"/>
      <c r="R542" s="235"/>
    </row>
    <row r="543" spans="1:18" s="20" customFormat="1" x14ac:dyDescent="0.2">
      <c r="A543" s="131"/>
      <c r="B543" s="795"/>
      <c r="C543" s="697" t="s">
        <v>272</v>
      </c>
      <c r="D543" s="67"/>
      <c r="E543" s="741" t="s">
        <v>711</v>
      </c>
      <c r="F543" s="901"/>
      <c r="G543" s="914">
        <v>100000</v>
      </c>
      <c r="H543" s="944"/>
      <c r="I543" s="944"/>
      <c r="J543" s="944"/>
      <c r="K543" s="236"/>
      <c r="L543" s="236"/>
      <c r="M543" s="235"/>
      <c r="N543" s="235"/>
      <c r="O543" s="235"/>
      <c r="P543" s="235"/>
      <c r="Q543" s="235"/>
      <c r="R543" s="235"/>
    </row>
    <row r="544" spans="1:18" s="125" customFormat="1" ht="28.5" customHeight="1" x14ac:dyDescent="0.2">
      <c r="A544" s="302"/>
      <c r="B544" s="2030" t="s">
        <v>712</v>
      </c>
      <c r="C544" s="2031"/>
      <c r="D544" s="2031"/>
      <c r="E544" s="2031"/>
      <c r="F544" s="2031"/>
      <c r="G544" s="2031"/>
      <c r="H544" s="2031"/>
      <c r="I544" s="2031"/>
      <c r="J544" s="2031"/>
      <c r="K544" s="2031"/>
      <c r="L544" s="2031"/>
      <c r="M544" s="2031"/>
      <c r="N544" s="2031"/>
      <c r="O544" s="2031"/>
      <c r="P544" s="2031"/>
      <c r="Q544" s="2031"/>
      <c r="R544" s="2031"/>
    </row>
    <row r="545" spans="1:18" s="20" customFormat="1" ht="38.25" x14ac:dyDescent="0.2">
      <c r="A545" s="131"/>
      <c r="B545" s="338" t="s">
        <v>120</v>
      </c>
      <c r="C545" s="694"/>
      <c r="D545" s="694" t="s">
        <v>713</v>
      </c>
      <c r="E545" s="534" t="s">
        <v>2564</v>
      </c>
      <c r="F545" s="901">
        <v>21038980.099999998</v>
      </c>
      <c r="G545" s="901">
        <v>22525507.399999999</v>
      </c>
      <c r="H545" s="901">
        <v>24094175.599999998</v>
      </c>
      <c r="I545" s="901">
        <v>25396656.300000001</v>
      </c>
      <c r="J545" s="901">
        <v>26754723.699999999</v>
      </c>
      <c r="K545" s="768" t="s">
        <v>714</v>
      </c>
      <c r="L545" s="768"/>
      <c r="M545" s="688" t="s">
        <v>17</v>
      </c>
      <c r="N545" s="688">
        <v>38</v>
      </c>
      <c r="O545" s="688" t="s">
        <v>715</v>
      </c>
      <c r="P545" s="688">
        <v>37</v>
      </c>
      <c r="Q545" s="688">
        <v>36</v>
      </c>
      <c r="R545" s="688">
        <v>35</v>
      </c>
    </row>
    <row r="546" spans="1:18" s="20" customFormat="1" ht="25.5" x14ac:dyDescent="0.2">
      <c r="A546" s="131"/>
      <c r="B546" s="694"/>
      <c r="C546" s="694" t="s">
        <v>123</v>
      </c>
      <c r="D546" s="694" t="s">
        <v>713</v>
      </c>
      <c r="E546" s="768" t="s">
        <v>716</v>
      </c>
      <c r="F546" s="901">
        <v>12668740.199999999</v>
      </c>
      <c r="G546" s="901">
        <v>13520624.4</v>
      </c>
      <c r="H546" s="901">
        <v>14235364.6</v>
      </c>
      <c r="I546" s="901">
        <v>14986555.300000001</v>
      </c>
      <c r="J546" s="901">
        <v>15781823.4</v>
      </c>
      <c r="K546" s="768" t="s">
        <v>717</v>
      </c>
      <c r="L546" s="768"/>
      <c r="M546" s="688" t="s">
        <v>93</v>
      </c>
      <c r="N546" s="688">
        <v>0</v>
      </c>
      <c r="O546" s="688">
        <v>0</v>
      </c>
      <c r="P546" s="688">
        <v>0</v>
      </c>
      <c r="Q546" s="688">
        <v>0</v>
      </c>
      <c r="R546" s="688">
        <v>0</v>
      </c>
    </row>
    <row r="547" spans="1:18" s="20" customFormat="1" ht="25.5" x14ac:dyDescent="0.2">
      <c r="A547" s="131"/>
      <c r="B547" s="694"/>
      <c r="C547" s="694" t="s">
        <v>125</v>
      </c>
      <c r="D547" s="694" t="s">
        <v>713</v>
      </c>
      <c r="E547" s="768" t="s">
        <v>718</v>
      </c>
      <c r="F547" s="901">
        <v>1882616.2</v>
      </c>
      <c r="G547" s="901">
        <v>1910982.5</v>
      </c>
      <c r="H547" s="901">
        <v>1954252.4</v>
      </c>
      <c r="I547" s="901">
        <v>1997177.3</v>
      </c>
      <c r="J547" s="901">
        <v>2039733</v>
      </c>
      <c r="K547" s="768" t="s">
        <v>717</v>
      </c>
      <c r="L547" s="768"/>
      <c r="M547" s="688" t="s">
        <v>93</v>
      </c>
      <c r="N547" s="688">
        <v>0</v>
      </c>
      <c r="O547" s="688">
        <v>0</v>
      </c>
      <c r="P547" s="688">
        <v>0</v>
      </c>
      <c r="Q547" s="688">
        <v>0</v>
      </c>
      <c r="R547" s="688">
        <v>0</v>
      </c>
    </row>
    <row r="548" spans="1:18" s="20" customFormat="1" ht="38.25" x14ac:dyDescent="0.2">
      <c r="A548" s="131"/>
      <c r="B548" s="694"/>
      <c r="C548" s="694" t="s">
        <v>127</v>
      </c>
      <c r="D548" s="694" t="s">
        <v>713</v>
      </c>
      <c r="E548" s="768" t="s">
        <v>719</v>
      </c>
      <c r="F548" s="901">
        <v>2680914.5</v>
      </c>
      <c r="G548" s="901">
        <v>3336000</v>
      </c>
      <c r="H548" s="901">
        <v>3881253.4</v>
      </c>
      <c r="I548" s="901">
        <v>4199983.7</v>
      </c>
      <c r="J548" s="901">
        <v>4518725.0999999996</v>
      </c>
      <c r="K548" s="768" t="s">
        <v>717</v>
      </c>
      <c r="L548" s="768"/>
      <c r="M548" s="688" t="s">
        <v>93</v>
      </c>
      <c r="N548" s="688">
        <v>0</v>
      </c>
      <c r="O548" s="688">
        <v>0</v>
      </c>
      <c r="P548" s="688">
        <v>0</v>
      </c>
      <c r="Q548" s="688">
        <v>0</v>
      </c>
      <c r="R548" s="688">
        <v>0</v>
      </c>
    </row>
    <row r="549" spans="1:18" s="20" customFormat="1" ht="25.5" x14ac:dyDescent="0.2">
      <c r="A549" s="131"/>
      <c r="B549" s="694"/>
      <c r="C549" s="694" t="s">
        <v>132</v>
      </c>
      <c r="D549" s="694" t="s">
        <v>713</v>
      </c>
      <c r="E549" s="768" t="s">
        <v>720</v>
      </c>
      <c r="F549" s="901">
        <v>3806709.2</v>
      </c>
      <c r="G549" s="901">
        <v>3757900.5</v>
      </c>
      <c r="H549" s="901">
        <v>4023305.2</v>
      </c>
      <c r="I549" s="901">
        <v>4212940</v>
      </c>
      <c r="J549" s="901">
        <v>4414442.2</v>
      </c>
      <c r="K549" s="768" t="s">
        <v>717</v>
      </c>
      <c r="L549" s="768"/>
      <c r="M549" s="688" t="s">
        <v>93</v>
      </c>
      <c r="N549" s="688">
        <v>0</v>
      </c>
      <c r="O549" s="688">
        <v>0</v>
      </c>
      <c r="P549" s="688">
        <v>0</v>
      </c>
      <c r="Q549" s="688">
        <v>0</v>
      </c>
      <c r="R549" s="688">
        <v>0</v>
      </c>
    </row>
    <row r="550" spans="1:18" s="125" customFormat="1" ht="25.5" customHeight="1" x14ac:dyDescent="0.2">
      <c r="B550" s="2039" t="s">
        <v>64</v>
      </c>
      <c r="C550" s="2040"/>
      <c r="D550" s="2040"/>
      <c r="E550" s="2041"/>
      <c r="F550" s="908">
        <v>21038980.099999998</v>
      </c>
      <c r="G550" s="908">
        <v>22525507.399999999</v>
      </c>
      <c r="H550" s="908">
        <v>24094175.599999998</v>
      </c>
      <c r="I550" s="908">
        <v>25396656.300000001</v>
      </c>
      <c r="J550" s="908">
        <v>26754723.699999999</v>
      </c>
      <c r="K550" s="616"/>
      <c r="L550" s="617"/>
      <c r="M550" s="1007"/>
      <c r="N550" s="617"/>
      <c r="O550" s="617"/>
      <c r="P550" s="617"/>
      <c r="Q550" s="617"/>
      <c r="R550" s="618"/>
    </row>
    <row r="551" spans="1:18" s="47" customFormat="1" ht="15" hidden="1" customHeight="1" x14ac:dyDescent="0.2">
      <c r="B551" s="304" t="s">
        <v>64</v>
      </c>
      <c r="C551" s="305"/>
      <c r="D551" s="305"/>
      <c r="E551" s="112"/>
      <c r="F551" s="919"/>
      <c r="G551" s="919"/>
      <c r="H551" s="919"/>
      <c r="I551" s="919"/>
      <c r="J551" s="919"/>
      <c r="K551" s="306"/>
      <c r="L551" s="307"/>
      <c r="M551" s="1008"/>
      <c r="N551" s="307"/>
      <c r="O551" s="307"/>
      <c r="P551" s="307"/>
      <c r="Q551" s="307"/>
      <c r="R551" s="308"/>
    </row>
    <row r="552" spans="1:18" s="125" customFormat="1" ht="21" customHeight="1" x14ac:dyDescent="0.2">
      <c r="B552" s="309" t="s">
        <v>721</v>
      </c>
      <c r="C552" s="134"/>
      <c r="D552" s="134"/>
      <c r="E552" s="134"/>
      <c r="F552" s="968"/>
      <c r="G552" s="968"/>
      <c r="H552" s="968"/>
      <c r="I552" s="968"/>
      <c r="J552" s="968"/>
      <c r="K552" s="134"/>
      <c r="L552" s="134"/>
      <c r="M552" s="998"/>
      <c r="N552" s="134"/>
      <c r="O552" s="134"/>
      <c r="P552" s="134"/>
      <c r="Q552" s="134"/>
      <c r="R552" s="135"/>
    </row>
    <row r="553" spans="1:18" s="47" customFormat="1" ht="33.75" customHeight="1" x14ac:dyDescent="0.2">
      <c r="A553" s="45"/>
      <c r="B553" s="2003" t="s">
        <v>120</v>
      </c>
      <c r="C553" s="1534"/>
      <c r="D553" s="1534"/>
      <c r="E553" s="310" t="s">
        <v>2565</v>
      </c>
      <c r="F553" s="2005">
        <v>153969.60000000001</v>
      </c>
      <c r="G553" s="2005">
        <v>146918.70000000001</v>
      </c>
      <c r="H553" s="2005">
        <v>131587.6</v>
      </c>
      <c r="I553" s="2005">
        <v>128010.5</v>
      </c>
      <c r="J553" s="2005">
        <v>129241.3</v>
      </c>
      <c r="K553" s="2032"/>
      <c r="L553" s="746"/>
      <c r="M553" s="2034"/>
      <c r="N553" s="311"/>
      <c r="O553" s="2036"/>
      <c r="P553" s="2037"/>
      <c r="Q553" s="2037"/>
      <c r="R553" s="2038"/>
    </row>
    <row r="554" spans="1:18" s="47" customFormat="1" ht="63.75" customHeight="1" x14ac:dyDescent="0.2">
      <c r="A554" s="45"/>
      <c r="B554" s="2004"/>
      <c r="C554" s="1535"/>
      <c r="D554" s="1535"/>
      <c r="E554" s="874" t="s">
        <v>722</v>
      </c>
      <c r="F554" s="1849"/>
      <c r="G554" s="1849"/>
      <c r="H554" s="1849"/>
      <c r="I554" s="1849"/>
      <c r="J554" s="1849"/>
      <c r="K554" s="2033"/>
      <c r="L554" s="747"/>
      <c r="M554" s="2035"/>
      <c r="N554" s="312"/>
      <c r="O554" s="312"/>
      <c r="P554" s="312"/>
      <c r="Q554" s="312"/>
      <c r="R554" s="312"/>
    </row>
    <row r="555" spans="1:18" s="20" customFormat="1" ht="12.75" customHeight="1" x14ac:dyDescent="0.2">
      <c r="A555" s="131"/>
      <c r="B555" s="1534"/>
      <c r="C555" s="1534" t="s">
        <v>123</v>
      </c>
      <c r="D555" s="1534"/>
      <c r="E555" s="1986" t="s">
        <v>2856</v>
      </c>
      <c r="F555" s="1983">
        <v>30177</v>
      </c>
      <c r="G555" s="1983">
        <v>25486.7</v>
      </c>
      <c r="H555" s="1983">
        <v>26006.9</v>
      </c>
      <c r="I555" s="1983">
        <v>26356.9</v>
      </c>
      <c r="J555" s="1983">
        <v>26557.9</v>
      </c>
      <c r="K555" s="251" t="s">
        <v>723</v>
      </c>
      <c r="L555" s="313"/>
      <c r="M555" s="314" t="s">
        <v>17</v>
      </c>
      <c r="N555" s="688">
        <v>104.5</v>
      </c>
      <c r="O555" s="688">
        <v>94.7</v>
      </c>
      <c r="P555" s="688">
        <v>104</v>
      </c>
      <c r="Q555" s="688">
        <v>105.7</v>
      </c>
      <c r="R555" s="688">
        <v>100.6</v>
      </c>
    </row>
    <row r="556" spans="1:18" s="20" customFormat="1" x14ac:dyDescent="0.2">
      <c r="A556" s="131"/>
      <c r="B556" s="1535"/>
      <c r="C556" s="1535"/>
      <c r="D556" s="1535"/>
      <c r="E556" s="1987"/>
      <c r="F556" s="1532"/>
      <c r="G556" s="1532"/>
      <c r="H556" s="1532"/>
      <c r="I556" s="1532"/>
      <c r="J556" s="1532"/>
      <c r="K556" s="681" t="s">
        <v>724</v>
      </c>
      <c r="L556" s="681"/>
      <c r="M556" s="689" t="s">
        <v>17</v>
      </c>
      <c r="N556" s="315" t="s">
        <v>725</v>
      </c>
      <c r="O556" s="315" t="s">
        <v>726</v>
      </c>
      <c r="P556" s="315" t="s">
        <v>727</v>
      </c>
      <c r="Q556" s="315" t="s">
        <v>728</v>
      </c>
      <c r="R556" s="315" t="s">
        <v>728</v>
      </c>
    </row>
    <row r="557" spans="1:18" s="20" customFormat="1" x14ac:dyDescent="0.2">
      <c r="A557" s="131"/>
      <c r="B557" s="1534"/>
      <c r="C557" s="1534" t="s">
        <v>125</v>
      </c>
      <c r="D557" s="1534"/>
      <c r="E557" s="2016" t="s">
        <v>2857</v>
      </c>
      <c r="F557" s="1983">
        <v>11531.9</v>
      </c>
      <c r="G557" s="1983">
        <v>13243.7</v>
      </c>
      <c r="H557" s="1983">
        <v>13475.5</v>
      </c>
      <c r="I557" s="1983">
        <v>13710.4</v>
      </c>
      <c r="J557" s="1983">
        <v>13910.4</v>
      </c>
      <c r="K557" s="316" t="s">
        <v>729</v>
      </c>
      <c r="L557" s="317"/>
      <c r="M557" s="1998" t="s">
        <v>17</v>
      </c>
      <c r="N557" s="256">
        <v>107</v>
      </c>
      <c r="O557" s="688">
        <v>93.8</v>
      </c>
      <c r="P557" s="688">
        <v>108.5</v>
      </c>
      <c r="Q557" s="688">
        <v>112.5</v>
      </c>
      <c r="R557" s="688">
        <v>88.9</v>
      </c>
    </row>
    <row r="558" spans="1:18" s="20" customFormat="1" x14ac:dyDescent="0.2">
      <c r="A558" s="131"/>
      <c r="B558" s="1535"/>
      <c r="C558" s="1535"/>
      <c r="D558" s="1535"/>
      <c r="E558" s="2017"/>
      <c r="F558" s="1532"/>
      <c r="G558" s="1532"/>
      <c r="H558" s="1532"/>
      <c r="I558" s="1532"/>
      <c r="J558" s="1532"/>
      <c r="K558" s="318" t="s">
        <v>730</v>
      </c>
      <c r="L558" s="319"/>
      <c r="M558" s="1775"/>
      <c r="N558" s="256">
        <v>42.4</v>
      </c>
      <c r="O558" s="688">
        <v>55.3</v>
      </c>
      <c r="P558" s="688">
        <v>53.4</v>
      </c>
      <c r="Q558" s="688">
        <v>55.9</v>
      </c>
      <c r="R558" s="688">
        <v>47.1</v>
      </c>
    </row>
    <row r="559" spans="1:18" s="20" customFormat="1" ht="25.5" x14ac:dyDescent="0.2">
      <c r="A559" s="131"/>
      <c r="B559" s="731"/>
      <c r="C559" s="726" t="s">
        <v>127</v>
      </c>
      <c r="D559" s="726"/>
      <c r="E559" s="728" t="s">
        <v>2858</v>
      </c>
      <c r="F559" s="1070">
        <v>15599.7</v>
      </c>
      <c r="G559" s="938">
        <v>11099.3</v>
      </c>
      <c r="H559" s="938">
        <v>11309.9</v>
      </c>
      <c r="I559" s="938">
        <v>11559.9</v>
      </c>
      <c r="J559" s="938">
        <v>11859.9</v>
      </c>
      <c r="K559" s="759" t="s">
        <v>731</v>
      </c>
      <c r="L559" s="251"/>
      <c r="M559" s="706" t="s">
        <v>732</v>
      </c>
      <c r="N559" s="816">
        <v>876</v>
      </c>
      <c r="O559" s="816">
        <v>670</v>
      </c>
      <c r="P559" s="816">
        <v>750</v>
      </c>
      <c r="Q559" s="320">
        <v>850</v>
      </c>
      <c r="R559" s="320">
        <v>950</v>
      </c>
    </row>
    <row r="560" spans="1:18" s="20" customFormat="1" ht="25.5" x14ac:dyDescent="0.2">
      <c r="A560" s="131"/>
      <c r="B560" s="735"/>
      <c r="C560" s="725" t="s">
        <v>132</v>
      </c>
      <c r="D560" s="725"/>
      <c r="E560" s="321" t="s">
        <v>2859</v>
      </c>
      <c r="F560" s="941">
        <v>5602.5</v>
      </c>
      <c r="G560" s="950">
        <v>4734.8</v>
      </c>
      <c r="H560" s="950">
        <v>4824.8</v>
      </c>
      <c r="I560" s="950">
        <v>4914.8</v>
      </c>
      <c r="J560" s="950">
        <v>5114.8</v>
      </c>
      <c r="K560" s="323" t="s">
        <v>733</v>
      </c>
      <c r="L560" s="323"/>
      <c r="M560" s="688" t="s">
        <v>734</v>
      </c>
      <c r="N560" s="324">
        <v>1500</v>
      </c>
      <c r="O560" s="325">
        <v>3000</v>
      </c>
      <c r="P560" s="324">
        <v>4000</v>
      </c>
      <c r="Q560" s="324">
        <v>5000</v>
      </c>
      <c r="R560" s="324">
        <v>7000</v>
      </c>
    </row>
    <row r="561" spans="1:18" s="20" customFormat="1" ht="38.25" x14ac:dyDescent="0.2">
      <c r="A561" s="131"/>
      <c r="B561" s="1999"/>
      <c r="C561" s="2000" t="s">
        <v>74</v>
      </c>
      <c r="D561" s="1984"/>
      <c r="E561" s="1986" t="s">
        <v>2860</v>
      </c>
      <c r="F561" s="1983">
        <v>6522.9</v>
      </c>
      <c r="G561" s="1983">
        <v>4489.8999999999996</v>
      </c>
      <c r="H561" s="1983">
        <v>4551.8</v>
      </c>
      <c r="I561" s="1983">
        <v>4726.8</v>
      </c>
      <c r="J561" s="1983">
        <v>4926.8</v>
      </c>
      <c r="K561" s="323" t="s">
        <v>735</v>
      </c>
      <c r="L561" s="323"/>
      <c r="M561" s="688" t="s">
        <v>736</v>
      </c>
      <c r="N561" s="816">
        <v>80</v>
      </c>
      <c r="O561" s="816">
        <v>70</v>
      </c>
      <c r="P561" s="816">
        <v>60</v>
      </c>
      <c r="Q561" s="816">
        <v>50</v>
      </c>
      <c r="R561" s="816">
        <v>50</v>
      </c>
    </row>
    <row r="562" spans="1:18" s="20" customFormat="1" ht="25.5" x14ac:dyDescent="0.2">
      <c r="A562" s="131"/>
      <c r="B562" s="1999"/>
      <c r="C562" s="1749"/>
      <c r="D562" s="1984"/>
      <c r="E562" s="1988"/>
      <c r="F562" s="1533"/>
      <c r="G562" s="1533"/>
      <c r="H562" s="1533"/>
      <c r="I562" s="1533"/>
      <c r="J562" s="1533"/>
      <c r="K562" s="321" t="s">
        <v>737</v>
      </c>
      <c r="L562" s="321"/>
      <c r="M562" s="688" t="s">
        <v>736</v>
      </c>
      <c r="N562" s="734">
        <v>78</v>
      </c>
      <c r="O562" s="734">
        <v>70</v>
      </c>
      <c r="P562" s="734">
        <v>60</v>
      </c>
      <c r="Q562" s="734">
        <v>50</v>
      </c>
      <c r="R562" s="734">
        <v>50</v>
      </c>
    </row>
    <row r="563" spans="1:18" s="20" customFormat="1" x14ac:dyDescent="0.2">
      <c r="A563" s="131"/>
      <c r="B563" s="1999"/>
      <c r="C563" s="1750"/>
      <c r="D563" s="1984"/>
      <c r="E563" s="1987"/>
      <c r="F563" s="1532"/>
      <c r="G563" s="1532"/>
      <c r="H563" s="1532"/>
      <c r="I563" s="1532"/>
      <c r="J563" s="1532"/>
      <c r="K563" s="321" t="s">
        <v>738</v>
      </c>
      <c r="L563" s="321"/>
      <c r="M563" s="689" t="s">
        <v>736</v>
      </c>
      <c r="N563" s="734">
        <v>117</v>
      </c>
      <c r="O563" s="734">
        <v>115</v>
      </c>
      <c r="P563" s="734">
        <v>110</v>
      </c>
      <c r="Q563" s="734">
        <v>100</v>
      </c>
      <c r="R563" s="734">
        <v>100</v>
      </c>
    </row>
    <row r="564" spans="1:18" s="20" customFormat="1" ht="63.75" x14ac:dyDescent="0.2">
      <c r="A564" s="131"/>
      <c r="B564" s="735"/>
      <c r="C564" s="725" t="s">
        <v>197</v>
      </c>
      <c r="D564" s="725"/>
      <c r="E564" s="321" t="s">
        <v>2861</v>
      </c>
      <c r="F564" s="1070">
        <v>3631.6</v>
      </c>
      <c r="G564" s="1070">
        <v>5208.6000000000004</v>
      </c>
      <c r="H564" s="1070">
        <v>5273.6</v>
      </c>
      <c r="I564" s="1070">
        <v>5438.6</v>
      </c>
      <c r="J564" s="1070">
        <v>5638.6</v>
      </c>
      <c r="K564" s="665" t="s">
        <v>739</v>
      </c>
      <c r="L564" s="665"/>
      <c r="M564" s="326" t="s">
        <v>17</v>
      </c>
      <c r="N564" s="326">
        <v>30</v>
      </c>
      <c r="O564" s="326">
        <v>40</v>
      </c>
      <c r="P564" s="326">
        <v>50</v>
      </c>
      <c r="Q564" s="326">
        <v>60</v>
      </c>
      <c r="R564" s="326">
        <v>70</v>
      </c>
    </row>
    <row r="565" spans="1:18" s="20" customFormat="1" ht="38.25" x14ac:dyDescent="0.2">
      <c r="A565" s="131"/>
      <c r="B565" s="327"/>
      <c r="C565" s="727" t="s">
        <v>155</v>
      </c>
      <c r="D565" s="727"/>
      <c r="E565" s="686" t="s">
        <v>2862</v>
      </c>
      <c r="F565" s="914">
        <v>3598</v>
      </c>
      <c r="G565" s="914">
        <v>3022</v>
      </c>
      <c r="H565" s="914">
        <v>3077</v>
      </c>
      <c r="I565" s="914">
        <v>3232</v>
      </c>
      <c r="J565" s="914">
        <v>3332</v>
      </c>
      <c r="K565" s="328" t="s">
        <v>740</v>
      </c>
      <c r="L565" s="328"/>
      <c r="M565" s="336" t="s">
        <v>17</v>
      </c>
      <c r="N565" s="329">
        <v>10</v>
      </c>
      <c r="O565" s="329">
        <v>15</v>
      </c>
      <c r="P565" s="329">
        <v>50</v>
      </c>
      <c r="Q565" s="329">
        <v>80</v>
      </c>
      <c r="R565" s="329">
        <v>100</v>
      </c>
    </row>
    <row r="566" spans="1:18" s="20" customFormat="1" ht="25.5" customHeight="1" x14ac:dyDescent="0.2">
      <c r="A566" s="131"/>
      <c r="B566" s="2006"/>
      <c r="C566" s="1534" t="s">
        <v>158</v>
      </c>
      <c r="D566" s="2008">
        <v>1</v>
      </c>
      <c r="E566" s="1986" t="s">
        <v>2863</v>
      </c>
      <c r="F566" s="2001">
        <v>77306</v>
      </c>
      <c r="G566" s="1071">
        <v>79633.700000000012</v>
      </c>
      <c r="H566" s="2001">
        <v>63068.100000000006</v>
      </c>
      <c r="I566" s="2001">
        <v>58071.1</v>
      </c>
      <c r="J566" s="2001">
        <v>57900.899999999994</v>
      </c>
      <c r="K566" s="686" t="s">
        <v>741</v>
      </c>
      <c r="L566" s="686"/>
      <c r="M566" s="688" t="s">
        <v>17</v>
      </c>
      <c r="N566" s="688">
        <v>100</v>
      </c>
      <c r="O566" s="688">
        <v>100</v>
      </c>
      <c r="P566" s="816">
        <v>100</v>
      </c>
      <c r="Q566" s="816">
        <v>100</v>
      </c>
      <c r="R566" s="816">
        <v>100</v>
      </c>
    </row>
    <row r="567" spans="1:18" s="20" customFormat="1" x14ac:dyDescent="0.2">
      <c r="A567" s="131"/>
      <c r="B567" s="2007"/>
      <c r="C567" s="1535"/>
      <c r="D567" s="2009"/>
      <c r="E567" s="1987"/>
      <c r="F567" s="2002"/>
      <c r="G567" s="1072"/>
      <c r="H567" s="2002"/>
      <c r="I567" s="2002"/>
      <c r="J567" s="2002"/>
      <c r="K567" s="686" t="s">
        <v>742</v>
      </c>
      <c r="L567" s="686"/>
      <c r="M567" s="816" t="s">
        <v>17</v>
      </c>
      <c r="N567" s="816">
        <v>44</v>
      </c>
      <c r="O567" s="816">
        <v>50</v>
      </c>
      <c r="P567" s="816">
        <v>50</v>
      </c>
      <c r="Q567" s="816">
        <v>50</v>
      </c>
      <c r="R567" s="816">
        <v>50</v>
      </c>
    </row>
    <row r="568" spans="1:18" s="47" customFormat="1" x14ac:dyDescent="0.2">
      <c r="A568" s="45"/>
      <c r="B568" s="2003" t="s">
        <v>138</v>
      </c>
      <c r="C568" s="1534"/>
      <c r="D568" s="1534"/>
      <c r="E568" s="310" t="s">
        <v>2566</v>
      </c>
      <c r="F568" s="2005">
        <f>F570+F572+F573+F575+F577+F578+F579+F584+F586+F588</f>
        <v>102271.1</v>
      </c>
      <c r="G568" s="2005">
        <f t="shared" ref="G568:J568" si="20">G570+G572+G573+G575+G577+G578+G579+G584+G586+G588</f>
        <v>126217.20000000001</v>
      </c>
      <c r="H568" s="2005">
        <f t="shared" si="20"/>
        <v>107167.2</v>
      </c>
      <c r="I568" s="2005">
        <f t="shared" si="20"/>
        <v>109269.6</v>
      </c>
      <c r="J568" s="2005">
        <f t="shared" si="20"/>
        <v>110385.09999999998</v>
      </c>
      <c r="K568" s="2010" t="s">
        <v>10</v>
      </c>
      <c r="L568" s="736"/>
      <c r="M568" s="2010"/>
      <c r="N568" s="311"/>
      <c r="O568" s="1994"/>
      <c r="P568" s="1994"/>
      <c r="Q568" s="1994"/>
      <c r="R568" s="1994"/>
    </row>
    <row r="569" spans="1:18" s="47" customFormat="1" ht="32.25" customHeight="1" x14ac:dyDescent="0.2">
      <c r="A569" s="45"/>
      <c r="B569" s="2004"/>
      <c r="C569" s="1535"/>
      <c r="D569" s="1535"/>
      <c r="E569" s="874" t="s">
        <v>743</v>
      </c>
      <c r="F569" s="1849"/>
      <c r="G569" s="1849"/>
      <c r="H569" s="1849"/>
      <c r="I569" s="1849"/>
      <c r="J569" s="1849"/>
      <c r="K569" s="2010"/>
      <c r="L569" s="736"/>
      <c r="M569" s="2010"/>
      <c r="N569" s="331"/>
      <c r="O569" s="331"/>
      <c r="P569" s="331"/>
      <c r="Q569" s="331"/>
      <c r="R569" s="331"/>
    </row>
    <row r="570" spans="1:18" s="20" customFormat="1" ht="12.75" customHeight="1" x14ac:dyDescent="0.2">
      <c r="A570" s="131"/>
      <c r="B570" s="1534"/>
      <c r="C570" s="1534" t="s">
        <v>123</v>
      </c>
      <c r="D570" s="1534"/>
      <c r="E570" s="1995" t="s">
        <v>2864</v>
      </c>
      <c r="F570" s="1983">
        <v>24245.7</v>
      </c>
      <c r="G570" s="1983">
        <v>27571</v>
      </c>
      <c r="H570" s="1983">
        <v>24050.1</v>
      </c>
      <c r="I570" s="1983">
        <v>24510.400000000001</v>
      </c>
      <c r="J570" s="1983">
        <v>24744.3</v>
      </c>
      <c r="K570" s="323" t="s">
        <v>744</v>
      </c>
      <c r="L570" s="323"/>
      <c r="M570" s="688" t="s">
        <v>31</v>
      </c>
      <c r="N570" s="691">
        <v>7915</v>
      </c>
      <c r="O570" s="691" t="s">
        <v>745</v>
      </c>
      <c r="P570" s="691" t="s">
        <v>745</v>
      </c>
      <c r="Q570" s="691" t="s">
        <v>745</v>
      </c>
      <c r="R570" s="691" t="s">
        <v>745</v>
      </c>
    </row>
    <row r="571" spans="1:18" s="20" customFormat="1" x14ac:dyDescent="0.2">
      <c r="A571" s="131"/>
      <c r="B571" s="1535"/>
      <c r="C571" s="1535"/>
      <c r="D571" s="1535"/>
      <c r="E571" s="1996"/>
      <c r="F571" s="1532"/>
      <c r="G571" s="1532"/>
      <c r="H571" s="1532"/>
      <c r="I571" s="1532"/>
      <c r="J571" s="1532"/>
      <c r="K571" s="323" t="s">
        <v>746</v>
      </c>
      <c r="L571" s="323"/>
      <c r="M571" s="688"/>
      <c r="N571" s="691">
        <v>93018</v>
      </c>
      <c r="O571" s="691" t="s">
        <v>745</v>
      </c>
      <c r="P571" s="691" t="s">
        <v>745</v>
      </c>
      <c r="Q571" s="691" t="s">
        <v>745</v>
      </c>
      <c r="R571" s="691" t="s">
        <v>745</v>
      </c>
    </row>
    <row r="572" spans="1:18" s="20" customFormat="1" ht="38.25" x14ac:dyDescent="0.2">
      <c r="A572" s="131"/>
      <c r="B572" s="726"/>
      <c r="C572" s="726" t="s">
        <v>125</v>
      </c>
      <c r="D572" s="726"/>
      <c r="E572" s="686" t="s">
        <v>2865</v>
      </c>
      <c r="F572" s="914">
        <v>5493.1</v>
      </c>
      <c r="G572" s="914">
        <v>6535.7</v>
      </c>
      <c r="H572" s="914">
        <v>5966.8</v>
      </c>
      <c r="I572" s="914">
        <v>6081</v>
      </c>
      <c r="J572" s="914">
        <v>6139</v>
      </c>
      <c r="K572" s="332" t="s">
        <v>747</v>
      </c>
      <c r="L572" s="332"/>
      <c r="M572" s="690" t="s">
        <v>31</v>
      </c>
      <c r="N572" s="333">
        <v>14</v>
      </c>
      <c r="O572" s="333">
        <v>14</v>
      </c>
      <c r="P572" s="324">
        <v>15</v>
      </c>
      <c r="Q572" s="324">
        <v>16</v>
      </c>
      <c r="R572" s="324">
        <v>16</v>
      </c>
    </row>
    <row r="573" spans="1:18" s="20" customFormat="1" ht="12.75" customHeight="1" x14ac:dyDescent="0.2">
      <c r="A573" s="131"/>
      <c r="B573" s="1534"/>
      <c r="C573" s="1534" t="s">
        <v>127</v>
      </c>
      <c r="D573" s="1534"/>
      <c r="E573" s="1997" t="s">
        <v>2866</v>
      </c>
      <c r="F573" s="1983">
        <v>2515.8000000000002</v>
      </c>
      <c r="G573" s="1983">
        <v>14000</v>
      </c>
      <c r="H573" s="1983">
        <v>11066.9</v>
      </c>
      <c r="I573" s="1983">
        <v>11278.7</v>
      </c>
      <c r="J573" s="1983">
        <v>11386.3</v>
      </c>
      <c r="K573" s="321" t="s">
        <v>748</v>
      </c>
      <c r="L573" s="321"/>
      <c r="M573" s="326" t="s">
        <v>130</v>
      </c>
      <c r="N573" s="326">
        <v>3</v>
      </c>
      <c r="O573" s="326">
        <v>5</v>
      </c>
      <c r="P573" s="326">
        <v>8</v>
      </c>
      <c r="Q573" s="326">
        <v>10</v>
      </c>
      <c r="R573" s="326">
        <v>10</v>
      </c>
    </row>
    <row r="574" spans="1:18" s="20" customFormat="1" ht="38.25" x14ac:dyDescent="0.2">
      <c r="A574" s="131"/>
      <c r="B574" s="1535"/>
      <c r="C574" s="1535"/>
      <c r="D574" s="1535"/>
      <c r="E574" s="1987"/>
      <c r="F574" s="1532"/>
      <c r="G574" s="1532"/>
      <c r="H574" s="1532"/>
      <c r="I574" s="1532"/>
      <c r="J574" s="1532"/>
      <c r="K574" s="321" t="s">
        <v>749</v>
      </c>
      <c r="L574" s="321"/>
      <c r="M574" s="326" t="s">
        <v>130</v>
      </c>
      <c r="N574" s="326">
        <v>50</v>
      </c>
      <c r="O574" s="326">
        <v>100</v>
      </c>
      <c r="P574" s="326">
        <v>200</v>
      </c>
      <c r="Q574" s="326">
        <v>300</v>
      </c>
      <c r="R574" s="326">
        <v>400</v>
      </c>
    </row>
    <row r="575" spans="1:18" s="20" customFormat="1" ht="35.25" customHeight="1" x14ac:dyDescent="0.2">
      <c r="A575" s="131"/>
      <c r="B575" s="1992"/>
      <c r="C575" s="1534" t="s">
        <v>132</v>
      </c>
      <c r="D575" s="1534"/>
      <c r="E575" s="1986" t="s">
        <v>2867</v>
      </c>
      <c r="F575" s="1983">
        <v>16339.4</v>
      </c>
      <c r="G575" s="1983">
        <v>17403</v>
      </c>
      <c r="H575" s="1983">
        <v>17403</v>
      </c>
      <c r="I575" s="1983">
        <v>17736.099999999999</v>
      </c>
      <c r="J575" s="1983">
        <v>17905.3</v>
      </c>
      <c r="K575" s="758" t="s">
        <v>750</v>
      </c>
      <c r="L575" s="758"/>
      <c r="M575" s="689" t="s">
        <v>751</v>
      </c>
      <c r="N575" s="688">
        <v>6400.7</v>
      </c>
      <c r="O575" s="688">
        <v>5764</v>
      </c>
      <c r="P575" s="688">
        <v>6103</v>
      </c>
      <c r="Q575" s="688">
        <v>6597</v>
      </c>
      <c r="R575" s="688">
        <v>6662</v>
      </c>
    </row>
    <row r="576" spans="1:18" s="20" customFormat="1" ht="51" customHeight="1" x14ac:dyDescent="0.2">
      <c r="A576" s="131"/>
      <c r="B576" s="1993"/>
      <c r="C576" s="1535"/>
      <c r="D576" s="1535"/>
      <c r="E576" s="1987"/>
      <c r="F576" s="1532"/>
      <c r="G576" s="1532"/>
      <c r="H576" s="1532"/>
      <c r="I576" s="1532"/>
      <c r="J576" s="1532"/>
      <c r="K576" s="758" t="s">
        <v>752</v>
      </c>
      <c r="L576" s="758"/>
      <c r="M576" s="689" t="s">
        <v>17</v>
      </c>
      <c r="N576" s="688">
        <v>95.8</v>
      </c>
      <c r="O576" s="256">
        <v>90.052650491352509</v>
      </c>
      <c r="P576" s="256">
        <v>105.88133240804996</v>
      </c>
      <c r="Q576" s="256">
        <v>108.09437981320661</v>
      </c>
      <c r="R576" s="256">
        <v>100.98529634682431</v>
      </c>
    </row>
    <row r="577" spans="1:18" s="20" customFormat="1" ht="51" x14ac:dyDescent="0.2">
      <c r="A577" s="131"/>
      <c r="B577" s="727"/>
      <c r="C577" s="725" t="s">
        <v>74</v>
      </c>
      <c r="D577" s="725"/>
      <c r="E577" s="686" t="s">
        <v>2868</v>
      </c>
      <c r="F577" s="914">
        <v>149.69999999999999</v>
      </c>
      <c r="G577" s="914">
        <v>2150.3000000000002</v>
      </c>
      <c r="H577" s="914">
        <v>0</v>
      </c>
      <c r="I577" s="914">
        <v>0</v>
      </c>
      <c r="J577" s="914">
        <v>0</v>
      </c>
      <c r="K577" s="323" t="s">
        <v>753</v>
      </c>
      <c r="L577" s="323"/>
      <c r="M577" s="688" t="s">
        <v>96</v>
      </c>
      <c r="N577" s="691">
        <v>50</v>
      </c>
      <c r="O577" s="691">
        <v>100</v>
      </c>
      <c r="P577" s="691">
        <v>120</v>
      </c>
      <c r="Q577" s="816">
        <v>140</v>
      </c>
      <c r="R577" s="816">
        <v>160</v>
      </c>
    </row>
    <row r="578" spans="1:18" s="20" customFormat="1" ht="38.25" x14ac:dyDescent="0.2">
      <c r="A578" s="131"/>
      <c r="B578" s="334"/>
      <c r="C578" s="725" t="s">
        <v>197</v>
      </c>
      <c r="D578" s="725"/>
      <c r="E578" s="686" t="s">
        <v>2869</v>
      </c>
      <c r="F578" s="914">
        <v>7776.4</v>
      </c>
      <c r="G578" s="914">
        <v>9037.6</v>
      </c>
      <c r="H578" s="914">
        <v>7596.2</v>
      </c>
      <c r="I578" s="914">
        <v>7741.6</v>
      </c>
      <c r="J578" s="914">
        <v>7815.4</v>
      </c>
      <c r="K578" s="323" t="s">
        <v>754</v>
      </c>
      <c r="L578" s="323"/>
      <c r="M578" s="688" t="s">
        <v>17</v>
      </c>
      <c r="N578" s="781">
        <v>28.7</v>
      </c>
      <c r="O578" s="691">
        <v>30</v>
      </c>
      <c r="P578" s="816">
        <v>35</v>
      </c>
      <c r="Q578" s="816">
        <v>35</v>
      </c>
      <c r="R578" s="816">
        <v>40</v>
      </c>
    </row>
    <row r="579" spans="1:18" s="20" customFormat="1" ht="51" x14ac:dyDescent="0.2">
      <c r="A579" s="131"/>
      <c r="B579" s="1536"/>
      <c r="C579" s="1536" t="s">
        <v>155</v>
      </c>
      <c r="D579" s="1536"/>
      <c r="E579" s="1986" t="s">
        <v>2870</v>
      </c>
      <c r="F579" s="1983">
        <v>29579.9</v>
      </c>
      <c r="G579" s="1989">
        <f>31679.3+360.8</f>
        <v>32040.1</v>
      </c>
      <c r="H579" s="1989">
        <f>25166.8</f>
        <v>25166.799999999999</v>
      </c>
      <c r="I579" s="1989">
        <f>25843.2</f>
        <v>25843.200000000001</v>
      </c>
      <c r="J579" s="1989">
        <f>26234.4</f>
        <v>26234.400000000001</v>
      </c>
      <c r="K579" s="335" t="s">
        <v>755</v>
      </c>
      <c r="L579" s="335"/>
      <c r="M579" s="336" t="s">
        <v>17</v>
      </c>
      <c r="N579" s="336">
        <v>20</v>
      </c>
      <c r="O579" s="336">
        <v>30</v>
      </c>
      <c r="P579" s="336">
        <v>70</v>
      </c>
      <c r="Q579" s="336">
        <v>90</v>
      </c>
      <c r="R579" s="336">
        <v>95</v>
      </c>
    </row>
    <row r="580" spans="1:18" s="20" customFormat="1" ht="25.5" x14ac:dyDescent="0.2">
      <c r="A580" s="131"/>
      <c r="B580" s="1537"/>
      <c r="C580" s="1537"/>
      <c r="D580" s="1537"/>
      <c r="E580" s="1988"/>
      <c r="F580" s="1533"/>
      <c r="G580" s="1990"/>
      <c r="H580" s="1990"/>
      <c r="I580" s="1990"/>
      <c r="J580" s="1990"/>
      <c r="K580" s="337" t="s">
        <v>756</v>
      </c>
      <c r="L580" s="337"/>
      <c r="M580" s="816" t="s">
        <v>31</v>
      </c>
      <c r="N580" s="816" t="s">
        <v>21</v>
      </c>
      <c r="O580" s="816">
        <v>17</v>
      </c>
      <c r="P580" s="816">
        <v>6</v>
      </c>
      <c r="Q580" s="816">
        <v>6</v>
      </c>
      <c r="R580" s="816">
        <v>8</v>
      </c>
    </row>
    <row r="581" spans="1:18" s="20" customFormat="1" ht="81" customHeight="1" x14ac:dyDescent="0.2">
      <c r="A581" s="131"/>
      <c r="B581" s="1537"/>
      <c r="C581" s="1537"/>
      <c r="D581" s="1537"/>
      <c r="E581" s="1988"/>
      <c r="F581" s="1533"/>
      <c r="G581" s="1990"/>
      <c r="H581" s="1990"/>
      <c r="I581" s="1990"/>
      <c r="J581" s="1990"/>
      <c r="K581" s="321" t="s">
        <v>757</v>
      </c>
      <c r="L581" s="321"/>
      <c r="M581" s="689" t="s">
        <v>17</v>
      </c>
      <c r="N581" s="691" t="s">
        <v>21</v>
      </c>
      <c r="O581" s="691">
        <v>60</v>
      </c>
      <c r="P581" s="691">
        <v>65</v>
      </c>
      <c r="Q581" s="691">
        <v>70</v>
      </c>
      <c r="R581" s="691">
        <v>70</v>
      </c>
    </row>
    <row r="582" spans="1:18" s="20" customFormat="1" ht="15.75" customHeight="1" x14ac:dyDescent="0.2">
      <c r="A582" s="131"/>
      <c r="B582" s="1537"/>
      <c r="C582" s="1537"/>
      <c r="D582" s="1537"/>
      <c r="E582" s="1988"/>
      <c r="F582" s="1533"/>
      <c r="G582" s="1990"/>
      <c r="H582" s="1990"/>
      <c r="I582" s="1990"/>
      <c r="J582" s="1990"/>
      <c r="K582" s="321" t="s">
        <v>758</v>
      </c>
      <c r="L582" s="321"/>
      <c r="M582" s="689" t="s">
        <v>17</v>
      </c>
      <c r="N582" s="339">
        <v>56</v>
      </c>
      <c r="O582" s="339">
        <v>57</v>
      </c>
      <c r="P582" s="339">
        <v>57</v>
      </c>
      <c r="Q582" s="339">
        <v>57</v>
      </c>
      <c r="R582" s="339">
        <v>57</v>
      </c>
    </row>
    <row r="583" spans="1:18" s="20" customFormat="1" ht="58.5" customHeight="1" x14ac:dyDescent="0.2">
      <c r="A583" s="131"/>
      <c r="B583" s="1538"/>
      <c r="C583" s="1538"/>
      <c r="D583" s="1538"/>
      <c r="E583" s="1987"/>
      <c r="F583" s="1532"/>
      <c r="G583" s="1991"/>
      <c r="H583" s="1991"/>
      <c r="I583" s="1991"/>
      <c r="J583" s="1991"/>
      <c r="K583" s="321" t="s">
        <v>759</v>
      </c>
      <c r="L583" s="321"/>
      <c r="M583" s="689" t="s">
        <v>31</v>
      </c>
      <c r="N583" s="691" t="s">
        <v>21</v>
      </c>
      <c r="O583" s="691">
        <v>2</v>
      </c>
      <c r="P583" s="691">
        <v>6</v>
      </c>
      <c r="Q583" s="691">
        <v>10</v>
      </c>
      <c r="R583" s="691">
        <v>10</v>
      </c>
    </row>
    <row r="584" spans="1:18" s="20" customFormat="1" ht="42.75" customHeight="1" x14ac:dyDescent="0.2">
      <c r="A584" s="131"/>
      <c r="B584" s="1977"/>
      <c r="C584" s="1979" t="s">
        <v>158</v>
      </c>
      <c r="D584" s="1979"/>
      <c r="E584" s="1981" t="s">
        <v>2871</v>
      </c>
      <c r="F584" s="1983">
        <v>15891.1</v>
      </c>
      <c r="G584" s="1983">
        <v>16911.3</v>
      </c>
      <c r="H584" s="1983">
        <f>14917.4</f>
        <v>14917.4</v>
      </c>
      <c r="I584" s="1983">
        <f>15078.6</f>
        <v>15078.6</v>
      </c>
      <c r="J584" s="1983">
        <f>15160.4</f>
        <v>15160.4</v>
      </c>
      <c r="K584" s="340" t="s">
        <v>760</v>
      </c>
      <c r="L584" s="340"/>
      <c r="M584" s="341" t="s">
        <v>93</v>
      </c>
      <c r="N584" s="342">
        <v>99</v>
      </c>
      <c r="O584" s="342">
        <v>89</v>
      </c>
      <c r="P584" s="343">
        <v>85</v>
      </c>
      <c r="Q584" s="343">
        <v>90</v>
      </c>
      <c r="R584" s="343">
        <v>95</v>
      </c>
    </row>
    <row r="585" spans="1:18" s="20" customFormat="1" ht="71.25" customHeight="1" x14ac:dyDescent="0.2">
      <c r="A585" s="131"/>
      <c r="B585" s="1978"/>
      <c r="C585" s="1980"/>
      <c r="D585" s="1980"/>
      <c r="E585" s="1982"/>
      <c r="F585" s="1532"/>
      <c r="G585" s="1532"/>
      <c r="H585" s="1532"/>
      <c r="I585" s="1532"/>
      <c r="J585" s="1532"/>
      <c r="K585" s="340" t="s">
        <v>761</v>
      </c>
      <c r="L585" s="340"/>
      <c r="M585" s="341" t="s">
        <v>93</v>
      </c>
      <c r="N585" s="342">
        <v>61</v>
      </c>
      <c r="O585" s="342">
        <v>65</v>
      </c>
      <c r="P585" s="343">
        <v>67</v>
      </c>
      <c r="Q585" s="343">
        <v>68</v>
      </c>
      <c r="R585" s="343">
        <v>70</v>
      </c>
    </row>
    <row r="586" spans="1:18" s="20" customFormat="1" ht="25.5" customHeight="1" x14ac:dyDescent="0.2">
      <c r="A586" s="131"/>
      <c r="B586" s="730"/>
      <c r="C586" s="1984" t="s">
        <v>264</v>
      </c>
      <c r="D586" s="1534"/>
      <c r="E586" s="1986" t="s">
        <v>2872</v>
      </c>
      <c r="F586" s="1983">
        <v>280</v>
      </c>
      <c r="G586" s="1983">
        <v>568.20000000000005</v>
      </c>
      <c r="H586" s="1983">
        <v>1000</v>
      </c>
      <c r="I586" s="1983">
        <v>1000</v>
      </c>
      <c r="J586" s="1983">
        <v>1000</v>
      </c>
      <c r="K586" s="321" t="s">
        <v>762</v>
      </c>
      <c r="L586" s="321"/>
      <c r="M586" s="734" t="s">
        <v>130</v>
      </c>
      <c r="N586" s="816">
        <v>2</v>
      </c>
      <c r="O586" s="816">
        <v>4</v>
      </c>
      <c r="P586" s="816">
        <v>6</v>
      </c>
      <c r="Q586" s="816">
        <v>6</v>
      </c>
      <c r="R586" s="816">
        <v>6</v>
      </c>
    </row>
    <row r="587" spans="1:18" s="20" customFormat="1" x14ac:dyDescent="0.2">
      <c r="A587" s="131"/>
      <c r="B587" s="730"/>
      <c r="C587" s="1984"/>
      <c r="D587" s="1985"/>
      <c r="E587" s="1987"/>
      <c r="F587" s="1532"/>
      <c r="G587" s="1532"/>
      <c r="H587" s="1532"/>
      <c r="I587" s="1532"/>
      <c r="J587" s="1532"/>
      <c r="K587" s="321" t="s">
        <v>763</v>
      </c>
      <c r="L587" s="321"/>
      <c r="M587" s="734" t="s">
        <v>130</v>
      </c>
      <c r="N587" s="816">
        <v>1</v>
      </c>
      <c r="O587" s="816">
        <v>2</v>
      </c>
      <c r="P587" s="816">
        <v>4</v>
      </c>
      <c r="Q587" s="816">
        <v>4</v>
      </c>
      <c r="R587" s="816">
        <v>4</v>
      </c>
    </row>
    <row r="588" spans="1:18" s="20" customFormat="1" ht="51.75" customHeight="1" x14ac:dyDescent="0.2">
      <c r="A588" s="131"/>
      <c r="B588" s="730"/>
      <c r="C588" s="725" t="s">
        <v>269</v>
      </c>
      <c r="D588" s="727"/>
      <c r="E588" s="729" t="s">
        <v>2873</v>
      </c>
      <c r="F588" s="938"/>
      <c r="G588" s="940"/>
      <c r="H588" s="938"/>
      <c r="I588" s="938"/>
      <c r="J588" s="938"/>
      <c r="K588" s="323" t="s">
        <v>764</v>
      </c>
      <c r="L588" s="323"/>
      <c r="M588" s="816" t="s">
        <v>17</v>
      </c>
      <c r="N588" s="324" t="s">
        <v>21</v>
      </c>
      <c r="O588" s="324">
        <v>50</v>
      </c>
      <c r="P588" s="324">
        <v>100</v>
      </c>
      <c r="Q588" s="344"/>
      <c r="R588" s="816"/>
    </row>
    <row r="589" spans="1:18" s="345" customFormat="1" x14ac:dyDescent="0.2">
      <c r="B589" s="732"/>
      <c r="C589" s="697" t="s">
        <v>123</v>
      </c>
      <c r="D589" s="346"/>
      <c r="E589" s="755" t="s">
        <v>765</v>
      </c>
      <c r="F589" s="914"/>
      <c r="G589" s="914"/>
      <c r="H589" s="914">
        <v>729890.75</v>
      </c>
      <c r="I589" s="914"/>
      <c r="J589" s="914"/>
      <c r="K589" s="332"/>
      <c r="L589" s="324"/>
      <c r="M589" s="690"/>
      <c r="N589" s="690"/>
      <c r="O589" s="690"/>
      <c r="P589" s="347"/>
      <c r="Q589" s="816"/>
    </row>
    <row r="590" spans="1:18" ht="18.75" customHeight="1" x14ac:dyDescent="0.2">
      <c r="A590" s="770" t="s">
        <v>766</v>
      </c>
      <c r="B590" s="2039" t="s">
        <v>64</v>
      </c>
      <c r="C590" s="2040"/>
      <c r="D590" s="2040"/>
      <c r="E590" s="2041"/>
      <c r="F590" s="919">
        <v>256240.7</v>
      </c>
      <c r="G590" s="908">
        <v>273135.90000000002</v>
      </c>
      <c r="H590" s="908">
        <f>H553+H568+H589</f>
        <v>968645.55</v>
      </c>
      <c r="I590" s="908">
        <v>237280.1</v>
      </c>
      <c r="J590" s="908">
        <v>239626.39999999997</v>
      </c>
      <c r="K590" s="348"/>
      <c r="L590" s="348"/>
      <c r="M590" s="349"/>
      <c r="N590" s="349"/>
      <c r="O590" s="349"/>
      <c r="P590" s="349"/>
      <c r="Q590" s="350"/>
      <c r="R590" s="102"/>
    </row>
    <row r="591" spans="1:18" s="17" customFormat="1" ht="27.75" customHeight="1" x14ac:dyDescent="0.2">
      <c r="A591" s="351"/>
      <c r="B591" s="1965" t="s">
        <v>767</v>
      </c>
      <c r="C591" s="1966"/>
      <c r="D591" s="1966"/>
      <c r="E591" s="1966"/>
      <c r="F591" s="1966"/>
      <c r="G591" s="1966"/>
      <c r="H591" s="1966"/>
      <c r="I591" s="1966"/>
      <c r="J591" s="1966"/>
      <c r="K591" s="1966"/>
      <c r="L591" s="1966"/>
      <c r="M591" s="1966"/>
      <c r="N591" s="1966"/>
      <c r="O591" s="1966"/>
      <c r="P591" s="1966"/>
      <c r="Q591" s="1966"/>
      <c r="R591" s="1966"/>
    </row>
    <row r="592" spans="1:18" ht="25.5" x14ac:dyDescent="0.2">
      <c r="A592" s="352"/>
      <c r="B592" s="877" t="s">
        <v>120</v>
      </c>
      <c r="C592" s="354"/>
      <c r="D592" s="354">
        <v>0</v>
      </c>
      <c r="E592" s="355" t="s">
        <v>2567</v>
      </c>
      <c r="F592" s="928">
        <v>7803.9</v>
      </c>
      <c r="G592" s="928">
        <v>30479.899999999998</v>
      </c>
      <c r="H592" s="928">
        <v>30479.9</v>
      </c>
      <c r="I592" s="928">
        <v>31300</v>
      </c>
      <c r="J592" s="928">
        <v>32000</v>
      </c>
      <c r="K592" s="357" t="s">
        <v>16</v>
      </c>
      <c r="L592" s="357"/>
      <c r="M592" s="356" t="s">
        <v>17</v>
      </c>
      <c r="N592" s="356"/>
      <c r="O592" s="356">
        <v>16.100000000000001</v>
      </c>
      <c r="P592" s="356">
        <v>16.100000000000001</v>
      </c>
      <c r="Q592" s="356">
        <v>16.100000000000001</v>
      </c>
      <c r="R592" s="356">
        <v>16.100000000000001</v>
      </c>
    </row>
    <row r="593" spans="1:18" x14ac:dyDescent="0.2">
      <c r="A593" s="352"/>
      <c r="B593" s="353"/>
      <c r="C593" s="875" t="s">
        <v>123</v>
      </c>
      <c r="D593" s="354">
        <v>0</v>
      </c>
      <c r="E593" s="358" t="s">
        <v>18</v>
      </c>
      <c r="F593" s="928"/>
      <c r="G593" s="928">
        <v>3634.6</v>
      </c>
      <c r="H593" s="928">
        <v>3995</v>
      </c>
      <c r="I593" s="928">
        <v>4127</v>
      </c>
      <c r="J593" s="928">
        <v>4367</v>
      </c>
      <c r="K593" s="357" t="s">
        <v>19</v>
      </c>
      <c r="L593" s="357"/>
      <c r="M593" s="356" t="s">
        <v>20</v>
      </c>
      <c r="N593" s="356"/>
      <c r="O593" s="356">
        <v>0.7</v>
      </c>
      <c r="P593" s="356">
        <v>0.7</v>
      </c>
      <c r="Q593" s="356">
        <v>0.7</v>
      </c>
      <c r="R593" s="356">
        <v>0.7</v>
      </c>
    </row>
    <row r="594" spans="1:18" ht="30.75" customHeight="1" x14ac:dyDescent="0.2">
      <c r="A594" s="352"/>
      <c r="B594" s="353"/>
      <c r="C594" s="875" t="s">
        <v>125</v>
      </c>
      <c r="D594" s="354">
        <v>0</v>
      </c>
      <c r="E594" s="358" t="s">
        <v>22</v>
      </c>
      <c r="F594" s="928"/>
      <c r="G594" s="928">
        <v>2292.9</v>
      </c>
      <c r="H594" s="928">
        <v>2433</v>
      </c>
      <c r="I594" s="928">
        <v>2530</v>
      </c>
      <c r="J594" s="928">
        <v>2645</v>
      </c>
      <c r="K594" s="357" t="s">
        <v>23</v>
      </c>
      <c r="L594" s="357"/>
      <c r="M594" s="356" t="s">
        <v>17</v>
      </c>
      <c r="N594" s="356"/>
      <c r="O594" s="356">
        <v>100</v>
      </c>
      <c r="P594" s="356">
        <v>100</v>
      </c>
      <c r="Q594" s="356">
        <v>100</v>
      </c>
      <c r="R594" s="356">
        <v>100</v>
      </c>
    </row>
    <row r="595" spans="1:18" x14ac:dyDescent="0.2">
      <c r="A595" s="352"/>
      <c r="B595" s="353"/>
      <c r="C595" s="875" t="s">
        <v>127</v>
      </c>
      <c r="D595" s="354">
        <v>0</v>
      </c>
      <c r="E595" s="358" t="s">
        <v>24</v>
      </c>
      <c r="F595" s="928"/>
      <c r="G595" s="928">
        <v>2055.8000000000002</v>
      </c>
      <c r="H595" s="928">
        <v>1897.5</v>
      </c>
      <c r="I595" s="928">
        <v>2047</v>
      </c>
      <c r="J595" s="928">
        <v>2070</v>
      </c>
      <c r="K595" s="357" t="s">
        <v>25</v>
      </c>
      <c r="L595" s="357"/>
      <c r="M595" s="356" t="s">
        <v>17</v>
      </c>
      <c r="N595" s="356"/>
      <c r="O595" s="356"/>
      <c r="P595" s="356"/>
      <c r="Q595" s="356"/>
      <c r="R595" s="356"/>
    </row>
    <row r="596" spans="1:18" ht="25.5" x14ac:dyDescent="0.2">
      <c r="A596" s="352"/>
      <c r="B596" s="353"/>
      <c r="C596" s="875" t="s">
        <v>132</v>
      </c>
      <c r="D596" s="354">
        <v>0</v>
      </c>
      <c r="E596" s="358" t="s">
        <v>26</v>
      </c>
      <c r="F596" s="928"/>
      <c r="G596" s="928">
        <v>1834</v>
      </c>
      <c r="H596" s="928">
        <v>1725</v>
      </c>
      <c r="I596" s="928">
        <v>1840</v>
      </c>
      <c r="J596" s="928">
        <v>1955</v>
      </c>
      <c r="K596" s="357" t="s">
        <v>27</v>
      </c>
      <c r="L596" s="357"/>
      <c r="M596" s="356" t="s">
        <v>28</v>
      </c>
      <c r="N596" s="356"/>
      <c r="O596" s="356"/>
      <c r="P596" s="356"/>
      <c r="Q596" s="356"/>
      <c r="R596" s="356"/>
    </row>
    <row r="597" spans="1:18" ht="25.5" x14ac:dyDescent="0.2">
      <c r="A597" s="352"/>
      <c r="B597" s="353"/>
      <c r="C597" s="875" t="s">
        <v>74</v>
      </c>
      <c r="D597" s="354">
        <v>0</v>
      </c>
      <c r="E597" s="355" t="s">
        <v>32</v>
      </c>
      <c r="F597" s="928">
        <v>7803.9</v>
      </c>
      <c r="G597" s="928">
        <v>20662.599999999999</v>
      </c>
      <c r="H597" s="928">
        <v>20429.400000000001</v>
      </c>
      <c r="I597" s="928">
        <v>20756</v>
      </c>
      <c r="J597" s="928">
        <v>20963</v>
      </c>
      <c r="K597" s="357" t="s">
        <v>33</v>
      </c>
      <c r="L597" s="357"/>
      <c r="M597" s="356" t="s">
        <v>17</v>
      </c>
      <c r="N597" s="356"/>
      <c r="O597" s="356">
        <v>71.400000000000006</v>
      </c>
      <c r="P597" s="356">
        <v>55.6</v>
      </c>
      <c r="Q597" s="356">
        <v>55.6</v>
      </c>
      <c r="R597" s="356">
        <v>55.6</v>
      </c>
    </row>
    <row r="598" spans="1:18" ht="71.25" customHeight="1" x14ac:dyDescent="0.2">
      <c r="A598" s="352"/>
      <c r="B598" s="877" t="s">
        <v>138</v>
      </c>
      <c r="C598" s="876"/>
      <c r="D598" s="876"/>
      <c r="E598" s="831" t="s">
        <v>2568</v>
      </c>
      <c r="F598" s="928">
        <v>32333</v>
      </c>
      <c r="G598" s="928">
        <v>32333</v>
      </c>
      <c r="H598" s="928">
        <v>33533</v>
      </c>
      <c r="I598" s="928">
        <v>33533</v>
      </c>
      <c r="J598" s="928">
        <v>33533</v>
      </c>
      <c r="K598" s="357" t="s">
        <v>769</v>
      </c>
      <c r="L598" s="357"/>
      <c r="M598" s="356"/>
      <c r="N598" s="356"/>
      <c r="O598" s="356"/>
      <c r="P598" s="356"/>
      <c r="Q598" s="356"/>
      <c r="R598" s="356"/>
    </row>
    <row r="599" spans="1:18" ht="35.25" customHeight="1" x14ac:dyDescent="0.2">
      <c r="A599" s="352"/>
      <c r="B599" s="1967"/>
      <c r="C599" s="1967" t="s">
        <v>123</v>
      </c>
      <c r="D599" s="1969">
        <v>2</v>
      </c>
      <c r="E599" s="1971" t="s">
        <v>770</v>
      </c>
      <c r="F599" s="951">
        <v>16715.900000000001</v>
      </c>
      <c r="G599" s="951">
        <v>16715.900000000001</v>
      </c>
      <c r="H599" s="951">
        <v>17177.3</v>
      </c>
      <c r="I599" s="951">
        <v>17177.3</v>
      </c>
      <c r="J599" s="951">
        <v>17177.3</v>
      </c>
      <c r="K599" s="357" t="s">
        <v>771</v>
      </c>
      <c r="L599" s="357"/>
      <c r="M599" s="356" t="s">
        <v>772</v>
      </c>
      <c r="N599" s="356">
        <v>71</v>
      </c>
      <c r="O599" s="356">
        <v>71</v>
      </c>
      <c r="P599" s="356">
        <v>71</v>
      </c>
      <c r="Q599" s="356">
        <v>71</v>
      </c>
      <c r="R599" s="356">
        <v>71</v>
      </c>
    </row>
    <row r="600" spans="1:18" ht="43.5" customHeight="1" x14ac:dyDescent="0.2">
      <c r="A600" s="352"/>
      <c r="B600" s="1968"/>
      <c r="C600" s="1968"/>
      <c r="D600" s="1970"/>
      <c r="E600" s="1972"/>
      <c r="F600" s="927"/>
      <c r="G600" s="927"/>
      <c r="H600" s="927"/>
      <c r="I600" s="927"/>
      <c r="J600" s="927"/>
      <c r="K600" s="357" t="s">
        <v>773</v>
      </c>
      <c r="L600" s="357"/>
      <c r="M600" s="356" t="s">
        <v>774</v>
      </c>
      <c r="N600" s="356">
        <v>8</v>
      </c>
      <c r="O600" s="356">
        <v>8</v>
      </c>
      <c r="P600" s="356">
        <v>8</v>
      </c>
      <c r="Q600" s="356">
        <v>8</v>
      </c>
      <c r="R600" s="356">
        <v>8</v>
      </c>
    </row>
    <row r="601" spans="1:18" ht="29.25" customHeight="1" x14ac:dyDescent="0.2">
      <c r="A601" s="352"/>
      <c r="B601" s="1967"/>
      <c r="C601" s="1967" t="s">
        <v>125</v>
      </c>
      <c r="D601" s="1969">
        <v>2</v>
      </c>
      <c r="E601" s="1971" t="s">
        <v>775</v>
      </c>
      <c r="F601" s="951">
        <v>15617.1</v>
      </c>
      <c r="G601" s="951">
        <v>15617.1</v>
      </c>
      <c r="H601" s="951">
        <v>16355.7</v>
      </c>
      <c r="I601" s="951">
        <v>16355.7</v>
      </c>
      <c r="J601" s="951">
        <v>16355.7</v>
      </c>
      <c r="K601" s="357" t="s">
        <v>776</v>
      </c>
      <c r="L601" s="357"/>
      <c r="M601" s="356" t="s">
        <v>777</v>
      </c>
      <c r="N601" s="356">
        <v>123</v>
      </c>
      <c r="O601" s="356">
        <v>126</v>
      </c>
      <c r="P601" s="356">
        <v>126</v>
      </c>
      <c r="Q601" s="356">
        <v>126</v>
      </c>
      <c r="R601" s="356">
        <v>126</v>
      </c>
    </row>
    <row r="602" spans="1:18" ht="29.25" customHeight="1" x14ac:dyDescent="0.2">
      <c r="A602" s="352"/>
      <c r="B602" s="1968"/>
      <c r="C602" s="1968"/>
      <c r="D602" s="1970"/>
      <c r="E602" s="1972"/>
      <c r="F602" s="952"/>
      <c r="G602" s="952"/>
      <c r="H602" s="952"/>
      <c r="I602" s="952"/>
      <c r="J602" s="927"/>
      <c r="K602" s="357" t="s">
        <v>778</v>
      </c>
      <c r="L602" s="357"/>
      <c r="M602" s="356" t="s">
        <v>777</v>
      </c>
      <c r="N602" s="356">
        <v>117</v>
      </c>
      <c r="O602" s="356">
        <v>122</v>
      </c>
      <c r="P602" s="356">
        <v>122</v>
      </c>
      <c r="Q602" s="356">
        <v>122</v>
      </c>
      <c r="R602" s="356">
        <v>122</v>
      </c>
    </row>
    <row r="603" spans="1:18" ht="89.25" customHeight="1" x14ac:dyDescent="0.2">
      <c r="A603" s="352"/>
      <c r="B603" s="877" t="s">
        <v>161</v>
      </c>
      <c r="C603" s="875"/>
      <c r="D603" s="876"/>
      <c r="E603" s="831" t="s">
        <v>2471</v>
      </c>
      <c r="F603" s="953">
        <v>42577.3</v>
      </c>
      <c r="G603" s="953">
        <v>42577.3</v>
      </c>
      <c r="H603" s="953">
        <v>41377.300000000003</v>
      </c>
      <c r="I603" s="953">
        <v>41887.800000000003</v>
      </c>
      <c r="J603" s="953">
        <v>41887.800000000003</v>
      </c>
      <c r="K603" s="833" t="s">
        <v>779</v>
      </c>
      <c r="L603" s="833"/>
      <c r="M603" s="834"/>
      <c r="N603" s="832"/>
      <c r="O603" s="832"/>
      <c r="P603" s="356"/>
      <c r="Q603" s="356"/>
      <c r="R603" s="356"/>
    </row>
    <row r="604" spans="1:18" ht="30.75" customHeight="1" x14ac:dyDescent="0.2">
      <c r="A604" s="352"/>
      <c r="B604" s="1967"/>
      <c r="C604" s="1967" t="s">
        <v>123</v>
      </c>
      <c r="D604" s="1969">
        <v>2</v>
      </c>
      <c r="E604" s="1975" t="s">
        <v>780</v>
      </c>
      <c r="F604" s="951">
        <v>24059.5</v>
      </c>
      <c r="G604" s="951">
        <v>24059.5</v>
      </c>
      <c r="H604" s="951">
        <v>23459.5</v>
      </c>
      <c r="I604" s="1973">
        <v>23714.799999999999</v>
      </c>
      <c r="J604" s="1973">
        <v>23714.799999999999</v>
      </c>
      <c r="K604" s="357" t="s">
        <v>781</v>
      </c>
      <c r="L604" s="357"/>
      <c r="M604" s="359" t="s">
        <v>782</v>
      </c>
      <c r="N604" s="359">
        <v>31</v>
      </c>
      <c r="O604" s="359">
        <v>31</v>
      </c>
      <c r="P604" s="359">
        <v>31</v>
      </c>
      <c r="Q604" s="359">
        <v>31</v>
      </c>
      <c r="R604" s="359">
        <v>31</v>
      </c>
    </row>
    <row r="605" spans="1:18" ht="30.75" customHeight="1" x14ac:dyDescent="0.2">
      <c r="A605" s="352"/>
      <c r="B605" s="1968"/>
      <c r="C605" s="1968"/>
      <c r="D605" s="1970"/>
      <c r="E605" s="1976"/>
      <c r="F605" s="952"/>
      <c r="G605" s="952"/>
      <c r="H605" s="952"/>
      <c r="I605" s="1974"/>
      <c r="J605" s="1974"/>
      <c r="K605" s="357" t="s">
        <v>783</v>
      </c>
      <c r="L605" s="357"/>
      <c r="M605" s="359" t="s">
        <v>784</v>
      </c>
      <c r="N605" s="356" t="s">
        <v>785</v>
      </c>
      <c r="O605" s="356" t="s">
        <v>786</v>
      </c>
      <c r="P605" s="356" t="s">
        <v>786</v>
      </c>
      <c r="Q605" s="356" t="s">
        <v>786</v>
      </c>
      <c r="R605" s="356" t="s">
        <v>786</v>
      </c>
    </row>
    <row r="606" spans="1:18" ht="30.75" customHeight="1" x14ac:dyDescent="0.2">
      <c r="A606" s="352"/>
      <c r="B606" s="1967"/>
      <c r="C606" s="1967" t="s">
        <v>125</v>
      </c>
      <c r="D606" s="1969">
        <v>2</v>
      </c>
      <c r="E606" s="1975" t="s">
        <v>787</v>
      </c>
      <c r="F606" s="951">
        <v>18517.8</v>
      </c>
      <c r="G606" s="951">
        <v>18517.8</v>
      </c>
      <c r="H606" s="951">
        <v>17917.8</v>
      </c>
      <c r="I606" s="1973">
        <v>18173</v>
      </c>
      <c r="J606" s="1973">
        <v>18173</v>
      </c>
      <c r="K606" s="357" t="s">
        <v>788</v>
      </c>
      <c r="L606" s="357"/>
      <c r="M606" s="359" t="s">
        <v>777</v>
      </c>
      <c r="N606" s="356">
        <v>62</v>
      </c>
      <c r="O606" s="356">
        <v>62</v>
      </c>
      <c r="P606" s="356">
        <v>62</v>
      </c>
      <c r="Q606" s="356">
        <v>62</v>
      </c>
      <c r="R606" s="356">
        <v>62</v>
      </c>
    </row>
    <row r="607" spans="1:18" ht="30.75" customHeight="1" x14ac:dyDescent="0.2">
      <c r="A607" s="352"/>
      <c r="B607" s="1968"/>
      <c r="C607" s="1968"/>
      <c r="D607" s="1970"/>
      <c r="E607" s="1976"/>
      <c r="F607" s="927"/>
      <c r="G607" s="927"/>
      <c r="H607" s="927"/>
      <c r="I607" s="1974"/>
      <c r="J607" s="1974"/>
      <c r="K607" s="357" t="s">
        <v>789</v>
      </c>
      <c r="L607" s="357"/>
      <c r="M607" s="359" t="s">
        <v>777</v>
      </c>
      <c r="N607" s="359">
        <v>47</v>
      </c>
      <c r="O607" s="359">
        <v>47</v>
      </c>
      <c r="P607" s="359">
        <v>47</v>
      </c>
      <c r="Q607" s="359">
        <v>47</v>
      </c>
      <c r="R607" s="359">
        <v>47</v>
      </c>
    </row>
    <row r="608" spans="1:18" ht="25.5" customHeight="1" x14ac:dyDescent="0.2">
      <c r="A608" s="352"/>
      <c r="B608" s="1951" t="s">
        <v>169</v>
      </c>
      <c r="C608" s="1952"/>
      <c r="D608" s="1953" t="s">
        <v>123</v>
      </c>
      <c r="E608" s="1955" t="s">
        <v>790</v>
      </c>
      <c r="F608" s="1957">
        <v>52735.3</v>
      </c>
      <c r="G608" s="1957">
        <v>57294.2</v>
      </c>
      <c r="H608" s="1957">
        <v>57294.2</v>
      </c>
      <c r="I608" s="1957">
        <v>58973.7</v>
      </c>
      <c r="J608" s="1957">
        <v>59802.7</v>
      </c>
      <c r="K608" s="1963" t="s">
        <v>791</v>
      </c>
      <c r="L608" s="829"/>
      <c r="M608" s="1959" t="s">
        <v>792</v>
      </c>
      <c r="N608" s="1959" t="s">
        <v>793</v>
      </c>
      <c r="O608" s="1959" t="s">
        <v>794</v>
      </c>
      <c r="P608" s="1959" t="s">
        <v>795</v>
      </c>
      <c r="Q608" s="1959" t="s">
        <v>796</v>
      </c>
      <c r="R608" s="1959" t="s">
        <v>797</v>
      </c>
    </row>
    <row r="609" spans="1:18" ht="25.5" customHeight="1" x14ac:dyDescent="0.2">
      <c r="A609" s="352"/>
      <c r="B609" s="1951"/>
      <c r="C609" s="1952"/>
      <c r="D609" s="1954"/>
      <c r="E609" s="1956"/>
      <c r="F609" s="1958"/>
      <c r="G609" s="1958"/>
      <c r="H609" s="1958"/>
      <c r="I609" s="1958"/>
      <c r="J609" s="1958"/>
      <c r="K609" s="1964"/>
      <c r="L609" s="830"/>
      <c r="M609" s="1960"/>
      <c r="N609" s="1960"/>
      <c r="O609" s="1960"/>
      <c r="P609" s="1960"/>
      <c r="Q609" s="1960"/>
      <c r="R609" s="1960"/>
    </row>
    <row r="610" spans="1:18" ht="24.75" customHeight="1" x14ac:dyDescent="0.2">
      <c r="A610" s="352"/>
      <c r="B610" s="2040" t="s">
        <v>766</v>
      </c>
      <c r="C610" s="2308"/>
      <c r="D610" s="2308"/>
      <c r="E610" s="2308"/>
      <c r="F610" s="2307">
        <v>135449.5</v>
      </c>
      <c r="G610" s="2307">
        <v>162684.4</v>
      </c>
      <c r="H610" s="2307">
        <v>162684.4</v>
      </c>
      <c r="I610" s="2307">
        <v>165694.5</v>
      </c>
      <c r="J610" s="2307">
        <v>167223.5</v>
      </c>
      <c r="K610" s="112"/>
      <c r="L610" s="112"/>
      <c r="M610" s="360"/>
      <c r="N610" s="360"/>
      <c r="O610" s="360"/>
      <c r="P610" s="360"/>
      <c r="Q610" s="360"/>
      <c r="R610" s="360"/>
    </row>
    <row r="611" spans="1:18" s="17" customFormat="1" ht="31.5" customHeight="1" thickBot="1" x14ac:dyDescent="0.25">
      <c r="B611" s="1961" t="s">
        <v>798</v>
      </c>
      <c r="C611" s="1962"/>
      <c r="D611" s="1962"/>
      <c r="E611" s="1962"/>
      <c r="F611" s="970"/>
      <c r="G611" s="970"/>
      <c r="H611" s="970"/>
      <c r="I611" s="970"/>
      <c r="J611" s="970"/>
      <c r="K611" s="191"/>
      <c r="L611" s="191"/>
      <c r="M611" s="997"/>
      <c r="N611" s="191"/>
      <c r="O611" s="191"/>
      <c r="P611" s="191"/>
      <c r="Q611" s="191"/>
      <c r="R611" s="192"/>
    </row>
    <row r="612" spans="1:18" ht="52.5" customHeight="1" x14ac:dyDescent="0.2">
      <c r="B612" s="361">
        <v>1</v>
      </c>
      <c r="C612" s="362"/>
      <c r="D612" s="363">
        <v>0</v>
      </c>
      <c r="E612" s="364" t="s">
        <v>799</v>
      </c>
      <c r="F612" s="980">
        <v>114791</v>
      </c>
      <c r="G612" s="980">
        <v>97720.1</v>
      </c>
      <c r="H612" s="980">
        <f>H613+H614</f>
        <v>133706.9</v>
      </c>
      <c r="I612" s="980">
        <v>133706.9</v>
      </c>
      <c r="J612" s="980">
        <v>133706.9</v>
      </c>
      <c r="K612" s="365" t="s">
        <v>16</v>
      </c>
      <c r="L612" s="365"/>
      <c r="M612" s="540" t="s">
        <v>17</v>
      </c>
      <c r="N612" s="540"/>
      <c r="O612" s="540"/>
      <c r="P612" s="540"/>
      <c r="Q612" s="540"/>
      <c r="R612" s="540"/>
    </row>
    <row r="613" spans="1:18" ht="25.5" x14ac:dyDescent="0.2">
      <c r="B613" s="367"/>
      <c r="C613" s="368">
        <v>1</v>
      </c>
      <c r="D613" s="362">
        <v>0</v>
      </c>
      <c r="E613" s="369" t="s">
        <v>800</v>
      </c>
      <c r="F613" s="954">
        <v>56500</v>
      </c>
      <c r="G613" s="954">
        <v>50307.100000000006</v>
      </c>
      <c r="H613" s="954">
        <f>74543.1+943.7+6097.5+30000</f>
        <v>111584.3</v>
      </c>
      <c r="I613" s="954">
        <v>111584.3</v>
      </c>
      <c r="J613" s="954">
        <v>111584.3</v>
      </c>
      <c r="K613" s="370" t="s">
        <v>801</v>
      </c>
      <c r="L613" s="371"/>
      <c r="M613" s="540" t="s">
        <v>17</v>
      </c>
      <c r="N613" s="401">
        <v>100</v>
      </c>
      <c r="O613" s="401">
        <v>100</v>
      </c>
      <c r="P613" s="401">
        <v>100</v>
      </c>
      <c r="Q613" s="401">
        <v>100</v>
      </c>
      <c r="R613" s="401">
        <v>100</v>
      </c>
    </row>
    <row r="614" spans="1:18" ht="25.5" x14ac:dyDescent="0.2">
      <c r="B614" s="367"/>
      <c r="C614" s="372">
        <v>6</v>
      </c>
      <c r="D614" s="362">
        <v>0</v>
      </c>
      <c r="E614" s="373" t="s">
        <v>802</v>
      </c>
      <c r="F614" s="954">
        <v>58291</v>
      </c>
      <c r="G614" s="954">
        <v>47413</v>
      </c>
      <c r="H614" s="954">
        <f>5770+6470+900+3920+900+1119+1500+2036.5-74.5-418.4</f>
        <v>22122.6</v>
      </c>
      <c r="I614" s="954">
        <v>22122.6</v>
      </c>
      <c r="J614" s="954">
        <v>22122.6</v>
      </c>
      <c r="K614" s="370" t="s">
        <v>803</v>
      </c>
      <c r="L614" s="370"/>
      <c r="M614" s="401" t="s">
        <v>17</v>
      </c>
      <c r="N614" s="401">
        <v>80</v>
      </c>
      <c r="O614" s="401">
        <v>90</v>
      </c>
      <c r="P614" s="401">
        <v>100</v>
      </c>
      <c r="Q614" s="401">
        <v>100</v>
      </c>
      <c r="R614" s="401">
        <v>100</v>
      </c>
    </row>
    <row r="615" spans="1:18" ht="63.75" x14ac:dyDescent="0.2">
      <c r="B615" s="367">
        <v>2</v>
      </c>
      <c r="C615" s="372"/>
      <c r="D615" s="362">
        <v>0</v>
      </c>
      <c r="E615" s="374" t="s">
        <v>2472</v>
      </c>
      <c r="F615" s="955">
        <v>1028789.2000000001</v>
      </c>
      <c r="G615" s="955">
        <v>1015976.6</v>
      </c>
      <c r="H615" s="955">
        <f>H616+H617+H618</f>
        <v>935478.6</v>
      </c>
      <c r="I615" s="955">
        <v>934065.89999999991</v>
      </c>
      <c r="J615" s="955">
        <v>950272</v>
      </c>
      <c r="K615" s="375" t="s">
        <v>804</v>
      </c>
      <c r="L615" s="375"/>
      <c r="M615" s="401" t="s">
        <v>17</v>
      </c>
      <c r="N615" s="401">
        <v>80</v>
      </c>
      <c r="O615" s="401">
        <v>90</v>
      </c>
      <c r="P615" s="401">
        <v>80</v>
      </c>
      <c r="Q615" s="401">
        <v>80</v>
      </c>
      <c r="R615" s="401">
        <v>80</v>
      </c>
    </row>
    <row r="616" spans="1:18" ht="25.5" x14ac:dyDescent="0.2">
      <c r="B616" s="367"/>
      <c r="C616" s="372">
        <v>1</v>
      </c>
      <c r="D616" s="362">
        <v>0</v>
      </c>
      <c r="E616" s="373" t="s">
        <v>805</v>
      </c>
      <c r="F616" s="954">
        <v>680074.4</v>
      </c>
      <c r="G616" s="954">
        <v>615535.5</v>
      </c>
      <c r="H616" s="954">
        <f>8102+13895+7600+379156.9+5391.8+500+1460+1230+2530+40412.8+100+2080+126772.4-4102+39630+106041+28069.9-15000+1681.2-651.1</f>
        <v>744899.9</v>
      </c>
      <c r="I616" s="954">
        <v>733307.2</v>
      </c>
      <c r="J616" s="954">
        <v>749513.29999999993</v>
      </c>
      <c r="K616" s="370" t="s">
        <v>806</v>
      </c>
      <c r="L616" s="370"/>
      <c r="M616" s="401" t="s">
        <v>17</v>
      </c>
      <c r="N616" s="401">
        <v>60</v>
      </c>
      <c r="O616" s="401">
        <v>50</v>
      </c>
      <c r="P616" s="401">
        <v>40</v>
      </c>
      <c r="Q616" s="401">
        <v>40</v>
      </c>
      <c r="R616" s="401">
        <v>40</v>
      </c>
    </row>
    <row r="617" spans="1:18" ht="25.5" x14ac:dyDescent="0.2">
      <c r="B617" s="367"/>
      <c r="C617" s="372">
        <v>2</v>
      </c>
      <c r="D617" s="362">
        <v>0</v>
      </c>
      <c r="E617" s="373" t="s">
        <v>807</v>
      </c>
      <c r="F617" s="954">
        <v>135963.9</v>
      </c>
      <c r="G617" s="954">
        <v>135299.6</v>
      </c>
      <c r="H617" s="954">
        <v>0</v>
      </c>
      <c r="I617" s="954">
        <v>0</v>
      </c>
      <c r="J617" s="954">
        <v>0</v>
      </c>
      <c r="K617" s="370" t="s">
        <v>808</v>
      </c>
      <c r="L617" s="370"/>
      <c r="M617" s="401" t="s">
        <v>17</v>
      </c>
      <c r="N617" s="401">
        <v>60</v>
      </c>
      <c r="O617" s="401">
        <v>70</v>
      </c>
      <c r="P617" s="401">
        <v>80</v>
      </c>
      <c r="Q617" s="401">
        <v>80</v>
      </c>
      <c r="R617" s="401">
        <v>80</v>
      </c>
    </row>
    <row r="618" spans="1:18" x14ac:dyDescent="0.2">
      <c r="B618" s="367"/>
      <c r="C618" s="376">
        <v>3</v>
      </c>
      <c r="D618" s="362">
        <v>0</v>
      </c>
      <c r="E618" s="373" t="s">
        <v>809</v>
      </c>
      <c r="F618" s="954">
        <v>212750.9</v>
      </c>
      <c r="G618" s="954">
        <v>265141.5</v>
      </c>
      <c r="H618" s="954">
        <f>3000+10000+5000+600+17000+159404.3-4425.6</f>
        <v>190578.69999999998</v>
      </c>
      <c r="I618" s="954">
        <v>200758.7</v>
      </c>
      <c r="J618" s="954">
        <v>200758.7</v>
      </c>
      <c r="K618" s="370" t="s">
        <v>810</v>
      </c>
      <c r="L618" s="370"/>
      <c r="M618" s="401" t="s">
        <v>17</v>
      </c>
      <c r="N618" s="401">
        <v>70</v>
      </c>
      <c r="O618" s="401">
        <v>80</v>
      </c>
      <c r="P618" s="401">
        <v>90</v>
      </c>
      <c r="Q618" s="401">
        <v>90</v>
      </c>
      <c r="R618" s="401">
        <v>90</v>
      </c>
    </row>
    <row r="619" spans="1:18" x14ac:dyDescent="0.2">
      <c r="B619" s="367"/>
      <c r="C619" s="368">
        <v>7</v>
      </c>
      <c r="D619" s="377">
        <v>0</v>
      </c>
      <c r="E619" s="373" t="s">
        <v>811</v>
      </c>
      <c r="F619" s="954">
        <v>28000</v>
      </c>
      <c r="G619" s="954">
        <v>0</v>
      </c>
      <c r="H619" s="954">
        <v>0</v>
      </c>
      <c r="I619" s="956">
        <v>0</v>
      </c>
      <c r="J619" s="956">
        <v>0</v>
      </c>
      <c r="K619" s="378" t="s">
        <v>812</v>
      </c>
      <c r="L619" s="378"/>
      <c r="M619" s="401" t="s">
        <v>17</v>
      </c>
      <c r="N619" s="401">
        <v>80</v>
      </c>
      <c r="O619" s="401">
        <v>90</v>
      </c>
      <c r="P619" s="401">
        <v>100</v>
      </c>
      <c r="Q619" s="401">
        <v>100</v>
      </c>
      <c r="R619" s="401">
        <v>100</v>
      </c>
    </row>
    <row r="620" spans="1:18" x14ac:dyDescent="0.2">
      <c r="B620" s="367">
        <v>3</v>
      </c>
      <c r="C620" s="368"/>
      <c r="D620" s="379"/>
      <c r="E620" s="374" t="s">
        <v>371</v>
      </c>
      <c r="F620" s="955">
        <v>0</v>
      </c>
      <c r="G620" s="955">
        <v>0</v>
      </c>
      <c r="H620" s="955">
        <f>SUM(H621:H627)</f>
        <v>170041.10000000003</v>
      </c>
      <c r="I620" s="955">
        <v>182922.00000000003</v>
      </c>
      <c r="J620" s="955">
        <v>178734.20000000004</v>
      </c>
      <c r="K620" s="378"/>
      <c r="L620" s="378"/>
      <c r="M620" s="401"/>
      <c r="N620" s="401"/>
      <c r="O620" s="401"/>
      <c r="P620" s="401"/>
      <c r="Q620" s="401"/>
      <c r="R620" s="401"/>
    </row>
    <row r="621" spans="1:18" ht="38.25" x14ac:dyDescent="0.2">
      <c r="B621" s="367"/>
      <c r="C621" s="368">
        <v>1</v>
      </c>
      <c r="D621" s="379"/>
      <c r="E621" s="373" t="s">
        <v>813</v>
      </c>
      <c r="F621" s="954">
        <v>0</v>
      </c>
      <c r="G621" s="954">
        <v>0</v>
      </c>
      <c r="H621" s="954">
        <v>17280.5</v>
      </c>
      <c r="I621" s="954">
        <v>17280.5</v>
      </c>
      <c r="J621" s="954">
        <v>17480.5</v>
      </c>
      <c r="K621" s="370" t="s">
        <v>808</v>
      </c>
      <c r="L621" s="370"/>
      <c r="M621" s="401" t="s">
        <v>17</v>
      </c>
      <c r="N621" s="401"/>
      <c r="O621" s="401"/>
      <c r="P621" s="401">
        <v>80</v>
      </c>
      <c r="Q621" s="401">
        <v>90</v>
      </c>
      <c r="R621" s="401">
        <v>100</v>
      </c>
    </row>
    <row r="622" spans="1:18" ht="25.5" x14ac:dyDescent="0.2">
      <c r="B622" s="367"/>
      <c r="C622" s="368">
        <v>2</v>
      </c>
      <c r="D622" s="379"/>
      <c r="E622" s="373" t="s">
        <v>814</v>
      </c>
      <c r="F622" s="954">
        <v>0</v>
      </c>
      <c r="G622" s="954">
        <v>0</v>
      </c>
      <c r="H622" s="954">
        <v>19274.8</v>
      </c>
      <c r="I622" s="954">
        <v>19274.8</v>
      </c>
      <c r="J622" s="954">
        <v>3958.2</v>
      </c>
      <c r="K622" s="370" t="s">
        <v>808</v>
      </c>
      <c r="L622" s="370"/>
      <c r="M622" s="401" t="s">
        <v>17</v>
      </c>
      <c r="N622" s="401"/>
      <c r="O622" s="401"/>
      <c r="P622" s="401">
        <v>80</v>
      </c>
      <c r="Q622" s="401">
        <v>90</v>
      </c>
      <c r="R622" s="401">
        <v>100</v>
      </c>
    </row>
    <row r="623" spans="1:18" ht="89.25" x14ac:dyDescent="0.2">
      <c r="B623" s="367"/>
      <c r="C623" s="368">
        <v>3</v>
      </c>
      <c r="D623" s="379"/>
      <c r="E623" s="373" t="s">
        <v>815</v>
      </c>
      <c r="F623" s="954">
        <v>0</v>
      </c>
      <c r="G623" s="954">
        <v>0</v>
      </c>
      <c r="H623" s="954">
        <v>109398.1</v>
      </c>
      <c r="I623" s="954">
        <v>122279.00000000001</v>
      </c>
      <c r="J623" s="954">
        <v>133207.80000000002</v>
      </c>
      <c r="K623" s="370" t="s">
        <v>808</v>
      </c>
      <c r="L623" s="370"/>
      <c r="M623" s="401" t="s">
        <v>17</v>
      </c>
      <c r="N623" s="401"/>
      <c r="O623" s="401"/>
      <c r="P623" s="401">
        <v>80</v>
      </c>
      <c r="Q623" s="401">
        <v>90</v>
      </c>
      <c r="R623" s="401">
        <v>100</v>
      </c>
    </row>
    <row r="624" spans="1:18" ht="25.5" x14ac:dyDescent="0.2">
      <c r="B624" s="367"/>
      <c r="C624" s="368">
        <v>4</v>
      </c>
      <c r="D624" s="379"/>
      <c r="E624" s="373" t="s">
        <v>816</v>
      </c>
      <c r="F624" s="954">
        <v>0</v>
      </c>
      <c r="G624" s="954">
        <v>0</v>
      </c>
      <c r="H624" s="954">
        <v>74.5</v>
      </c>
      <c r="I624" s="956">
        <v>74.5</v>
      </c>
      <c r="J624" s="956">
        <v>74.5</v>
      </c>
      <c r="K624" s="378" t="s">
        <v>817</v>
      </c>
      <c r="L624" s="378"/>
      <c r="M624" s="401" t="s">
        <v>17</v>
      </c>
      <c r="N624" s="401"/>
      <c r="O624" s="401"/>
      <c r="P624" s="401">
        <v>100</v>
      </c>
      <c r="Q624" s="401">
        <v>100</v>
      </c>
      <c r="R624" s="401">
        <v>100</v>
      </c>
    </row>
    <row r="625" spans="1:18" ht="38.25" x14ac:dyDescent="0.2">
      <c r="B625" s="367"/>
      <c r="C625" s="368">
        <v>5</v>
      </c>
      <c r="D625" s="380"/>
      <c r="E625" s="373" t="s">
        <v>818</v>
      </c>
      <c r="F625" s="954">
        <v>0</v>
      </c>
      <c r="G625" s="954">
        <v>0</v>
      </c>
      <c r="H625" s="954">
        <v>8667.2000000000007</v>
      </c>
      <c r="I625" s="956">
        <v>8667.2000000000007</v>
      </c>
      <c r="J625" s="956">
        <v>8667.2000000000007</v>
      </c>
      <c r="K625" s="378" t="s">
        <v>819</v>
      </c>
      <c r="L625" s="378"/>
      <c r="M625" s="401" t="s">
        <v>17</v>
      </c>
      <c r="N625" s="401"/>
      <c r="O625" s="401"/>
      <c r="P625" s="401">
        <v>80</v>
      </c>
      <c r="Q625" s="401">
        <v>80</v>
      </c>
      <c r="R625" s="401">
        <v>90</v>
      </c>
    </row>
    <row r="626" spans="1:18" ht="25.5" x14ac:dyDescent="0.2">
      <c r="B626" s="367"/>
      <c r="C626" s="368">
        <v>5</v>
      </c>
      <c r="D626" s="380"/>
      <c r="E626" s="373" t="s">
        <v>820</v>
      </c>
      <c r="F626" s="954">
        <v>0</v>
      </c>
      <c r="G626" s="954">
        <v>0</v>
      </c>
      <c r="H626" s="954">
        <v>6400</v>
      </c>
      <c r="I626" s="954">
        <v>6400</v>
      </c>
      <c r="J626" s="954">
        <v>6400</v>
      </c>
      <c r="K626" s="370" t="s">
        <v>808</v>
      </c>
      <c r="L626" s="370"/>
      <c r="M626" s="401" t="s">
        <v>17</v>
      </c>
      <c r="N626" s="401"/>
      <c r="O626" s="401"/>
      <c r="P626" s="401">
        <v>80</v>
      </c>
      <c r="Q626" s="401">
        <v>90</v>
      </c>
      <c r="R626" s="401">
        <v>100</v>
      </c>
    </row>
    <row r="627" spans="1:18" ht="38.25" x14ac:dyDescent="0.2">
      <c r="B627" s="367"/>
      <c r="C627" s="368">
        <v>6</v>
      </c>
      <c r="D627" s="380"/>
      <c r="E627" s="373" t="s">
        <v>821</v>
      </c>
      <c r="F627" s="954">
        <v>0</v>
      </c>
      <c r="G627" s="954">
        <v>0</v>
      </c>
      <c r="H627" s="954">
        <v>8946</v>
      </c>
      <c r="I627" s="956">
        <v>8946</v>
      </c>
      <c r="J627" s="956">
        <v>8946</v>
      </c>
      <c r="K627" s="378" t="s">
        <v>822</v>
      </c>
      <c r="L627" s="378"/>
      <c r="M627" s="401" t="s">
        <v>17</v>
      </c>
      <c r="N627" s="401"/>
      <c r="O627" s="401"/>
      <c r="P627" s="401">
        <v>100</v>
      </c>
      <c r="Q627" s="401">
        <v>100</v>
      </c>
      <c r="R627" s="401">
        <v>100</v>
      </c>
    </row>
    <row r="628" spans="1:18" ht="38.25" x14ac:dyDescent="0.2">
      <c r="B628" s="381" t="s">
        <v>169</v>
      </c>
      <c r="C628" s="382"/>
      <c r="D628" s="382"/>
      <c r="E628" s="383" t="s">
        <v>2443</v>
      </c>
      <c r="F628" s="955">
        <v>85203.299999999988</v>
      </c>
      <c r="G628" s="955">
        <v>85622.900000000009</v>
      </c>
      <c r="H628" s="955">
        <f>SUM(H629:H631)</f>
        <v>92471.3</v>
      </c>
      <c r="I628" s="955">
        <v>94323.5</v>
      </c>
      <c r="J628" s="955">
        <v>95116.9</v>
      </c>
      <c r="K628" s="378" t="s">
        <v>823</v>
      </c>
      <c r="L628" s="378"/>
      <c r="M628" s="401" t="s">
        <v>17</v>
      </c>
      <c r="N628" s="546"/>
      <c r="O628" s="546"/>
      <c r="P628" s="546"/>
      <c r="Q628" s="546"/>
      <c r="R628" s="546"/>
    </row>
    <row r="629" spans="1:18" ht="25.5" x14ac:dyDescent="0.2">
      <c r="B629" s="381"/>
      <c r="C629" s="382" t="s">
        <v>123</v>
      </c>
      <c r="D629" s="382"/>
      <c r="E629" s="384" t="s">
        <v>824</v>
      </c>
      <c r="F629" s="954">
        <v>62367</v>
      </c>
      <c r="G629" s="954">
        <v>60886</v>
      </c>
      <c r="H629" s="954">
        <f>57967.5+1118.5+80+100+420+400+1200+700+3960.2+1175.3+400+3266.8+412.4+6436</f>
        <v>77636.7</v>
      </c>
      <c r="I629" s="956">
        <v>79060.600000000006</v>
      </c>
      <c r="J629" s="956">
        <v>79003</v>
      </c>
      <c r="K629" s="378" t="s">
        <v>825</v>
      </c>
      <c r="L629" s="378"/>
      <c r="M629" s="401" t="s">
        <v>17</v>
      </c>
      <c r="N629" s="607">
        <v>80</v>
      </c>
      <c r="O629" s="607">
        <v>90</v>
      </c>
      <c r="P629" s="607">
        <v>100</v>
      </c>
      <c r="Q629" s="607">
        <v>100</v>
      </c>
      <c r="R629" s="607">
        <v>100</v>
      </c>
    </row>
    <row r="630" spans="1:18" ht="25.5" x14ac:dyDescent="0.2">
      <c r="B630" s="381"/>
      <c r="C630" s="382" t="s">
        <v>125</v>
      </c>
      <c r="D630" s="382"/>
      <c r="E630" s="384" t="s">
        <v>826</v>
      </c>
      <c r="F630" s="954">
        <v>19006.400000000001</v>
      </c>
      <c r="G630" s="954">
        <v>20670.099999999999</v>
      </c>
      <c r="H630" s="954">
        <f>14834.6</f>
        <v>14834.6</v>
      </c>
      <c r="I630" s="956">
        <v>15262.9</v>
      </c>
      <c r="J630" s="956">
        <v>16113.9</v>
      </c>
      <c r="K630" s="378" t="s">
        <v>810</v>
      </c>
      <c r="L630" s="378"/>
      <c r="M630" s="401" t="s">
        <v>17</v>
      </c>
      <c r="N630" s="401">
        <v>70</v>
      </c>
      <c r="O630" s="401">
        <v>80</v>
      </c>
      <c r="P630" s="401">
        <v>90</v>
      </c>
      <c r="Q630" s="401">
        <v>90</v>
      </c>
      <c r="R630" s="401">
        <v>90</v>
      </c>
    </row>
    <row r="631" spans="1:18" ht="25.5" x14ac:dyDescent="0.2">
      <c r="B631" s="381"/>
      <c r="C631" s="382" t="s">
        <v>127</v>
      </c>
      <c r="D631" s="382"/>
      <c r="E631" s="385" t="s">
        <v>827</v>
      </c>
      <c r="F631" s="954">
        <v>3829.9</v>
      </c>
      <c r="G631" s="954">
        <v>4066.7999999999997</v>
      </c>
      <c r="H631" s="954">
        <v>0</v>
      </c>
      <c r="I631" s="956"/>
      <c r="J631" s="956"/>
      <c r="K631" s="378" t="s">
        <v>808</v>
      </c>
      <c r="L631" s="378"/>
      <c r="M631" s="401" t="s">
        <v>17</v>
      </c>
      <c r="N631" s="607">
        <v>50</v>
      </c>
      <c r="O631" s="607">
        <v>60</v>
      </c>
      <c r="P631" s="607">
        <v>0</v>
      </c>
      <c r="Q631" s="607">
        <v>0</v>
      </c>
      <c r="R631" s="607">
        <v>0</v>
      </c>
    </row>
    <row r="632" spans="1:18" ht="45.75" customHeight="1" x14ac:dyDescent="0.2">
      <c r="B632" s="381" t="s">
        <v>241</v>
      </c>
      <c r="C632" s="382"/>
      <c r="D632" s="382"/>
      <c r="E632" s="383" t="s">
        <v>828</v>
      </c>
      <c r="F632" s="955">
        <v>6344.8</v>
      </c>
      <c r="G632" s="955">
        <v>6170.6</v>
      </c>
      <c r="H632" s="955">
        <f>SUM(H633:H635)</f>
        <v>7545</v>
      </c>
      <c r="I632" s="955">
        <v>7736.5</v>
      </c>
      <c r="J632" s="955">
        <v>7860.4000000000005</v>
      </c>
      <c r="K632" s="378" t="s">
        <v>829</v>
      </c>
      <c r="L632" s="378"/>
      <c r="M632" s="401" t="s">
        <v>17</v>
      </c>
      <c r="N632" s="546"/>
      <c r="O632" s="546"/>
      <c r="P632" s="546"/>
      <c r="Q632" s="546"/>
      <c r="R632" s="546"/>
    </row>
    <row r="633" spans="1:18" ht="25.5" x14ac:dyDescent="0.2">
      <c r="B633" s="381"/>
      <c r="C633" s="382" t="s">
        <v>123</v>
      </c>
      <c r="D633" s="382"/>
      <c r="E633" s="384" t="s">
        <v>830</v>
      </c>
      <c r="F633" s="954">
        <v>3292.1</v>
      </c>
      <c r="G633" s="954">
        <v>5550</v>
      </c>
      <c r="H633" s="954">
        <f>4744.5+805.5+620.6+1374.4</f>
        <v>7545</v>
      </c>
      <c r="I633" s="954">
        <v>7736.5</v>
      </c>
      <c r="J633" s="954">
        <v>7860.4000000000005</v>
      </c>
      <c r="K633" s="378" t="s">
        <v>831</v>
      </c>
      <c r="L633" s="378"/>
      <c r="M633" s="401" t="s">
        <v>17</v>
      </c>
      <c r="N633" s="607">
        <v>80</v>
      </c>
      <c r="O633" s="607">
        <v>90</v>
      </c>
      <c r="P633" s="607">
        <v>100</v>
      </c>
      <c r="Q633" s="607">
        <v>100</v>
      </c>
      <c r="R633" s="607">
        <v>100</v>
      </c>
    </row>
    <row r="634" spans="1:18" ht="25.5" x14ac:dyDescent="0.2">
      <c r="B634" s="381"/>
      <c r="C634" s="382" t="s">
        <v>125</v>
      </c>
      <c r="D634" s="382"/>
      <c r="E634" s="384" t="s">
        <v>832</v>
      </c>
      <c r="F634" s="954">
        <v>1133.5</v>
      </c>
      <c r="G634" s="954">
        <v>620.6</v>
      </c>
      <c r="H634" s="954">
        <v>0</v>
      </c>
      <c r="I634" s="954"/>
      <c r="J634" s="954"/>
      <c r="K634" s="378" t="s">
        <v>833</v>
      </c>
      <c r="L634" s="378"/>
      <c r="M634" s="401" t="s">
        <v>17</v>
      </c>
      <c r="N634" s="607">
        <v>70</v>
      </c>
      <c r="O634" s="607">
        <v>80</v>
      </c>
      <c r="P634" s="607">
        <v>0</v>
      </c>
      <c r="Q634" s="607">
        <v>0</v>
      </c>
      <c r="R634" s="607">
        <v>0</v>
      </c>
    </row>
    <row r="635" spans="1:18" ht="25.5" x14ac:dyDescent="0.2">
      <c r="B635" s="381"/>
      <c r="C635" s="382" t="s">
        <v>127</v>
      </c>
      <c r="D635" s="382"/>
      <c r="E635" s="385" t="s">
        <v>834</v>
      </c>
      <c r="F635" s="954">
        <v>1919.2</v>
      </c>
      <c r="G635" s="954">
        <v>0</v>
      </c>
      <c r="H635" s="954">
        <v>0</v>
      </c>
      <c r="I635" s="954"/>
      <c r="J635" s="954"/>
      <c r="K635" s="378" t="s">
        <v>835</v>
      </c>
      <c r="L635" s="378"/>
      <c r="M635" s="401" t="s">
        <v>17</v>
      </c>
      <c r="N635" s="607">
        <v>60</v>
      </c>
      <c r="O635" s="607">
        <v>70</v>
      </c>
      <c r="P635" s="607">
        <v>0</v>
      </c>
      <c r="Q635" s="607">
        <v>0</v>
      </c>
      <c r="R635" s="607">
        <v>0</v>
      </c>
    </row>
    <row r="636" spans="1:18" ht="27.75" customHeight="1" x14ac:dyDescent="0.2">
      <c r="B636" s="1892" t="s">
        <v>766</v>
      </c>
      <c r="C636" s="1893"/>
      <c r="D636" s="1893"/>
      <c r="E636" s="1894"/>
      <c r="F636" s="981">
        <f>F612+F615+F628+F632</f>
        <v>1235128.3000000003</v>
      </c>
      <c r="G636" s="981">
        <f>G612+G615+G628+G632</f>
        <v>1205490.2</v>
      </c>
      <c r="H636" s="981">
        <f>H612+H615+H628+H632+H620</f>
        <v>1339242.9000000001</v>
      </c>
      <c r="I636" s="981">
        <f>I612+I615+I628+I632+I620</f>
        <v>1352754.7999999998</v>
      </c>
      <c r="J636" s="981">
        <f t="shared" ref="J636" si="21">J612+J615+J628+J632+J620</f>
        <v>1365690.3999999997</v>
      </c>
      <c r="K636" s="707"/>
      <c r="L636" s="707"/>
      <c r="M636" s="1009"/>
      <c r="N636" s="386"/>
      <c r="O636" s="386"/>
      <c r="P636" s="386"/>
      <c r="Q636" s="386"/>
      <c r="R636" s="387"/>
    </row>
    <row r="637" spans="1:18" s="17" customFormat="1" ht="54.75" customHeight="1" x14ac:dyDescent="0.2">
      <c r="B637" s="1961" t="s">
        <v>836</v>
      </c>
      <c r="C637" s="1962"/>
      <c r="D637" s="1962"/>
      <c r="E637" s="1962"/>
      <c r="F637" s="982"/>
      <c r="G637" s="982"/>
      <c r="H637" s="982"/>
      <c r="I637" s="982"/>
      <c r="J637" s="982"/>
      <c r="K637" s="191"/>
      <c r="L637" s="191"/>
      <c r="M637" s="997"/>
      <c r="N637" s="191"/>
      <c r="O637" s="191"/>
      <c r="P637" s="191"/>
      <c r="Q637" s="191"/>
      <c r="R637" s="192"/>
    </row>
    <row r="638" spans="1:18" s="20" customFormat="1" ht="51" x14ac:dyDescent="0.2">
      <c r="A638" s="131"/>
      <c r="B638" s="53">
        <v>1</v>
      </c>
      <c r="C638" s="388"/>
      <c r="D638" s="388">
        <v>0</v>
      </c>
      <c r="E638" s="389" t="s">
        <v>2473</v>
      </c>
      <c r="F638" s="957">
        <v>216296.8</v>
      </c>
      <c r="G638" s="957">
        <v>194296.8</v>
      </c>
      <c r="H638" s="957">
        <v>184491.2</v>
      </c>
      <c r="I638" s="957">
        <v>186302.6</v>
      </c>
      <c r="J638" s="957">
        <v>188136.4</v>
      </c>
      <c r="K638" s="390" t="s">
        <v>16</v>
      </c>
      <c r="L638" s="391"/>
      <c r="M638" s="392" t="s">
        <v>17</v>
      </c>
      <c r="N638" s="392"/>
      <c r="O638" s="392"/>
      <c r="P638" s="392"/>
      <c r="Q638" s="392"/>
      <c r="R638" s="393"/>
    </row>
    <row r="639" spans="1:18" s="20" customFormat="1" ht="63.75" x14ac:dyDescent="0.2">
      <c r="A639" s="131"/>
      <c r="B639" s="53"/>
      <c r="C639" s="303">
        <v>1</v>
      </c>
      <c r="D639" s="394">
        <v>0</v>
      </c>
      <c r="E639" s="185" t="s">
        <v>837</v>
      </c>
      <c r="F639" s="928">
        <v>95071.9</v>
      </c>
      <c r="G639" s="928">
        <v>86893.2</v>
      </c>
      <c r="H639" s="928">
        <v>61498.2</v>
      </c>
      <c r="I639" s="928">
        <v>63309.599999999999</v>
      </c>
      <c r="J639" s="928">
        <v>65143.4</v>
      </c>
      <c r="K639" s="396" t="s">
        <v>2444</v>
      </c>
      <c r="L639" s="396"/>
      <c r="M639" s="395" t="s">
        <v>20</v>
      </c>
      <c r="N639" s="397" t="s">
        <v>838</v>
      </c>
      <c r="O639" s="397" t="s">
        <v>839</v>
      </c>
      <c r="P639" s="397" t="s">
        <v>840</v>
      </c>
      <c r="Q639" s="397" t="s">
        <v>840</v>
      </c>
      <c r="R639" s="398" t="s">
        <v>841</v>
      </c>
    </row>
    <row r="640" spans="1:18" s="20" customFormat="1" ht="24.75" customHeight="1" x14ac:dyDescent="0.2">
      <c r="A640" s="131"/>
      <c r="B640" s="53"/>
      <c r="C640" s="303">
        <v>2</v>
      </c>
      <c r="D640" s="394">
        <v>0</v>
      </c>
      <c r="E640" s="399" t="s">
        <v>842</v>
      </c>
      <c r="F640" s="928">
        <v>70631</v>
      </c>
      <c r="G640" s="928">
        <v>60951.3</v>
      </c>
      <c r="H640" s="928">
        <v>61497</v>
      </c>
      <c r="I640" s="928">
        <v>61497</v>
      </c>
      <c r="J640" s="928">
        <v>61497</v>
      </c>
      <c r="K640" s="400" t="s">
        <v>843</v>
      </c>
      <c r="L640" s="400"/>
      <c r="M640" s="395" t="s">
        <v>17</v>
      </c>
      <c r="N640" s="395">
        <v>24905</v>
      </c>
      <c r="O640" s="395">
        <v>12500</v>
      </c>
      <c r="P640" s="395">
        <v>12500</v>
      </c>
      <c r="Q640" s="395">
        <v>12000</v>
      </c>
      <c r="R640" s="401">
        <v>12000</v>
      </c>
    </row>
    <row r="641" spans="1:18" s="20" customFormat="1" ht="51" x14ac:dyDescent="0.2">
      <c r="A641" s="131"/>
      <c r="B641" s="53"/>
      <c r="C641" s="303">
        <v>3</v>
      </c>
      <c r="D641" s="394">
        <v>0</v>
      </c>
      <c r="E641" s="399" t="s">
        <v>844</v>
      </c>
      <c r="F641" s="928">
        <v>50593.9</v>
      </c>
      <c r="G641" s="928">
        <v>46452.3</v>
      </c>
      <c r="H641" s="928">
        <v>61496</v>
      </c>
      <c r="I641" s="928">
        <v>61496</v>
      </c>
      <c r="J641" s="928">
        <v>61496</v>
      </c>
      <c r="K641" s="400" t="s">
        <v>2445</v>
      </c>
      <c r="L641" s="400"/>
      <c r="M641" s="395" t="s">
        <v>17</v>
      </c>
      <c r="N641" s="395">
        <v>12299</v>
      </c>
      <c r="O641" s="395">
        <v>95000</v>
      </c>
      <c r="P641" s="395">
        <v>11000</v>
      </c>
      <c r="Q641" s="395">
        <v>12000</v>
      </c>
      <c r="R641" s="401">
        <v>12500</v>
      </c>
    </row>
    <row r="642" spans="1:18" ht="39" customHeight="1" x14ac:dyDescent="0.2">
      <c r="B642" s="1892" t="s">
        <v>766</v>
      </c>
      <c r="C642" s="2309"/>
      <c r="D642" s="2309"/>
      <c r="E642" s="2310"/>
      <c r="F642" s="943">
        <v>216296.8</v>
      </c>
      <c r="G642" s="943">
        <v>194296.8</v>
      </c>
      <c r="H642" s="943">
        <v>184491.2</v>
      </c>
      <c r="I642" s="943">
        <v>186302.6</v>
      </c>
      <c r="J642" s="943">
        <v>188136.4</v>
      </c>
      <c r="K642" s="789"/>
      <c r="L642" s="789"/>
      <c r="M642" s="104"/>
      <c r="N642" s="113"/>
      <c r="O642" s="113"/>
      <c r="P642" s="113"/>
      <c r="Q642" s="113"/>
      <c r="R642" s="402"/>
    </row>
    <row r="643" spans="1:18" s="17" customFormat="1" ht="19.5" customHeight="1" x14ac:dyDescent="0.2">
      <c r="B643" s="403" t="s">
        <v>845</v>
      </c>
      <c r="C643" s="403"/>
      <c r="D643" s="403"/>
      <c r="E643" s="403"/>
      <c r="F643" s="983"/>
      <c r="G643" s="983"/>
      <c r="H643" s="983"/>
      <c r="I643" s="983"/>
      <c r="J643" s="983"/>
      <c r="K643" s="403"/>
      <c r="L643" s="403"/>
      <c r="M643" s="1010"/>
      <c r="N643" s="403"/>
      <c r="O643" s="403"/>
      <c r="P643" s="403"/>
      <c r="Q643" s="403"/>
      <c r="R643" s="404"/>
    </row>
    <row r="644" spans="1:18" s="20" customFormat="1" ht="214.5" customHeight="1" x14ac:dyDescent="0.2">
      <c r="A644" s="234"/>
      <c r="B644" s="890" t="s">
        <v>120</v>
      </c>
      <c r="C644" s="889"/>
      <c r="D644" s="879"/>
      <c r="E644" s="405" t="s">
        <v>2446</v>
      </c>
      <c r="F644" s="984">
        <f>F645</f>
        <v>354741.39999999997</v>
      </c>
      <c r="G644" s="984">
        <f t="shared" ref="G644:J644" si="22">G645</f>
        <v>549406.19999999995</v>
      </c>
      <c r="H644" s="984">
        <f t="shared" si="22"/>
        <v>610977.19999999995</v>
      </c>
      <c r="I644" s="984">
        <f t="shared" si="22"/>
        <v>592079.473</v>
      </c>
      <c r="J644" s="984">
        <f t="shared" si="22"/>
        <v>598000.26772999996</v>
      </c>
      <c r="K644" s="406" t="s">
        <v>846</v>
      </c>
      <c r="L644" s="407"/>
      <c r="M644" s="408"/>
      <c r="N644" s="408"/>
      <c r="O644" s="409" t="s">
        <v>847</v>
      </c>
      <c r="P644" s="409" t="s">
        <v>848</v>
      </c>
      <c r="Q644" s="409" t="s">
        <v>849</v>
      </c>
      <c r="R644" s="409" t="s">
        <v>2479</v>
      </c>
    </row>
    <row r="645" spans="1:18" s="20" customFormat="1" ht="46.5" customHeight="1" x14ac:dyDescent="0.2">
      <c r="A645" s="234"/>
      <c r="B645" s="1888"/>
      <c r="C645" s="1941" t="s">
        <v>123</v>
      </c>
      <c r="D645" s="1944">
        <v>1</v>
      </c>
      <c r="E645" s="1896" t="s">
        <v>850</v>
      </c>
      <c r="F645" s="1596">
        <v>354741.39999999997</v>
      </c>
      <c r="G645" s="1596">
        <v>549406.19999999995</v>
      </c>
      <c r="H645" s="1596">
        <v>610977.19999999995</v>
      </c>
      <c r="I645" s="1596">
        <v>592079.473</v>
      </c>
      <c r="J645" s="1596">
        <v>598000.26772999996</v>
      </c>
      <c r="K645" s="410" t="s">
        <v>851</v>
      </c>
      <c r="L645" s="407"/>
      <c r="M645" s="336"/>
      <c r="N645" s="336"/>
      <c r="O645" s="411" t="s">
        <v>852</v>
      </c>
      <c r="P645" s="409" t="s">
        <v>853</v>
      </c>
      <c r="Q645" s="411" t="s">
        <v>854</v>
      </c>
      <c r="R645" s="409" t="s">
        <v>854</v>
      </c>
    </row>
    <row r="646" spans="1:18" s="20" customFormat="1" ht="48.75" customHeight="1" x14ac:dyDescent="0.2">
      <c r="A646" s="234"/>
      <c r="B646" s="1895"/>
      <c r="C646" s="1942"/>
      <c r="D646" s="1944"/>
      <c r="E646" s="1862"/>
      <c r="F646" s="1600"/>
      <c r="G646" s="1600"/>
      <c r="H646" s="1600"/>
      <c r="I646" s="1600"/>
      <c r="J646" s="1600"/>
      <c r="K646" s="406" t="s">
        <v>855</v>
      </c>
      <c r="L646" s="407"/>
      <c r="M646" s="408" t="s">
        <v>17</v>
      </c>
      <c r="N646" s="408"/>
      <c r="O646" s="409">
        <v>94.3</v>
      </c>
      <c r="P646" s="409">
        <v>100</v>
      </c>
      <c r="Q646" s="409">
        <v>100</v>
      </c>
      <c r="R646" s="409">
        <v>100</v>
      </c>
    </row>
    <row r="647" spans="1:18" s="20" customFormat="1" ht="39.75" customHeight="1" x14ac:dyDescent="0.2">
      <c r="A647" s="234"/>
      <c r="B647" s="1895"/>
      <c r="C647" s="1942"/>
      <c r="D647" s="1944"/>
      <c r="E647" s="1862"/>
      <c r="F647" s="1600"/>
      <c r="G647" s="1600"/>
      <c r="H647" s="1600"/>
      <c r="I647" s="1600"/>
      <c r="J647" s="1600"/>
      <c r="K647" s="807" t="s">
        <v>856</v>
      </c>
      <c r="L647" s="407"/>
      <c r="M647" s="336"/>
      <c r="N647" s="336"/>
      <c r="O647" s="409" t="s">
        <v>857</v>
      </c>
      <c r="P647" s="411" t="s">
        <v>858</v>
      </c>
      <c r="Q647" s="411" t="s">
        <v>859</v>
      </c>
      <c r="R647" s="409" t="s">
        <v>2480</v>
      </c>
    </row>
    <row r="648" spans="1:18" s="20" customFormat="1" ht="60.75" customHeight="1" x14ac:dyDescent="0.2">
      <c r="A648" s="234"/>
      <c r="B648" s="1895"/>
      <c r="C648" s="1942"/>
      <c r="D648" s="1944"/>
      <c r="E648" s="1862"/>
      <c r="F648" s="1600"/>
      <c r="G648" s="1600"/>
      <c r="H648" s="1600"/>
      <c r="I648" s="1600"/>
      <c r="J648" s="1600"/>
      <c r="K648" s="807" t="s">
        <v>860</v>
      </c>
      <c r="L648" s="407"/>
      <c r="M648" s="336"/>
      <c r="N648" s="336"/>
      <c r="O648" s="411"/>
      <c r="P648" s="411">
        <v>2</v>
      </c>
      <c r="Q648" s="411">
        <v>3</v>
      </c>
      <c r="R648" s="409">
        <v>5</v>
      </c>
    </row>
    <row r="649" spans="1:18" s="20" customFormat="1" ht="60" customHeight="1" x14ac:dyDescent="0.2">
      <c r="A649" s="234"/>
      <c r="B649" s="1895"/>
      <c r="C649" s="1942"/>
      <c r="D649" s="1944"/>
      <c r="E649" s="1862"/>
      <c r="F649" s="1600"/>
      <c r="G649" s="1600"/>
      <c r="H649" s="1600"/>
      <c r="I649" s="1600"/>
      <c r="J649" s="1600"/>
      <c r="K649" s="807" t="s">
        <v>861</v>
      </c>
      <c r="L649" s="407"/>
      <c r="M649" s="336"/>
      <c r="N649" s="336"/>
      <c r="O649" s="409" t="s">
        <v>862</v>
      </c>
      <c r="P649" s="409" t="s">
        <v>863</v>
      </c>
      <c r="Q649" s="409" t="s">
        <v>864</v>
      </c>
      <c r="R649" s="409" t="s">
        <v>2481</v>
      </c>
    </row>
    <row r="650" spans="1:18" s="20" customFormat="1" ht="65.25" customHeight="1" x14ac:dyDescent="0.2">
      <c r="A650" s="234"/>
      <c r="B650" s="1895"/>
      <c r="C650" s="1942"/>
      <c r="D650" s="1944"/>
      <c r="E650" s="1862"/>
      <c r="F650" s="1600"/>
      <c r="G650" s="1600"/>
      <c r="H650" s="1600"/>
      <c r="I650" s="1600"/>
      <c r="J650" s="1600"/>
      <c r="K650" s="412" t="s">
        <v>865</v>
      </c>
      <c r="L650" s="407"/>
      <c r="M650" s="408" t="s">
        <v>17</v>
      </c>
      <c r="N650" s="412"/>
      <c r="O650" s="412" t="s">
        <v>866</v>
      </c>
      <c r="P650" s="412" t="s">
        <v>867</v>
      </c>
      <c r="Q650" s="412" t="s">
        <v>868</v>
      </c>
      <c r="R650" s="409" t="s">
        <v>868</v>
      </c>
    </row>
    <row r="651" spans="1:18" s="20" customFormat="1" ht="36.75" customHeight="1" x14ac:dyDescent="0.2">
      <c r="A651" s="234"/>
      <c r="B651" s="1895"/>
      <c r="C651" s="1942"/>
      <c r="D651" s="1944"/>
      <c r="E651" s="1862"/>
      <c r="F651" s="1600"/>
      <c r="G651" s="1600"/>
      <c r="H651" s="1600"/>
      <c r="I651" s="1600"/>
      <c r="J651" s="1600"/>
      <c r="K651" s="406" t="s">
        <v>869</v>
      </c>
      <c r="L651" s="407"/>
      <c r="M651" s="408" t="s">
        <v>130</v>
      </c>
      <c r="N651" s="408"/>
      <c r="O651" s="413">
        <v>99</v>
      </c>
      <c r="P651" s="413">
        <v>100</v>
      </c>
      <c r="Q651" s="413">
        <v>100</v>
      </c>
      <c r="R651" s="409">
        <v>100</v>
      </c>
    </row>
    <row r="652" spans="1:18" s="20" customFormat="1" ht="242.25" x14ac:dyDescent="0.2">
      <c r="A652" s="234"/>
      <c r="B652" s="1889"/>
      <c r="C652" s="1943"/>
      <c r="D652" s="1944"/>
      <c r="E652" s="1859"/>
      <c r="F652" s="1601"/>
      <c r="G652" s="1601"/>
      <c r="H652" s="1601"/>
      <c r="I652" s="1601"/>
      <c r="J652" s="1601"/>
      <c r="K652" s="807" t="s">
        <v>870</v>
      </c>
      <c r="L652" s="407"/>
      <c r="M652" s="336"/>
      <c r="N652" s="336"/>
      <c r="O652" s="411"/>
      <c r="P652" s="409" t="s">
        <v>871</v>
      </c>
      <c r="Q652" s="409" t="s">
        <v>872</v>
      </c>
      <c r="R652" s="409" t="s">
        <v>2482</v>
      </c>
    </row>
    <row r="653" spans="1:18" s="20" customFormat="1" ht="94.5" customHeight="1" x14ac:dyDescent="0.2">
      <c r="A653" s="234"/>
      <c r="B653" s="593" t="s">
        <v>138</v>
      </c>
      <c r="C653" s="878"/>
      <c r="D653" s="879"/>
      <c r="E653" s="414" t="s">
        <v>2478</v>
      </c>
      <c r="F653" s="959">
        <f>F654+F657</f>
        <v>3063125</v>
      </c>
      <c r="G653" s="959">
        <f t="shared" ref="G653:J653" si="23">G654+G657</f>
        <v>3498661.2</v>
      </c>
      <c r="H653" s="959">
        <f t="shared" si="23"/>
        <v>3584491.2</v>
      </c>
      <c r="I653" s="959">
        <f t="shared" si="23"/>
        <v>3856086.1120000002</v>
      </c>
      <c r="J653" s="959">
        <f t="shared" si="23"/>
        <v>3897830.9731200002</v>
      </c>
      <c r="K653" s="410" t="s">
        <v>2447</v>
      </c>
      <c r="L653" s="407"/>
      <c r="M653" s="1011" t="s">
        <v>17</v>
      </c>
      <c r="N653" s="415"/>
      <c r="O653" s="411">
        <v>50</v>
      </c>
      <c r="P653" s="411">
        <v>60</v>
      </c>
      <c r="Q653" s="411">
        <v>70</v>
      </c>
      <c r="R653" s="1503">
        <v>80</v>
      </c>
    </row>
    <row r="654" spans="1:18" s="20" customFormat="1" ht="52.5" customHeight="1" x14ac:dyDescent="0.2">
      <c r="A654" s="234"/>
      <c r="B654" s="1888"/>
      <c r="C654" s="1885" t="s">
        <v>123</v>
      </c>
      <c r="D654" s="1944">
        <v>1</v>
      </c>
      <c r="E654" s="1886" t="s">
        <v>873</v>
      </c>
      <c r="F654" s="1884">
        <v>3063125</v>
      </c>
      <c r="G654" s="1884">
        <v>3498661.2</v>
      </c>
      <c r="H654" s="1884">
        <v>3499491.2</v>
      </c>
      <c r="I654" s="1884">
        <v>3534486.1120000002</v>
      </c>
      <c r="J654" s="1884">
        <v>3569830.9731200002</v>
      </c>
      <c r="K654" s="410" t="s">
        <v>874</v>
      </c>
      <c r="L654" s="407"/>
      <c r="M654" s="408" t="s">
        <v>17</v>
      </c>
      <c r="N654" s="408"/>
      <c r="O654" s="416">
        <v>4</v>
      </c>
      <c r="P654" s="416">
        <v>4.5</v>
      </c>
      <c r="Q654" s="416">
        <v>5</v>
      </c>
      <c r="R654" s="416">
        <v>6</v>
      </c>
    </row>
    <row r="655" spans="1:18" s="20" customFormat="1" ht="42" customHeight="1" x14ac:dyDescent="0.2">
      <c r="A655" s="234"/>
      <c r="B655" s="1895"/>
      <c r="C655" s="1885"/>
      <c r="D655" s="1944"/>
      <c r="E655" s="1862"/>
      <c r="F655" s="1600"/>
      <c r="G655" s="1600"/>
      <c r="H655" s="1600"/>
      <c r="I655" s="1600"/>
      <c r="J655" s="1600"/>
      <c r="K655" s="410" t="s">
        <v>875</v>
      </c>
      <c r="L655" s="407"/>
      <c r="M655" s="408" t="s">
        <v>17</v>
      </c>
      <c r="N655" s="408"/>
      <c r="O655" s="409">
        <v>82</v>
      </c>
      <c r="P655" s="409">
        <v>85</v>
      </c>
      <c r="Q655" s="409">
        <v>87</v>
      </c>
      <c r="R655" s="409">
        <v>90</v>
      </c>
    </row>
    <row r="656" spans="1:18" s="20" customFormat="1" ht="42" customHeight="1" x14ac:dyDescent="0.2">
      <c r="A656" s="234"/>
      <c r="B656" s="1889"/>
      <c r="C656" s="1885"/>
      <c r="D656" s="1944"/>
      <c r="E656" s="1859"/>
      <c r="F656" s="1601"/>
      <c r="G656" s="1601"/>
      <c r="H656" s="1601"/>
      <c r="I656" s="1601"/>
      <c r="J656" s="1601"/>
      <c r="K656" s="410" t="s">
        <v>876</v>
      </c>
      <c r="L656" s="407"/>
      <c r="M656" s="408" t="s">
        <v>17</v>
      </c>
      <c r="N656" s="408"/>
      <c r="O656" s="409">
        <v>9</v>
      </c>
      <c r="P656" s="409">
        <v>9.1999999999999993</v>
      </c>
      <c r="Q656" s="409">
        <v>9.4</v>
      </c>
      <c r="R656" s="409">
        <v>9.6</v>
      </c>
    </row>
    <row r="657" spans="1:18" s="20" customFormat="1" ht="105" customHeight="1" x14ac:dyDescent="0.2">
      <c r="A657" s="234"/>
      <c r="B657" s="1888"/>
      <c r="C657" s="1885" t="s">
        <v>125</v>
      </c>
      <c r="D657" s="1944">
        <v>2</v>
      </c>
      <c r="E657" s="1886" t="s">
        <v>877</v>
      </c>
      <c r="F657" s="1884"/>
      <c r="G657" s="1884"/>
      <c r="H657" s="1884">
        <v>85000</v>
      </c>
      <c r="I657" s="1884">
        <v>321600</v>
      </c>
      <c r="J657" s="1884">
        <v>328000</v>
      </c>
      <c r="K657" s="406" t="s">
        <v>878</v>
      </c>
      <c r="L657" s="407"/>
      <c r="M657" s="408"/>
      <c r="N657" s="406"/>
      <c r="O657" s="406"/>
      <c r="P657" s="406" t="s">
        <v>879</v>
      </c>
      <c r="Q657" s="406" t="s">
        <v>880</v>
      </c>
      <c r="R657" s="406" t="s">
        <v>880</v>
      </c>
    </row>
    <row r="658" spans="1:18" s="20" customFormat="1" ht="89.25" x14ac:dyDescent="0.2">
      <c r="A658" s="234"/>
      <c r="B658" s="1889"/>
      <c r="C658" s="1885"/>
      <c r="D658" s="1944"/>
      <c r="E658" s="1859"/>
      <c r="F658" s="1601"/>
      <c r="G658" s="1601"/>
      <c r="H658" s="1601"/>
      <c r="I658" s="1601"/>
      <c r="J658" s="1601"/>
      <c r="K658" s="406" t="s">
        <v>881</v>
      </c>
      <c r="L658" s="407"/>
      <c r="M658" s="695"/>
      <c r="N658" s="418"/>
      <c r="O658" s="406" t="s">
        <v>882</v>
      </c>
      <c r="P658" s="406" t="s">
        <v>2448</v>
      </c>
      <c r="Q658" s="409" t="s">
        <v>883</v>
      </c>
      <c r="R658" s="1504" t="s">
        <v>2483</v>
      </c>
    </row>
    <row r="659" spans="1:18" s="20" customFormat="1" ht="86.25" customHeight="1" x14ac:dyDescent="0.2">
      <c r="A659" s="234"/>
      <c r="B659" s="593" t="s">
        <v>161</v>
      </c>
      <c r="C659" s="880"/>
      <c r="D659" s="881"/>
      <c r="E659" s="419" t="s">
        <v>2474</v>
      </c>
      <c r="F659" s="985">
        <f>F660+F665</f>
        <v>17881266.199999999</v>
      </c>
      <c r="G659" s="985">
        <f t="shared" ref="G659:J659" si="24">G660+G665</f>
        <v>22399133.199999999</v>
      </c>
      <c r="H659" s="985">
        <f t="shared" si="24"/>
        <v>22884406.100000001</v>
      </c>
      <c r="I659" s="985">
        <f t="shared" si="24"/>
        <v>22810812.469999999</v>
      </c>
      <c r="J659" s="985">
        <f t="shared" si="24"/>
        <v>23042104.594699997</v>
      </c>
      <c r="K659" s="406" t="s">
        <v>884</v>
      </c>
      <c r="L659" s="407"/>
      <c r="M659" s="408" t="s">
        <v>17</v>
      </c>
      <c r="N659" s="408"/>
      <c r="O659" s="409">
        <v>98.8</v>
      </c>
      <c r="P659" s="409">
        <v>98.8</v>
      </c>
      <c r="Q659" s="409">
        <v>98.8</v>
      </c>
      <c r="R659" s="1505">
        <v>98.8</v>
      </c>
    </row>
    <row r="660" spans="1:18" s="20" customFormat="1" ht="43.5" customHeight="1" x14ac:dyDescent="0.2">
      <c r="A660" s="234"/>
      <c r="B660" s="1885"/>
      <c r="C660" s="1885" t="s">
        <v>123</v>
      </c>
      <c r="D660" s="1937">
        <v>1</v>
      </c>
      <c r="E660" s="1886" t="s">
        <v>885</v>
      </c>
      <c r="F660" s="1596">
        <v>17784641.699999999</v>
      </c>
      <c r="G660" s="1596">
        <v>22262341.199999999</v>
      </c>
      <c r="H660" s="1596">
        <v>22765406.100000001</v>
      </c>
      <c r="I660" s="1596">
        <v>22489212.469999999</v>
      </c>
      <c r="J660" s="1596">
        <v>22714104.594699997</v>
      </c>
      <c r="K660" s="406" t="s">
        <v>886</v>
      </c>
      <c r="L660" s="407"/>
      <c r="M660" s="408" t="s">
        <v>31</v>
      </c>
      <c r="N660" s="408"/>
      <c r="O660" s="409">
        <v>80</v>
      </c>
      <c r="P660" s="409">
        <v>90</v>
      </c>
      <c r="Q660" s="409">
        <v>95</v>
      </c>
      <c r="R660" s="1506">
        <v>100</v>
      </c>
    </row>
    <row r="661" spans="1:18" s="20" customFormat="1" ht="52.5" customHeight="1" x14ac:dyDescent="0.2">
      <c r="A661" s="234"/>
      <c r="B661" s="1885"/>
      <c r="C661" s="1885"/>
      <c r="D661" s="1937"/>
      <c r="E661" s="1862"/>
      <c r="F661" s="1863"/>
      <c r="G661" s="1863"/>
      <c r="H661" s="1863"/>
      <c r="I661" s="1863"/>
      <c r="J661" s="1863"/>
      <c r="K661" s="406" t="s">
        <v>887</v>
      </c>
      <c r="L661" s="407"/>
      <c r="M661" s="408" t="s">
        <v>17</v>
      </c>
      <c r="N661" s="408"/>
      <c r="O661" s="409">
        <v>21.4</v>
      </c>
      <c r="P661" s="409">
        <v>21.4</v>
      </c>
      <c r="Q661" s="409">
        <v>21.4</v>
      </c>
      <c r="R661" s="1506">
        <v>21.4</v>
      </c>
    </row>
    <row r="662" spans="1:18" s="20" customFormat="1" ht="63" customHeight="1" x14ac:dyDescent="0.2">
      <c r="A662" s="234"/>
      <c r="B662" s="1885"/>
      <c r="C662" s="1885"/>
      <c r="D662" s="1937"/>
      <c r="E662" s="1862"/>
      <c r="F662" s="1863"/>
      <c r="G662" s="1863"/>
      <c r="H662" s="1863"/>
      <c r="I662" s="1863"/>
      <c r="J662" s="1863"/>
      <c r="K662" s="406" t="s">
        <v>888</v>
      </c>
      <c r="L662" s="407"/>
      <c r="M662" s="408" t="s">
        <v>17</v>
      </c>
      <c r="N662" s="408"/>
      <c r="O662" s="409">
        <v>4</v>
      </c>
      <c r="P662" s="409">
        <v>6</v>
      </c>
      <c r="Q662" s="409">
        <v>8</v>
      </c>
      <c r="R662" s="1506">
        <v>10</v>
      </c>
    </row>
    <row r="663" spans="1:18" s="20" customFormat="1" ht="30" customHeight="1" x14ac:dyDescent="0.2">
      <c r="A663" s="234"/>
      <c r="B663" s="1885"/>
      <c r="C663" s="1885"/>
      <c r="D663" s="1937"/>
      <c r="E663" s="1862"/>
      <c r="F663" s="1863"/>
      <c r="G663" s="1863"/>
      <c r="H663" s="1863"/>
      <c r="I663" s="1863"/>
      <c r="J663" s="1863"/>
      <c r="K663" s="422" t="s">
        <v>889</v>
      </c>
      <c r="L663" s="407"/>
      <c r="M663" s="408" t="s">
        <v>17</v>
      </c>
      <c r="N663" s="408"/>
      <c r="O663" s="411">
        <v>65.5</v>
      </c>
      <c r="P663" s="411">
        <v>70</v>
      </c>
      <c r="Q663" s="411">
        <v>75</v>
      </c>
      <c r="R663" s="1503">
        <v>80</v>
      </c>
    </row>
    <row r="664" spans="1:18" s="20" customFormat="1" ht="18.75" customHeight="1" x14ac:dyDescent="0.2">
      <c r="A664" s="234"/>
      <c r="B664" s="1885"/>
      <c r="C664" s="1885"/>
      <c r="D664" s="1937"/>
      <c r="E664" s="1859"/>
      <c r="F664" s="1619"/>
      <c r="G664" s="1619"/>
      <c r="H664" s="1619"/>
      <c r="I664" s="1619"/>
      <c r="J664" s="1619"/>
      <c r="K664" s="406" t="s">
        <v>890</v>
      </c>
      <c r="L664" s="407"/>
      <c r="M664" s="408" t="s">
        <v>225</v>
      </c>
      <c r="N664" s="408"/>
      <c r="O664" s="409">
        <v>123.3</v>
      </c>
      <c r="P664" s="409">
        <v>124</v>
      </c>
      <c r="Q664" s="409">
        <v>125</v>
      </c>
      <c r="R664" s="1506">
        <v>125</v>
      </c>
    </row>
    <row r="665" spans="1:18" s="20" customFormat="1" ht="42" customHeight="1" x14ac:dyDescent="0.2">
      <c r="A665" s="234"/>
      <c r="B665" s="593"/>
      <c r="C665" s="882" t="s">
        <v>125</v>
      </c>
      <c r="D665" s="883">
        <v>2</v>
      </c>
      <c r="E665" s="406" t="s">
        <v>891</v>
      </c>
      <c r="F665" s="986">
        <v>96624.5</v>
      </c>
      <c r="G665" s="986">
        <v>136792</v>
      </c>
      <c r="H665" s="987">
        <v>119000</v>
      </c>
      <c r="I665" s="986">
        <v>321600</v>
      </c>
      <c r="J665" s="986">
        <v>328000</v>
      </c>
      <c r="K665" s="406" t="s">
        <v>892</v>
      </c>
      <c r="L665" s="407"/>
      <c r="M665" s="408" t="s">
        <v>17</v>
      </c>
      <c r="N665" s="408"/>
      <c r="O665" s="423">
        <v>12</v>
      </c>
      <c r="P665" s="423">
        <v>15</v>
      </c>
      <c r="Q665" s="423">
        <v>20</v>
      </c>
      <c r="R665" s="1507">
        <v>20</v>
      </c>
    </row>
    <row r="666" spans="1:18" s="20" customFormat="1" ht="74.25" customHeight="1" x14ac:dyDescent="0.2">
      <c r="A666" s="234"/>
      <c r="B666" s="890" t="s">
        <v>169</v>
      </c>
      <c r="C666" s="884"/>
      <c r="D666" s="885"/>
      <c r="E666" s="425" t="s">
        <v>2475</v>
      </c>
      <c r="F666" s="984">
        <f>F667+F671+F672+F676</f>
        <v>1634830.2</v>
      </c>
      <c r="G666" s="984">
        <f t="shared" ref="G666:J666" si="25">G667+G671+G672+G676</f>
        <v>1905656.0000000002</v>
      </c>
      <c r="H666" s="984">
        <f t="shared" si="25"/>
        <v>1903446.3000000003</v>
      </c>
      <c r="I666" s="984">
        <f t="shared" si="25"/>
        <v>1927830.733</v>
      </c>
      <c r="J666" s="984">
        <f t="shared" si="25"/>
        <v>1947109.0403300002</v>
      </c>
      <c r="K666" s="425"/>
      <c r="L666" s="407"/>
      <c r="M666" s="1011"/>
      <c r="N666" s="425"/>
      <c r="O666" s="425"/>
      <c r="P666" s="425"/>
      <c r="Q666" s="425"/>
      <c r="R666" s="1507"/>
    </row>
    <row r="667" spans="1:18" s="20" customFormat="1" ht="54" customHeight="1" x14ac:dyDescent="0.2">
      <c r="A667" s="234"/>
      <c r="B667" s="593"/>
      <c r="C667" s="886" t="s">
        <v>123</v>
      </c>
      <c r="D667" s="887">
        <v>1</v>
      </c>
      <c r="E667" s="426" t="s">
        <v>893</v>
      </c>
      <c r="F667" s="958">
        <v>1224276</v>
      </c>
      <c r="G667" s="958">
        <v>1414468</v>
      </c>
      <c r="H667" s="958">
        <v>1412170.6</v>
      </c>
      <c r="I667" s="958">
        <v>1420560.5560000001</v>
      </c>
      <c r="J667" s="958">
        <v>1434766.1615600002</v>
      </c>
      <c r="K667" s="427" t="s">
        <v>894</v>
      </c>
      <c r="L667" s="407"/>
      <c r="M667" s="428" t="s">
        <v>17</v>
      </c>
      <c r="N667" s="428"/>
      <c r="O667" s="428">
        <v>10.9</v>
      </c>
      <c r="P667" s="428">
        <v>10.9</v>
      </c>
      <c r="Q667" s="428">
        <v>10.9</v>
      </c>
      <c r="R667" s="428">
        <v>10.9</v>
      </c>
    </row>
    <row r="668" spans="1:18" s="20" customFormat="1" ht="73.5" customHeight="1" x14ac:dyDescent="0.2">
      <c r="A668" s="234"/>
      <c r="B668" s="1888"/>
      <c r="C668" s="1938" t="s">
        <v>125</v>
      </c>
      <c r="D668" s="1939">
        <v>2</v>
      </c>
      <c r="E668" s="1887" t="s">
        <v>895</v>
      </c>
      <c r="F668" s="1890"/>
      <c r="G668" s="1890"/>
      <c r="H668" s="1890"/>
      <c r="I668" s="1890"/>
      <c r="J668" s="1890"/>
      <c r="K668" s="426" t="s">
        <v>896</v>
      </c>
      <c r="L668" s="407"/>
      <c r="M668" s="428" t="s">
        <v>897</v>
      </c>
      <c r="N668" s="428"/>
      <c r="O668" s="429" t="s">
        <v>898</v>
      </c>
      <c r="P668" s="429" t="s">
        <v>899</v>
      </c>
      <c r="Q668" s="429" t="s">
        <v>900</v>
      </c>
      <c r="R668" s="429" t="s">
        <v>2484</v>
      </c>
    </row>
    <row r="669" spans="1:18" s="20" customFormat="1" ht="62.25" customHeight="1" x14ac:dyDescent="0.2">
      <c r="A669" s="234"/>
      <c r="B669" s="1889"/>
      <c r="C669" s="1938"/>
      <c r="D669" s="1939"/>
      <c r="E669" s="1859"/>
      <c r="F669" s="1601"/>
      <c r="G669" s="1601"/>
      <c r="H669" s="1601"/>
      <c r="I669" s="1601"/>
      <c r="J669" s="1601"/>
      <c r="K669" s="426" t="s">
        <v>901</v>
      </c>
      <c r="L669" s="407"/>
      <c r="M669" s="428" t="s">
        <v>17</v>
      </c>
      <c r="N669" s="428"/>
      <c r="O669" s="430">
        <v>50</v>
      </c>
      <c r="P669" s="430">
        <v>52</v>
      </c>
      <c r="Q669" s="430">
        <v>53</v>
      </c>
      <c r="R669" s="430">
        <v>55</v>
      </c>
    </row>
    <row r="670" spans="1:18" s="20" customFormat="1" ht="53.25" customHeight="1" x14ac:dyDescent="0.2">
      <c r="A670" s="234"/>
      <c r="B670" s="593"/>
      <c r="C670" s="886" t="s">
        <v>127</v>
      </c>
      <c r="D670" s="887">
        <v>3</v>
      </c>
      <c r="E670" s="431" t="s">
        <v>902</v>
      </c>
      <c r="F670" s="988"/>
      <c r="G670" s="988"/>
      <c r="H670" s="988"/>
      <c r="I670" s="988"/>
      <c r="J670" s="988"/>
      <c r="K670" s="426" t="s">
        <v>2449</v>
      </c>
      <c r="L670" s="407"/>
      <c r="M670" s="428" t="s">
        <v>897</v>
      </c>
      <c r="N670" s="428"/>
      <c r="O670" s="429">
        <v>12</v>
      </c>
      <c r="P670" s="429">
        <v>14</v>
      </c>
      <c r="Q670" s="429">
        <v>16</v>
      </c>
      <c r="R670" s="429">
        <v>18</v>
      </c>
    </row>
    <row r="671" spans="1:18" s="20" customFormat="1" ht="50.25" customHeight="1" x14ac:dyDescent="0.2">
      <c r="A671" s="234"/>
      <c r="B671" s="593"/>
      <c r="C671" s="886" t="s">
        <v>132</v>
      </c>
      <c r="D671" s="887">
        <v>4</v>
      </c>
      <c r="E671" s="431" t="s">
        <v>903</v>
      </c>
      <c r="F671" s="988">
        <v>9663.9</v>
      </c>
      <c r="G671" s="988">
        <v>11812.3</v>
      </c>
      <c r="H671" s="988">
        <v>11894.6</v>
      </c>
      <c r="I671" s="988">
        <v>11930.422999999999</v>
      </c>
      <c r="J671" s="988">
        <v>12049.727229999999</v>
      </c>
      <c r="K671" s="432" t="s">
        <v>904</v>
      </c>
      <c r="L671" s="407"/>
      <c r="M671" s="428" t="s">
        <v>17</v>
      </c>
      <c r="N671" s="428"/>
      <c r="O671" s="433">
        <v>10</v>
      </c>
      <c r="P671" s="433">
        <v>12</v>
      </c>
      <c r="Q671" s="433">
        <v>12</v>
      </c>
      <c r="R671" s="433">
        <v>15</v>
      </c>
    </row>
    <row r="672" spans="1:18" s="20" customFormat="1" ht="39" customHeight="1" x14ac:dyDescent="0.2">
      <c r="A672" s="234"/>
      <c r="B672" s="1891"/>
      <c r="C672" s="1891" t="s">
        <v>74</v>
      </c>
      <c r="D672" s="1940">
        <v>5</v>
      </c>
      <c r="E672" s="1886" t="s">
        <v>905</v>
      </c>
      <c r="F672" s="1884">
        <v>190686.3</v>
      </c>
      <c r="G672" s="1884">
        <v>257197.1</v>
      </c>
      <c r="H672" s="1884">
        <v>257197.1</v>
      </c>
      <c r="I672" s="1884">
        <v>259769.071</v>
      </c>
      <c r="J672" s="1884">
        <v>262366.76170999999</v>
      </c>
      <c r="K672" s="406" t="s">
        <v>906</v>
      </c>
      <c r="L672" s="407"/>
      <c r="M672" s="408" t="s">
        <v>17</v>
      </c>
      <c r="N672" s="408"/>
      <c r="O672" s="421">
        <v>22.8</v>
      </c>
      <c r="P672" s="421">
        <v>22.8</v>
      </c>
      <c r="Q672" s="421">
        <v>22.8</v>
      </c>
      <c r="R672" s="421">
        <v>22.8</v>
      </c>
    </row>
    <row r="673" spans="1:18" s="20" customFormat="1" ht="73.5" customHeight="1" x14ac:dyDescent="0.2">
      <c r="A673" s="234"/>
      <c r="B673" s="1891"/>
      <c r="C673" s="1891"/>
      <c r="D673" s="1940"/>
      <c r="E673" s="1859"/>
      <c r="F673" s="1601"/>
      <c r="G673" s="1601"/>
      <c r="H673" s="1601"/>
      <c r="I673" s="1601"/>
      <c r="J673" s="1601"/>
      <c r="K673" s="410" t="s">
        <v>907</v>
      </c>
      <c r="L673" s="407"/>
      <c r="M673" s="408" t="s">
        <v>17</v>
      </c>
      <c r="N673" s="408"/>
      <c r="O673" s="434">
        <v>56</v>
      </c>
      <c r="P673" s="434">
        <v>70</v>
      </c>
      <c r="Q673" s="434">
        <v>80</v>
      </c>
      <c r="R673" s="434">
        <v>100</v>
      </c>
    </row>
    <row r="674" spans="1:18" s="20" customFormat="1" ht="89.25" x14ac:dyDescent="0.2">
      <c r="A674" s="234"/>
      <c r="B674" s="1891"/>
      <c r="C674" s="1891" t="s">
        <v>197</v>
      </c>
      <c r="D674" s="1940">
        <v>6</v>
      </c>
      <c r="E674" s="1886" t="s">
        <v>908</v>
      </c>
      <c r="F674" s="1884"/>
      <c r="G674" s="1884"/>
      <c r="H674" s="1884">
        <v>275570</v>
      </c>
      <c r="I674" s="1884">
        <v>379890</v>
      </c>
      <c r="J674" s="1884">
        <v>291674</v>
      </c>
      <c r="K674" s="410" t="s">
        <v>909</v>
      </c>
      <c r="L674" s="407"/>
      <c r="M674" s="408"/>
      <c r="N674" s="408"/>
      <c r="O674" s="434" t="s">
        <v>910</v>
      </c>
      <c r="P674" s="434" t="s">
        <v>911</v>
      </c>
      <c r="Q674" s="434" t="s">
        <v>912</v>
      </c>
      <c r="R674" s="434" t="s">
        <v>2485</v>
      </c>
    </row>
    <row r="675" spans="1:18" s="20" customFormat="1" ht="76.5" x14ac:dyDescent="0.2">
      <c r="A675" s="234"/>
      <c r="B675" s="1891"/>
      <c r="C675" s="1891"/>
      <c r="D675" s="1940"/>
      <c r="E675" s="1859"/>
      <c r="F675" s="1601"/>
      <c r="G675" s="1601"/>
      <c r="H675" s="1601"/>
      <c r="I675" s="1601"/>
      <c r="J675" s="1601"/>
      <c r="K675" s="410" t="s">
        <v>913</v>
      </c>
      <c r="L675" s="407"/>
      <c r="M675" s="408"/>
      <c r="N675" s="408"/>
      <c r="O675" s="435" t="s">
        <v>914</v>
      </c>
      <c r="P675" s="434" t="s">
        <v>915</v>
      </c>
      <c r="Q675" s="434" t="s">
        <v>915</v>
      </c>
      <c r="R675" s="434" t="s">
        <v>915</v>
      </c>
    </row>
    <row r="676" spans="1:18" s="20" customFormat="1" ht="56.25" customHeight="1" x14ac:dyDescent="0.2">
      <c r="A676" s="234"/>
      <c r="B676" s="1885"/>
      <c r="C676" s="1885" t="s">
        <v>155</v>
      </c>
      <c r="D676" s="1940">
        <v>7</v>
      </c>
      <c r="E676" s="1886" t="s">
        <v>916</v>
      </c>
      <c r="F676" s="1884">
        <v>210204</v>
      </c>
      <c r="G676" s="1884">
        <v>222178.6</v>
      </c>
      <c r="H676" s="1884">
        <v>222184</v>
      </c>
      <c r="I676" s="1884">
        <v>235570.68299999999</v>
      </c>
      <c r="J676" s="1884">
        <v>237926.38983</v>
      </c>
      <c r="K676" s="410" t="s">
        <v>917</v>
      </c>
      <c r="L676" s="407"/>
      <c r="M676" s="408" t="s">
        <v>17</v>
      </c>
      <c r="N676" s="408"/>
      <c r="O676" s="434">
        <v>0</v>
      </c>
      <c r="P676" s="434">
        <v>2</v>
      </c>
      <c r="Q676" s="434">
        <v>5</v>
      </c>
      <c r="R676" s="434">
        <v>10</v>
      </c>
    </row>
    <row r="677" spans="1:18" s="20" customFormat="1" ht="40.5" customHeight="1" x14ac:dyDescent="0.2">
      <c r="A677" s="234"/>
      <c r="B677" s="1885"/>
      <c r="C677" s="1885"/>
      <c r="D677" s="1940"/>
      <c r="E677" s="1862"/>
      <c r="F677" s="1600"/>
      <c r="G677" s="1600"/>
      <c r="H677" s="1600"/>
      <c r="I677" s="1600"/>
      <c r="J677" s="1600"/>
      <c r="K677" s="410" t="s">
        <v>918</v>
      </c>
      <c r="L677" s="407"/>
      <c r="M677" s="408"/>
      <c r="N677" s="408"/>
      <c r="O677" s="434" t="s">
        <v>919</v>
      </c>
      <c r="P677" s="434" t="s">
        <v>920</v>
      </c>
      <c r="Q677" s="434" t="s">
        <v>921</v>
      </c>
      <c r="R677" s="434" t="s">
        <v>2486</v>
      </c>
    </row>
    <row r="678" spans="1:18" s="20" customFormat="1" ht="36" customHeight="1" x14ac:dyDescent="0.2">
      <c r="A678" s="234"/>
      <c r="B678" s="1885"/>
      <c r="C678" s="1885"/>
      <c r="D678" s="1940"/>
      <c r="E678" s="1859"/>
      <c r="F678" s="1601"/>
      <c r="G678" s="1601"/>
      <c r="H678" s="1601"/>
      <c r="I678" s="1601"/>
      <c r="J678" s="1601"/>
      <c r="K678" s="406" t="s">
        <v>922</v>
      </c>
      <c r="L678" s="407"/>
      <c r="M678" s="408" t="s">
        <v>17</v>
      </c>
      <c r="N678" s="408"/>
      <c r="O678" s="434">
        <v>50</v>
      </c>
      <c r="P678" s="434">
        <v>52</v>
      </c>
      <c r="Q678" s="434">
        <v>53</v>
      </c>
      <c r="R678" s="434">
        <v>55</v>
      </c>
    </row>
    <row r="679" spans="1:18" s="20" customFormat="1" ht="78.75" customHeight="1" x14ac:dyDescent="0.2">
      <c r="A679" s="234"/>
      <c r="B679" s="890" t="s">
        <v>241</v>
      </c>
      <c r="C679" s="880"/>
      <c r="D679" s="888"/>
      <c r="E679" s="425" t="s">
        <v>2476</v>
      </c>
      <c r="F679" s="959">
        <f>F680+F682</f>
        <v>5049407.5</v>
      </c>
      <c r="G679" s="959">
        <f t="shared" ref="G679:J679" si="26">G680+G682</f>
        <v>5108311.7</v>
      </c>
      <c r="H679" s="959">
        <f t="shared" si="26"/>
        <v>5108601.4000000004</v>
      </c>
      <c r="I679" s="959">
        <f t="shared" si="26"/>
        <v>5171825.6950000003</v>
      </c>
      <c r="J679" s="959">
        <f t="shared" si="26"/>
        <v>5223543.9519500006</v>
      </c>
      <c r="K679" s="410" t="s">
        <v>923</v>
      </c>
      <c r="L679" s="407"/>
      <c r="M679" s="439" t="s">
        <v>17</v>
      </c>
      <c r="N679" s="436"/>
      <c r="O679" s="411">
        <v>19.7</v>
      </c>
      <c r="P679" s="411">
        <v>19.7</v>
      </c>
      <c r="Q679" s="411">
        <v>19.7</v>
      </c>
      <c r="R679" s="411">
        <v>19.7</v>
      </c>
    </row>
    <row r="680" spans="1:18" s="20" customFormat="1" ht="56.25" customHeight="1" x14ac:dyDescent="0.2">
      <c r="A680" s="234"/>
      <c r="B680" s="1885"/>
      <c r="C680" s="1885" t="s">
        <v>123</v>
      </c>
      <c r="D680" s="1937">
        <v>1</v>
      </c>
      <c r="E680" s="1886" t="s">
        <v>924</v>
      </c>
      <c r="F680" s="1884">
        <v>509865.5</v>
      </c>
      <c r="G680" s="1884">
        <v>589772</v>
      </c>
      <c r="H680" s="1884">
        <v>589772</v>
      </c>
      <c r="I680" s="1884">
        <v>593171.58600000001</v>
      </c>
      <c r="J680" s="1884">
        <v>599103.30186000001</v>
      </c>
      <c r="K680" s="410" t="s">
        <v>925</v>
      </c>
      <c r="L680" s="407"/>
      <c r="M680" s="408" t="s">
        <v>17</v>
      </c>
      <c r="N680" s="408"/>
      <c r="O680" s="437">
        <v>0.74</v>
      </c>
      <c r="P680" s="437">
        <v>0.76</v>
      </c>
      <c r="Q680" s="437">
        <v>0.78</v>
      </c>
      <c r="R680" s="437">
        <v>0.8</v>
      </c>
    </row>
    <row r="681" spans="1:18" s="20" customFormat="1" ht="38.25" x14ac:dyDescent="0.2">
      <c r="A681" s="234"/>
      <c r="B681" s="1885"/>
      <c r="C681" s="1885"/>
      <c r="D681" s="1937"/>
      <c r="E681" s="1859"/>
      <c r="F681" s="1601"/>
      <c r="G681" s="1601"/>
      <c r="H681" s="1601"/>
      <c r="I681" s="1601"/>
      <c r="J681" s="1601"/>
      <c r="K681" s="410" t="s">
        <v>926</v>
      </c>
      <c r="L681" s="407"/>
      <c r="M681" s="408"/>
      <c r="N681" s="408"/>
      <c r="O681" s="437">
        <v>0.8</v>
      </c>
      <c r="P681" s="437">
        <v>1</v>
      </c>
      <c r="Q681" s="437">
        <v>1</v>
      </c>
      <c r="R681" s="437">
        <v>1</v>
      </c>
    </row>
    <row r="682" spans="1:18" s="20" customFormat="1" ht="63.75" x14ac:dyDescent="0.2">
      <c r="A682" s="234"/>
      <c r="B682" s="1885"/>
      <c r="C682" s="1885" t="s">
        <v>125</v>
      </c>
      <c r="D682" s="1937">
        <v>2</v>
      </c>
      <c r="E682" s="1886" t="s">
        <v>927</v>
      </c>
      <c r="F682" s="1596">
        <v>4539542</v>
      </c>
      <c r="G682" s="1596">
        <v>4518539.7</v>
      </c>
      <c r="H682" s="1596">
        <v>4518829.4000000004</v>
      </c>
      <c r="I682" s="1596">
        <v>4578654.1090000002</v>
      </c>
      <c r="J682" s="1596">
        <v>4624440.6500900006</v>
      </c>
      <c r="K682" s="410" t="s">
        <v>928</v>
      </c>
      <c r="L682" s="407"/>
      <c r="M682" s="408"/>
      <c r="N682" s="408"/>
      <c r="O682" s="438"/>
      <c r="P682" s="438" t="s">
        <v>929</v>
      </c>
      <c r="Q682" s="438" t="s">
        <v>930</v>
      </c>
      <c r="R682" s="438" t="s">
        <v>2487</v>
      </c>
    </row>
    <row r="683" spans="1:18" s="20" customFormat="1" ht="12.75" customHeight="1" x14ac:dyDescent="0.2">
      <c r="A683" s="234"/>
      <c r="B683" s="1885"/>
      <c r="C683" s="1885"/>
      <c r="D683" s="1937"/>
      <c r="E683" s="1862"/>
      <c r="F683" s="1863"/>
      <c r="G683" s="1863"/>
      <c r="H683" s="1863"/>
      <c r="I683" s="1863"/>
      <c r="J683" s="1863"/>
      <c r="K683" s="410" t="s">
        <v>931</v>
      </c>
      <c r="L683" s="407"/>
      <c r="M683" s="408" t="s">
        <v>17</v>
      </c>
      <c r="N683" s="408"/>
      <c r="O683" s="438">
        <v>0.12</v>
      </c>
      <c r="P683" s="438">
        <v>0.15</v>
      </c>
      <c r="Q683" s="438">
        <v>0.17</v>
      </c>
      <c r="R683" s="438">
        <v>0.2</v>
      </c>
    </row>
    <row r="684" spans="1:18" s="20" customFormat="1" ht="25.5" x14ac:dyDescent="0.2">
      <c r="A684" s="234"/>
      <c r="B684" s="1885"/>
      <c r="C684" s="1885"/>
      <c r="D684" s="1937"/>
      <c r="E684" s="1862"/>
      <c r="F684" s="1863"/>
      <c r="G684" s="1863"/>
      <c r="H684" s="1863"/>
      <c r="I684" s="1863"/>
      <c r="J684" s="1863"/>
      <c r="K684" s="410" t="s">
        <v>932</v>
      </c>
      <c r="L684" s="407"/>
      <c r="M684" s="408" t="s">
        <v>31</v>
      </c>
      <c r="N684" s="408"/>
      <c r="O684" s="439">
        <v>200</v>
      </c>
      <c r="P684" s="439">
        <v>220</v>
      </c>
      <c r="Q684" s="439">
        <v>230</v>
      </c>
      <c r="R684" s="439">
        <v>240</v>
      </c>
    </row>
    <row r="685" spans="1:18" s="20" customFormat="1" ht="89.25" x14ac:dyDescent="0.2">
      <c r="A685" s="234"/>
      <c r="B685" s="1885"/>
      <c r="C685" s="1885"/>
      <c r="D685" s="1937"/>
      <c r="E685" s="1859"/>
      <c r="F685" s="1619"/>
      <c r="G685" s="1619"/>
      <c r="H685" s="1619"/>
      <c r="I685" s="1619"/>
      <c r="J685" s="1619"/>
      <c r="K685" s="410" t="s">
        <v>933</v>
      </c>
      <c r="L685" s="407"/>
      <c r="M685" s="408"/>
      <c r="N685" s="408"/>
      <c r="O685" s="438" t="s">
        <v>934</v>
      </c>
      <c r="P685" s="438" t="s">
        <v>935</v>
      </c>
      <c r="Q685" s="438" t="s">
        <v>936</v>
      </c>
      <c r="R685" s="438" t="s">
        <v>2488</v>
      </c>
    </row>
    <row r="686" spans="1:18" s="20" customFormat="1" ht="96" customHeight="1" x14ac:dyDescent="0.2">
      <c r="A686" s="234"/>
      <c r="B686" s="890" t="s">
        <v>152</v>
      </c>
      <c r="C686" s="884"/>
      <c r="D686" s="885"/>
      <c r="E686" s="425" t="s">
        <v>2477</v>
      </c>
      <c r="F686" s="984">
        <f>F687+F688</f>
        <v>152202.1</v>
      </c>
      <c r="G686" s="984">
        <f t="shared" ref="G686:J686" si="27">G687+G688</f>
        <v>160001.20000000001</v>
      </c>
      <c r="H686" s="984">
        <f t="shared" si="27"/>
        <v>160001.19999999998</v>
      </c>
      <c r="I686" s="984">
        <f t="shared" si="27"/>
        <v>161601.21199999997</v>
      </c>
      <c r="J686" s="984">
        <f t="shared" si="27"/>
        <v>163217.22411999997</v>
      </c>
      <c r="K686" s="410" t="s">
        <v>937</v>
      </c>
      <c r="L686" s="407"/>
      <c r="M686" s="408" t="s">
        <v>17</v>
      </c>
      <c r="N686" s="408"/>
      <c r="O686" s="439">
        <v>0.5</v>
      </c>
      <c r="P686" s="439">
        <v>1</v>
      </c>
      <c r="Q686" s="439">
        <v>1</v>
      </c>
      <c r="R686" s="439">
        <v>1</v>
      </c>
    </row>
    <row r="687" spans="1:18" s="20" customFormat="1" ht="38.25" x14ac:dyDescent="0.2">
      <c r="A687" s="234"/>
      <c r="B687" s="593"/>
      <c r="C687" s="884" t="s">
        <v>123</v>
      </c>
      <c r="D687" s="885">
        <v>1</v>
      </c>
      <c r="E687" s="406" t="s">
        <v>938</v>
      </c>
      <c r="F687" s="986">
        <v>150116.20000000001</v>
      </c>
      <c r="G687" s="986">
        <v>158309.30000000002</v>
      </c>
      <c r="H687" s="986">
        <v>158309.29999999999</v>
      </c>
      <c r="I687" s="986">
        <v>159892.39299999998</v>
      </c>
      <c r="J687" s="986">
        <v>161491.31692999997</v>
      </c>
      <c r="K687" s="410" t="s">
        <v>939</v>
      </c>
      <c r="L687" s="407"/>
      <c r="M687" s="408" t="s">
        <v>940</v>
      </c>
      <c r="N687" s="408"/>
      <c r="O687" s="439">
        <v>12</v>
      </c>
      <c r="P687" s="439">
        <v>13</v>
      </c>
      <c r="Q687" s="439">
        <v>14</v>
      </c>
      <c r="R687" s="439">
        <v>15</v>
      </c>
    </row>
    <row r="688" spans="1:18" s="20" customFormat="1" ht="67.5" customHeight="1" x14ac:dyDescent="0.2">
      <c r="A688" s="234"/>
      <c r="B688" s="593"/>
      <c r="C688" s="880" t="s">
        <v>125</v>
      </c>
      <c r="D688" s="888">
        <v>2</v>
      </c>
      <c r="E688" s="410" t="s">
        <v>941</v>
      </c>
      <c r="F688" s="986">
        <v>2085.9</v>
      </c>
      <c r="G688" s="986">
        <v>1691.9</v>
      </c>
      <c r="H688" s="986">
        <v>1691.9</v>
      </c>
      <c r="I688" s="986">
        <v>1708.8190000000002</v>
      </c>
      <c r="J688" s="986">
        <v>1725.9071900000001</v>
      </c>
      <c r="K688" s="410" t="s">
        <v>942</v>
      </c>
      <c r="L688" s="407"/>
      <c r="M688" s="408" t="s">
        <v>17</v>
      </c>
      <c r="N688" s="408"/>
      <c r="O688" s="440" t="s">
        <v>943</v>
      </c>
      <c r="P688" s="440" t="s">
        <v>943</v>
      </c>
      <c r="Q688" s="440" t="s">
        <v>943</v>
      </c>
      <c r="R688" s="440" t="s">
        <v>943</v>
      </c>
    </row>
    <row r="689" spans="1:18" ht="27" customHeight="1" x14ac:dyDescent="0.2">
      <c r="B689" s="1945" t="s">
        <v>64</v>
      </c>
      <c r="C689" s="1946"/>
      <c r="D689" s="1946"/>
      <c r="E689" s="1946"/>
      <c r="F689" s="908">
        <v>28135572.399999999</v>
      </c>
      <c r="G689" s="908">
        <v>33621169.5</v>
      </c>
      <c r="H689" s="908">
        <v>34527493.400000006</v>
      </c>
      <c r="I689" s="908">
        <v>34900125.694999993</v>
      </c>
      <c r="J689" s="908">
        <v>35163480.051949993</v>
      </c>
      <c r="K689" s="441"/>
      <c r="L689" s="441"/>
      <c r="M689" s="442"/>
      <c r="N689" s="442"/>
      <c r="O689" s="443"/>
      <c r="P689" s="443"/>
      <c r="Q689" s="443"/>
      <c r="R689" s="443"/>
    </row>
    <row r="690" spans="1:18" ht="32.25" customHeight="1" x14ac:dyDescent="0.2">
      <c r="B690" s="1947" t="s">
        <v>944</v>
      </c>
      <c r="C690" s="1948"/>
      <c r="D690" s="1948"/>
      <c r="E690" s="1948"/>
      <c r="F690" s="972"/>
      <c r="G690" s="972"/>
      <c r="H690" s="972"/>
      <c r="I690" s="972"/>
      <c r="J690" s="972"/>
      <c r="K690" s="444"/>
      <c r="L690" s="444"/>
      <c r="M690" s="1000"/>
      <c r="N690" s="444"/>
      <c r="O690" s="444"/>
      <c r="P690" s="444"/>
      <c r="Q690" s="444"/>
      <c r="R690" s="445"/>
    </row>
    <row r="691" spans="1:18" s="20" customFormat="1" ht="62.25" customHeight="1" x14ac:dyDescent="0.2">
      <c r="A691" s="131"/>
      <c r="B691" s="446">
        <v>1</v>
      </c>
      <c r="C691" s="447"/>
      <c r="D691" s="448"/>
      <c r="E691" s="449" t="s">
        <v>2490</v>
      </c>
      <c r="F691" s="901">
        <v>65575.600000000006</v>
      </c>
      <c r="G691" s="901">
        <v>65695</v>
      </c>
      <c r="H691" s="901">
        <v>77090.2</v>
      </c>
      <c r="I691" s="901">
        <v>77090.2</v>
      </c>
      <c r="J691" s="901">
        <v>77090.2</v>
      </c>
      <c r="K691" s="98" t="s">
        <v>16</v>
      </c>
      <c r="L691" s="98"/>
      <c r="M691" s="206" t="s">
        <v>17</v>
      </c>
      <c r="N691" s="818">
        <v>34.700000000000003</v>
      </c>
      <c r="O691" s="818">
        <v>43.7</v>
      </c>
      <c r="P691" s="818">
        <v>46.2</v>
      </c>
      <c r="Q691" s="818">
        <v>46.2</v>
      </c>
      <c r="R691" s="608"/>
    </row>
    <row r="692" spans="1:18" s="20" customFormat="1" x14ac:dyDescent="0.2">
      <c r="A692" s="131"/>
      <c r="B692" s="714"/>
      <c r="C692" s="451" t="s">
        <v>123</v>
      </c>
      <c r="D692" s="285"/>
      <c r="E692" s="452" t="s">
        <v>18</v>
      </c>
      <c r="F692" s="960">
        <v>3304.7</v>
      </c>
      <c r="G692" s="961">
        <v>3377.3</v>
      </c>
      <c r="H692" s="961">
        <v>3402.3</v>
      </c>
      <c r="I692" s="961">
        <v>3402.3</v>
      </c>
      <c r="J692" s="961">
        <v>3402.3</v>
      </c>
      <c r="K692" s="210" t="s">
        <v>19</v>
      </c>
      <c r="L692" s="210"/>
      <c r="M692" s="206" t="s">
        <v>17</v>
      </c>
      <c r="N692" s="453">
        <v>33.1</v>
      </c>
      <c r="O692" s="454">
        <v>34</v>
      </c>
      <c r="P692" s="454">
        <v>34.5</v>
      </c>
      <c r="Q692" s="454">
        <v>35</v>
      </c>
      <c r="R692" s="818"/>
    </row>
    <row r="693" spans="1:18" s="20" customFormat="1" x14ac:dyDescent="0.2">
      <c r="A693" s="18"/>
      <c r="B693" s="714"/>
      <c r="C693" s="1920" t="s">
        <v>125</v>
      </c>
      <c r="D693" s="1931"/>
      <c r="E693" s="1949" t="s">
        <v>22</v>
      </c>
      <c r="F693" s="1929">
        <v>1429.8</v>
      </c>
      <c r="G693" s="1929">
        <v>1437.6</v>
      </c>
      <c r="H693" s="1929">
        <v>2639.1</v>
      </c>
      <c r="I693" s="1929">
        <v>2639.1</v>
      </c>
      <c r="J693" s="1929">
        <v>2639.1</v>
      </c>
      <c r="K693" s="455" t="s">
        <v>23</v>
      </c>
      <c r="L693" s="455"/>
      <c r="M693" s="206" t="s">
        <v>17</v>
      </c>
      <c r="N693" s="453">
        <v>100</v>
      </c>
      <c r="O693" s="453">
        <v>100</v>
      </c>
      <c r="P693" s="453">
        <v>100</v>
      </c>
      <c r="Q693" s="453">
        <v>100</v>
      </c>
      <c r="R693" s="818"/>
    </row>
    <row r="694" spans="1:18" s="20" customFormat="1" x14ac:dyDescent="0.2">
      <c r="A694" s="18"/>
      <c r="B694" s="456"/>
      <c r="C694" s="1921"/>
      <c r="D694" s="1932"/>
      <c r="E694" s="1950"/>
      <c r="F694" s="1930"/>
      <c r="G694" s="1930"/>
      <c r="H694" s="1930"/>
      <c r="I694" s="1930"/>
      <c r="J694" s="1930"/>
      <c r="K694" s="452" t="s">
        <v>945</v>
      </c>
      <c r="L694" s="452"/>
      <c r="M694" s="206" t="s">
        <v>31</v>
      </c>
      <c r="N694" s="453">
        <v>53</v>
      </c>
      <c r="O694" s="454">
        <v>97</v>
      </c>
      <c r="P694" s="454">
        <v>100</v>
      </c>
      <c r="Q694" s="454">
        <v>100</v>
      </c>
      <c r="R694" s="668"/>
    </row>
    <row r="695" spans="1:18" s="20" customFormat="1" ht="39" customHeight="1" x14ac:dyDescent="0.2">
      <c r="A695" s="18"/>
      <c r="B695" s="714"/>
      <c r="C695" s="699" t="s">
        <v>127</v>
      </c>
      <c r="D695" s="457"/>
      <c r="E695" s="723" t="s">
        <v>24</v>
      </c>
      <c r="F695" s="962">
        <v>4723.5</v>
      </c>
      <c r="G695" s="961">
        <v>4731.3</v>
      </c>
      <c r="H695" s="961">
        <v>4753.7</v>
      </c>
      <c r="I695" s="961">
        <v>4753.7</v>
      </c>
      <c r="J695" s="961">
        <v>4753.7</v>
      </c>
      <c r="K695" s="455" t="s">
        <v>946</v>
      </c>
      <c r="L695" s="455"/>
      <c r="M695" s="206" t="s">
        <v>31</v>
      </c>
      <c r="N695" s="453">
        <v>25</v>
      </c>
      <c r="O695" s="453">
        <v>25</v>
      </c>
      <c r="P695" s="453">
        <v>25</v>
      </c>
      <c r="Q695" s="453">
        <v>25</v>
      </c>
      <c r="R695" s="818"/>
    </row>
    <row r="696" spans="1:18" s="20" customFormat="1" ht="36" customHeight="1" x14ac:dyDescent="0.2">
      <c r="A696" s="18"/>
      <c r="B696" s="714"/>
      <c r="C696" s="1920" t="s">
        <v>132</v>
      </c>
      <c r="D696" s="1931"/>
      <c r="E696" s="1933" t="s">
        <v>26</v>
      </c>
      <c r="F696" s="1935">
        <v>8673.7000000000007</v>
      </c>
      <c r="G696" s="1935">
        <v>8681.5</v>
      </c>
      <c r="H696" s="1935">
        <v>8905.5</v>
      </c>
      <c r="I696" s="1935">
        <v>8905.5</v>
      </c>
      <c r="J696" s="1935">
        <v>8905.5</v>
      </c>
      <c r="K696" s="455" t="s">
        <v>947</v>
      </c>
      <c r="L696" s="455"/>
      <c r="M696" s="206" t="s">
        <v>31</v>
      </c>
      <c r="N696" s="453">
        <v>25</v>
      </c>
      <c r="O696" s="454">
        <v>5</v>
      </c>
      <c r="P696" s="454">
        <v>5</v>
      </c>
      <c r="Q696" s="454">
        <v>5</v>
      </c>
      <c r="R696" s="818"/>
    </row>
    <row r="697" spans="1:18" s="20" customFormat="1" ht="49.5" customHeight="1" x14ac:dyDescent="0.2">
      <c r="A697" s="18"/>
      <c r="B697" s="458"/>
      <c r="C697" s="1921"/>
      <c r="D697" s="1932"/>
      <c r="E697" s="1934"/>
      <c r="F697" s="1781"/>
      <c r="G697" s="1781"/>
      <c r="H697" s="1781"/>
      <c r="I697" s="1781"/>
      <c r="J697" s="1781"/>
      <c r="K697" s="452" t="s">
        <v>948</v>
      </c>
      <c r="L697" s="452"/>
      <c r="M697" s="206" t="s">
        <v>31</v>
      </c>
      <c r="N697" s="453">
        <v>30</v>
      </c>
      <c r="O697" s="454">
        <v>4</v>
      </c>
      <c r="P697" s="454">
        <v>4</v>
      </c>
      <c r="Q697" s="454">
        <v>4</v>
      </c>
      <c r="R697" s="818"/>
    </row>
    <row r="698" spans="1:18" s="20" customFormat="1" ht="59.25" customHeight="1" x14ac:dyDescent="0.2">
      <c r="A698" s="18"/>
      <c r="B698" s="714"/>
      <c r="C698" s="1920" t="s">
        <v>74</v>
      </c>
      <c r="D698" s="1922"/>
      <c r="E698" s="1933" t="s">
        <v>29</v>
      </c>
      <c r="F698" s="1935">
        <v>8194</v>
      </c>
      <c r="G698" s="1935">
        <v>8201.7999999999993</v>
      </c>
      <c r="H698" s="1935">
        <v>10450.9</v>
      </c>
      <c r="I698" s="1935">
        <v>10450.9</v>
      </c>
      <c r="J698" s="1935">
        <v>10450.9</v>
      </c>
      <c r="K698" s="459" t="s">
        <v>949</v>
      </c>
      <c r="L698" s="459"/>
      <c r="M698" s="818" t="s">
        <v>513</v>
      </c>
      <c r="N698" s="818">
        <v>44</v>
      </c>
      <c r="O698" s="818">
        <v>2</v>
      </c>
      <c r="P698" s="818">
        <v>3</v>
      </c>
      <c r="Q698" s="818">
        <v>3</v>
      </c>
      <c r="R698" s="460"/>
    </row>
    <row r="699" spans="1:18" s="20" customFormat="1" ht="60.75" customHeight="1" x14ac:dyDescent="0.2">
      <c r="A699" s="18"/>
      <c r="B699" s="461"/>
      <c r="C699" s="1926"/>
      <c r="D699" s="1927"/>
      <c r="E699" s="1936"/>
      <c r="F699" s="1780"/>
      <c r="G699" s="1780"/>
      <c r="H699" s="1780"/>
      <c r="I699" s="1780"/>
      <c r="J699" s="1780"/>
      <c r="K699" s="455" t="s">
        <v>950</v>
      </c>
      <c r="L699" s="455"/>
      <c r="M699" s="206" t="s">
        <v>31</v>
      </c>
      <c r="N699" s="453">
        <v>250</v>
      </c>
      <c r="O699" s="453">
        <v>250</v>
      </c>
      <c r="P699" s="453">
        <v>250</v>
      </c>
      <c r="Q699" s="453">
        <v>250</v>
      </c>
      <c r="R699" s="462"/>
    </row>
    <row r="700" spans="1:18" s="20" customFormat="1" ht="42" customHeight="1" x14ac:dyDescent="0.2">
      <c r="A700" s="18"/>
      <c r="B700" s="463"/>
      <c r="C700" s="1921"/>
      <c r="D700" s="1923"/>
      <c r="E700" s="1934"/>
      <c r="F700" s="1781"/>
      <c r="G700" s="1781"/>
      <c r="H700" s="1781"/>
      <c r="I700" s="1781"/>
      <c r="J700" s="1781"/>
      <c r="K700" s="455" t="s">
        <v>951</v>
      </c>
      <c r="L700" s="455"/>
      <c r="M700" s="206" t="s">
        <v>31</v>
      </c>
      <c r="N700" s="453">
        <v>2</v>
      </c>
      <c r="O700" s="453">
        <v>2</v>
      </c>
      <c r="P700" s="453">
        <v>2</v>
      </c>
      <c r="Q700" s="453">
        <v>2</v>
      </c>
      <c r="R700" s="464"/>
    </row>
    <row r="701" spans="1:18" s="20" customFormat="1" ht="45" customHeight="1" x14ac:dyDescent="0.2">
      <c r="A701" s="18"/>
      <c r="B701" s="714"/>
      <c r="C701" s="451" t="s">
        <v>197</v>
      </c>
      <c r="D701" s="285"/>
      <c r="E701" s="465" t="s">
        <v>32</v>
      </c>
      <c r="F701" s="944">
        <v>32288.7</v>
      </c>
      <c r="G701" s="944">
        <v>32296.5</v>
      </c>
      <c r="H701" s="963">
        <v>42763</v>
      </c>
      <c r="I701" s="963">
        <v>42763</v>
      </c>
      <c r="J701" s="963">
        <v>42763</v>
      </c>
      <c r="K701" s="455" t="s">
        <v>33</v>
      </c>
      <c r="L701" s="455"/>
      <c r="M701" s="206" t="s">
        <v>17</v>
      </c>
      <c r="N701" s="453">
        <v>25</v>
      </c>
      <c r="O701" s="453">
        <v>25</v>
      </c>
      <c r="P701" s="453">
        <v>25</v>
      </c>
      <c r="Q701" s="453">
        <v>25</v>
      </c>
      <c r="R701" s="464"/>
    </row>
    <row r="702" spans="1:18" s="20" customFormat="1" ht="56.25" customHeight="1" x14ac:dyDescent="0.2">
      <c r="A702" s="18"/>
      <c r="B702" s="714"/>
      <c r="C702" s="715" t="s">
        <v>155</v>
      </c>
      <c r="D702" s="466"/>
      <c r="E702" s="452" t="s">
        <v>952</v>
      </c>
      <c r="F702" s="944">
        <v>6961.2</v>
      </c>
      <c r="G702" s="944">
        <v>6969</v>
      </c>
      <c r="H702" s="944">
        <v>4175.7</v>
      </c>
      <c r="I702" s="944">
        <v>4175.7</v>
      </c>
      <c r="J702" s="944">
        <v>4175.7</v>
      </c>
      <c r="K702" s="452" t="s">
        <v>953</v>
      </c>
      <c r="L702" s="452"/>
      <c r="M702" s="668" t="s">
        <v>17</v>
      </c>
      <c r="N702" s="818">
        <v>93</v>
      </c>
      <c r="O702" s="818">
        <v>93</v>
      </c>
      <c r="P702" s="818">
        <v>93</v>
      </c>
      <c r="Q702" s="818">
        <v>93</v>
      </c>
      <c r="R702" s="467"/>
    </row>
    <row r="703" spans="1:18" s="20" customFormat="1" ht="70.5" customHeight="1" x14ac:dyDescent="0.2">
      <c r="A703" s="18"/>
      <c r="B703" s="891">
        <v>2</v>
      </c>
      <c r="C703" s="672"/>
      <c r="D703" s="672"/>
      <c r="E703" s="468" t="s">
        <v>2489</v>
      </c>
      <c r="F703" s="964">
        <v>61609</v>
      </c>
      <c r="G703" s="964">
        <v>61609</v>
      </c>
      <c r="H703" s="964">
        <v>55662.100000000006</v>
      </c>
      <c r="I703" s="964">
        <v>55662.100000000006</v>
      </c>
      <c r="J703" s="964">
        <v>55662.100000000006</v>
      </c>
      <c r="K703" s="469"/>
      <c r="L703" s="469"/>
      <c r="M703" s="94"/>
      <c r="N703" s="713"/>
      <c r="O703" s="713"/>
      <c r="P703" s="713"/>
      <c r="Q703" s="713"/>
      <c r="R703" s="467"/>
    </row>
    <row r="704" spans="1:18" s="20" customFormat="1" ht="30" customHeight="1" x14ac:dyDescent="0.2">
      <c r="A704" s="18"/>
      <c r="B704" s="1918"/>
      <c r="C704" s="1920" t="s">
        <v>123</v>
      </c>
      <c r="D704" s="1922"/>
      <c r="E704" s="1912" t="s">
        <v>955</v>
      </c>
      <c r="F704" s="1924">
        <v>24035.599999999999</v>
      </c>
      <c r="G704" s="1924">
        <v>24012.2</v>
      </c>
      <c r="H704" s="1924">
        <v>7187</v>
      </c>
      <c r="I704" s="1924">
        <v>7187</v>
      </c>
      <c r="J704" s="1924">
        <v>7187</v>
      </c>
      <c r="K704" s="459" t="s">
        <v>956</v>
      </c>
      <c r="L704" s="459"/>
      <c r="M704" s="668" t="s">
        <v>31</v>
      </c>
      <c r="N704" s="470">
        <v>5</v>
      </c>
      <c r="O704" s="470">
        <v>5</v>
      </c>
      <c r="P704" s="470">
        <v>3</v>
      </c>
      <c r="Q704" s="470">
        <v>3</v>
      </c>
      <c r="R704" s="467"/>
    </row>
    <row r="705" spans="1:18" s="20" customFormat="1" x14ac:dyDescent="0.2">
      <c r="A705" s="18"/>
      <c r="B705" s="1919"/>
      <c r="C705" s="1921"/>
      <c r="D705" s="1923"/>
      <c r="E705" s="1913"/>
      <c r="F705" s="1778"/>
      <c r="G705" s="1778"/>
      <c r="H705" s="1778"/>
      <c r="I705" s="1778"/>
      <c r="J705" s="1778"/>
      <c r="K705" s="452" t="s">
        <v>957</v>
      </c>
      <c r="L705" s="452"/>
      <c r="M705" s="668" t="s">
        <v>17</v>
      </c>
      <c r="N705" s="470">
        <v>3</v>
      </c>
      <c r="O705" s="470">
        <v>4</v>
      </c>
      <c r="P705" s="470">
        <v>5</v>
      </c>
      <c r="Q705" s="470">
        <v>6</v>
      </c>
      <c r="R705" s="467"/>
    </row>
    <row r="706" spans="1:18" s="20" customFormat="1" ht="30" customHeight="1" x14ac:dyDescent="0.2">
      <c r="A706" s="18"/>
      <c r="B706" s="1918"/>
      <c r="C706" s="1920" t="s">
        <v>125</v>
      </c>
      <c r="D706" s="1922"/>
      <c r="E706" s="1912" t="s">
        <v>958</v>
      </c>
      <c r="F706" s="1924">
        <v>33461.5</v>
      </c>
      <c r="G706" s="1924">
        <v>33469.300000000003</v>
      </c>
      <c r="H706" s="905"/>
      <c r="I706" s="905"/>
      <c r="J706" s="905"/>
      <c r="K706" s="459" t="s">
        <v>959</v>
      </c>
      <c r="L706" s="459"/>
      <c r="M706" s="668" t="s">
        <v>31</v>
      </c>
      <c r="N706" s="470">
        <v>23</v>
      </c>
      <c r="O706" s="470">
        <v>2</v>
      </c>
      <c r="P706" s="470">
        <v>2</v>
      </c>
      <c r="Q706" s="470">
        <v>2</v>
      </c>
      <c r="R706" s="471"/>
    </row>
    <row r="707" spans="1:18" s="20" customFormat="1" ht="43.5" customHeight="1" x14ac:dyDescent="0.2">
      <c r="A707" s="18"/>
      <c r="B707" s="1925"/>
      <c r="C707" s="1926"/>
      <c r="D707" s="1927"/>
      <c r="E707" s="1928"/>
      <c r="F707" s="1852"/>
      <c r="G707" s="1852"/>
      <c r="H707" s="965">
        <v>29019.8</v>
      </c>
      <c r="I707" s="965">
        <v>29019.8</v>
      </c>
      <c r="J707" s="965">
        <v>29019.8</v>
      </c>
      <c r="K707" s="459" t="s">
        <v>960</v>
      </c>
      <c r="L707" s="459"/>
      <c r="M707" s="668" t="s">
        <v>31</v>
      </c>
      <c r="N707" s="470">
        <v>12</v>
      </c>
      <c r="O707" s="470">
        <v>18</v>
      </c>
      <c r="P707" s="470">
        <v>10</v>
      </c>
      <c r="Q707" s="470">
        <v>10</v>
      </c>
      <c r="R707" s="471"/>
    </row>
    <row r="708" spans="1:18" s="20" customFormat="1" ht="53.25" customHeight="1" x14ac:dyDescent="0.2">
      <c r="A708" s="18"/>
      <c r="B708" s="1925"/>
      <c r="C708" s="1926"/>
      <c r="D708" s="1927"/>
      <c r="E708" s="1928"/>
      <c r="F708" s="1852"/>
      <c r="G708" s="1852"/>
      <c r="H708" s="965"/>
      <c r="I708" s="965"/>
      <c r="J708" s="965"/>
      <c r="K708" s="459" t="s">
        <v>961</v>
      </c>
      <c r="L708" s="459"/>
      <c r="M708" s="668" t="s">
        <v>31</v>
      </c>
      <c r="N708" s="470">
        <v>500</v>
      </c>
      <c r="O708" s="470">
        <v>500</v>
      </c>
      <c r="P708" s="470">
        <v>500</v>
      </c>
      <c r="Q708" s="470">
        <v>500</v>
      </c>
      <c r="R708" s="471"/>
    </row>
    <row r="709" spans="1:18" s="20" customFormat="1" ht="40.5" customHeight="1" x14ac:dyDescent="0.2">
      <c r="A709" s="18"/>
      <c r="B709" s="1925"/>
      <c r="C709" s="1926"/>
      <c r="D709" s="1927"/>
      <c r="E709" s="1928"/>
      <c r="F709" s="1852"/>
      <c r="G709" s="1852"/>
      <c r="H709" s="965"/>
      <c r="I709" s="965"/>
      <c r="J709" s="965"/>
      <c r="K709" s="459" t="s">
        <v>962</v>
      </c>
      <c r="L709" s="459"/>
      <c r="M709" s="668" t="s">
        <v>17</v>
      </c>
      <c r="N709" s="470">
        <v>49</v>
      </c>
      <c r="O709" s="470">
        <v>25</v>
      </c>
      <c r="P709" s="470">
        <v>26</v>
      </c>
      <c r="Q709" s="470">
        <v>100</v>
      </c>
      <c r="R709" s="471"/>
    </row>
    <row r="710" spans="1:18" s="20" customFormat="1" ht="39" customHeight="1" x14ac:dyDescent="0.2">
      <c r="A710" s="18"/>
      <c r="B710" s="1925"/>
      <c r="C710" s="1926"/>
      <c r="D710" s="1927"/>
      <c r="E710" s="1928"/>
      <c r="F710" s="1852"/>
      <c r="G710" s="1852"/>
      <c r="H710" s="965"/>
      <c r="I710" s="965"/>
      <c r="J710" s="965"/>
      <c r="K710" s="459" t="s">
        <v>963</v>
      </c>
      <c r="L710" s="459"/>
      <c r="M710" s="668" t="s">
        <v>31</v>
      </c>
      <c r="N710" s="470">
        <v>10</v>
      </c>
      <c r="O710" s="470">
        <v>10</v>
      </c>
      <c r="P710" s="470">
        <v>10</v>
      </c>
      <c r="Q710" s="470">
        <v>10</v>
      </c>
      <c r="R710" s="471"/>
    </row>
    <row r="711" spans="1:18" s="20" customFormat="1" ht="51.75" customHeight="1" x14ac:dyDescent="0.2">
      <c r="A711" s="18"/>
      <c r="B711" s="1925"/>
      <c r="C711" s="1926"/>
      <c r="D711" s="1927"/>
      <c r="E711" s="1928"/>
      <c r="F711" s="1852"/>
      <c r="G711" s="1852"/>
      <c r="H711" s="965"/>
      <c r="I711" s="965"/>
      <c r="J711" s="965"/>
      <c r="K711" s="459" t="s">
        <v>964</v>
      </c>
      <c r="L711" s="459"/>
      <c r="M711" s="668" t="s">
        <v>31</v>
      </c>
      <c r="N711" s="470">
        <v>2</v>
      </c>
      <c r="O711" s="470">
        <v>2</v>
      </c>
      <c r="P711" s="470">
        <v>2</v>
      </c>
      <c r="Q711" s="470">
        <v>2</v>
      </c>
      <c r="R711" s="467"/>
    </row>
    <row r="712" spans="1:18" s="20" customFormat="1" x14ac:dyDescent="0.2">
      <c r="A712" s="18"/>
      <c r="B712" s="1925"/>
      <c r="C712" s="1926"/>
      <c r="D712" s="1927"/>
      <c r="E712" s="1928"/>
      <c r="F712" s="1852"/>
      <c r="G712" s="1852"/>
      <c r="H712" s="965"/>
      <c r="I712" s="965"/>
      <c r="J712" s="965"/>
      <c r="K712" s="459" t="s">
        <v>965</v>
      </c>
      <c r="L712" s="459"/>
      <c r="M712" s="668" t="s">
        <v>31</v>
      </c>
      <c r="N712" s="470">
        <v>2</v>
      </c>
      <c r="O712" s="470">
        <v>2</v>
      </c>
      <c r="P712" s="470">
        <v>2</v>
      </c>
      <c r="Q712" s="470">
        <v>0</v>
      </c>
      <c r="R712" s="462"/>
    </row>
    <row r="713" spans="1:18" s="20" customFormat="1" x14ac:dyDescent="0.2">
      <c r="A713" s="18"/>
      <c r="B713" s="1925"/>
      <c r="C713" s="1926"/>
      <c r="D713" s="1927"/>
      <c r="E713" s="1928"/>
      <c r="F713" s="1852"/>
      <c r="G713" s="1852"/>
      <c r="H713" s="965"/>
      <c r="I713" s="965"/>
      <c r="J713" s="965"/>
      <c r="K713" s="459" t="s">
        <v>966</v>
      </c>
      <c r="L713" s="459"/>
      <c r="M713" s="668" t="s">
        <v>17</v>
      </c>
      <c r="N713" s="472" t="s">
        <v>967</v>
      </c>
      <c r="O713" s="472" t="s">
        <v>967</v>
      </c>
      <c r="P713" s="472" t="s">
        <v>967</v>
      </c>
      <c r="Q713" s="472" t="s">
        <v>967</v>
      </c>
      <c r="R713" s="818"/>
    </row>
    <row r="714" spans="1:18" s="20" customFormat="1" ht="25.5" x14ac:dyDescent="0.2">
      <c r="A714" s="18"/>
      <c r="B714" s="1925"/>
      <c r="C714" s="1926"/>
      <c r="D714" s="1927"/>
      <c r="E714" s="1928"/>
      <c r="F714" s="1852"/>
      <c r="G714" s="1852"/>
      <c r="H714" s="965"/>
      <c r="I714" s="965"/>
      <c r="J714" s="965"/>
      <c r="K714" s="773" t="s">
        <v>968</v>
      </c>
      <c r="L714" s="773"/>
      <c r="M714" s="94" t="s">
        <v>31</v>
      </c>
      <c r="N714" s="473">
        <v>4</v>
      </c>
      <c r="O714" s="473">
        <v>4</v>
      </c>
      <c r="P714" s="473">
        <v>4</v>
      </c>
      <c r="Q714" s="473">
        <v>4</v>
      </c>
      <c r="R714" s="467"/>
    </row>
    <row r="715" spans="1:18" s="20" customFormat="1" ht="25.5" x14ac:dyDescent="0.2">
      <c r="A715" s="18"/>
      <c r="B715" s="1925"/>
      <c r="C715" s="1926"/>
      <c r="D715" s="1927"/>
      <c r="E715" s="1928"/>
      <c r="F715" s="1852"/>
      <c r="G715" s="1852"/>
      <c r="H715" s="965"/>
      <c r="I715" s="965"/>
      <c r="J715" s="965"/>
      <c r="K715" s="459" t="s">
        <v>969</v>
      </c>
      <c r="L715" s="459"/>
      <c r="M715" s="668" t="s">
        <v>31</v>
      </c>
      <c r="N715" s="470">
        <v>1</v>
      </c>
      <c r="O715" s="470">
        <v>1</v>
      </c>
      <c r="P715" s="470">
        <v>1</v>
      </c>
      <c r="Q715" s="470">
        <v>2</v>
      </c>
      <c r="R715" s="467"/>
    </row>
    <row r="716" spans="1:18" s="20" customFormat="1" ht="38.25" x14ac:dyDescent="0.2">
      <c r="A716" s="18"/>
      <c r="B716" s="1919"/>
      <c r="C716" s="1921"/>
      <c r="D716" s="1923"/>
      <c r="E716" s="1913"/>
      <c r="F716" s="1778"/>
      <c r="G716" s="1778"/>
      <c r="H716" s="925"/>
      <c r="I716" s="925"/>
      <c r="J716" s="925"/>
      <c r="K716" s="459" t="s">
        <v>970</v>
      </c>
      <c r="L716" s="459"/>
      <c r="M716" s="668" t="s">
        <v>31</v>
      </c>
      <c r="N716" s="470">
        <v>3</v>
      </c>
      <c r="O716" s="470">
        <v>1</v>
      </c>
      <c r="P716" s="470">
        <v>1</v>
      </c>
      <c r="Q716" s="470">
        <v>0</v>
      </c>
      <c r="R716" s="467"/>
    </row>
    <row r="717" spans="1:18" s="20" customFormat="1" ht="25.5" x14ac:dyDescent="0.2">
      <c r="A717" s="18"/>
      <c r="B717" s="1918"/>
      <c r="C717" s="1920" t="s">
        <v>127</v>
      </c>
      <c r="D717" s="1922"/>
      <c r="E717" s="1912" t="s">
        <v>971</v>
      </c>
      <c r="F717" s="1924">
        <v>1277.4000000000001</v>
      </c>
      <c r="G717" s="1924">
        <v>1285.2</v>
      </c>
      <c r="H717" s="905"/>
      <c r="I717" s="905"/>
      <c r="J717" s="905"/>
      <c r="K717" s="775" t="s">
        <v>972</v>
      </c>
      <c r="L717" s="775"/>
      <c r="M717" s="814" t="s">
        <v>17</v>
      </c>
      <c r="N717" s="474">
        <v>50</v>
      </c>
      <c r="O717" s="474">
        <v>100</v>
      </c>
      <c r="P717" s="474">
        <v>100</v>
      </c>
      <c r="Q717" s="474">
        <v>100</v>
      </c>
      <c r="R717" s="467"/>
    </row>
    <row r="718" spans="1:18" s="20" customFormat="1" ht="25.5" x14ac:dyDescent="0.2">
      <c r="A718" s="18"/>
      <c r="B718" s="1919"/>
      <c r="C718" s="1921"/>
      <c r="D718" s="1923"/>
      <c r="E718" s="1913"/>
      <c r="F718" s="1778"/>
      <c r="G718" s="1778"/>
      <c r="H718" s="925">
        <v>19455.3</v>
      </c>
      <c r="I718" s="925">
        <v>19455.3</v>
      </c>
      <c r="J718" s="925">
        <v>19455.3</v>
      </c>
      <c r="K718" s="459" t="s">
        <v>973</v>
      </c>
      <c r="L718" s="459"/>
      <c r="M718" s="668" t="s">
        <v>17</v>
      </c>
      <c r="N718" s="106">
        <v>4</v>
      </c>
      <c r="O718" s="106">
        <v>6</v>
      </c>
      <c r="P718" s="106">
        <v>30</v>
      </c>
      <c r="Q718" s="106">
        <v>50</v>
      </c>
      <c r="R718" s="475"/>
    </row>
    <row r="719" spans="1:18" s="20" customFormat="1" ht="15" customHeight="1" x14ac:dyDescent="0.2">
      <c r="A719" s="18"/>
      <c r="B719" s="1918"/>
      <c r="C719" s="1920" t="s">
        <v>132</v>
      </c>
      <c r="D719" s="1922"/>
      <c r="E719" s="1912" t="s">
        <v>974</v>
      </c>
      <c r="F719" s="1924">
        <v>2834.5</v>
      </c>
      <c r="G719" s="1924">
        <v>2842.3</v>
      </c>
      <c r="H719" s="905">
        <v>0</v>
      </c>
      <c r="I719" s="905">
        <v>0</v>
      </c>
      <c r="J719" s="905">
        <v>0</v>
      </c>
      <c r="K719" s="1912" t="s">
        <v>975</v>
      </c>
      <c r="L719" s="711"/>
      <c r="M719" s="1914" t="s">
        <v>31</v>
      </c>
      <c r="N719" s="1916">
        <v>1</v>
      </c>
      <c r="O719" s="1916">
        <v>1</v>
      </c>
      <c r="P719" s="1916">
        <v>1</v>
      </c>
      <c r="Q719" s="1916">
        <v>1</v>
      </c>
      <c r="R719" s="476"/>
    </row>
    <row r="720" spans="1:18" s="20" customFormat="1" ht="53.25" customHeight="1" x14ac:dyDescent="0.2">
      <c r="A720" s="18"/>
      <c r="B720" s="1919"/>
      <c r="C720" s="1921"/>
      <c r="D720" s="1923"/>
      <c r="E720" s="1913"/>
      <c r="F720" s="1778"/>
      <c r="G720" s="1778"/>
      <c r="H720" s="925"/>
      <c r="I720" s="925"/>
      <c r="J720" s="925"/>
      <c r="K720" s="1913"/>
      <c r="L720" s="712"/>
      <c r="M720" s="1915"/>
      <c r="N720" s="1917"/>
      <c r="O720" s="1917"/>
      <c r="P720" s="1917"/>
      <c r="Q720" s="1917"/>
      <c r="R720" s="477"/>
    </row>
    <row r="721" spans="1:18" s="20" customFormat="1" ht="86.25" customHeight="1" x14ac:dyDescent="0.2">
      <c r="A721" s="18"/>
      <c r="B721" s="891">
        <v>3</v>
      </c>
      <c r="C721" s="459"/>
      <c r="D721" s="459"/>
      <c r="E721" s="698" t="s">
        <v>2491</v>
      </c>
      <c r="F721" s="960">
        <v>3059.8999999999996</v>
      </c>
      <c r="G721" s="960">
        <v>3059.8999999999996</v>
      </c>
      <c r="H721" s="960">
        <v>4592.3999999999996</v>
      </c>
      <c r="I721" s="960">
        <v>4592.3999999999996</v>
      </c>
      <c r="J721" s="960">
        <v>4592.3999999999996</v>
      </c>
      <c r="K721" s="478"/>
      <c r="L721" s="478"/>
      <c r="M721" s="668"/>
      <c r="N721" s="106"/>
      <c r="O721" s="106"/>
      <c r="P721" s="106"/>
      <c r="Q721" s="479"/>
      <c r="R721" s="467"/>
    </row>
    <row r="722" spans="1:18" s="20" customFormat="1" ht="45" customHeight="1" x14ac:dyDescent="0.2">
      <c r="A722" s="18"/>
      <c r="B722" s="714"/>
      <c r="C722" s="451" t="s">
        <v>123</v>
      </c>
      <c r="D722" s="480"/>
      <c r="E722" s="481" t="s">
        <v>976</v>
      </c>
      <c r="F722" s="901">
        <v>1860.1</v>
      </c>
      <c r="G722" s="901">
        <v>1852.3</v>
      </c>
      <c r="H722" s="901">
        <v>2821.3</v>
      </c>
      <c r="I722" s="901">
        <v>2821.3</v>
      </c>
      <c r="J722" s="901">
        <v>2821.3</v>
      </c>
      <c r="K722" s="481" t="s">
        <v>977</v>
      </c>
      <c r="L722" s="481"/>
      <c r="M722" s="668" t="s">
        <v>31</v>
      </c>
      <c r="N722" s="482" t="s">
        <v>1</v>
      </c>
      <c r="O722" s="482">
        <v>0</v>
      </c>
      <c r="P722" s="482">
        <v>1</v>
      </c>
      <c r="Q722" s="483">
        <v>0</v>
      </c>
      <c r="R722" s="467"/>
    </row>
    <row r="723" spans="1:18" s="20" customFormat="1" ht="65.25" customHeight="1" x14ac:dyDescent="0.2">
      <c r="A723" s="18"/>
      <c r="B723" s="446"/>
      <c r="C723" s="451" t="s">
        <v>125</v>
      </c>
      <c r="D723" s="480"/>
      <c r="E723" s="481" t="s">
        <v>978</v>
      </c>
      <c r="F723" s="944">
        <v>1199.8</v>
      </c>
      <c r="G723" s="944">
        <v>1207.5999999999999</v>
      </c>
      <c r="H723" s="944">
        <v>1771.1</v>
      </c>
      <c r="I723" s="944">
        <v>1771.1</v>
      </c>
      <c r="J723" s="944">
        <v>1771.1</v>
      </c>
      <c r="K723" s="481" t="s">
        <v>979</v>
      </c>
      <c r="L723" s="481"/>
      <c r="M723" s="668" t="s">
        <v>31</v>
      </c>
      <c r="N723" s="482">
        <v>4</v>
      </c>
      <c r="O723" s="482">
        <v>4</v>
      </c>
      <c r="P723" s="482">
        <v>4</v>
      </c>
      <c r="Q723" s="483">
        <v>4</v>
      </c>
      <c r="R723" s="467"/>
    </row>
    <row r="724" spans="1:18" ht="30" customHeight="1" x14ac:dyDescent="0.2">
      <c r="A724" s="402"/>
      <c r="B724" s="2136" t="s">
        <v>64</v>
      </c>
      <c r="C724" s="2137"/>
      <c r="D724" s="2137"/>
      <c r="E724" s="2138"/>
      <c r="F724" s="904">
        <v>130244.5</v>
      </c>
      <c r="G724" s="904">
        <v>130363.9</v>
      </c>
      <c r="H724" s="904">
        <v>137344.69999999998</v>
      </c>
      <c r="I724" s="904">
        <v>137344.69999999998</v>
      </c>
      <c r="J724" s="904">
        <v>137344.69999999998</v>
      </c>
      <c r="K724" s="789"/>
      <c r="L724" s="789"/>
      <c r="M724" s="104"/>
      <c r="N724" s="113"/>
      <c r="O724" s="113"/>
      <c r="P724" s="113"/>
      <c r="Q724" s="484"/>
      <c r="R724" s="484"/>
    </row>
    <row r="725" spans="1:18" ht="36" customHeight="1" x14ac:dyDescent="0.2">
      <c r="A725" s="485" t="s">
        <v>980</v>
      </c>
      <c r="B725" s="835" t="s">
        <v>980</v>
      </c>
      <c r="C725" s="835"/>
      <c r="D725" s="835"/>
      <c r="E725" s="835"/>
      <c r="F725" s="989"/>
      <c r="G725" s="989"/>
      <c r="H725" s="989"/>
      <c r="I725" s="989"/>
      <c r="J725" s="989"/>
      <c r="K725" s="485"/>
      <c r="L725" s="485"/>
      <c r="M725" s="1012"/>
      <c r="N725" s="485"/>
      <c r="O725" s="485"/>
      <c r="P725" s="485"/>
      <c r="Q725" s="485"/>
      <c r="R725" s="450"/>
    </row>
    <row r="726" spans="1:18" s="47" customFormat="1" ht="98.25" customHeight="1" x14ac:dyDescent="0.2">
      <c r="A726" s="486"/>
      <c r="B726" s="838" t="s">
        <v>120</v>
      </c>
      <c r="C726" s="697"/>
      <c r="D726" s="697"/>
      <c r="E726" s="673" t="s">
        <v>2492</v>
      </c>
      <c r="F726" s="899">
        <v>560436.6</v>
      </c>
      <c r="G726" s="899">
        <v>586066.4</v>
      </c>
      <c r="H726" s="899">
        <f>H727+H728+H729+H730</f>
        <v>679922.7</v>
      </c>
      <c r="I726" s="899">
        <v>671750.1</v>
      </c>
      <c r="J726" s="899">
        <v>672006.6</v>
      </c>
      <c r="K726" s="487"/>
      <c r="L726" s="818"/>
      <c r="M726" s="818"/>
      <c r="N726" s="818"/>
      <c r="O726" s="818"/>
      <c r="P726" s="818"/>
      <c r="Q726" s="818"/>
      <c r="R726" s="475"/>
    </row>
    <row r="727" spans="1:18" s="47" customFormat="1" ht="22.5" customHeight="1" x14ac:dyDescent="0.2">
      <c r="A727" s="486"/>
      <c r="B727" s="697"/>
      <c r="C727" s="697" t="s">
        <v>123</v>
      </c>
      <c r="D727" s="697">
        <v>0</v>
      </c>
      <c r="E727" s="673" t="s">
        <v>18</v>
      </c>
      <c r="F727" s="941">
        <v>49942.7</v>
      </c>
      <c r="G727" s="941">
        <v>50382.6</v>
      </c>
      <c r="H727" s="941">
        <f>56699.8+128.6</f>
        <v>56828.4</v>
      </c>
      <c r="I727" s="941">
        <v>56699.799999999996</v>
      </c>
      <c r="J727" s="941">
        <v>56699.799999999996</v>
      </c>
      <c r="K727" s="487"/>
      <c r="L727" s="818"/>
      <c r="M727" s="818"/>
      <c r="N727" s="818"/>
      <c r="O727" s="818"/>
      <c r="P727" s="818"/>
      <c r="Q727" s="818"/>
      <c r="R727" s="475"/>
    </row>
    <row r="728" spans="1:18" s="47" customFormat="1" ht="22.5" customHeight="1" x14ac:dyDescent="0.2">
      <c r="A728" s="486"/>
      <c r="B728" s="697"/>
      <c r="C728" s="697" t="s">
        <v>125</v>
      </c>
      <c r="D728" s="697">
        <v>1</v>
      </c>
      <c r="E728" s="673" t="s">
        <v>981</v>
      </c>
      <c r="F728" s="941">
        <v>19386</v>
      </c>
      <c r="G728" s="941">
        <v>11826.8</v>
      </c>
      <c r="H728" s="941">
        <v>14097.8</v>
      </c>
      <c r="I728" s="941">
        <v>14057.8</v>
      </c>
      <c r="J728" s="941">
        <v>14057.8</v>
      </c>
      <c r="K728" s="487"/>
      <c r="L728" s="818"/>
      <c r="M728" s="818"/>
      <c r="N728" s="818"/>
      <c r="O728" s="818"/>
      <c r="P728" s="668"/>
      <c r="Q728" s="668"/>
      <c r="R728" s="475"/>
    </row>
    <row r="729" spans="1:18" s="47" customFormat="1" ht="102.75" customHeight="1" x14ac:dyDescent="0.2">
      <c r="A729" s="486"/>
      <c r="B729" s="697"/>
      <c r="C729" s="697" t="s">
        <v>127</v>
      </c>
      <c r="D729" s="697">
        <v>0</v>
      </c>
      <c r="E729" s="673" t="s">
        <v>982</v>
      </c>
      <c r="F729" s="941">
        <v>17706.5</v>
      </c>
      <c r="G729" s="941">
        <v>22577.8</v>
      </c>
      <c r="H729" s="941">
        <f>28222.5+47.1</f>
        <v>28269.599999999999</v>
      </c>
      <c r="I729" s="941">
        <v>28222.5</v>
      </c>
      <c r="J729" s="941">
        <v>28479</v>
      </c>
      <c r="K729" s="818"/>
      <c r="L729" s="818"/>
      <c r="M729" s="818"/>
      <c r="N729" s="818"/>
      <c r="O729" s="818"/>
      <c r="P729" s="818"/>
      <c r="Q729" s="818"/>
      <c r="R729" s="475"/>
    </row>
    <row r="730" spans="1:18" s="47" customFormat="1" ht="88.5" customHeight="1" x14ac:dyDescent="0.2">
      <c r="A730" s="486"/>
      <c r="B730" s="697"/>
      <c r="C730" s="697" t="s">
        <v>132</v>
      </c>
      <c r="D730" s="697">
        <v>0</v>
      </c>
      <c r="E730" s="673" t="s">
        <v>983</v>
      </c>
      <c r="F730" s="914">
        <v>473401.4</v>
      </c>
      <c r="G730" s="914">
        <v>501279.2</v>
      </c>
      <c r="H730" s="914">
        <f>572770+7956.9</f>
        <v>580726.9</v>
      </c>
      <c r="I730" s="914">
        <v>572770</v>
      </c>
      <c r="J730" s="914">
        <v>572770</v>
      </c>
      <c r="K730" s="668"/>
      <c r="L730" s="818"/>
      <c r="M730" s="818"/>
      <c r="N730" s="818"/>
      <c r="O730" s="818"/>
      <c r="P730" s="818"/>
      <c r="Q730" s="818"/>
      <c r="R730" s="818"/>
    </row>
    <row r="731" spans="1:18" s="47" customFormat="1" ht="172.5" hidden="1" customHeight="1" x14ac:dyDescent="0.2">
      <c r="A731" s="486"/>
      <c r="B731" s="488"/>
      <c r="C731" s="488"/>
      <c r="D731" s="488"/>
      <c r="E731" s="490"/>
      <c r="F731" s="990"/>
      <c r="G731" s="990"/>
      <c r="H731" s="990"/>
      <c r="I731" s="990"/>
      <c r="J731" s="990"/>
      <c r="K731" s="491"/>
      <c r="L731" s="489"/>
      <c r="M731" s="489"/>
      <c r="N731" s="489"/>
      <c r="O731" s="489"/>
      <c r="P731" s="489"/>
      <c r="Q731" s="489"/>
      <c r="R731" s="471"/>
    </row>
    <row r="732" spans="1:18" s="47" customFormat="1" ht="163.5" customHeight="1" x14ac:dyDescent="0.2">
      <c r="A732" s="486"/>
      <c r="B732" s="838" t="s">
        <v>138</v>
      </c>
      <c r="C732" s="697"/>
      <c r="D732" s="697"/>
      <c r="E732" s="673" t="s">
        <v>2571</v>
      </c>
      <c r="F732" s="899">
        <v>7655714.2999999989</v>
      </c>
      <c r="G732" s="899">
        <v>7539177.2000000002</v>
      </c>
      <c r="H732" s="899">
        <f>H733+H736+H740+H742+H743+H745+H746</f>
        <v>7484062.2999999998</v>
      </c>
      <c r="I732" s="899">
        <v>7693245</v>
      </c>
      <c r="J732" s="899">
        <v>7806124.7999999989</v>
      </c>
      <c r="K732" s="487"/>
      <c r="L732" s="818"/>
      <c r="M732" s="818"/>
      <c r="N732" s="818"/>
      <c r="O732" s="818"/>
      <c r="P732" s="818"/>
      <c r="Q732" s="818"/>
      <c r="R732" s="818"/>
    </row>
    <row r="733" spans="1:18" s="47" customFormat="1" ht="69.75" customHeight="1" x14ac:dyDescent="0.2">
      <c r="A733" s="486"/>
      <c r="B733" s="1850"/>
      <c r="C733" s="1850" t="s">
        <v>123</v>
      </c>
      <c r="D733" s="1850" t="s">
        <v>985</v>
      </c>
      <c r="E733" s="1808" t="s">
        <v>986</v>
      </c>
      <c r="F733" s="1860">
        <v>4161907.8</v>
      </c>
      <c r="G733" s="1860">
        <v>4068747.3</v>
      </c>
      <c r="H733" s="1860">
        <f>4196904.7-462800</f>
        <v>3734104.7</v>
      </c>
      <c r="I733" s="1860">
        <v>3943287.4</v>
      </c>
      <c r="J733" s="1860">
        <v>4056167.1999999997</v>
      </c>
      <c r="K733" s="673" t="s">
        <v>987</v>
      </c>
      <c r="M733" s="818" t="s">
        <v>526</v>
      </c>
      <c r="N733" s="462">
        <v>4000</v>
      </c>
      <c r="O733" s="462">
        <v>4000</v>
      </c>
      <c r="P733" s="462">
        <v>4000</v>
      </c>
      <c r="Q733" s="462">
        <v>4000</v>
      </c>
      <c r="R733" s="471">
        <v>4000</v>
      </c>
    </row>
    <row r="734" spans="1:18" s="47" customFormat="1" ht="67.5" customHeight="1" x14ac:dyDescent="0.2">
      <c r="A734" s="486"/>
      <c r="B734" s="1861"/>
      <c r="C734" s="1861"/>
      <c r="D734" s="1861"/>
      <c r="E734" s="1862"/>
      <c r="F734" s="1600"/>
      <c r="G734" s="1600"/>
      <c r="H734" s="1600"/>
      <c r="I734" s="1600"/>
      <c r="J734" s="1600"/>
      <c r="K734" s="673" t="s">
        <v>989</v>
      </c>
      <c r="M734" s="818" t="s">
        <v>17</v>
      </c>
      <c r="N734" s="475" t="s">
        <v>990</v>
      </c>
      <c r="O734" s="464">
        <v>100</v>
      </c>
      <c r="P734" s="464">
        <v>100</v>
      </c>
      <c r="Q734" s="464">
        <v>100</v>
      </c>
      <c r="R734" s="471">
        <v>100</v>
      </c>
    </row>
    <row r="735" spans="1:18" s="47" customFormat="1" ht="51" customHeight="1" x14ac:dyDescent="0.2">
      <c r="A735" s="486"/>
      <c r="B735" s="1858"/>
      <c r="C735" s="1858"/>
      <c r="D735" s="1858"/>
      <c r="E735" s="1859"/>
      <c r="F735" s="1601"/>
      <c r="G735" s="1601"/>
      <c r="H735" s="1601"/>
      <c r="I735" s="1601"/>
      <c r="J735" s="1601"/>
      <c r="K735" s="673" t="s">
        <v>992</v>
      </c>
      <c r="M735" s="818" t="s">
        <v>17</v>
      </c>
      <c r="N735" s="462" t="s">
        <v>993</v>
      </c>
      <c r="O735" s="464">
        <v>100</v>
      </c>
      <c r="P735" s="464">
        <v>100</v>
      </c>
      <c r="Q735" s="464">
        <v>110</v>
      </c>
      <c r="R735" s="492">
        <v>100</v>
      </c>
    </row>
    <row r="736" spans="1:18" s="47" customFormat="1" ht="72" customHeight="1" x14ac:dyDescent="0.2">
      <c r="A736" s="486"/>
      <c r="B736" s="1850"/>
      <c r="C736" s="1850" t="s">
        <v>125</v>
      </c>
      <c r="D736" s="1850"/>
      <c r="E736" s="1808" t="s">
        <v>994</v>
      </c>
      <c r="F736" s="1753">
        <v>3465583.8000000003</v>
      </c>
      <c r="G736" s="1753">
        <v>3438667.7</v>
      </c>
      <c r="H736" s="1753">
        <v>3709709</v>
      </c>
      <c r="I736" s="1753">
        <v>3709709</v>
      </c>
      <c r="J736" s="1753">
        <v>3709709</v>
      </c>
      <c r="K736" s="673" t="s">
        <v>2450</v>
      </c>
      <c r="M736" s="818" t="s">
        <v>17</v>
      </c>
      <c r="N736" s="467">
        <v>224.7</v>
      </c>
      <c r="O736" s="467">
        <v>224.7</v>
      </c>
      <c r="P736" s="467">
        <v>224.7</v>
      </c>
      <c r="Q736" s="467">
        <v>224.7</v>
      </c>
      <c r="R736" s="818">
        <v>224.7</v>
      </c>
    </row>
    <row r="737" spans="1:18" s="47" customFormat="1" ht="39" customHeight="1" x14ac:dyDescent="0.2">
      <c r="A737" s="486"/>
      <c r="B737" s="1861"/>
      <c r="C737" s="1861"/>
      <c r="D737" s="1861"/>
      <c r="E737" s="1862"/>
      <c r="F737" s="1863"/>
      <c r="G737" s="1863"/>
      <c r="H737" s="1863"/>
      <c r="I737" s="1863"/>
      <c r="J737" s="1863"/>
      <c r="K737" s="673" t="s">
        <v>2451</v>
      </c>
      <c r="M737" s="818" t="s">
        <v>17</v>
      </c>
      <c r="N737" s="467" t="s">
        <v>954</v>
      </c>
      <c r="O737" s="467" t="s">
        <v>954</v>
      </c>
      <c r="P737" s="467" t="s">
        <v>954</v>
      </c>
      <c r="Q737" s="467" t="s">
        <v>954</v>
      </c>
      <c r="R737" s="493" t="s">
        <v>954</v>
      </c>
    </row>
    <row r="738" spans="1:18" s="47" customFormat="1" ht="39" customHeight="1" x14ac:dyDescent="0.2">
      <c r="A738" s="486"/>
      <c r="B738" s="1861"/>
      <c r="C738" s="1861"/>
      <c r="D738" s="1861"/>
      <c r="E738" s="1862"/>
      <c r="F738" s="1863"/>
      <c r="G738" s="1863"/>
      <c r="H738" s="1863"/>
      <c r="I738" s="1863"/>
      <c r="J738" s="1863"/>
      <c r="K738" s="673" t="s">
        <v>995</v>
      </c>
      <c r="M738" s="818" t="s">
        <v>17</v>
      </c>
      <c r="N738" s="467">
        <v>56.2</v>
      </c>
      <c r="O738" s="467">
        <v>56.2</v>
      </c>
      <c r="P738" s="467">
        <v>56.2</v>
      </c>
      <c r="Q738" s="467">
        <v>56.2</v>
      </c>
      <c r="R738" s="494">
        <v>56.2</v>
      </c>
    </row>
    <row r="739" spans="1:18" s="47" customFormat="1" ht="48" customHeight="1" x14ac:dyDescent="0.2">
      <c r="A739" s="486"/>
      <c r="B739" s="1858"/>
      <c r="C739" s="1858"/>
      <c r="D739" s="1858"/>
      <c r="E739" s="1859"/>
      <c r="F739" s="1619"/>
      <c r="G739" s="1619"/>
      <c r="H739" s="1619"/>
      <c r="I739" s="1619"/>
      <c r="J739" s="1619"/>
      <c r="K739" s="673" t="s">
        <v>996</v>
      </c>
      <c r="M739" s="668" t="s">
        <v>997</v>
      </c>
      <c r="N739" s="467">
        <v>37</v>
      </c>
      <c r="O739" s="467">
        <v>37</v>
      </c>
      <c r="P739" s="467">
        <v>37</v>
      </c>
      <c r="Q739" s="467">
        <v>37</v>
      </c>
      <c r="R739" s="494">
        <v>37</v>
      </c>
    </row>
    <row r="740" spans="1:18" s="497" customFormat="1" ht="73.5" customHeight="1" x14ac:dyDescent="0.2">
      <c r="A740" s="486"/>
      <c r="B740" s="1850"/>
      <c r="C740" s="1850" t="s">
        <v>127</v>
      </c>
      <c r="D740" s="1850">
        <v>1</v>
      </c>
      <c r="E740" s="1864" t="s">
        <v>998</v>
      </c>
      <c r="F740" s="1860">
        <v>19138.5</v>
      </c>
      <c r="G740" s="1860">
        <v>18500</v>
      </c>
      <c r="H740" s="1860">
        <v>18500</v>
      </c>
      <c r="I740" s="1860">
        <v>18500</v>
      </c>
      <c r="J740" s="1860">
        <v>18500</v>
      </c>
      <c r="K740" s="670" t="s">
        <v>999</v>
      </c>
      <c r="L740" s="47"/>
      <c r="M740" s="668" t="s">
        <v>1000</v>
      </c>
      <c r="N740" s="471">
        <v>7</v>
      </c>
      <c r="O740" s="471">
        <v>7</v>
      </c>
      <c r="P740" s="471">
        <v>7</v>
      </c>
      <c r="Q740" s="471">
        <v>7</v>
      </c>
      <c r="R740" s="496">
        <v>7</v>
      </c>
    </row>
    <row r="741" spans="1:18" s="497" customFormat="1" ht="43.5" customHeight="1" x14ac:dyDescent="0.2">
      <c r="A741" s="486"/>
      <c r="B741" s="1858"/>
      <c r="C741" s="1858"/>
      <c r="D741" s="1858"/>
      <c r="E741" s="1859"/>
      <c r="F741" s="1601"/>
      <c r="G741" s="1601"/>
      <c r="H741" s="1601"/>
      <c r="I741" s="1601"/>
      <c r="J741" s="1601"/>
      <c r="K741" s="670" t="s">
        <v>1001</v>
      </c>
      <c r="L741" s="47"/>
      <c r="M741" s="668" t="s">
        <v>1000</v>
      </c>
      <c r="N741" s="471">
        <v>15</v>
      </c>
      <c r="O741" s="471">
        <v>12</v>
      </c>
      <c r="P741" s="471">
        <v>12</v>
      </c>
      <c r="Q741" s="471">
        <v>12</v>
      </c>
      <c r="R741" s="477">
        <v>12</v>
      </c>
    </row>
    <row r="742" spans="1:18" s="47" customFormat="1" ht="46.5" customHeight="1" x14ac:dyDescent="0.2">
      <c r="A742" s="486"/>
      <c r="B742" s="699"/>
      <c r="C742" s="699" t="s">
        <v>132</v>
      </c>
      <c r="D742" s="699">
        <v>1</v>
      </c>
      <c r="E742" s="495" t="s">
        <v>1002</v>
      </c>
      <c r="F742" s="991">
        <v>1234.7</v>
      </c>
      <c r="G742" s="991">
        <v>2600</v>
      </c>
      <c r="H742" s="992">
        <v>2500</v>
      </c>
      <c r="I742" s="991">
        <v>2500</v>
      </c>
      <c r="J742" s="991">
        <v>2500</v>
      </c>
      <c r="K742" s="670" t="s">
        <v>1003</v>
      </c>
      <c r="M742" s="668" t="s">
        <v>96</v>
      </c>
      <c r="N742" s="471">
        <v>106</v>
      </c>
      <c r="O742" s="471">
        <v>100</v>
      </c>
      <c r="P742" s="471">
        <v>100</v>
      </c>
      <c r="Q742" s="471">
        <v>100</v>
      </c>
      <c r="R742" s="477">
        <v>100</v>
      </c>
    </row>
    <row r="743" spans="1:18" s="47" customFormat="1" ht="21.75" customHeight="1" x14ac:dyDescent="0.2">
      <c r="A743" s="486"/>
      <c r="B743" s="1850"/>
      <c r="C743" s="1850" t="s">
        <v>74</v>
      </c>
      <c r="D743" s="1850">
        <v>1</v>
      </c>
      <c r="E743" s="1865" t="s">
        <v>1004</v>
      </c>
      <c r="F743" s="1753">
        <v>3962.6</v>
      </c>
      <c r="G743" s="1753">
        <v>6409.4</v>
      </c>
      <c r="H743" s="1753">
        <v>15000</v>
      </c>
      <c r="I743" s="1753">
        <v>15000</v>
      </c>
      <c r="J743" s="1753">
        <v>15000</v>
      </c>
      <c r="K743" s="670" t="s">
        <v>1005</v>
      </c>
      <c r="M743" s="668" t="s">
        <v>96</v>
      </c>
      <c r="N743" s="471">
        <v>34</v>
      </c>
      <c r="O743" s="471">
        <v>60</v>
      </c>
      <c r="P743" s="471">
        <v>80</v>
      </c>
      <c r="Q743" s="471">
        <v>80</v>
      </c>
      <c r="R743" s="477">
        <v>80</v>
      </c>
    </row>
    <row r="744" spans="1:18" s="47" customFormat="1" ht="21.75" customHeight="1" x14ac:dyDescent="0.2">
      <c r="A744" s="486"/>
      <c r="B744" s="1858"/>
      <c r="C744" s="1858"/>
      <c r="D744" s="1858"/>
      <c r="E744" s="1859"/>
      <c r="F744" s="1619"/>
      <c r="G744" s="1619"/>
      <c r="H744" s="1619"/>
      <c r="I744" s="1619"/>
      <c r="J744" s="1619"/>
      <c r="K744" s="670" t="s">
        <v>1006</v>
      </c>
      <c r="M744" s="668" t="s">
        <v>96</v>
      </c>
      <c r="N744" s="471">
        <v>46</v>
      </c>
      <c r="O744" s="471">
        <v>40</v>
      </c>
      <c r="P744" s="471">
        <v>80</v>
      </c>
      <c r="Q744" s="471">
        <v>80</v>
      </c>
      <c r="R744" s="492">
        <v>80</v>
      </c>
    </row>
    <row r="745" spans="1:18" s="47" customFormat="1" ht="60" customHeight="1" x14ac:dyDescent="0.2">
      <c r="A745" s="486"/>
      <c r="B745" s="697"/>
      <c r="C745" s="697" t="s">
        <v>197</v>
      </c>
      <c r="D745" s="697">
        <v>1</v>
      </c>
      <c r="E745" s="498" t="s">
        <v>1007</v>
      </c>
      <c r="F745" s="941">
        <v>1015.3</v>
      </c>
      <c r="G745" s="941">
        <v>1204.2</v>
      </c>
      <c r="H745" s="941">
        <v>1200</v>
      </c>
      <c r="I745" s="941">
        <v>1200</v>
      </c>
      <c r="J745" s="941">
        <v>1200</v>
      </c>
      <c r="K745" s="670" t="s">
        <v>1008</v>
      </c>
      <c r="M745" s="818" t="s">
        <v>96</v>
      </c>
      <c r="N745" s="467">
        <v>20</v>
      </c>
      <c r="O745" s="467">
        <v>18</v>
      </c>
      <c r="P745" s="467">
        <v>18</v>
      </c>
      <c r="Q745" s="467">
        <v>18</v>
      </c>
      <c r="R745" s="818">
        <v>18</v>
      </c>
    </row>
    <row r="746" spans="1:18" s="47" customFormat="1" ht="49.5" customHeight="1" x14ac:dyDescent="0.2">
      <c r="A746" s="486"/>
      <c r="B746" s="697"/>
      <c r="C746" s="697" t="s">
        <v>155</v>
      </c>
      <c r="D746" s="697">
        <v>0</v>
      </c>
      <c r="E746" s="498" t="s">
        <v>1009</v>
      </c>
      <c r="F746" s="941">
        <v>2871.6</v>
      </c>
      <c r="G746" s="941">
        <v>3048.6</v>
      </c>
      <c r="H746" s="941">
        <v>3048.6000000000004</v>
      </c>
      <c r="I746" s="941">
        <v>3048.6000000000004</v>
      </c>
      <c r="J746" s="941">
        <v>3048.6000000000004</v>
      </c>
      <c r="K746" s="670" t="s">
        <v>1010</v>
      </c>
      <c r="M746" s="668" t="s">
        <v>1011</v>
      </c>
      <c r="N746" s="462">
        <v>1832</v>
      </c>
      <c r="O746" s="462">
        <v>1220</v>
      </c>
      <c r="P746" s="462">
        <v>1340</v>
      </c>
      <c r="Q746" s="462">
        <v>1470</v>
      </c>
      <c r="R746" s="499">
        <v>1600</v>
      </c>
    </row>
    <row r="747" spans="1:18" s="47" customFormat="1" ht="110.25" customHeight="1" x14ac:dyDescent="0.2">
      <c r="A747" s="486"/>
      <c r="B747" s="892" t="s">
        <v>161</v>
      </c>
      <c r="C747" s="500"/>
      <c r="D747" s="500"/>
      <c r="E747" s="673" t="s">
        <v>2572</v>
      </c>
      <c r="F747" s="914">
        <v>1041507.8</v>
      </c>
      <c r="G747" s="914">
        <v>1090348.2999999998</v>
      </c>
      <c r="H747" s="914">
        <f>H748+H750+H752+H755+H758+H761+H762</f>
        <v>1126202.7</v>
      </c>
      <c r="I747" s="914">
        <v>1126219.8999999999</v>
      </c>
      <c r="J747" s="914">
        <v>1126276.3999999999</v>
      </c>
      <c r="K747" s="673"/>
      <c r="M747" s="818"/>
      <c r="N747" s="818"/>
      <c r="O747" s="818"/>
      <c r="P747" s="818"/>
      <c r="Q747" s="818"/>
      <c r="R747" s="467"/>
    </row>
    <row r="748" spans="1:18" s="47" customFormat="1" ht="38.25" customHeight="1" x14ac:dyDescent="0.2">
      <c r="A748" s="486"/>
      <c r="B748" s="1850"/>
      <c r="C748" s="1850" t="s">
        <v>123</v>
      </c>
      <c r="D748" s="1850">
        <v>2</v>
      </c>
      <c r="E748" s="1808" t="s">
        <v>1012</v>
      </c>
      <c r="F748" s="1753">
        <v>40787.1</v>
      </c>
      <c r="G748" s="1753">
        <v>54615</v>
      </c>
      <c r="H748" s="1753">
        <v>55943.9</v>
      </c>
      <c r="I748" s="1753">
        <v>55943.9</v>
      </c>
      <c r="J748" s="1753">
        <v>55943.9</v>
      </c>
      <c r="K748" s="670" t="s">
        <v>1013</v>
      </c>
      <c r="M748" s="818" t="s">
        <v>1014</v>
      </c>
      <c r="N748" s="467">
        <v>0</v>
      </c>
      <c r="O748" s="467">
        <v>1</v>
      </c>
      <c r="P748" s="467">
        <v>1</v>
      </c>
      <c r="Q748" s="467">
        <v>1</v>
      </c>
      <c r="R748" s="467">
        <v>1</v>
      </c>
    </row>
    <row r="749" spans="1:18" s="47" customFormat="1" ht="12.75" customHeight="1" x14ac:dyDescent="0.2">
      <c r="A749" s="486"/>
      <c r="B749" s="1858"/>
      <c r="C749" s="1858"/>
      <c r="D749" s="1858"/>
      <c r="E749" s="1859"/>
      <c r="F749" s="1619"/>
      <c r="G749" s="1619"/>
      <c r="H749" s="1619"/>
      <c r="I749" s="1619"/>
      <c r="J749" s="1619"/>
      <c r="K749" s="670" t="s">
        <v>1015</v>
      </c>
      <c r="M749" s="818" t="s">
        <v>96</v>
      </c>
      <c r="N749" s="467">
        <v>14</v>
      </c>
      <c r="O749" s="467">
        <v>10</v>
      </c>
      <c r="P749" s="467">
        <v>10</v>
      </c>
      <c r="Q749" s="467">
        <v>10</v>
      </c>
      <c r="R749" s="516">
        <v>10</v>
      </c>
    </row>
    <row r="750" spans="1:18" s="47" customFormat="1" ht="29.25" customHeight="1" x14ac:dyDescent="0.2">
      <c r="A750" s="486"/>
      <c r="B750" s="1850"/>
      <c r="C750" s="1850" t="s">
        <v>125</v>
      </c>
      <c r="D750" s="1850">
        <v>2</v>
      </c>
      <c r="E750" s="1808" t="s">
        <v>1016</v>
      </c>
      <c r="F750" s="1860">
        <v>10022.1</v>
      </c>
      <c r="G750" s="1860">
        <v>10481</v>
      </c>
      <c r="H750" s="1860">
        <v>11599</v>
      </c>
      <c r="I750" s="1860">
        <v>11599</v>
      </c>
      <c r="J750" s="1860">
        <v>11599</v>
      </c>
      <c r="K750" s="673" t="s">
        <v>1017</v>
      </c>
      <c r="M750" s="818" t="s">
        <v>96</v>
      </c>
      <c r="N750" s="467">
        <v>650</v>
      </c>
      <c r="O750" s="467">
        <v>600</v>
      </c>
      <c r="P750" s="467">
        <v>600</v>
      </c>
      <c r="Q750" s="467">
        <v>600</v>
      </c>
      <c r="R750" s="235">
        <v>600</v>
      </c>
    </row>
    <row r="751" spans="1:18" s="47" customFormat="1" ht="33" customHeight="1" x14ac:dyDescent="0.2">
      <c r="A751" s="486"/>
      <c r="B751" s="1858"/>
      <c r="C751" s="1858"/>
      <c r="D751" s="1858"/>
      <c r="E751" s="1859"/>
      <c r="F751" s="1601"/>
      <c r="G751" s="1601"/>
      <c r="H751" s="1601"/>
      <c r="I751" s="1601"/>
      <c r="J751" s="1601"/>
      <c r="K751" s="673" t="s">
        <v>1018</v>
      </c>
      <c r="M751" s="818" t="s">
        <v>96</v>
      </c>
      <c r="N751" s="467">
        <v>0</v>
      </c>
      <c r="O751" s="467">
        <v>2</v>
      </c>
      <c r="P751" s="467">
        <v>2</v>
      </c>
      <c r="Q751" s="467">
        <v>2</v>
      </c>
      <c r="R751" s="821">
        <v>0</v>
      </c>
    </row>
    <row r="752" spans="1:18" s="47" customFormat="1" ht="31.5" customHeight="1" x14ac:dyDescent="0.2">
      <c r="A752" s="486"/>
      <c r="B752" s="1850"/>
      <c r="C752" s="1850" t="s">
        <v>127</v>
      </c>
      <c r="D752" s="1850">
        <v>0</v>
      </c>
      <c r="E752" s="1808" t="s">
        <v>1019</v>
      </c>
      <c r="F752" s="1753">
        <v>403195.2</v>
      </c>
      <c r="G752" s="1753">
        <v>392792</v>
      </c>
      <c r="H752" s="1753">
        <v>424641.6</v>
      </c>
      <c r="I752" s="1753">
        <v>424658.8</v>
      </c>
      <c r="J752" s="1753">
        <v>424715.3</v>
      </c>
      <c r="K752" s="673" t="s">
        <v>1020</v>
      </c>
      <c r="M752" s="818" t="s">
        <v>96</v>
      </c>
      <c r="N752" s="475">
        <v>2391</v>
      </c>
      <c r="O752" s="475">
        <v>2726</v>
      </c>
      <c r="P752" s="475">
        <v>2726</v>
      </c>
      <c r="Q752" s="475">
        <v>2726</v>
      </c>
      <c r="R752" s="822">
        <v>2726</v>
      </c>
    </row>
    <row r="753" spans="1:18" s="47" customFormat="1" ht="12.75" customHeight="1" x14ac:dyDescent="0.2">
      <c r="A753" s="486"/>
      <c r="B753" s="1861"/>
      <c r="C753" s="1861"/>
      <c r="D753" s="1861"/>
      <c r="E753" s="1862"/>
      <c r="F753" s="1863"/>
      <c r="G753" s="1863"/>
      <c r="H753" s="1863"/>
      <c r="I753" s="1863"/>
      <c r="J753" s="1863"/>
      <c r="K753" s="69" t="s">
        <v>1021</v>
      </c>
      <c r="M753" s="818" t="s">
        <v>551</v>
      </c>
      <c r="N753" s="476">
        <v>396710.8</v>
      </c>
      <c r="O753" s="476">
        <v>392792</v>
      </c>
      <c r="P753" s="476">
        <v>415016.39999999997</v>
      </c>
      <c r="Q753" s="476">
        <v>415016.39999999997</v>
      </c>
      <c r="R753" s="823">
        <v>415016.39999999997</v>
      </c>
    </row>
    <row r="754" spans="1:18" s="47" customFormat="1" ht="14.25" customHeight="1" x14ac:dyDescent="0.2">
      <c r="A754" s="486"/>
      <c r="B754" s="1858"/>
      <c r="C754" s="1858"/>
      <c r="D754" s="1858"/>
      <c r="E754" s="1859"/>
      <c r="F754" s="1619"/>
      <c r="G754" s="1619"/>
      <c r="H754" s="1619"/>
      <c r="I754" s="1619"/>
      <c r="J754" s="1619"/>
      <c r="K754" s="673" t="s">
        <v>1022</v>
      </c>
      <c r="M754" s="818" t="s">
        <v>551</v>
      </c>
      <c r="N754" s="477">
        <v>13.826530043217621</v>
      </c>
      <c r="O754" s="477">
        <v>12.007581315725117</v>
      </c>
      <c r="P754" s="477">
        <v>12.686977256052822</v>
      </c>
      <c r="Q754" s="477">
        <v>12.686977256052822</v>
      </c>
      <c r="R754" s="256">
        <v>12.686977256052822</v>
      </c>
    </row>
    <row r="755" spans="1:18" s="47" customFormat="1" ht="46.5" customHeight="1" x14ac:dyDescent="0.2">
      <c r="A755" s="486"/>
      <c r="B755" s="1850"/>
      <c r="C755" s="1850" t="s">
        <v>132</v>
      </c>
      <c r="D755" s="1850">
        <v>1</v>
      </c>
      <c r="E755" s="1808" t="s">
        <v>1023</v>
      </c>
      <c r="F755" s="1753">
        <v>15013.3</v>
      </c>
      <c r="G755" s="1753">
        <v>22394.2</v>
      </c>
      <c r="H755" s="1753">
        <v>22394.2</v>
      </c>
      <c r="I755" s="1753">
        <v>22394.2</v>
      </c>
      <c r="J755" s="1753">
        <v>22394.199999999997</v>
      </c>
      <c r="K755" s="673" t="s">
        <v>1024</v>
      </c>
      <c r="M755" s="818" t="s">
        <v>1014</v>
      </c>
      <c r="N755" s="467">
        <v>1</v>
      </c>
      <c r="O755" s="467">
        <v>0</v>
      </c>
      <c r="P755" s="467">
        <v>0</v>
      </c>
      <c r="Q755" s="467">
        <v>1</v>
      </c>
      <c r="R755" s="631">
        <v>0</v>
      </c>
    </row>
    <row r="756" spans="1:18" s="47" customFormat="1" ht="33.75" customHeight="1" x14ac:dyDescent="0.2">
      <c r="A756" s="486"/>
      <c r="B756" s="1861"/>
      <c r="C756" s="1861"/>
      <c r="D756" s="1861"/>
      <c r="E756" s="1862"/>
      <c r="F756" s="1863"/>
      <c r="G756" s="1863"/>
      <c r="H756" s="1863"/>
      <c r="I756" s="1863"/>
      <c r="J756" s="1863"/>
      <c r="K756" s="673" t="s">
        <v>1025</v>
      </c>
      <c r="M756" s="818" t="s">
        <v>1026</v>
      </c>
      <c r="N756" s="467">
        <v>666</v>
      </c>
      <c r="O756" s="467">
        <v>600</v>
      </c>
      <c r="P756" s="467">
        <v>600</v>
      </c>
      <c r="Q756" s="467">
        <v>600</v>
      </c>
      <c r="R756" s="688">
        <v>600</v>
      </c>
    </row>
    <row r="757" spans="1:18" s="47" customFormat="1" ht="40.5" customHeight="1" x14ac:dyDescent="0.2">
      <c r="A757" s="486"/>
      <c r="B757" s="1858"/>
      <c r="C757" s="1858"/>
      <c r="D757" s="1858"/>
      <c r="E757" s="1859"/>
      <c r="F757" s="1619"/>
      <c r="G757" s="1619"/>
      <c r="H757" s="1619"/>
      <c r="I757" s="1619"/>
      <c r="J757" s="1619"/>
      <c r="K757" s="673" t="s">
        <v>1027</v>
      </c>
      <c r="M757" s="818" t="s">
        <v>1026</v>
      </c>
      <c r="N757" s="467">
        <v>424</v>
      </c>
      <c r="O757" s="467">
        <v>400</v>
      </c>
      <c r="P757" s="467">
        <v>500</v>
      </c>
      <c r="Q757" s="467">
        <v>500</v>
      </c>
      <c r="R757" s="688">
        <v>500</v>
      </c>
    </row>
    <row r="758" spans="1:18" s="47" customFormat="1" ht="61.5" customHeight="1" x14ac:dyDescent="0.2">
      <c r="A758" s="486"/>
      <c r="B758" s="1850"/>
      <c r="C758" s="1850" t="s">
        <v>74</v>
      </c>
      <c r="D758" s="1850">
        <v>0</v>
      </c>
      <c r="E758" s="1808" t="s">
        <v>1028</v>
      </c>
      <c r="F758" s="1860">
        <v>101329.1</v>
      </c>
      <c r="G758" s="1860">
        <v>93974</v>
      </c>
      <c r="H758" s="1860">
        <v>97000</v>
      </c>
      <c r="I758" s="1860">
        <v>97000</v>
      </c>
      <c r="J758" s="1860">
        <v>97000</v>
      </c>
      <c r="K758" s="673" t="s">
        <v>1029</v>
      </c>
      <c r="M758" s="818" t="s">
        <v>93</v>
      </c>
      <c r="N758" s="475">
        <v>365</v>
      </c>
      <c r="O758" s="475">
        <v>2444</v>
      </c>
      <c r="P758" s="475">
        <v>2726</v>
      </c>
      <c r="Q758" s="475">
        <v>2740</v>
      </c>
      <c r="R758" s="631">
        <v>2740</v>
      </c>
    </row>
    <row r="759" spans="1:18" s="47" customFormat="1" ht="27.75" customHeight="1" x14ac:dyDescent="0.2">
      <c r="A759" s="486"/>
      <c r="B759" s="1861"/>
      <c r="C759" s="1861"/>
      <c r="D759" s="1861"/>
      <c r="E759" s="1862"/>
      <c r="F759" s="1600"/>
      <c r="G759" s="1600"/>
      <c r="H759" s="1600"/>
      <c r="I759" s="1600"/>
      <c r="J759" s="1600"/>
      <c r="K759" s="673" t="s">
        <v>1030</v>
      </c>
      <c r="M759" s="818" t="s">
        <v>96</v>
      </c>
      <c r="N759" s="467">
        <v>4</v>
      </c>
      <c r="O759" s="467">
        <v>4</v>
      </c>
      <c r="P759" s="467">
        <v>4</v>
      </c>
      <c r="Q759" s="467">
        <v>4</v>
      </c>
      <c r="R759" s="688">
        <v>4</v>
      </c>
    </row>
    <row r="760" spans="1:18" s="47" customFormat="1" ht="25.5" customHeight="1" x14ac:dyDescent="0.2">
      <c r="A760" s="486"/>
      <c r="B760" s="1858"/>
      <c r="C760" s="1858"/>
      <c r="D760" s="1858"/>
      <c r="E760" s="1859"/>
      <c r="F760" s="1601"/>
      <c r="G760" s="1601"/>
      <c r="H760" s="1601"/>
      <c r="I760" s="1601"/>
      <c r="J760" s="1601"/>
      <c r="K760" s="673" t="s">
        <v>1031</v>
      </c>
      <c r="M760" s="818" t="s">
        <v>93</v>
      </c>
      <c r="N760" s="475">
        <v>12679</v>
      </c>
      <c r="O760" s="475">
        <v>13050</v>
      </c>
      <c r="P760" s="475">
        <v>13100</v>
      </c>
      <c r="Q760" s="475">
        <v>13300</v>
      </c>
      <c r="R760" s="688">
        <v>13300</v>
      </c>
    </row>
    <row r="761" spans="1:18" s="47" customFormat="1" ht="36" customHeight="1" x14ac:dyDescent="0.2">
      <c r="A761" s="486"/>
      <c r="B761" s="697"/>
      <c r="C761" s="697" t="s">
        <v>197</v>
      </c>
      <c r="D761" s="697">
        <v>3</v>
      </c>
      <c r="E761" s="673" t="s">
        <v>1032</v>
      </c>
      <c r="F761" s="941">
        <v>84717.2</v>
      </c>
      <c r="G761" s="941">
        <v>90000</v>
      </c>
      <c r="H761" s="941">
        <v>90000</v>
      </c>
      <c r="I761" s="941">
        <v>90000</v>
      </c>
      <c r="J761" s="941">
        <v>90000</v>
      </c>
      <c r="K761" s="673" t="s">
        <v>1033</v>
      </c>
      <c r="M761" s="818" t="s">
        <v>96</v>
      </c>
      <c r="N761" s="475">
        <v>5426</v>
      </c>
      <c r="O761" s="475">
        <v>6669</v>
      </c>
      <c r="P761" s="475">
        <v>4806</v>
      </c>
      <c r="Q761" s="475">
        <v>4806</v>
      </c>
      <c r="R761" s="836">
        <v>4806</v>
      </c>
    </row>
    <row r="762" spans="1:18" s="47" customFormat="1" ht="42" customHeight="1" x14ac:dyDescent="0.2">
      <c r="A762" s="486"/>
      <c r="B762" s="1850"/>
      <c r="C762" s="1850" t="s">
        <v>155</v>
      </c>
      <c r="D762" s="1850">
        <v>1</v>
      </c>
      <c r="E762" s="1808" t="s">
        <v>2452</v>
      </c>
      <c r="F762" s="1753">
        <v>386443.8</v>
      </c>
      <c r="G762" s="1753">
        <v>426092.1</v>
      </c>
      <c r="H762" s="1753">
        <v>424624</v>
      </c>
      <c r="I762" s="1753">
        <v>424624</v>
      </c>
      <c r="J762" s="1753">
        <v>424624</v>
      </c>
      <c r="K762" s="69" t="s">
        <v>1034</v>
      </c>
      <c r="M762" s="818" t="s">
        <v>1014</v>
      </c>
      <c r="N762" s="475">
        <v>1</v>
      </c>
      <c r="O762" s="475">
        <v>1</v>
      </c>
      <c r="P762" s="475">
        <v>1</v>
      </c>
      <c r="Q762" s="475">
        <v>0</v>
      </c>
      <c r="R762" s="691">
        <v>0</v>
      </c>
    </row>
    <row r="763" spans="1:18" s="47" customFormat="1" ht="28.5" customHeight="1" x14ac:dyDescent="0.2">
      <c r="A763" s="486"/>
      <c r="B763" s="1858"/>
      <c r="C763" s="1858"/>
      <c r="D763" s="1858"/>
      <c r="E763" s="1859"/>
      <c r="F763" s="1619"/>
      <c r="G763" s="1619"/>
      <c r="H763" s="1619"/>
      <c r="I763" s="1619"/>
      <c r="J763" s="1619"/>
      <c r="K763" s="69" t="s">
        <v>1035</v>
      </c>
      <c r="M763" s="818" t="s">
        <v>1026</v>
      </c>
      <c r="N763" s="475">
        <v>6476</v>
      </c>
      <c r="O763" s="475">
        <v>6500</v>
      </c>
      <c r="P763" s="475">
        <v>7400</v>
      </c>
      <c r="Q763" s="475">
        <v>7400</v>
      </c>
      <c r="R763" s="781">
        <v>7400</v>
      </c>
    </row>
    <row r="764" spans="1:18" s="47" customFormat="1" ht="109.5" customHeight="1" x14ac:dyDescent="0.2">
      <c r="A764" s="486"/>
      <c r="B764" s="838" t="s">
        <v>169</v>
      </c>
      <c r="C764" s="697"/>
      <c r="D764" s="697"/>
      <c r="E764" s="673" t="s">
        <v>2573</v>
      </c>
      <c r="F764" s="899">
        <v>1134403.5000000005</v>
      </c>
      <c r="G764" s="899">
        <v>1105028.8999999999</v>
      </c>
      <c r="H764" s="899">
        <f>H765+H767+H769</f>
        <v>1077692.2</v>
      </c>
      <c r="I764" s="899">
        <v>1075910.3</v>
      </c>
      <c r="J764" s="899">
        <v>1068358.8999999999</v>
      </c>
      <c r="K764" s="487"/>
      <c r="M764" s="818"/>
      <c r="N764" s="818"/>
      <c r="O764" s="818"/>
      <c r="P764" s="818"/>
      <c r="Q764" s="818"/>
      <c r="R764" s="504"/>
    </row>
    <row r="765" spans="1:18" s="47" customFormat="1" ht="25.5" customHeight="1" x14ac:dyDescent="0.2">
      <c r="A765" s="486"/>
      <c r="B765" s="1850"/>
      <c r="C765" s="1850" t="s">
        <v>123</v>
      </c>
      <c r="D765" s="1850" t="s">
        <v>713</v>
      </c>
      <c r="E765" s="1808" t="s">
        <v>1036</v>
      </c>
      <c r="F765" s="1860">
        <v>1097186.0000000005</v>
      </c>
      <c r="G765" s="1860">
        <v>1070011.2</v>
      </c>
      <c r="H765" s="1860">
        <v>1035235.9</v>
      </c>
      <c r="I765" s="1860">
        <v>1025256.2</v>
      </c>
      <c r="J765" s="1860">
        <v>1020929.3999999999</v>
      </c>
      <c r="K765" s="673" t="s">
        <v>1037</v>
      </c>
      <c r="M765" s="818" t="s">
        <v>526</v>
      </c>
      <c r="N765" s="471" t="s">
        <v>984</v>
      </c>
      <c r="O765" s="471" t="s">
        <v>984</v>
      </c>
      <c r="P765" s="471" t="s">
        <v>984</v>
      </c>
      <c r="Q765" s="471" t="s">
        <v>984</v>
      </c>
      <c r="R765" s="781" t="s">
        <v>984</v>
      </c>
    </row>
    <row r="766" spans="1:18" s="47" customFormat="1" ht="24.75" customHeight="1" x14ac:dyDescent="0.2">
      <c r="A766" s="486"/>
      <c r="B766" s="1858"/>
      <c r="C766" s="1858"/>
      <c r="D766" s="1858"/>
      <c r="E766" s="1859"/>
      <c r="F766" s="1601"/>
      <c r="G766" s="1601"/>
      <c r="H766" s="1601"/>
      <c r="I766" s="1601"/>
      <c r="J766" s="1601"/>
      <c r="K766" s="673" t="s">
        <v>1038</v>
      </c>
      <c r="M766" s="818" t="s">
        <v>526</v>
      </c>
      <c r="N766" s="818">
        <v>3000</v>
      </c>
      <c r="O766" s="818">
        <v>3000</v>
      </c>
      <c r="P766" s="818">
        <v>3000</v>
      </c>
      <c r="Q766" s="818">
        <v>3000</v>
      </c>
      <c r="R766" s="100">
        <v>3000</v>
      </c>
    </row>
    <row r="767" spans="1:18" s="47" customFormat="1" ht="46.5" customHeight="1" x14ac:dyDescent="0.2">
      <c r="A767" s="486"/>
      <c r="B767" s="1850"/>
      <c r="C767" s="1850" t="s">
        <v>125</v>
      </c>
      <c r="D767" s="1850" t="s">
        <v>713</v>
      </c>
      <c r="E767" s="1808" t="s">
        <v>1039</v>
      </c>
      <c r="F767" s="1860">
        <v>27202.300000000003</v>
      </c>
      <c r="G767" s="1860">
        <v>23167.7</v>
      </c>
      <c r="H767" s="1860">
        <v>30606.3</v>
      </c>
      <c r="I767" s="1860">
        <v>26854.100000000002</v>
      </c>
      <c r="J767" s="1860">
        <v>23029.5</v>
      </c>
      <c r="K767" s="673" t="s">
        <v>1040</v>
      </c>
      <c r="M767" s="818" t="s">
        <v>526</v>
      </c>
      <c r="N767" s="471" t="s">
        <v>988</v>
      </c>
      <c r="O767" s="471" t="s">
        <v>988</v>
      </c>
      <c r="P767" s="471" t="s">
        <v>988</v>
      </c>
      <c r="Q767" s="471" t="s">
        <v>988</v>
      </c>
      <c r="R767" s="671" t="s">
        <v>988</v>
      </c>
    </row>
    <row r="768" spans="1:18" s="47" customFormat="1" ht="29.25" customHeight="1" x14ac:dyDescent="0.2">
      <c r="A768" s="486"/>
      <c r="B768" s="1858"/>
      <c r="C768" s="1858"/>
      <c r="D768" s="1858"/>
      <c r="E768" s="1859"/>
      <c r="F768" s="1601"/>
      <c r="G768" s="1601"/>
      <c r="H768" s="1601"/>
      <c r="I768" s="1601"/>
      <c r="J768" s="1601"/>
      <c r="K768" s="673" t="s">
        <v>1041</v>
      </c>
      <c r="M768" s="818" t="s">
        <v>526</v>
      </c>
      <c r="N768" s="471" t="s">
        <v>1042</v>
      </c>
      <c r="O768" s="471" t="s">
        <v>991</v>
      </c>
      <c r="P768" s="471" t="s">
        <v>991</v>
      </c>
      <c r="Q768" s="471" t="s">
        <v>991</v>
      </c>
      <c r="R768" s="824" t="s">
        <v>991</v>
      </c>
    </row>
    <row r="769" spans="1:18" s="47" customFormat="1" ht="27.75" customHeight="1" x14ac:dyDescent="0.2">
      <c r="A769" s="486"/>
      <c r="B769" s="697"/>
      <c r="C769" s="697" t="s">
        <v>127</v>
      </c>
      <c r="D769" s="697" t="s">
        <v>713</v>
      </c>
      <c r="E769" s="673" t="s">
        <v>1043</v>
      </c>
      <c r="F769" s="941">
        <v>10015.199999999999</v>
      </c>
      <c r="G769" s="941">
        <v>11850</v>
      </c>
      <c r="H769" s="941">
        <v>11850</v>
      </c>
      <c r="I769" s="941">
        <v>23800</v>
      </c>
      <c r="J769" s="941">
        <v>24400</v>
      </c>
      <c r="K769" s="673" t="s">
        <v>1044</v>
      </c>
      <c r="M769" s="818" t="s">
        <v>17</v>
      </c>
      <c r="N769" s="492">
        <v>47.6</v>
      </c>
      <c r="O769" s="492">
        <v>47.6</v>
      </c>
      <c r="P769" s="492">
        <v>44.3</v>
      </c>
      <c r="Q769" s="492">
        <v>44.9</v>
      </c>
      <c r="R769" s="825">
        <v>45.4</v>
      </c>
    </row>
    <row r="770" spans="1:18" s="47" customFormat="1" ht="114" customHeight="1" x14ac:dyDescent="0.2">
      <c r="A770" s="486"/>
      <c r="B770" s="838" t="s">
        <v>241</v>
      </c>
      <c r="C770" s="697"/>
      <c r="D770" s="697"/>
      <c r="E770" s="673" t="s">
        <v>2570</v>
      </c>
      <c r="F770" s="941">
        <v>446214.8</v>
      </c>
      <c r="G770" s="941">
        <v>515376.80000000005</v>
      </c>
      <c r="H770" s="941">
        <f>H771+H775+H777</f>
        <v>473974.2</v>
      </c>
      <c r="I770" s="941">
        <v>473761.9</v>
      </c>
      <c r="J770" s="941">
        <v>473761.9</v>
      </c>
      <c r="K770" s="487"/>
      <c r="M770" s="818"/>
      <c r="N770" s="818"/>
      <c r="O770" s="818"/>
      <c r="P770" s="818"/>
      <c r="Q770" s="818"/>
      <c r="R770" s="826"/>
    </row>
    <row r="771" spans="1:18" s="47" customFormat="1" ht="33.75" customHeight="1" x14ac:dyDescent="0.2">
      <c r="A771" s="486"/>
      <c r="B771" s="1850"/>
      <c r="C771" s="1850" t="s">
        <v>123</v>
      </c>
      <c r="D771" s="1850" t="s">
        <v>985</v>
      </c>
      <c r="E771" s="1808" t="s">
        <v>1045</v>
      </c>
      <c r="F771" s="1860">
        <v>91717.4</v>
      </c>
      <c r="G771" s="1860">
        <v>91245</v>
      </c>
      <c r="H771" s="1860">
        <f>247632.1-150000</f>
        <v>97632.1</v>
      </c>
      <c r="I771" s="1860">
        <v>97632.1</v>
      </c>
      <c r="J771" s="1860">
        <v>97632.1</v>
      </c>
      <c r="K771" s="702" t="s">
        <v>1046</v>
      </c>
      <c r="M771" s="785" t="s">
        <v>1026</v>
      </c>
      <c r="N771" s="493">
        <v>123</v>
      </c>
      <c r="O771" s="493">
        <v>500</v>
      </c>
      <c r="P771" s="493">
        <v>755</v>
      </c>
      <c r="Q771" s="493">
        <v>803</v>
      </c>
      <c r="R771" s="826">
        <v>891</v>
      </c>
    </row>
    <row r="772" spans="1:18" s="47" customFormat="1" ht="42" customHeight="1" x14ac:dyDescent="0.2">
      <c r="A772" s="486"/>
      <c r="B772" s="1861"/>
      <c r="C772" s="1861"/>
      <c r="D772" s="1861"/>
      <c r="E772" s="1862"/>
      <c r="F772" s="1600"/>
      <c r="G772" s="1600"/>
      <c r="H772" s="1600"/>
      <c r="I772" s="1600"/>
      <c r="J772" s="1600"/>
      <c r="K772" s="702" t="s">
        <v>1047</v>
      </c>
      <c r="M772" s="785" t="s">
        <v>17</v>
      </c>
      <c r="N772" s="494">
        <v>48</v>
      </c>
      <c r="O772" s="494">
        <v>70</v>
      </c>
      <c r="P772" s="494">
        <v>70</v>
      </c>
      <c r="Q772" s="494">
        <v>70</v>
      </c>
      <c r="R772" s="668">
        <v>70</v>
      </c>
    </row>
    <row r="773" spans="1:18" s="47" customFormat="1" ht="25.5" x14ac:dyDescent="0.2">
      <c r="A773" s="486"/>
      <c r="B773" s="1861"/>
      <c r="C773" s="1861"/>
      <c r="D773" s="1861"/>
      <c r="E773" s="1862"/>
      <c r="F773" s="1600"/>
      <c r="G773" s="1600"/>
      <c r="H773" s="1600"/>
      <c r="I773" s="1600"/>
      <c r="J773" s="1600"/>
      <c r="K773" s="702" t="s">
        <v>2454</v>
      </c>
      <c r="M773" s="785" t="s">
        <v>1048</v>
      </c>
      <c r="N773" s="494">
        <v>17.8</v>
      </c>
      <c r="O773" s="494">
        <v>15</v>
      </c>
      <c r="P773" s="494">
        <v>16.899999999999999</v>
      </c>
      <c r="Q773" s="494">
        <v>17.8</v>
      </c>
      <c r="R773" s="609">
        <v>18.100000000000001</v>
      </c>
    </row>
    <row r="774" spans="1:18" s="47" customFormat="1" ht="33.75" customHeight="1" x14ac:dyDescent="0.2">
      <c r="A774" s="486"/>
      <c r="B774" s="1858"/>
      <c r="C774" s="1858"/>
      <c r="D774" s="1858"/>
      <c r="E774" s="1859"/>
      <c r="F774" s="1601"/>
      <c r="G774" s="1601"/>
      <c r="H774" s="1601"/>
      <c r="I774" s="1601"/>
      <c r="J774" s="1601"/>
      <c r="K774" s="702" t="s">
        <v>1049</v>
      </c>
      <c r="M774" s="785" t="s">
        <v>1050</v>
      </c>
      <c r="N774" s="493">
        <v>0</v>
      </c>
      <c r="O774" s="493">
        <v>0</v>
      </c>
      <c r="P774" s="496">
        <v>1000</v>
      </c>
      <c r="Q774" s="496">
        <v>1300</v>
      </c>
      <c r="R774" s="827">
        <v>1600</v>
      </c>
    </row>
    <row r="775" spans="1:18" s="47" customFormat="1" ht="48" customHeight="1" x14ac:dyDescent="0.2">
      <c r="A775" s="486"/>
      <c r="B775" s="1850"/>
      <c r="C775" s="1850" t="s">
        <v>125</v>
      </c>
      <c r="D775" s="1850">
        <v>1</v>
      </c>
      <c r="E775" s="1808" t="s">
        <v>1051</v>
      </c>
      <c r="F775" s="1753">
        <v>19273.300000000003</v>
      </c>
      <c r="G775" s="1753">
        <v>21349.4</v>
      </c>
      <c r="H775" s="1753">
        <f>21847.4+212.3</f>
        <v>22059.7</v>
      </c>
      <c r="I775" s="1753">
        <v>21847.399999999998</v>
      </c>
      <c r="J775" s="1753">
        <v>21847.399999999998</v>
      </c>
      <c r="K775" s="673" t="s">
        <v>1052</v>
      </c>
      <c r="M775" s="818" t="s">
        <v>1026</v>
      </c>
      <c r="N775" s="477">
        <v>771</v>
      </c>
      <c r="O775" s="477">
        <v>500</v>
      </c>
      <c r="P775" s="477">
        <v>500</v>
      </c>
      <c r="Q775" s="477">
        <v>500</v>
      </c>
      <c r="R775" s="668">
        <v>500</v>
      </c>
    </row>
    <row r="776" spans="1:18" s="47" customFormat="1" ht="33.75" customHeight="1" x14ac:dyDescent="0.2">
      <c r="A776" s="486"/>
      <c r="B776" s="1858"/>
      <c r="C776" s="1858"/>
      <c r="D776" s="1858"/>
      <c r="E776" s="1859"/>
      <c r="F776" s="1619"/>
      <c r="G776" s="1619"/>
      <c r="H776" s="1619"/>
      <c r="I776" s="1619"/>
      <c r="J776" s="1619"/>
      <c r="K776" s="673" t="s">
        <v>1053</v>
      </c>
      <c r="M776" s="818" t="s">
        <v>1048</v>
      </c>
      <c r="N776" s="477">
        <v>27</v>
      </c>
      <c r="O776" s="477">
        <v>27</v>
      </c>
      <c r="P776" s="477">
        <v>27</v>
      </c>
      <c r="Q776" s="477">
        <v>27</v>
      </c>
      <c r="R776" s="668">
        <v>27</v>
      </c>
    </row>
    <row r="777" spans="1:18" s="47" customFormat="1" ht="60" customHeight="1" x14ac:dyDescent="0.2">
      <c r="A777" s="486"/>
      <c r="B777" s="1850"/>
      <c r="C777" s="1850" t="s">
        <v>127</v>
      </c>
      <c r="D777" s="1850" t="s">
        <v>713</v>
      </c>
      <c r="E777" s="1808" t="s">
        <v>1054</v>
      </c>
      <c r="F777" s="1860">
        <v>335224.09999999998</v>
      </c>
      <c r="G777" s="1860">
        <v>402782.4</v>
      </c>
      <c r="H777" s="1860">
        <v>354282.4</v>
      </c>
      <c r="I777" s="1860">
        <v>354282.4</v>
      </c>
      <c r="J777" s="1860">
        <v>354282.4</v>
      </c>
      <c r="K777" s="673" t="s">
        <v>1055</v>
      </c>
      <c r="M777" s="818" t="s">
        <v>17</v>
      </c>
      <c r="N777" s="467">
        <v>96.9</v>
      </c>
      <c r="O777" s="467">
        <v>96.9</v>
      </c>
      <c r="P777" s="467">
        <v>98.5</v>
      </c>
      <c r="Q777" s="467">
        <v>99.3</v>
      </c>
      <c r="R777" s="816">
        <v>100</v>
      </c>
    </row>
    <row r="778" spans="1:18" s="47" customFormat="1" ht="63" customHeight="1" x14ac:dyDescent="0.2">
      <c r="A778" s="486"/>
      <c r="B778" s="1858"/>
      <c r="C778" s="1858"/>
      <c r="D778" s="1858"/>
      <c r="E778" s="1859"/>
      <c r="F778" s="1601"/>
      <c r="G778" s="1601"/>
      <c r="H778" s="1601"/>
      <c r="I778" s="1601"/>
      <c r="J778" s="1601"/>
      <c r="K778" s="673" t="s">
        <v>1056</v>
      </c>
      <c r="M778" s="818" t="s">
        <v>17</v>
      </c>
      <c r="N778" s="492">
        <v>38.9</v>
      </c>
      <c r="O778" s="492">
        <v>38.9</v>
      </c>
      <c r="P778" s="492">
        <v>39</v>
      </c>
      <c r="Q778" s="492">
        <v>38</v>
      </c>
      <c r="R778" s="816">
        <v>36.799999999999997</v>
      </c>
    </row>
    <row r="779" spans="1:18" s="47" customFormat="1" ht="70.5" customHeight="1" x14ac:dyDescent="0.2">
      <c r="A779" s="486"/>
      <c r="B779" s="838" t="s">
        <v>152</v>
      </c>
      <c r="C779" s="697"/>
      <c r="D779" s="697"/>
      <c r="E779" s="673" t="s">
        <v>2569</v>
      </c>
      <c r="F779" s="941">
        <v>3908.6000000000004</v>
      </c>
      <c r="G779" s="941">
        <v>7863.3</v>
      </c>
      <c r="H779" s="941">
        <f>H780+H781</f>
        <v>11285.800000000001</v>
      </c>
      <c r="I779" s="941">
        <v>11285.800000000001</v>
      </c>
      <c r="J779" s="941">
        <v>11285.800000000001</v>
      </c>
      <c r="K779" s="487"/>
      <c r="M779" s="818"/>
      <c r="N779" s="818"/>
      <c r="O779" s="818"/>
      <c r="P779" s="818"/>
      <c r="Q779" s="818"/>
      <c r="R779" s="688"/>
    </row>
    <row r="780" spans="1:18" s="47" customFormat="1" ht="81" customHeight="1" x14ac:dyDescent="0.2">
      <c r="A780" s="486"/>
      <c r="B780" s="507"/>
      <c r="C780" s="508" t="s">
        <v>123</v>
      </c>
      <c r="D780" s="697">
        <v>1</v>
      </c>
      <c r="E780" s="498" t="s">
        <v>1057</v>
      </c>
      <c r="F780" s="941">
        <v>3908.6000000000004</v>
      </c>
      <c r="G780" s="941">
        <v>7863.3</v>
      </c>
      <c r="H780" s="941">
        <v>7863.3000000000011</v>
      </c>
      <c r="I780" s="941">
        <v>7863.3000000000011</v>
      </c>
      <c r="J780" s="941">
        <v>7863.3000000000011</v>
      </c>
      <c r="K780" s="673" t="s">
        <v>1058</v>
      </c>
      <c r="M780" s="818" t="s">
        <v>1059</v>
      </c>
      <c r="N780" s="467">
        <v>8</v>
      </c>
      <c r="O780" s="467">
        <v>8</v>
      </c>
      <c r="P780" s="467">
        <v>8</v>
      </c>
      <c r="Q780" s="467">
        <v>8</v>
      </c>
      <c r="R780" s="688">
        <v>8</v>
      </c>
    </row>
    <row r="781" spans="1:18" s="47" customFormat="1" ht="60" customHeight="1" x14ac:dyDescent="0.2">
      <c r="A781" s="486"/>
      <c r="B781" s="508"/>
      <c r="C781" s="508" t="s">
        <v>125</v>
      </c>
      <c r="D781" s="697">
        <v>1</v>
      </c>
      <c r="E781" s="498" t="s">
        <v>1060</v>
      </c>
      <c r="F781" s="941">
        <v>0</v>
      </c>
      <c r="G781" s="941">
        <v>0</v>
      </c>
      <c r="H781" s="941">
        <v>3422.5</v>
      </c>
      <c r="I781" s="941">
        <v>3422.5</v>
      </c>
      <c r="J781" s="941">
        <v>3422.5</v>
      </c>
      <c r="K781" s="670" t="s">
        <v>1061</v>
      </c>
      <c r="M781" s="818" t="s">
        <v>1059</v>
      </c>
      <c r="N781" s="467">
        <v>0</v>
      </c>
      <c r="O781" s="467">
        <v>0</v>
      </c>
      <c r="P781" s="467">
        <v>1</v>
      </c>
      <c r="Q781" s="467">
        <v>1</v>
      </c>
      <c r="R781" s="688">
        <v>1</v>
      </c>
    </row>
    <row r="782" spans="1:18" ht="30.75" customHeight="1" x14ac:dyDescent="0.2">
      <c r="A782" s="710"/>
      <c r="B782" s="2311" t="s">
        <v>64</v>
      </c>
      <c r="C782" s="2312"/>
      <c r="D782" s="2312"/>
      <c r="E782" s="2312"/>
      <c r="F782" s="908">
        <v>10842185.6</v>
      </c>
      <c r="G782" s="908">
        <f>G726+G732+G747+G764+G770+G779</f>
        <v>10843860.900000002</v>
      </c>
      <c r="H782" s="908">
        <f t="shared" ref="H782:J782" si="28">H726+H732+H747+H764+H770+H779</f>
        <v>10853139.899999999</v>
      </c>
      <c r="I782" s="908">
        <f t="shared" si="28"/>
        <v>11052173.000000002</v>
      </c>
      <c r="J782" s="908">
        <f t="shared" si="28"/>
        <v>11157814.4</v>
      </c>
      <c r="K782" s="102"/>
      <c r="L782" s="103"/>
      <c r="M782" s="102"/>
      <c r="N782" s="102"/>
      <c r="O782" s="102"/>
      <c r="P782" s="102"/>
      <c r="Q782" s="102"/>
      <c r="R782" s="102"/>
    </row>
    <row r="783" spans="1:18" ht="24.75" customHeight="1" x14ac:dyDescent="0.2">
      <c r="A783" s="509" t="s">
        <v>1062</v>
      </c>
      <c r="B783" s="1911" t="s">
        <v>1063</v>
      </c>
      <c r="C783" s="1911"/>
      <c r="D783" s="1911"/>
      <c r="E783" s="1911"/>
      <c r="F783" s="1911"/>
      <c r="G783" s="1911"/>
      <c r="H783" s="1911"/>
      <c r="I783" s="1911"/>
      <c r="J783" s="1911"/>
      <c r="K783" s="1911"/>
      <c r="L783" s="510"/>
      <c r="M783" s="1013"/>
      <c r="N783" s="511"/>
      <c r="O783" s="511"/>
      <c r="P783" s="511"/>
      <c r="Q783" s="511"/>
      <c r="R783" s="501"/>
    </row>
    <row r="784" spans="1:18" s="20" customFormat="1" ht="48.75" customHeight="1" x14ac:dyDescent="0.2">
      <c r="A784" s="512"/>
      <c r="B784" s="897">
        <v>1</v>
      </c>
      <c r="C784" s="54"/>
      <c r="D784" s="54">
        <v>0</v>
      </c>
      <c r="E784" s="768" t="s">
        <v>2574</v>
      </c>
      <c r="F784" s="901">
        <f>F786+F787+F788+F789+F790+F791+F792</f>
        <v>12713.6</v>
      </c>
      <c r="G784" s="901">
        <f>G786+G787+G788+G789+G790+G791+G792</f>
        <v>23242.100000000002</v>
      </c>
      <c r="H784" s="901">
        <f>H786+H787+H788+H789+H790+H791+H792</f>
        <v>23242.100000000002</v>
      </c>
      <c r="I784" s="901">
        <f t="shared" ref="I784:J784" si="29">I786+I787+I788+I789+I790+I791+I792</f>
        <v>24936.3</v>
      </c>
      <c r="J784" s="901">
        <f t="shared" si="29"/>
        <v>26667.525000000001</v>
      </c>
      <c r="K784" s="687" t="s">
        <v>16</v>
      </c>
      <c r="L784" s="687"/>
      <c r="M784" s="688" t="s">
        <v>17</v>
      </c>
      <c r="N784" s="502">
        <v>6.5000000000000002E-2</v>
      </c>
      <c r="O784" s="502">
        <v>6.5000000000000002E-2</v>
      </c>
      <c r="P784" s="502">
        <v>6.5000000000000002E-2</v>
      </c>
      <c r="Q784" s="502">
        <v>6.54E-2</v>
      </c>
      <c r="R784" s="502">
        <v>6.54E-2</v>
      </c>
    </row>
    <row r="785" spans="1:18" s="20" customFormat="1" x14ac:dyDescent="0.2">
      <c r="A785" s="512"/>
      <c r="B785" s="53"/>
      <c r="C785" s="54"/>
      <c r="D785" s="54"/>
      <c r="E785" s="768"/>
      <c r="F785" s="901"/>
      <c r="G785" s="901"/>
      <c r="H785" s="901"/>
      <c r="I785" s="901"/>
      <c r="J785" s="921"/>
      <c r="K785" s="687"/>
      <c r="L785" s="687"/>
      <c r="M785" s="688"/>
      <c r="N785" s="502"/>
      <c r="O785" s="502"/>
      <c r="P785" s="502"/>
      <c r="Q785" s="502"/>
      <c r="R785" s="502"/>
    </row>
    <row r="786" spans="1:18" s="20" customFormat="1" x14ac:dyDescent="0.2">
      <c r="A786" s="512"/>
      <c r="B786" s="53"/>
      <c r="C786" s="303">
        <v>1</v>
      </c>
      <c r="D786" s="54">
        <v>0</v>
      </c>
      <c r="E786" s="265" t="s">
        <v>18</v>
      </c>
      <c r="F786" s="901">
        <v>3251.8</v>
      </c>
      <c r="G786" s="901">
        <v>5194.99</v>
      </c>
      <c r="H786" s="901">
        <v>5194.99</v>
      </c>
      <c r="I786" s="901">
        <f>H786+254</f>
        <v>5448.99</v>
      </c>
      <c r="J786" s="901">
        <f>I786+288.5375</f>
        <v>5737.5275000000001</v>
      </c>
      <c r="K786" s="687" t="s">
        <v>19</v>
      </c>
      <c r="L786" s="687"/>
      <c r="M786" s="688" t="s">
        <v>20</v>
      </c>
      <c r="N786" s="688"/>
      <c r="O786" s="688"/>
      <c r="P786" s="688"/>
      <c r="Q786" s="688"/>
      <c r="R786" s="688"/>
    </row>
    <row r="787" spans="1:18" s="20" customFormat="1" x14ac:dyDescent="0.2">
      <c r="A787" s="512"/>
      <c r="B787" s="53"/>
      <c r="C787" s="303">
        <v>2</v>
      </c>
      <c r="D787" s="54">
        <v>0</v>
      </c>
      <c r="E787" s="755" t="s">
        <v>22</v>
      </c>
      <c r="F787" s="901">
        <v>1121.5</v>
      </c>
      <c r="G787" s="901">
        <v>2261.0300000000002</v>
      </c>
      <c r="H787" s="901">
        <v>2261.0300000000002</v>
      </c>
      <c r="I787" s="901">
        <f t="shared" ref="I787:I792" si="30">H787+254</f>
        <v>2515.0300000000002</v>
      </c>
      <c r="J787" s="901">
        <f>I787+288.5375</f>
        <v>2803.5675000000001</v>
      </c>
      <c r="K787" s="687" t="s">
        <v>23</v>
      </c>
      <c r="L787" s="687"/>
      <c r="M787" s="688" t="s">
        <v>17</v>
      </c>
      <c r="N787" s="249">
        <v>1</v>
      </c>
      <c r="O787" s="249">
        <v>0</v>
      </c>
      <c r="P787" s="249">
        <v>0</v>
      </c>
      <c r="Q787" s="249">
        <v>0</v>
      </c>
      <c r="R787" s="249">
        <v>0</v>
      </c>
    </row>
    <row r="788" spans="1:18" s="20" customFormat="1" x14ac:dyDescent="0.2">
      <c r="A788" s="512"/>
      <c r="B788" s="53"/>
      <c r="C788" s="303">
        <v>3</v>
      </c>
      <c r="D788" s="54">
        <v>0</v>
      </c>
      <c r="E788" s="755" t="s">
        <v>24</v>
      </c>
      <c r="F788" s="901">
        <v>973.5</v>
      </c>
      <c r="G788" s="901">
        <v>1896.43</v>
      </c>
      <c r="H788" s="901">
        <v>1896.43</v>
      </c>
      <c r="I788" s="901">
        <f t="shared" si="30"/>
        <v>2150.4300000000003</v>
      </c>
      <c r="J788" s="901">
        <f>I788+288.5375</f>
        <v>2438.9675000000002</v>
      </c>
      <c r="K788" s="687" t="s">
        <v>25</v>
      </c>
      <c r="L788" s="687"/>
      <c r="M788" s="688" t="s">
        <v>17</v>
      </c>
      <c r="N788" s="249">
        <v>0</v>
      </c>
      <c r="O788" s="249">
        <v>0</v>
      </c>
      <c r="P788" s="249">
        <v>0</v>
      </c>
      <c r="Q788" s="249">
        <v>0</v>
      </c>
      <c r="R788" s="249">
        <v>0</v>
      </c>
    </row>
    <row r="789" spans="1:18" s="20" customFormat="1" ht="25.5" x14ac:dyDescent="0.2">
      <c r="A789" s="512"/>
      <c r="B789" s="53"/>
      <c r="C789" s="303">
        <v>4</v>
      </c>
      <c r="D789" s="54">
        <v>0</v>
      </c>
      <c r="E789" s="755" t="s">
        <v>26</v>
      </c>
      <c r="F789" s="901"/>
      <c r="G789" s="901">
        <v>144.1</v>
      </c>
      <c r="H789" s="901">
        <v>144.1</v>
      </c>
      <c r="I789" s="901">
        <f>H789+254-83.8</f>
        <v>314.3</v>
      </c>
      <c r="J789" s="901">
        <v>314.3</v>
      </c>
      <c r="K789" s="687" t="s">
        <v>27</v>
      </c>
      <c r="L789" s="687"/>
      <c r="M789" s="688" t="s">
        <v>28</v>
      </c>
      <c r="N789" s="688">
        <v>0</v>
      </c>
      <c r="O789" s="688">
        <v>0</v>
      </c>
      <c r="P789" s="688">
        <v>0</v>
      </c>
      <c r="Q789" s="688">
        <v>0</v>
      </c>
      <c r="R789" s="688">
        <v>0</v>
      </c>
    </row>
    <row r="790" spans="1:18" s="20" customFormat="1" ht="25.5" x14ac:dyDescent="0.2">
      <c r="A790" s="512"/>
      <c r="B790" s="53"/>
      <c r="C790" s="303">
        <v>5</v>
      </c>
      <c r="D790" s="54">
        <v>0</v>
      </c>
      <c r="E790" s="755" t="s">
        <v>29</v>
      </c>
      <c r="F790" s="901">
        <v>1523.9</v>
      </c>
      <c r="G790" s="901">
        <v>2517.63</v>
      </c>
      <c r="H790" s="901">
        <v>2517.63</v>
      </c>
      <c r="I790" s="901">
        <f>H790+254</f>
        <v>2771.63</v>
      </c>
      <c r="J790" s="901">
        <f t="shared" ref="J790:J792" si="31">I790+288.5375</f>
        <v>3060.1675</v>
      </c>
      <c r="K790" s="687" t="s">
        <v>30</v>
      </c>
      <c r="L790" s="687"/>
      <c r="M790" s="688" t="s">
        <v>31</v>
      </c>
      <c r="N790" s="688"/>
      <c r="O790" s="688"/>
      <c r="P790" s="688"/>
      <c r="Q790" s="688"/>
      <c r="R790" s="688"/>
    </row>
    <row r="791" spans="1:18" s="20" customFormat="1" ht="25.5" x14ac:dyDescent="0.2">
      <c r="A791" s="512"/>
      <c r="B791" s="53"/>
      <c r="C791" s="303">
        <v>6</v>
      </c>
      <c r="D791" s="54">
        <v>0</v>
      </c>
      <c r="E791" s="768" t="s">
        <v>32</v>
      </c>
      <c r="F791" s="901">
        <v>4885.8999999999996</v>
      </c>
      <c r="G791" s="901">
        <v>9210.69</v>
      </c>
      <c r="H791" s="901">
        <v>9210.69</v>
      </c>
      <c r="I791" s="901">
        <f t="shared" si="30"/>
        <v>9464.69</v>
      </c>
      <c r="J791" s="901">
        <f>I791+288.5375</f>
        <v>9753.2275000000009</v>
      </c>
      <c r="K791" s="687" t="s">
        <v>33</v>
      </c>
      <c r="L791" s="687"/>
      <c r="M791" s="688" t="s">
        <v>17</v>
      </c>
      <c r="N791" s="503">
        <v>0.28399999999999997</v>
      </c>
      <c r="O791" s="503">
        <v>0.28399999999999997</v>
      </c>
      <c r="P791" s="503">
        <v>0.28399999999999997</v>
      </c>
      <c r="Q791" s="503">
        <v>0.28399999999999997</v>
      </c>
      <c r="R791" s="503">
        <v>0.28399999999999997</v>
      </c>
    </row>
    <row r="792" spans="1:18" s="20" customFormat="1" ht="25.5" x14ac:dyDescent="0.2">
      <c r="A792" s="512"/>
      <c r="B792" s="53"/>
      <c r="C792" s="303">
        <v>7</v>
      </c>
      <c r="D792" s="54">
        <v>0</v>
      </c>
      <c r="E792" s="768" t="s">
        <v>251</v>
      </c>
      <c r="F792" s="901">
        <v>957</v>
      </c>
      <c r="G792" s="901">
        <v>2017.23</v>
      </c>
      <c r="H792" s="901">
        <v>2017.23</v>
      </c>
      <c r="I792" s="901">
        <f t="shared" si="30"/>
        <v>2271.23</v>
      </c>
      <c r="J792" s="901">
        <f t="shared" si="31"/>
        <v>2559.7674999999999</v>
      </c>
      <c r="K792" s="687" t="s">
        <v>1064</v>
      </c>
      <c r="L792" s="687"/>
      <c r="M792" s="688"/>
      <c r="N792" s="688"/>
      <c r="O792" s="688"/>
      <c r="P792" s="688"/>
      <c r="Q792" s="688"/>
      <c r="R792" s="688"/>
    </row>
    <row r="793" spans="1:18" s="20" customFormat="1" x14ac:dyDescent="0.2">
      <c r="A793" s="512"/>
      <c r="B793" s="53"/>
      <c r="C793" s="303">
        <v>8</v>
      </c>
      <c r="D793" s="54">
        <v>0</v>
      </c>
      <c r="E793" s="768" t="s">
        <v>247</v>
      </c>
      <c r="F793" s="901"/>
      <c r="G793" s="901"/>
      <c r="H793" s="901"/>
      <c r="I793" s="901">
        <v>0</v>
      </c>
      <c r="J793" s="901">
        <v>0</v>
      </c>
      <c r="K793" s="687"/>
      <c r="L793" s="687"/>
      <c r="M793" s="688"/>
      <c r="N793" s="688"/>
      <c r="O793" s="688"/>
      <c r="P793" s="688"/>
      <c r="Q793" s="688"/>
      <c r="R793" s="688"/>
    </row>
    <row r="794" spans="1:18" s="20" customFormat="1" ht="83.25" customHeight="1" x14ac:dyDescent="0.2">
      <c r="A794" s="512"/>
      <c r="B794" s="897">
        <v>2</v>
      </c>
      <c r="C794" s="514"/>
      <c r="D794" s="514"/>
      <c r="E794" s="673" t="s">
        <v>2575</v>
      </c>
      <c r="F794" s="901">
        <f>SUM(F795:F796)</f>
        <v>24112.199999999997</v>
      </c>
      <c r="G794" s="901">
        <f>SUM(G795:G796)</f>
        <v>38036.300000000003</v>
      </c>
      <c r="H794" s="901">
        <f>SUM(H795:H796)</f>
        <v>38036.300000000003</v>
      </c>
      <c r="I794" s="901">
        <f>SUM(I795:I796)</f>
        <v>38544.300000000003</v>
      </c>
      <c r="J794" s="901">
        <f>SUM(J795:J796)</f>
        <v>39015.275000000001</v>
      </c>
      <c r="K794" s="768" t="s">
        <v>1065</v>
      </c>
      <c r="L794" s="768"/>
      <c r="M794" s="249">
        <v>1</v>
      </c>
      <c r="N794" s="502"/>
      <c r="O794" s="502"/>
      <c r="P794" s="502"/>
      <c r="Q794" s="502"/>
      <c r="R794" s="502"/>
    </row>
    <row r="795" spans="1:18" s="20" customFormat="1" x14ac:dyDescent="0.2">
      <c r="A795" s="512"/>
      <c r="B795" s="53"/>
      <c r="C795" s="514" t="s">
        <v>123</v>
      </c>
      <c r="D795" s="514"/>
      <c r="E795" s="768" t="s">
        <v>1066</v>
      </c>
      <c r="F795" s="901">
        <v>5377.1</v>
      </c>
      <c r="G795" s="901">
        <v>9491.5400000000009</v>
      </c>
      <c r="H795" s="901">
        <v>9491.5400000000009</v>
      </c>
      <c r="I795" s="901">
        <f>H795+254</f>
        <v>9745.5400000000009</v>
      </c>
      <c r="J795" s="901">
        <f>I795+288.5375-53.05</f>
        <v>9981.027500000002</v>
      </c>
      <c r="K795" s="768" t="s">
        <v>1067</v>
      </c>
      <c r="L795" s="768"/>
      <c r="M795" s="691"/>
      <c r="N795" s="691">
        <v>1145</v>
      </c>
      <c r="O795" s="691"/>
      <c r="P795" s="691"/>
      <c r="Q795" s="691"/>
      <c r="R795" s="691"/>
    </row>
    <row r="796" spans="1:18" s="20" customFormat="1" ht="25.5" x14ac:dyDescent="0.2">
      <c r="A796" s="512"/>
      <c r="B796" s="53"/>
      <c r="C796" s="514" t="s">
        <v>125</v>
      </c>
      <c r="D796" s="514"/>
      <c r="E796" s="768" t="s">
        <v>1068</v>
      </c>
      <c r="F796" s="901">
        <v>18735.099999999999</v>
      </c>
      <c r="G796" s="901">
        <v>28544.76</v>
      </c>
      <c r="H796" s="901">
        <v>28544.76</v>
      </c>
      <c r="I796" s="901">
        <f>H796+254</f>
        <v>28798.76</v>
      </c>
      <c r="J796" s="901">
        <f>I796+288.5375-53.05</f>
        <v>29034.247499999998</v>
      </c>
      <c r="K796" s="768" t="s">
        <v>1069</v>
      </c>
      <c r="L796" s="768"/>
      <c r="M796" s="688" t="s">
        <v>17</v>
      </c>
      <c r="N796" s="781"/>
      <c r="O796" s="781"/>
      <c r="P796" s="781"/>
      <c r="Q796" s="781"/>
      <c r="R796" s="781"/>
    </row>
    <row r="797" spans="1:18" s="20" customFormat="1" ht="63.75" x14ac:dyDescent="0.2">
      <c r="A797" s="512"/>
      <c r="B797" s="53"/>
      <c r="C797" s="514"/>
      <c r="D797" s="514"/>
      <c r="E797" s="673" t="s">
        <v>1070</v>
      </c>
      <c r="F797" s="901">
        <f>F798</f>
        <v>12265</v>
      </c>
      <c r="G797" s="901">
        <v>3747.9</v>
      </c>
      <c r="H797" s="901">
        <v>3747.9</v>
      </c>
      <c r="I797" s="901">
        <f t="shared" ref="I797:J797" si="32">I798</f>
        <v>3832.5</v>
      </c>
      <c r="J797" s="901">
        <f t="shared" si="32"/>
        <v>3938.6</v>
      </c>
      <c r="K797" s="768" t="s">
        <v>1071</v>
      </c>
      <c r="L797" s="768"/>
      <c r="M797" s="688"/>
      <c r="N797" s="515"/>
      <c r="O797" s="504"/>
      <c r="P797" s="504"/>
      <c r="Q797" s="504"/>
      <c r="R797" s="504"/>
    </row>
    <row r="798" spans="1:18" s="20" customFormat="1" ht="25.5" x14ac:dyDescent="0.2">
      <c r="A798" s="512"/>
      <c r="B798" s="53"/>
      <c r="C798" s="514" t="s">
        <v>123</v>
      </c>
      <c r="D798" s="514"/>
      <c r="E798" s="670" t="s">
        <v>1072</v>
      </c>
      <c r="F798" s="901">
        <v>12265</v>
      </c>
      <c r="G798" s="901">
        <v>3747.9</v>
      </c>
      <c r="H798" s="901">
        <v>3747.9</v>
      </c>
      <c r="I798" s="901">
        <v>3832.5</v>
      </c>
      <c r="J798" s="901">
        <v>3938.6</v>
      </c>
      <c r="K798" s="768" t="s">
        <v>1073</v>
      </c>
      <c r="L798" s="768"/>
      <c r="M798" s="688"/>
      <c r="N798" s="781"/>
      <c r="O798" s="781"/>
      <c r="P798" s="781"/>
      <c r="Q798" s="781"/>
      <c r="R798" s="781"/>
    </row>
    <row r="799" spans="1:18" s="20" customFormat="1" ht="88.5" customHeight="1" x14ac:dyDescent="0.2">
      <c r="A799" s="512"/>
      <c r="B799" s="53"/>
      <c r="C799" s="514"/>
      <c r="D799" s="514"/>
      <c r="E799" s="673" t="s">
        <v>1074</v>
      </c>
      <c r="F799" s="901">
        <f>F800</f>
        <v>60735.1</v>
      </c>
      <c r="G799" s="901">
        <f>G800</f>
        <v>59447.4</v>
      </c>
      <c r="H799" s="901">
        <f>H800</f>
        <v>59447.4</v>
      </c>
      <c r="I799" s="901">
        <f>I800</f>
        <v>59447.4</v>
      </c>
      <c r="J799" s="901">
        <f>J800</f>
        <v>59447.4</v>
      </c>
      <c r="K799" s="768" t="s">
        <v>1075</v>
      </c>
      <c r="L799" s="768"/>
      <c r="M799" s="249">
        <v>1</v>
      </c>
      <c r="N799" s="100"/>
      <c r="O799" s="100"/>
      <c r="P799" s="100"/>
      <c r="Q799" s="100"/>
      <c r="R799" s="100"/>
    </row>
    <row r="800" spans="1:18" s="20" customFormat="1" ht="38.25" x14ac:dyDescent="0.2">
      <c r="A800" s="512"/>
      <c r="B800" s="53"/>
      <c r="C800" s="514" t="s">
        <v>123</v>
      </c>
      <c r="D800" s="514"/>
      <c r="E800" s="768" t="s">
        <v>1076</v>
      </c>
      <c r="F800" s="901">
        <v>60735.1</v>
      </c>
      <c r="G800" s="901">
        <v>59447.4</v>
      </c>
      <c r="H800" s="901">
        <v>59447.4</v>
      </c>
      <c r="I800" s="901">
        <v>59447.4</v>
      </c>
      <c r="J800" s="901">
        <v>59447.4</v>
      </c>
      <c r="K800" s="768" t="s">
        <v>1077</v>
      </c>
      <c r="L800" s="768"/>
      <c r="M800" s="688"/>
      <c r="N800" s="781"/>
      <c r="O800" s="781"/>
      <c r="P800" s="781"/>
      <c r="Q800" s="781"/>
      <c r="R800" s="781"/>
    </row>
    <row r="801" spans="2:18" ht="25.5" customHeight="1" x14ac:dyDescent="0.2">
      <c r="B801" s="1906" t="s">
        <v>64</v>
      </c>
      <c r="C801" s="1906"/>
      <c r="D801" s="1906"/>
      <c r="E801" s="1906"/>
      <c r="F801" s="923">
        <v>109825.9</v>
      </c>
      <c r="G801" s="923">
        <v>124473.70000000001</v>
      </c>
      <c r="H801" s="923">
        <v>124473.70000000001</v>
      </c>
      <c r="I801" s="923">
        <v>126760.5</v>
      </c>
      <c r="J801" s="923">
        <v>129068.80000000002</v>
      </c>
      <c r="K801" s="895"/>
      <c r="L801" s="895"/>
      <c r="M801" s="894"/>
      <c r="N801" s="896"/>
      <c r="O801" s="896"/>
      <c r="P801" s="896"/>
      <c r="Q801" s="896"/>
      <c r="R801" s="896"/>
    </row>
    <row r="802" spans="2:18" ht="40.5" customHeight="1" x14ac:dyDescent="0.2">
      <c r="B802" s="1741" t="s">
        <v>1078</v>
      </c>
      <c r="C802" s="1741"/>
      <c r="D802" s="1741"/>
      <c r="E802" s="1741"/>
      <c r="F802" s="1073"/>
      <c r="G802" s="1073"/>
      <c r="H802" s="1073"/>
      <c r="I802" s="1073"/>
      <c r="J802" s="1073"/>
      <c r="K802" s="1074"/>
      <c r="L802" s="1074"/>
      <c r="M802" s="1075"/>
      <c r="N802" s="1074"/>
      <c r="O802" s="1074"/>
      <c r="P802" s="1074"/>
      <c r="Q802" s="1074"/>
      <c r="R802" s="802"/>
    </row>
    <row r="803" spans="2:18" ht="15" customHeight="1" x14ac:dyDescent="0.2">
      <c r="B803" s="1909" t="s">
        <v>120</v>
      </c>
      <c r="C803" s="1908"/>
      <c r="D803" s="1908"/>
      <c r="E803" s="1910" t="s">
        <v>2576</v>
      </c>
      <c r="F803" s="1773">
        <v>739.4</v>
      </c>
      <c r="G803" s="1773">
        <v>739.4</v>
      </c>
      <c r="H803" s="1773">
        <f>H805</f>
        <v>739.4</v>
      </c>
      <c r="I803" s="1773">
        <v>753.6</v>
      </c>
      <c r="J803" s="1773">
        <v>760.7</v>
      </c>
      <c r="K803" s="1908" t="s">
        <v>1</v>
      </c>
      <c r="L803" s="709"/>
      <c r="M803" s="1763"/>
      <c r="N803" s="1763"/>
      <c r="O803" s="1763"/>
      <c r="P803" s="1763"/>
      <c r="Q803" s="1763"/>
      <c r="R803" s="1763"/>
    </row>
    <row r="804" spans="2:18" ht="50.25" customHeight="1" x14ac:dyDescent="0.2">
      <c r="B804" s="1909"/>
      <c r="C804" s="1908"/>
      <c r="D804" s="1908"/>
      <c r="E804" s="1910"/>
      <c r="F804" s="1773"/>
      <c r="G804" s="1773"/>
      <c r="H804" s="1773"/>
      <c r="I804" s="1773"/>
      <c r="J804" s="1773"/>
      <c r="K804" s="1908"/>
      <c r="L804" s="709"/>
      <c r="M804" s="1763"/>
      <c r="N804" s="1763"/>
      <c r="O804" s="1763"/>
      <c r="P804" s="1763"/>
      <c r="Q804" s="1763"/>
      <c r="R804" s="1763"/>
    </row>
    <row r="805" spans="2:18" ht="51" x14ac:dyDescent="0.2">
      <c r="B805" s="709"/>
      <c r="C805" s="77" t="s">
        <v>123</v>
      </c>
      <c r="D805" s="709"/>
      <c r="E805" s="709" t="s">
        <v>2455</v>
      </c>
      <c r="F805" s="911">
        <v>739.4</v>
      </c>
      <c r="G805" s="911">
        <v>739.4</v>
      </c>
      <c r="H805" s="911">
        <v>739.4</v>
      </c>
      <c r="I805" s="911">
        <v>753.6</v>
      </c>
      <c r="J805" s="911">
        <v>760.7</v>
      </c>
      <c r="K805" s="709" t="s">
        <v>1079</v>
      </c>
      <c r="L805" s="709"/>
      <c r="M805" s="708"/>
      <c r="N805" s="708">
        <v>60</v>
      </c>
      <c r="O805" s="708">
        <v>100</v>
      </c>
      <c r="P805" s="708">
        <v>100</v>
      </c>
      <c r="Q805" s="708">
        <v>100</v>
      </c>
      <c r="R805" s="708">
        <v>100</v>
      </c>
    </row>
    <row r="806" spans="2:18" x14ac:dyDescent="0.2">
      <c r="B806" s="1906" t="s">
        <v>64</v>
      </c>
      <c r="C806" s="1906"/>
      <c r="D806" s="1906"/>
      <c r="E806" s="1906"/>
      <c r="F806" s="908">
        <v>739.4</v>
      </c>
      <c r="G806" s="908">
        <v>739.4</v>
      </c>
      <c r="H806" s="908">
        <f>H803</f>
        <v>739.4</v>
      </c>
      <c r="I806" s="908">
        <v>753.6</v>
      </c>
      <c r="J806" s="908">
        <v>760.7</v>
      </c>
      <c r="K806" s="60"/>
      <c r="L806" s="60"/>
      <c r="M806" s="59"/>
      <c r="N806" s="59"/>
      <c r="O806" s="59"/>
      <c r="P806" s="59"/>
      <c r="Q806" s="59"/>
      <c r="R806" s="59"/>
    </row>
    <row r="807" spans="2:18" ht="45" customHeight="1" x14ac:dyDescent="0.2">
      <c r="B807" s="1741" t="s">
        <v>1080</v>
      </c>
      <c r="C807" s="1741"/>
      <c r="D807" s="1741"/>
      <c r="E807" s="1741"/>
      <c r="F807" s="1076"/>
      <c r="G807" s="1076"/>
      <c r="H807" s="1076"/>
      <c r="I807" s="1076"/>
      <c r="J807" s="1076"/>
      <c r="K807" s="1077"/>
      <c r="L807" s="1077"/>
      <c r="M807" s="1078"/>
      <c r="N807" s="1077"/>
      <c r="O807" s="1077"/>
      <c r="P807" s="1077"/>
      <c r="Q807" s="1077"/>
      <c r="R807" s="1079"/>
    </row>
    <row r="808" spans="2:18" ht="38.25" x14ac:dyDescent="0.2">
      <c r="B808" s="338" t="s">
        <v>120</v>
      </c>
      <c r="C808" s="816"/>
      <c r="D808" s="816"/>
      <c r="E808" s="311" t="s">
        <v>2577</v>
      </c>
      <c r="F808" s="902">
        <v>126212.9</v>
      </c>
      <c r="G808" s="902">
        <v>138701</v>
      </c>
      <c r="H808" s="902">
        <f>H809+H818+H825+H831</f>
        <v>143980.1</v>
      </c>
      <c r="I808" s="902">
        <v>146783.09999999998</v>
      </c>
      <c r="J808" s="902">
        <v>146783.09999999998</v>
      </c>
      <c r="K808" s="687" t="s">
        <v>1081</v>
      </c>
      <c r="L808" s="687"/>
      <c r="M808" s="688" t="s">
        <v>17</v>
      </c>
      <c r="N808" s="688">
        <v>12.1</v>
      </c>
      <c r="O808" s="688">
        <v>42.9</v>
      </c>
      <c r="P808" s="688">
        <v>40.700000000000003</v>
      </c>
      <c r="Q808" s="688">
        <v>40.700000000000003</v>
      </c>
      <c r="R808" s="688">
        <v>40.700000000000003</v>
      </c>
    </row>
    <row r="809" spans="2:18" ht="75" customHeight="1" x14ac:dyDescent="0.2">
      <c r="B809" s="1747"/>
      <c r="C809" s="1747" t="s">
        <v>1082</v>
      </c>
      <c r="D809" s="1774"/>
      <c r="E809" s="1764" t="s">
        <v>1083</v>
      </c>
      <c r="F809" s="1661">
        <v>25165.1</v>
      </c>
      <c r="G809" s="1661">
        <v>26244.2</v>
      </c>
      <c r="H809" s="1661">
        <v>24619.3</v>
      </c>
      <c r="I809" s="1661">
        <v>25048.799999999999</v>
      </c>
      <c r="J809" s="1661">
        <v>25048.799999999999</v>
      </c>
      <c r="K809" s="687" t="s">
        <v>1084</v>
      </c>
      <c r="L809" s="687"/>
      <c r="M809" s="688"/>
      <c r="N809" s="688"/>
      <c r="O809" s="688"/>
      <c r="P809" s="688"/>
      <c r="Q809" s="688"/>
      <c r="R809" s="688"/>
    </row>
    <row r="810" spans="2:18" x14ac:dyDescent="0.2">
      <c r="B810" s="1747"/>
      <c r="C810" s="1747"/>
      <c r="D810" s="1775"/>
      <c r="E810" s="1764"/>
      <c r="F810" s="1661"/>
      <c r="G810" s="1661"/>
      <c r="H810" s="1661"/>
      <c r="I810" s="1661"/>
      <c r="J810" s="1661"/>
      <c r="K810" s="686" t="s">
        <v>1085</v>
      </c>
      <c r="L810" s="686"/>
      <c r="M810" s="688" t="s">
        <v>1086</v>
      </c>
      <c r="N810" s="506">
        <v>219.9</v>
      </c>
      <c r="O810" s="505">
        <v>233.8</v>
      </c>
      <c r="P810" s="505">
        <v>248.5</v>
      </c>
      <c r="Q810" s="505">
        <v>262.60000000000002</v>
      </c>
      <c r="R810" s="505">
        <v>277.5</v>
      </c>
    </row>
    <row r="811" spans="2:18" x14ac:dyDescent="0.2">
      <c r="B811" s="1747"/>
      <c r="C811" s="1747"/>
      <c r="D811" s="1775"/>
      <c r="E811" s="1764"/>
      <c r="F811" s="1661"/>
      <c r="G811" s="1661"/>
      <c r="H811" s="1661"/>
      <c r="I811" s="1661"/>
      <c r="J811" s="1661"/>
      <c r="K811" s="686" t="s">
        <v>1087</v>
      </c>
      <c r="L811" s="686"/>
      <c r="M811" s="688" t="s">
        <v>17</v>
      </c>
      <c r="N811" s="506">
        <v>102.6</v>
      </c>
      <c r="O811" s="505">
        <v>102</v>
      </c>
      <c r="P811" s="505">
        <v>102.7</v>
      </c>
      <c r="Q811" s="505">
        <v>102.9</v>
      </c>
      <c r="R811" s="505">
        <v>103.1</v>
      </c>
    </row>
    <row r="812" spans="2:18" x14ac:dyDescent="0.2">
      <c r="B812" s="1747"/>
      <c r="C812" s="1747"/>
      <c r="D812" s="1775"/>
      <c r="E812" s="1764"/>
      <c r="F812" s="1661"/>
      <c r="G812" s="1661"/>
      <c r="H812" s="1661"/>
      <c r="I812" s="1661"/>
      <c r="J812" s="1661"/>
      <c r="K812" s="686" t="s">
        <v>1088</v>
      </c>
      <c r="L812" s="686"/>
      <c r="M812" s="688" t="s">
        <v>515</v>
      </c>
      <c r="N812" s="506">
        <v>37.9</v>
      </c>
      <c r="O812" s="506">
        <v>41</v>
      </c>
      <c r="P812" s="506">
        <v>43.5</v>
      </c>
      <c r="Q812" s="506">
        <v>47.1</v>
      </c>
      <c r="R812" s="506">
        <v>50.6</v>
      </c>
    </row>
    <row r="813" spans="2:18" x14ac:dyDescent="0.2">
      <c r="B813" s="1747"/>
      <c r="C813" s="1747"/>
      <c r="D813" s="1775"/>
      <c r="E813" s="1764"/>
      <c r="F813" s="1661"/>
      <c r="G813" s="1661"/>
      <c r="H813" s="1661"/>
      <c r="I813" s="1661"/>
      <c r="J813" s="1661"/>
      <c r="K813" s="686" t="s">
        <v>1087</v>
      </c>
      <c r="L813" s="686"/>
      <c r="M813" s="688" t="s">
        <v>17</v>
      </c>
      <c r="N813" s="506">
        <v>103.9</v>
      </c>
      <c r="O813" s="506">
        <v>103.6</v>
      </c>
      <c r="P813" s="506">
        <v>104</v>
      </c>
      <c r="Q813" s="506">
        <v>104.5</v>
      </c>
      <c r="R813" s="506">
        <v>104.8</v>
      </c>
    </row>
    <row r="814" spans="2:18" x14ac:dyDescent="0.2">
      <c r="B814" s="1747"/>
      <c r="C814" s="1747"/>
      <c r="D814" s="1775"/>
      <c r="E814" s="1764"/>
      <c r="F814" s="1661"/>
      <c r="G814" s="1661"/>
      <c r="H814" s="1661"/>
      <c r="I814" s="1661"/>
      <c r="J814" s="1661"/>
      <c r="K814" s="518" t="s">
        <v>1089</v>
      </c>
      <c r="L814" s="518"/>
      <c r="M814" s="688" t="s">
        <v>1086</v>
      </c>
      <c r="N814" s="506">
        <v>110.5</v>
      </c>
      <c r="O814" s="506">
        <v>118.7</v>
      </c>
      <c r="P814" s="506">
        <v>127.9</v>
      </c>
      <c r="Q814" s="506">
        <v>136.9</v>
      </c>
      <c r="R814" s="506">
        <v>146.5</v>
      </c>
    </row>
    <row r="815" spans="2:18" x14ac:dyDescent="0.2">
      <c r="B815" s="1747"/>
      <c r="C815" s="1747"/>
      <c r="D815" s="1775"/>
      <c r="E815" s="1764"/>
      <c r="F815" s="1661"/>
      <c r="G815" s="1661"/>
      <c r="H815" s="1661"/>
      <c r="I815" s="1661"/>
      <c r="J815" s="1661"/>
      <c r="K815" s="686" t="s">
        <v>1087</v>
      </c>
      <c r="L815" s="686"/>
      <c r="M815" s="688" t="s">
        <v>17</v>
      </c>
      <c r="N815" s="506">
        <v>102.6</v>
      </c>
      <c r="O815" s="506">
        <v>107.7</v>
      </c>
      <c r="P815" s="506">
        <v>103</v>
      </c>
      <c r="Q815" s="506">
        <v>103</v>
      </c>
      <c r="R815" s="506">
        <v>103.3</v>
      </c>
    </row>
    <row r="816" spans="2:18" x14ac:dyDescent="0.2">
      <c r="B816" s="1747"/>
      <c r="C816" s="1747"/>
      <c r="D816" s="1775"/>
      <c r="E816" s="1764"/>
      <c r="F816" s="1661"/>
      <c r="G816" s="1661"/>
      <c r="H816" s="1661"/>
      <c r="I816" s="1661"/>
      <c r="J816" s="1661"/>
      <c r="K816" s="518" t="s">
        <v>1090</v>
      </c>
      <c r="L816" s="518"/>
      <c r="M816" s="688" t="s">
        <v>1086</v>
      </c>
      <c r="N816" s="506">
        <v>103.9</v>
      </c>
      <c r="O816" s="506">
        <v>109.3</v>
      </c>
      <c r="P816" s="506">
        <v>114.7</v>
      </c>
      <c r="Q816" s="506">
        <v>119.8</v>
      </c>
      <c r="R816" s="506">
        <v>125</v>
      </c>
    </row>
    <row r="817" spans="2:18" x14ac:dyDescent="0.2">
      <c r="B817" s="1747"/>
      <c r="C817" s="1747"/>
      <c r="D817" s="1776"/>
      <c r="E817" s="1764"/>
      <c r="F817" s="1661"/>
      <c r="G817" s="1661"/>
      <c r="H817" s="1661"/>
      <c r="I817" s="1661"/>
      <c r="J817" s="1661"/>
      <c r="K817" s="686" t="s">
        <v>1087</v>
      </c>
      <c r="L817" s="686"/>
      <c r="M817" s="688" t="s">
        <v>17</v>
      </c>
      <c r="N817" s="506">
        <v>102.5</v>
      </c>
      <c r="O817" s="506">
        <v>102.3</v>
      </c>
      <c r="P817" s="506">
        <v>102.6</v>
      </c>
      <c r="Q817" s="506">
        <v>102.8</v>
      </c>
      <c r="R817" s="506">
        <v>103</v>
      </c>
    </row>
    <row r="818" spans="2:18" ht="15" customHeight="1" x14ac:dyDescent="0.2">
      <c r="B818" s="1747"/>
      <c r="C818" s="1747" t="s">
        <v>1091</v>
      </c>
      <c r="D818" s="1774"/>
      <c r="E818" s="1764" t="s">
        <v>1092</v>
      </c>
      <c r="F818" s="1661">
        <v>15312.9</v>
      </c>
      <c r="G818" s="1661">
        <v>17254.400000000001</v>
      </c>
      <c r="H818" s="1661">
        <v>15657.2</v>
      </c>
      <c r="I818" s="1661">
        <v>15908.6</v>
      </c>
      <c r="J818" s="1661">
        <v>15908.6</v>
      </c>
      <c r="K818" s="687"/>
      <c r="L818" s="687"/>
      <c r="M818" s="688"/>
      <c r="N818" s="688"/>
      <c r="O818" s="688"/>
      <c r="P818" s="688"/>
      <c r="Q818" s="688"/>
      <c r="R818" s="688"/>
    </row>
    <row r="819" spans="2:18" ht="38.25" x14ac:dyDescent="0.2">
      <c r="B819" s="1747"/>
      <c r="C819" s="1747"/>
      <c r="D819" s="1775"/>
      <c r="E819" s="1764"/>
      <c r="F819" s="1661"/>
      <c r="G819" s="1661"/>
      <c r="H819" s="1661"/>
      <c r="I819" s="1661"/>
      <c r="J819" s="1661"/>
      <c r="K819" s="687" t="s">
        <v>1093</v>
      </c>
      <c r="L819" s="687"/>
      <c r="M819" s="688" t="s">
        <v>17</v>
      </c>
      <c r="N819" s="688">
        <v>92</v>
      </c>
      <c r="O819" s="688">
        <v>97</v>
      </c>
      <c r="P819" s="688">
        <v>97</v>
      </c>
      <c r="Q819" s="688">
        <v>97</v>
      </c>
      <c r="R819" s="688">
        <v>97</v>
      </c>
    </row>
    <row r="820" spans="2:18" ht="25.5" x14ac:dyDescent="0.2">
      <c r="B820" s="1747"/>
      <c r="C820" s="1747"/>
      <c r="D820" s="1775"/>
      <c r="E820" s="1764"/>
      <c r="F820" s="1661"/>
      <c r="G820" s="1661"/>
      <c r="H820" s="1661"/>
      <c r="I820" s="1661"/>
      <c r="J820" s="1661"/>
      <c r="K820" s="687" t="s">
        <v>1094</v>
      </c>
      <c r="L820" s="687"/>
      <c r="M820" s="688" t="s">
        <v>130</v>
      </c>
      <c r="N820" s="688">
        <v>3</v>
      </c>
      <c r="O820" s="688">
        <v>5</v>
      </c>
      <c r="P820" s="688">
        <v>5</v>
      </c>
      <c r="Q820" s="688">
        <v>5</v>
      </c>
      <c r="R820" s="688">
        <v>5</v>
      </c>
    </row>
    <row r="821" spans="2:18" ht="25.5" x14ac:dyDescent="0.2">
      <c r="B821" s="1747"/>
      <c r="C821" s="1747"/>
      <c r="D821" s="1775"/>
      <c r="E821" s="1764"/>
      <c r="F821" s="1661"/>
      <c r="G821" s="1661"/>
      <c r="H821" s="1661"/>
      <c r="I821" s="1661"/>
      <c r="J821" s="1661"/>
      <c r="K821" s="687" t="s">
        <v>1095</v>
      </c>
      <c r="L821" s="687"/>
      <c r="M821" s="688" t="s">
        <v>1096</v>
      </c>
      <c r="N821" s="688">
        <v>7</v>
      </c>
      <c r="O821" s="688">
        <v>7</v>
      </c>
      <c r="P821" s="688">
        <v>7</v>
      </c>
      <c r="Q821" s="688">
        <v>7</v>
      </c>
      <c r="R821" s="688">
        <v>7</v>
      </c>
    </row>
    <row r="822" spans="2:18" ht="51" x14ac:dyDescent="0.2">
      <c r="B822" s="1747"/>
      <c r="C822" s="1747"/>
      <c r="D822" s="1775"/>
      <c r="E822" s="1764"/>
      <c r="F822" s="1661"/>
      <c r="G822" s="1661"/>
      <c r="H822" s="1661"/>
      <c r="I822" s="1661"/>
      <c r="J822" s="1661"/>
      <c r="K822" s="687" t="s">
        <v>1097</v>
      </c>
      <c r="L822" s="687"/>
      <c r="M822" s="688" t="s">
        <v>1098</v>
      </c>
      <c r="N822" s="688">
        <v>100</v>
      </c>
      <c r="O822" s="688">
        <v>100</v>
      </c>
      <c r="P822" s="688">
        <v>100</v>
      </c>
      <c r="Q822" s="688">
        <v>100</v>
      </c>
      <c r="R822" s="688">
        <v>100</v>
      </c>
    </row>
    <row r="823" spans="2:18" ht="25.5" x14ac:dyDescent="0.2">
      <c r="B823" s="1747"/>
      <c r="C823" s="1747"/>
      <c r="D823" s="1775"/>
      <c r="E823" s="1764"/>
      <c r="F823" s="1661"/>
      <c r="G823" s="1661"/>
      <c r="H823" s="1661"/>
      <c r="I823" s="1661"/>
      <c r="J823" s="1661"/>
      <c r="K823" s="687" t="s">
        <v>1099</v>
      </c>
      <c r="L823" s="687"/>
      <c r="M823" s="688" t="s">
        <v>1098</v>
      </c>
      <c r="N823" s="688">
        <v>100</v>
      </c>
      <c r="O823" s="688">
        <v>100</v>
      </c>
      <c r="P823" s="688">
        <v>100</v>
      </c>
      <c r="Q823" s="688">
        <v>100</v>
      </c>
      <c r="R823" s="688">
        <v>100</v>
      </c>
    </row>
    <row r="824" spans="2:18" ht="25.5" x14ac:dyDescent="0.2">
      <c r="B824" s="1747"/>
      <c r="C824" s="1747"/>
      <c r="D824" s="1776"/>
      <c r="E824" s="1764"/>
      <c r="F824" s="1661"/>
      <c r="G824" s="1661"/>
      <c r="H824" s="1661"/>
      <c r="I824" s="1661"/>
      <c r="J824" s="1661"/>
      <c r="K824" s="687" t="s">
        <v>1100</v>
      </c>
      <c r="L824" s="687"/>
      <c r="M824" s="688" t="s">
        <v>1101</v>
      </c>
      <c r="N824" s="688">
        <v>5</v>
      </c>
      <c r="O824" s="688">
        <v>5</v>
      </c>
      <c r="P824" s="688">
        <v>5</v>
      </c>
      <c r="Q824" s="688">
        <v>5</v>
      </c>
      <c r="R824" s="688">
        <v>5</v>
      </c>
    </row>
    <row r="825" spans="2:18" ht="15" customHeight="1" x14ac:dyDescent="0.2">
      <c r="B825" s="1747"/>
      <c r="C825" s="1747" t="s">
        <v>1102</v>
      </c>
      <c r="D825" s="1774"/>
      <c r="E825" s="1907" t="s">
        <v>2578</v>
      </c>
      <c r="F825" s="1661">
        <v>10678.2</v>
      </c>
      <c r="G825" s="1661">
        <v>12598.3</v>
      </c>
      <c r="H825" s="1661">
        <v>17696</v>
      </c>
      <c r="I825" s="1661">
        <v>18031.3</v>
      </c>
      <c r="J825" s="1661">
        <v>18031.3</v>
      </c>
      <c r="K825" s="687"/>
      <c r="L825" s="687"/>
      <c r="M825" s="688"/>
      <c r="N825" s="688"/>
      <c r="O825" s="688"/>
      <c r="P825" s="688"/>
      <c r="Q825" s="688"/>
      <c r="R825" s="688"/>
    </row>
    <row r="826" spans="2:18" x14ac:dyDescent="0.2">
      <c r="B826" s="1747"/>
      <c r="C826" s="1747"/>
      <c r="D826" s="1775"/>
      <c r="E826" s="1879"/>
      <c r="F826" s="1661"/>
      <c r="G826" s="1661"/>
      <c r="H826" s="1661"/>
      <c r="I826" s="1661"/>
      <c r="J826" s="1661"/>
      <c r="K826" s="687" t="s">
        <v>126</v>
      </c>
      <c r="L826" s="687"/>
      <c r="M826" s="688" t="s">
        <v>17</v>
      </c>
      <c r="N826" s="688">
        <v>46.2</v>
      </c>
      <c r="O826" s="688" t="s">
        <v>1103</v>
      </c>
      <c r="P826" s="688" t="s">
        <v>1103</v>
      </c>
      <c r="Q826" s="688" t="s">
        <v>1103</v>
      </c>
      <c r="R826" s="688" t="s">
        <v>1103</v>
      </c>
    </row>
    <row r="827" spans="2:18" ht="25.5" x14ac:dyDescent="0.2">
      <c r="B827" s="1747"/>
      <c r="C827" s="1747"/>
      <c r="D827" s="1775"/>
      <c r="E827" s="1879"/>
      <c r="F827" s="1661"/>
      <c r="G827" s="1661"/>
      <c r="H827" s="1661"/>
      <c r="I827" s="1661"/>
      <c r="J827" s="1661"/>
      <c r="K827" s="687" t="s">
        <v>27</v>
      </c>
      <c r="L827" s="687"/>
      <c r="M827" s="688" t="s">
        <v>28</v>
      </c>
      <c r="N827" s="809" t="s">
        <v>1104</v>
      </c>
      <c r="O827" s="688" t="s">
        <v>1103</v>
      </c>
      <c r="P827" s="688" t="s">
        <v>1103</v>
      </c>
      <c r="Q827" s="688" t="s">
        <v>1103</v>
      </c>
      <c r="R827" s="688" t="s">
        <v>1103</v>
      </c>
    </row>
    <row r="828" spans="2:18" ht="25.5" x14ac:dyDescent="0.2">
      <c r="B828" s="1747"/>
      <c r="C828" s="1747"/>
      <c r="D828" s="1775"/>
      <c r="E828" s="1879"/>
      <c r="F828" s="1661"/>
      <c r="G828" s="1661"/>
      <c r="H828" s="1661"/>
      <c r="I828" s="1661"/>
      <c r="J828" s="1661"/>
      <c r="K828" s="687" t="s">
        <v>1105</v>
      </c>
      <c r="L828" s="687"/>
      <c r="M828" s="816" t="s">
        <v>1101</v>
      </c>
      <c r="N828" s="816">
        <v>32</v>
      </c>
      <c r="O828" s="816" t="s">
        <v>1103</v>
      </c>
      <c r="P828" s="816" t="s">
        <v>1103</v>
      </c>
      <c r="Q828" s="816" t="s">
        <v>1103</v>
      </c>
      <c r="R828" s="816" t="s">
        <v>1103</v>
      </c>
    </row>
    <row r="829" spans="2:18" ht="25.5" x14ac:dyDescent="0.2">
      <c r="B829" s="1747"/>
      <c r="C829" s="1747"/>
      <c r="D829" s="1775"/>
      <c r="E829" s="1879"/>
      <c r="F829" s="1661"/>
      <c r="G829" s="1661"/>
      <c r="H829" s="1661"/>
      <c r="I829" s="1661"/>
      <c r="J829" s="1661"/>
      <c r="K829" s="687" t="s">
        <v>1106</v>
      </c>
      <c r="L829" s="687"/>
      <c r="M829" s="688" t="s">
        <v>130</v>
      </c>
      <c r="N829" s="688">
        <v>648</v>
      </c>
      <c r="O829" s="688" t="s">
        <v>1103</v>
      </c>
      <c r="P829" s="688" t="s">
        <v>1103</v>
      </c>
      <c r="Q829" s="688" t="s">
        <v>1103</v>
      </c>
      <c r="R829" s="688" t="s">
        <v>1103</v>
      </c>
    </row>
    <row r="830" spans="2:18" ht="25.5" x14ac:dyDescent="0.2">
      <c r="B830" s="1747"/>
      <c r="C830" s="1747"/>
      <c r="D830" s="1776"/>
      <c r="E830" s="1880"/>
      <c r="F830" s="1661"/>
      <c r="G830" s="1661"/>
      <c r="H830" s="1661"/>
      <c r="I830" s="1661"/>
      <c r="J830" s="1661"/>
      <c r="K830" s="687" t="s">
        <v>249</v>
      </c>
      <c r="L830" s="687"/>
      <c r="M830" s="688" t="s">
        <v>17</v>
      </c>
      <c r="N830" s="688">
        <v>16</v>
      </c>
      <c r="O830" s="688">
        <v>16</v>
      </c>
      <c r="P830" s="688">
        <v>16</v>
      </c>
      <c r="Q830" s="688">
        <v>16</v>
      </c>
      <c r="R830" s="688">
        <v>16</v>
      </c>
    </row>
    <row r="831" spans="2:18" ht="25.5" x14ac:dyDescent="0.2">
      <c r="B831" s="694"/>
      <c r="C831" s="694" t="s">
        <v>1107</v>
      </c>
      <c r="D831" s="816"/>
      <c r="E831" s="687" t="s">
        <v>1108</v>
      </c>
      <c r="F831" s="901">
        <v>75056.7</v>
      </c>
      <c r="G831" s="901">
        <v>82604.100000000006</v>
      </c>
      <c r="H831" s="901">
        <v>86007.6</v>
      </c>
      <c r="I831" s="901">
        <v>87794.4</v>
      </c>
      <c r="J831" s="901">
        <v>87794.4</v>
      </c>
      <c r="K831" s="687" t="s">
        <v>1109</v>
      </c>
      <c r="L831" s="687"/>
      <c r="M831" s="816" t="s">
        <v>17</v>
      </c>
      <c r="N831" s="688">
        <v>7.7</v>
      </c>
      <c r="O831" s="688">
        <v>27</v>
      </c>
      <c r="P831" s="688">
        <v>25.5</v>
      </c>
      <c r="Q831" s="520">
        <v>25.5</v>
      </c>
      <c r="R831" s="688">
        <v>25.5</v>
      </c>
    </row>
    <row r="832" spans="2:18" ht="38.25" x14ac:dyDescent="0.2">
      <c r="B832" s="338" t="s">
        <v>138</v>
      </c>
      <c r="C832" s="338"/>
      <c r="D832" s="338"/>
      <c r="E832" s="534" t="s">
        <v>2579</v>
      </c>
      <c r="F832" s="902">
        <v>849211.99999999988</v>
      </c>
      <c r="G832" s="902">
        <v>839550.99999999988</v>
      </c>
      <c r="H832" s="902">
        <f>H833+H838+H839+H845+H847+H852+H854+H857+H858+H859+H860+H864+H866+H870+H874+H878+H881+H882+H883+H884</f>
        <v>961527.1</v>
      </c>
      <c r="I832" s="902">
        <v>467068.8</v>
      </c>
      <c r="J832" s="902">
        <v>470615.89999999997</v>
      </c>
      <c r="K832" s="687" t="s">
        <v>1110</v>
      </c>
      <c r="L832" s="687"/>
      <c r="M832" s="688" t="s">
        <v>17</v>
      </c>
      <c r="N832" s="688">
        <v>22.1</v>
      </c>
      <c r="O832" s="816">
        <v>57.1</v>
      </c>
      <c r="P832" s="816">
        <v>59.3</v>
      </c>
      <c r="Q832" s="816">
        <v>59.3</v>
      </c>
      <c r="R832" s="816">
        <v>59.3</v>
      </c>
    </row>
    <row r="833" spans="2:18" ht="120" customHeight="1" x14ac:dyDescent="0.2">
      <c r="B833" s="1747"/>
      <c r="C833" s="1747" t="s">
        <v>123</v>
      </c>
      <c r="D833" s="1748"/>
      <c r="E833" s="1764" t="s">
        <v>1111</v>
      </c>
      <c r="F833" s="1661">
        <v>112039.6</v>
      </c>
      <c r="G833" s="1661">
        <v>119453.5</v>
      </c>
      <c r="H833" s="1661">
        <v>126182.39999999999</v>
      </c>
      <c r="I833" s="1661">
        <v>128102.7</v>
      </c>
      <c r="J833" s="1661">
        <v>128102.7</v>
      </c>
      <c r="K833" s="687" t="s">
        <v>1112</v>
      </c>
      <c r="L833" s="687"/>
      <c r="M833" s="688" t="s">
        <v>1113</v>
      </c>
      <c r="N833" s="256">
        <v>114.5</v>
      </c>
      <c r="O833" s="256">
        <v>120</v>
      </c>
      <c r="P833" s="256">
        <v>120</v>
      </c>
      <c r="Q833" s="256">
        <v>120</v>
      </c>
      <c r="R833" s="256">
        <v>110</v>
      </c>
    </row>
    <row r="834" spans="2:18" ht="25.5" x14ac:dyDescent="0.2">
      <c r="B834" s="1747"/>
      <c r="C834" s="1747"/>
      <c r="D834" s="1749"/>
      <c r="E834" s="1764"/>
      <c r="F834" s="1661"/>
      <c r="G834" s="1661"/>
      <c r="H834" s="1661"/>
      <c r="I834" s="1661"/>
      <c r="J834" s="1661"/>
      <c r="K834" s="687" t="s">
        <v>1114</v>
      </c>
      <c r="L834" s="687"/>
      <c r="M834" s="688" t="s">
        <v>1113</v>
      </c>
      <c r="N834" s="256">
        <v>0.5</v>
      </c>
      <c r="O834" s="256">
        <v>2</v>
      </c>
      <c r="P834" s="256">
        <v>2</v>
      </c>
      <c r="Q834" s="256">
        <v>2</v>
      </c>
      <c r="R834" s="256">
        <v>2</v>
      </c>
    </row>
    <row r="835" spans="2:18" ht="25.5" x14ac:dyDescent="0.2">
      <c r="B835" s="1747"/>
      <c r="C835" s="1747"/>
      <c r="D835" s="1749"/>
      <c r="E835" s="1764"/>
      <c r="F835" s="1661"/>
      <c r="G835" s="1661"/>
      <c r="H835" s="1661"/>
      <c r="I835" s="1661"/>
      <c r="J835" s="1661"/>
      <c r="K835" s="687" t="s">
        <v>1115</v>
      </c>
      <c r="L835" s="687"/>
      <c r="M835" s="688" t="s">
        <v>1113</v>
      </c>
      <c r="N835" s="256">
        <v>156.4</v>
      </c>
      <c r="O835" s="256">
        <v>160</v>
      </c>
      <c r="P835" s="256">
        <v>160</v>
      </c>
      <c r="Q835" s="256">
        <v>160</v>
      </c>
      <c r="R835" s="256">
        <v>150</v>
      </c>
    </row>
    <row r="836" spans="2:18" ht="25.5" x14ac:dyDescent="0.2">
      <c r="B836" s="1747"/>
      <c r="C836" s="1747"/>
      <c r="D836" s="1749"/>
      <c r="E836" s="1764"/>
      <c r="F836" s="1661"/>
      <c r="G836" s="1661"/>
      <c r="H836" s="1661"/>
      <c r="I836" s="1661"/>
      <c r="J836" s="1661"/>
      <c r="K836" s="687" t="s">
        <v>1116</v>
      </c>
      <c r="L836" s="687"/>
      <c r="M836" s="688" t="s">
        <v>1113</v>
      </c>
      <c r="N836" s="256">
        <v>0.9</v>
      </c>
      <c r="O836" s="256">
        <v>3</v>
      </c>
      <c r="P836" s="256">
        <v>3</v>
      </c>
      <c r="Q836" s="256">
        <v>3</v>
      </c>
      <c r="R836" s="256">
        <v>3</v>
      </c>
    </row>
    <row r="837" spans="2:18" x14ac:dyDescent="0.2">
      <c r="B837" s="1747"/>
      <c r="C837" s="1747"/>
      <c r="D837" s="1750"/>
      <c r="E837" s="1764"/>
      <c r="F837" s="1661"/>
      <c r="G837" s="1661"/>
      <c r="H837" s="1661"/>
      <c r="I837" s="1661"/>
      <c r="J837" s="1661"/>
      <c r="K837" s="687" t="s">
        <v>1117</v>
      </c>
      <c r="L837" s="687"/>
      <c r="M837" s="688" t="s">
        <v>1118</v>
      </c>
      <c r="N837" s="256">
        <v>612.5</v>
      </c>
      <c r="O837" s="256">
        <v>715</v>
      </c>
      <c r="P837" s="256">
        <v>715</v>
      </c>
      <c r="Q837" s="256">
        <v>715</v>
      </c>
      <c r="R837" s="256">
        <v>715</v>
      </c>
    </row>
    <row r="838" spans="2:18" ht="25.5" x14ac:dyDescent="0.2">
      <c r="B838" s="694"/>
      <c r="C838" s="694" t="s">
        <v>125</v>
      </c>
      <c r="D838" s="694"/>
      <c r="E838" s="593" t="s">
        <v>1119</v>
      </c>
      <c r="F838" s="944" t="s">
        <v>1120</v>
      </c>
      <c r="G838" s="944">
        <v>21827</v>
      </c>
      <c r="H838" s="944">
        <v>17435.3</v>
      </c>
      <c r="I838" s="944">
        <v>17841.8</v>
      </c>
      <c r="J838" s="944">
        <v>17841.8</v>
      </c>
      <c r="K838" s="687" t="s">
        <v>1121</v>
      </c>
      <c r="L838" s="687"/>
      <c r="M838" s="809" t="s">
        <v>1096</v>
      </c>
      <c r="N838" s="809" t="s">
        <v>1122</v>
      </c>
      <c r="O838" s="809" t="s">
        <v>1123</v>
      </c>
      <c r="P838" s="809" t="s">
        <v>1123</v>
      </c>
      <c r="Q838" s="809" t="s">
        <v>1123</v>
      </c>
      <c r="R838" s="809" t="s">
        <v>1123</v>
      </c>
    </row>
    <row r="839" spans="2:18" ht="25.5" x14ac:dyDescent="0.2">
      <c r="B839" s="1726"/>
      <c r="C839" s="1726" t="s">
        <v>127</v>
      </c>
      <c r="D839" s="1854"/>
      <c r="E839" s="1857" t="s">
        <v>1124</v>
      </c>
      <c r="F839" s="1661" t="s">
        <v>1125</v>
      </c>
      <c r="G839" s="1661" t="s">
        <v>1126</v>
      </c>
      <c r="H839" s="1661" t="s">
        <v>1127</v>
      </c>
      <c r="I839" s="1661" t="s">
        <v>1128</v>
      </c>
      <c r="J839" s="1661" t="s">
        <v>1128</v>
      </c>
      <c r="K839" s="687" t="s">
        <v>1129</v>
      </c>
      <c r="L839" s="687"/>
      <c r="M839" s="688" t="s">
        <v>1113</v>
      </c>
      <c r="N839" s="688">
        <v>138.30000000000001</v>
      </c>
      <c r="O839" s="688">
        <v>140</v>
      </c>
      <c r="P839" s="688">
        <v>140</v>
      </c>
      <c r="Q839" s="688">
        <v>142</v>
      </c>
      <c r="R839" s="688">
        <v>145</v>
      </c>
    </row>
    <row r="840" spans="2:18" x14ac:dyDescent="0.2">
      <c r="B840" s="1726"/>
      <c r="C840" s="1726"/>
      <c r="D840" s="1855"/>
      <c r="E840" s="1857"/>
      <c r="F840" s="1661"/>
      <c r="G840" s="1661"/>
      <c r="H840" s="1661"/>
      <c r="I840" s="1661"/>
      <c r="J840" s="1661"/>
      <c r="K840" s="687" t="s">
        <v>1130</v>
      </c>
      <c r="L840" s="687"/>
      <c r="M840" s="256"/>
      <c r="N840" s="256"/>
      <c r="O840" s="256"/>
      <c r="P840" s="688"/>
      <c r="Q840" s="688"/>
      <c r="R840" s="688"/>
    </row>
    <row r="841" spans="2:18" x14ac:dyDescent="0.2">
      <c r="B841" s="1726"/>
      <c r="C841" s="1726"/>
      <c r="D841" s="1855"/>
      <c r="E841" s="1857"/>
      <c r="F841" s="1661"/>
      <c r="G841" s="1661"/>
      <c r="H841" s="1661"/>
      <c r="I841" s="1661"/>
      <c r="J841" s="1661"/>
      <c r="K841" s="687" t="s">
        <v>1131</v>
      </c>
      <c r="L841" s="687"/>
      <c r="M841" s="688" t="s">
        <v>1132</v>
      </c>
      <c r="N841" s="816">
        <v>42.5</v>
      </c>
      <c r="O841" s="688">
        <v>43</v>
      </c>
      <c r="P841" s="256">
        <v>44</v>
      </c>
      <c r="Q841" s="688">
        <v>45</v>
      </c>
      <c r="R841" s="256">
        <v>45</v>
      </c>
    </row>
    <row r="842" spans="2:18" x14ac:dyDescent="0.2">
      <c r="B842" s="1726"/>
      <c r="C842" s="1726"/>
      <c r="D842" s="1855"/>
      <c r="E842" s="1857"/>
      <c r="F842" s="1661"/>
      <c r="G842" s="1661"/>
      <c r="H842" s="1661"/>
      <c r="I842" s="1661"/>
      <c r="J842" s="1661"/>
      <c r="K842" s="687" t="s">
        <v>1133</v>
      </c>
      <c r="L842" s="687"/>
      <c r="M842" s="688" t="s">
        <v>1134</v>
      </c>
      <c r="N842" s="816">
        <v>10347</v>
      </c>
      <c r="O842" s="100">
        <v>9000</v>
      </c>
      <c r="P842" s="521">
        <v>9200</v>
      </c>
      <c r="Q842" s="521">
        <v>9200</v>
      </c>
      <c r="R842" s="521">
        <v>9200</v>
      </c>
    </row>
    <row r="843" spans="2:18" x14ac:dyDescent="0.2">
      <c r="B843" s="1726"/>
      <c r="C843" s="1726"/>
      <c r="D843" s="1855"/>
      <c r="E843" s="1857"/>
      <c r="F843" s="1661"/>
      <c r="G843" s="1661"/>
      <c r="H843" s="1661"/>
      <c r="I843" s="1661"/>
      <c r="J843" s="1661"/>
      <c r="K843" s="687" t="s">
        <v>1135</v>
      </c>
      <c r="L843" s="687"/>
      <c r="M843" s="688" t="s">
        <v>1136</v>
      </c>
      <c r="N843" s="816">
        <v>204.1</v>
      </c>
      <c r="O843" s="521">
        <v>200</v>
      </c>
      <c r="P843" s="521">
        <v>202</v>
      </c>
      <c r="Q843" s="521">
        <v>202</v>
      </c>
      <c r="R843" s="521">
        <v>202</v>
      </c>
    </row>
    <row r="844" spans="2:18" x14ac:dyDescent="0.2">
      <c r="B844" s="1726"/>
      <c r="C844" s="1726"/>
      <c r="D844" s="1856"/>
      <c r="E844" s="1857"/>
      <c r="F844" s="1661"/>
      <c r="G844" s="1661"/>
      <c r="H844" s="1661"/>
      <c r="I844" s="1661"/>
      <c r="J844" s="1661"/>
      <c r="K844" s="687" t="s">
        <v>1137</v>
      </c>
      <c r="L844" s="687"/>
      <c r="M844" s="688" t="s">
        <v>1138</v>
      </c>
      <c r="N844" s="816">
        <v>48.3</v>
      </c>
      <c r="O844" s="521">
        <v>49</v>
      </c>
      <c r="P844" s="521">
        <v>49</v>
      </c>
      <c r="Q844" s="521">
        <v>49</v>
      </c>
      <c r="R844" s="521">
        <v>49</v>
      </c>
    </row>
    <row r="845" spans="2:18" ht="25.5" x14ac:dyDescent="0.2">
      <c r="B845" s="1748"/>
      <c r="C845" s="1748" t="s">
        <v>132</v>
      </c>
      <c r="D845" s="1748"/>
      <c r="E845" s="1764" t="s">
        <v>1139</v>
      </c>
      <c r="F845" s="1777">
        <v>11023.1</v>
      </c>
      <c r="G845" s="1777">
        <v>10575.7</v>
      </c>
      <c r="H845" s="1777">
        <v>12830.6</v>
      </c>
      <c r="I845" s="1777">
        <v>13086.3</v>
      </c>
      <c r="J845" s="1777">
        <v>13086.3</v>
      </c>
      <c r="K845" s="687" t="s">
        <v>1140</v>
      </c>
      <c r="L845" s="687"/>
      <c r="M845" s="688" t="s">
        <v>130</v>
      </c>
      <c r="N845" s="816">
        <v>341</v>
      </c>
      <c r="O845" s="688">
        <v>290</v>
      </c>
      <c r="P845" s="688">
        <v>300</v>
      </c>
      <c r="Q845" s="688">
        <v>300</v>
      </c>
      <c r="R845" s="688">
        <v>300</v>
      </c>
    </row>
    <row r="846" spans="2:18" x14ac:dyDescent="0.2">
      <c r="B846" s="1750"/>
      <c r="C846" s="1750"/>
      <c r="D846" s="1750"/>
      <c r="E846" s="1764"/>
      <c r="F846" s="1778"/>
      <c r="G846" s="1778"/>
      <c r="H846" s="1778"/>
      <c r="I846" s="1778"/>
      <c r="J846" s="1778"/>
      <c r="K846" s="687" t="s">
        <v>1141</v>
      </c>
      <c r="L846" s="687"/>
      <c r="M846" s="688" t="s">
        <v>130</v>
      </c>
      <c r="N846" s="816">
        <v>90</v>
      </c>
      <c r="O846" s="688">
        <v>73</v>
      </c>
      <c r="P846" s="688">
        <v>75</v>
      </c>
      <c r="Q846" s="688">
        <v>75</v>
      </c>
      <c r="R846" s="688">
        <v>75</v>
      </c>
    </row>
    <row r="847" spans="2:18" ht="90" customHeight="1" x14ac:dyDescent="0.2">
      <c r="B847" s="1747"/>
      <c r="C847" s="1747" t="s">
        <v>74</v>
      </c>
      <c r="D847" s="1748"/>
      <c r="E847" s="1764" t="s">
        <v>1142</v>
      </c>
      <c r="F847" s="1661">
        <v>18609.599999999999</v>
      </c>
      <c r="G847" s="1661">
        <v>86355.9</v>
      </c>
      <c r="H847" s="1661">
        <v>22272</v>
      </c>
      <c r="I847" s="1661">
        <v>22749.7</v>
      </c>
      <c r="J847" s="1661">
        <v>26296.799999999999</v>
      </c>
      <c r="K847" s="768" t="s">
        <v>1143</v>
      </c>
      <c r="L847" s="768"/>
      <c r="M847" s="688" t="s">
        <v>1113</v>
      </c>
      <c r="N847" s="688">
        <v>1214.9000000000001</v>
      </c>
      <c r="O847" s="688">
        <v>1214.9000000000001</v>
      </c>
      <c r="P847" s="688">
        <v>1214.9000000000001</v>
      </c>
      <c r="Q847" s="688">
        <v>1214.9000000000001</v>
      </c>
      <c r="R847" s="688">
        <v>1214.9000000000001</v>
      </c>
    </row>
    <row r="848" spans="2:18" x14ac:dyDescent="0.2">
      <c r="B848" s="1747"/>
      <c r="C848" s="1747"/>
      <c r="D848" s="1749"/>
      <c r="E848" s="1764"/>
      <c r="F848" s="1661"/>
      <c r="G848" s="1661"/>
      <c r="H848" s="1661"/>
      <c r="I848" s="1661"/>
      <c r="J848" s="1661"/>
      <c r="K848" s="687" t="s">
        <v>1144</v>
      </c>
      <c r="L848" s="687"/>
      <c r="M848" s="688" t="s">
        <v>1113</v>
      </c>
      <c r="N848" s="688">
        <v>8.4</v>
      </c>
      <c r="O848" s="688">
        <v>10</v>
      </c>
      <c r="P848" s="688">
        <v>10.5</v>
      </c>
      <c r="Q848" s="688">
        <v>10.5</v>
      </c>
      <c r="R848" s="688">
        <v>10.5</v>
      </c>
    </row>
    <row r="849" spans="2:18" x14ac:dyDescent="0.2">
      <c r="B849" s="1747"/>
      <c r="C849" s="1747"/>
      <c r="D849" s="1749"/>
      <c r="E849" s="1764"/>
      <c r="F849" s="1661"/>
      <c r="G849" s="1661"/>
      <c r="H849" s="1661"/>
      <c r="I849" s="1661"/>
      <c r="J849" s="1661"/>
      <c r="K849" s="687" t="s">
        <v>1145</v>
      </c>
      <c r="L849" s="687"/>
      <c r="M849" s="688" t="s">
        <v>1113</v>
      </c>
      <c r="N849" s="256">
        <v>1.6</v>
      </c>
      <c r="O849" s="688">
        <v>1.7</v>
      </c>
      <c r="P849" s="688">
        <v>1.8</v>
      </c>
      <c r="Q849" s="688">
        <v>1.9</v>
      </c>
      <c r="R849" s="688">
        <v>2</v>
      </c>
    </row>
    <row r="850" spans="2:18" x14ac:dyDescent="0.2">
      <c r="B850" s="1747"/>
      <c r="C850" s="1747"/>
      <c r="D850" s="1749"/>
      <c r="E850" s="1764"/>
      <c r="F850" s="1661"/>
      <c r="G850" s="1661"/>
      <c r="H850" s="1661"/>
      <c r="I850" s="1661"/>
      <c r="J850" s="1661"/>
      <c r="K850" s="687" t="s">
        <v>1146</v>
      </c>
      <c r="L850" s="687"/>
      <c r="M850" s="688" t="s">
        <v>1118</v>
      </c>
      <c r="N850" s="256">
        <v>49</v>
      </c>
      <c r="O850" s="688">
        <v>50</v>
      </c>
      <c r="P850" s="688">
        <v>50.5</v>
      </c>
      <c r="Q850" s="688">
        <v>50.7</v>
      </c>
      <c r="R850" s="688">
        <v>50.9</v>
      </c>
    </row>
    <row r="851" spans="2:18" x14ac:dyDescent="0.2">
      <c r="B851" s="1747"/>
      <c r="C851" s="1747"/>
      <c r="D851" s="1750"/>
      <c r="E851" s="1764"/>
      <c r="F851" s="1661"/>
      <c r="G851" s="1661"/>
      <c r="H851" s="1661"/>
      <c r="I851" s="1661"/>
      <c r="J851" s="1661"/>
      <c r="K851" s="768" t="s">
        <v>1147</v>
      </c>
      <c r="L851" s="768"/>
      <c r="M851" s="688" t="s">
        <v>1118</v>
      </c>
      <c r="N851" s="256">
        <v>80</v>
      </c>
      <c r="O851" s="688">
        <v>80.5</v>
      </c>
      <c r="P851" s="688">
        <v>81</v>
      </c>
      <c r="Q851" s="688">
        <v>81</v>
      </c>
      <c r="R851" s="688">
        <v>81.5</v>
      </c>
    </row>
    <row r="852" spans="2:18" ht="25.5" x14ac:dyDescent="0.2">
      <c r="B852" s="1747"/>
      <c r="C852" s="1747" t="s">
        <v>197</v>
      </c>
      <c r="D852" s="1748"/>
      <c r="E852" s="1764" t="s">
        <v>1148</v>
      </c>
      <c r="F852" s="1661">
        <v>4409.3</v>
      </c>
      <c r="G852" s="1661">
        <v>3855.8</v>
      </c>
      <c r="H852" s="1661">
        <v>4128.8999999999996</v>
      </c>
      <c r="I852" s="1661">
        <v>4189</v>
      </c>
      <c r="J852" s="1661">
        <v>4189</v>
      </c>
      <c r="K852" s="687" t="s">
        <v>1149</v>
      </c>
      <c r="L852" s="687"/>
      <c r="M852" s="688" t="s">
        <v>1113</v>
      </c>
      <c r="N852" s="256">
        <v>3.4</v>
      </c>
      <c r="O852" s="256">
        <v>3.3</v>
      </c>
      <c r="P852" s="256">
        <v>3.6</v>
      </c>
      <c r="Q852" s="256">
        <v>3.8</v>
      </c>
      <c r="R852" s="256">
        <v>4</v>
      </c>
    </row>
    <row r="853" spans="2:18" ht="25.5" x14ac:dyDescent="0.2">
      <c r="B853" s="1747"/>
      <c r="C853" s="1747"/>
      <c r="D853" s="1750"/>
      <c r="E853" s="1764"/>
      <c r="F853" s="1661"/>
      <c r="G853" s="1661"/>
      <c r="H853" s="1661"/>
      <c r="I853" s="1661"/>
      <c r="J853" s="1661"/>
      <c r="K853" s="687" t="s">
        <v>1150</v>
      </c>
      <c r="L853" s="687"/>
      <c r="M853" s="688" t="s">
        <v>1134</v>
      </c>
      <c r="N853" s="272">
        <v>300</v>
      </c>
      <c r="O853" s="272">
        <v>330</v>
      </c>
      <c r="P853" s="272">
        <v>360</v>
      </c>
      <c r="Q853" s="272">
        <v>390</v>
      </c>
      <c r="R853" s="272">
        <v>390</v>
      </c>
    </row>
    <row r="854" spans="2:18" ht="90" customHeight="1" x14ac:dyDescent="0.2">
      <c r="B854" s="1747"/>
      <c r="C854" s="1747" t="s">
        <v>155</v>
      </c>
      <c r="D854" s="1748"/>
      <c r="E854" s="1764" t="s">
        <v>1151</v>
      </c>
      <c r="F854" s="1661">
        <v>6744.4</v>
      </c>
      <c r="G854" s="1661">
        <v>5879</v>
      </c>
      <c r="H854" s="1661">
        <v>6394.3</v>
      </c>
      <c r="I854" s="1661">
        <v>6512.9</v>
      </c>
      <c r="J854" s="1661">
        <v>6512.9</v>
      </c>
      <c r="K854" s="687" t="s">
        <v>1152</v>
      </c>
      <c r="L854" s="687"/>
      <c r="M854" s="688" t="s">
        <v>1153</v>
      </c>
      <c r="N854" s="688">
        <v>1559</v>
      </c>
      <c r="O854" s="781">
        <v>1300</v>
      </c>
      <c r="P854" s="781">
        <v>1370</v>
      </c>
      <c r="Q854" s="781">
        <v>1390</v>
      </c>
      <c r="R854" s="781">
        <v>1400</v>
      </c>
    </row>
    <row r="855" spans="2:18" ht="25.5" x14ac:dyDescent="0.2">
      <c r="B855" s="1747"/>
      <c r="C855" s="1747"/>
      <c r="D855" s="1749"/>
      <c r="E855" s="1764"/>
      <c r="F855" s="1661"/>
      <c r="G855" s="1661"/>
      <c r="H855" s="1661"/>
      <c r="I855" s="1661"/>
      <c r="J855" s="1661"/>
      <c r="K855" s="687" t="s">
        <v>1154</v>
      </c>
      <c r="L855" s="687"/>
      <c r="M855" s="816" t="s">
        <v>1155</v>
      </c>
      <c r="N855" s="688">
        <v>6567</v>
      </c>
      <c r="O855" s="781">
        <v>5750</v>
      </c>
      <c r="P855" s="781">
        <v>5200</v>
      </c>
      <c r="Q855" s="781">
        <v>5200</v>
      </c>
      <c r="R855" s="781">
        <v>5200</v>
      </c>
    </row>
    <row r="856" spans="2:18" x14ac:dyDescent="0.2">
      <c r="B856" s="1747"/>
      <c r="C856" s="1747"/>
      <c r="D856" s="1750"/>
      <c r="E856" s="1764"/>
      <c r="F856" s="1661"/>
      <c r="G856" s="1661"/>
      <c r="H856" s="1661"/>
      <c r="I856" s="1661"/>
      <c r="J856" s="1661"/>
      <c r="K856" s="687" t="s">
        <v>1156</v>
      </c>
      <c r="L856" s="687"/>
      <c r="M856" s="688" t="s">
        <v>1157</v>
      </c>
      <c r="N856" s="688">
        <v>2180</v>
      </c>
      <c r="O856" s="781">
        <v>2222</v>
      </c>
      <c r="P856" s="781">
        <v>2300</v>
      </c>
      <c r="Q856" s="781">
        <v>2300</v>
      </c>
      <c r="R856" s="781">
        <v>2300</v>
      </c>
    </row>
    <row r="857" spans="2:18" ht="38.25" x14ac:dyDescent="0.2">
      <c r="B857" s="694"/>
      <c r="C857" s="694"/>
      <c r="D857" s="514"/>
      <c r="E857" s="768" t="s">
        <v>1158</v>
      </c>
      <c r="F857" s="901">
        <v>31714.5</v>
      </c>
      <c r="G857" s="901">
        <v>0</v>
      </c>
      <c r="H857" s="901">
        <v>0</v>
      </c>
      <c r="I857" s="901">
        <v>0</v>
      </c>
      <c r="J857" s="901">
        <v>0</v>
      </c>
      <c r="K857" s="687" t="s">
        <v>1159</v>
      </c>
      <c r="L857" s="687"/>
      <c r="M857" s="688" t="s">
        <v>1160</v>
      </c>
      <c r="N857" s="767"/>
      <c r="O857" s="767"/>
      <c r="P857" s="767"/>
      <c r="Q857" s="767"/>
      <c r="R857" s="767"/>
    </row>
    <row r="858" spans="2:18" ht="38.25" x14ac:dyDescent="0.2">
      <c r="B858" s="694"/>
      <c r="C858" s="694"/>
      <c r="D858" s="694"/>
      <c r="E858" s="687" t="s">
        <v>1161</v>
      </c>
      <c r="F858" s="901">
        <v>6148.6</v>
      </c>
      <c r="G858" s="901">
        <v>0</v>
      </c>
      <c r="H858" s="901">
        <v>0</v>
      </c>
      <c r="I858" s="901">
        <v>0</v>
      </c>
      <c r="J858" s="901">
        <v>0</v>
      </c>
      <c r="K858" s="687" t="s">
        <v>1162</v>
      </c>
      <c r="L858" s="687"/>
      <c r="M858" s="688" t="s">
        <v>1160</v>
      </c>
      <c r="N858" s="688"/>
      <c r="O858" s="688"/>
      <c r="P858" s="688"/>
      <c r="Q858" s="688"/>
      <c r="R858" s="688"/>
    </row>
    <row r="859" spans="2:18" ht="25.5" x14ac:dyDescent="0.2">
      <c r="B859" s="694"/>
      <c r="C859" s="694" t="s">
        <v>158</v>
      </c>
      <c r="D859" s="694"/>
      <c r="E859" s="687" t="s">
        <v>1163</v>
      </c>
      <c r="F859" s="944">
        <v>169000</v>
      </c>
      <c r="G859" s="901">
        <v>133315.5</v>
      </c>
      <c r="H859" s="901">
        <v>0</v>
      </c>
      <c r="I859" s="901">
        <v>0</v>
      </c>
      <c r="J859" s="901">
        <v>0</v>
      </c>
      <c r="K859" s="687" t="s">
        <v>1164</v>
      </c>
      <c r="L859" s="687"/>
      <c r="M859" s="688" t="s">
        <v>31</v>
      </c>
      <c r="N859" s="816">
        <v>890</v>
      </c>
      <c r="O859" s="322">
        <v>990</v>
      </c>
      <c r="P859" s="322">
        <v>0</v>
      </c>
      <c r="Q859" s="322">
        <v>0</v>
      </c>
      <c r="R859" s="816">
        <v>0</v>
      </c>
    </row>
    <row r="860" spans="2:18" x14ac:dyDescent="0.2">
      <c r="B860" s="1747"/>
      <c r="C860" s="1747" t="s">
        <v>264</v>
      </c>
      <c r="D860" s="1748"/>
      <c r="E860" s="1764" t="s">
        <v>1165</v>
      </c>
      <c r="F860" s="1661">
        <v>3812.1</v>
      </c>
      <c r="G860" s="1661">
        <v>3734.8999999999996</v>
      </c>
      <c r="H860" s="1661">
        <v>4539.5</v>
      </c>
      <c r="I860" s="1661">
        <v>4644.2</v>
      </c>
      <c r="J860" s="1661">
        <v>4644.2</v>
      </c>
      <c r="K860" s="687" t="s">
        <v>1166</v>
      </c>
      <c r="L860" s="687"/>
      <c r="M860" s="688" t="s">
        <v>17</v>
      </c>
      <c r="N860" s="688">
        <v>102.1</v>
      </c>
      <c r="O860" s="688">
        <v>102.4</v>
      </c>
      <c r="P860" s="688">
        <v>102.6</v>
      </c>
      <c r="Q860" s="688">
        <v>102.6</v>
      </c>
      <c r="R860" s="688">
        <v>102.6</v>
      </c>
    </row>
    <row r="861" spans="2:18" x14ac:dyDescent="0.2">
      <c r="B861" s="1747"/>
      <c r="C861" s="1747"/>
      <c r="D861" s="1749"/>
      <c r="E861" s="1764"/>
      <c r="F861" s="1661"/>
      <c r="G861" s="1661"/>
      <c r="H861" s="1661"/>
      <c r="I861" s="1661"/>
      <c r="J861" s="1661"/>
      <c r="K861" s="687" t="s">
        <v>1167</v>
      </c>
      <c r="L861" s="687"/>
      <c r="M861" s="688" t="s">
        <v>1168</v>
      </c>
      <c r="N861" s="688">
        <v>81505</v>
      </c>
      <c r="O861" s="816">
        <v>85000</v>
      </c>
      <c r="P861" s="816">
        <v>85000</v>
      </c>
      <c r="Q861" s="816">
        <v>90000</v>
      </c>
      <c r="R861" s="816">
        <v>95000</v>
      </c>
    </row>
    <row r="862" spans="2:18" x14ac:dyDescent="0.2">
      <c r="B862" s="1747"/>
      <c r="C862" s="1747"/>
      <c r="D862" s="1749"/>
      <c r="E862" s="1764"/>
      <c r="F862" s="1661"/>
      <c r="G862" s="1661"/>
      <c r="H862" s="1661"/>
      <c r="I862" s="1661"/>
      <c r="J862" s="1661"/>
      <c r="K862" s="687" t="s">
        <v>1169</v>
      </c>
      <c r="L862" s="687"/>
      <c r="M862" s="688" t="s">
        <v>1168</v>
      </c>
      <c r="N862" s="688">
        <v>21738</v>
      </c>
      <c r="O862" s="816">
        <v>22000</v>
      </c>
      <c r="P862" s="816">
        <v>25000</v>
      </c>
      <c r="Q862" s="816">
        <v>30000</v>
      </c>
      <c r="R862" s="816">
        <v>36000</v>
      </c>
    </row>
    <row r="863" spans="2:18" x14ac:dyDescent="0.2">
      <c r="B863" s="1747"/>
      <c r="C863" s="1747"/>
      <c r="D863" s="1750"/>
      <c r="E863" s="1764"/>
      <c r="F863" s="1661"/>
      <c r="G863" s="1661"/>
      <c r="H863" s="1661"/>
      <c r="I863" s="1661"/>
      <c r="J863" s="1661"/>
      <c r="K863" s="687" t="s">
        <v>1170</v>
      </c>
      <c r="L863" s="687"/>
      <c r="M863" s="688" t="s">
        <v>1168</v>
      </c>
      <c r="N863" s="688">
        <v>300</v>
      </c>
      <c r="O863" s="691">
        <v>300</v>
      </c>
      <c r="P863" s="691">
        <v>300</v>
      </c>
      <c r="Q863" s="691">
        <v>300</v>
      </c>
      <c r="R863" s="691">
        <v>300</v>
      </c>
    </row>
    <row r="864" spans="2:18" ht="25.5" x14ac:dyDescent="0.2">
      <c r="B864" s="1747"/>
      <c r="C864" s="1747" t="s">
        <v>269</v>
      </c>
      <c r="D864" s="1748"/>
      <c r="E864" s="1764" t="s">
        <v>1171</v>
      </c>
      <c r="F864" s="1661">
        <v>12296.6</v>
      </c>
      <c r="G864" s="1661">
        <v>12271.7</v>
      </c>
      <c r="H864" s="1661">
        <v>12276.3</v>
      </c>
      <c r="I864" s="1661">
        <v>12407.3</v>
      </c>
      <c r="J864" s="1661">
        <v>12407.3</v>
      </c>
      <c r="K864" s="687" t="s">
        <v>1172</v>
      </c>
      <c r="L864" s="687"/>
      <c r="M864" s="688" t="s">
        <v>93</v>
      </c>
      <c r="N864" s="688">
        <v>441</v>
      </c>
      <c r="O864" s="781">
        <v>350</v>
      </c>
      <c r="P864" s="781">
        <v>350</v>
      </c>
      <c r="Q864" s="781">
        <v>350</v>
      </c>
      <c r="R864" s="781">
        <v>350</v>
      </c>
    </row>
    <row r="865" spans="2:18" x14ac:dyDescent="0.2">
      <c r="B865" s="1747"/>
      <c r="C865" s="1747"/>
      <c r="D865" s="1750"/>
      <c r="E865" s="1764"/>
      <c r="F865" s="1661"/>
      <c r="G865" s="1661"/>
      <c r="H865" s="1661"/>
      <c r="I865" s="1661"/>
      <c r="J865" s="1661"/>
      <c r="K865" s="687" t="s">
        <v>1173</v>
      </c>
      <c r="L865" s="687"/>
      <c r="M865" s="688" t="s">
        <v>93</v>
      </c>
      <c r="N865" s="688">
        <v>147</v>
      </c>
      <c r="O865" s="781">
        <v>125</v>
      </c>
      <c r="P865" s="781">
        <v>125</v>
      </c>
      <c r="Q865" s="781">
        <v>125</v>
      </c>
      <c r="R865" s="781">
        <v>125</v>
      </c>
    </row>
    <row r="866" spans="2:18" x14ac:dyDescent="0.2">
      <c r="B866" s="1747"/>
      <c r="C866" s="1747" t="s">
        <v>272</v>
      </c>
      <c r="D866" s="1748"/>
      <c r="E866" s="1764" t="s">
        <v>1174</v>
      </c>
      <c r="F866" s="1661">
        <v>9229.4</v>
      </c>
      <c r="G866" s="1661">
        <v>8833.5999999999985</v>
      </c>
      <c r="H866" s="1661">
        <v>12335.8</v>
      </c>
      <c r="I866" s="1661">
        <v>12568.9</v>
      </c>
      <c r="J866" s="1661">
        <v>12568.9</v>
      </c>
      <c r="K866" s="687" t="s">
        <v>1175</v>
      </c>
      <c r="L866" s="687"/>
      <c r="M866" s="688" t="s">
        <v>93</v>
      </c>
      <c r="N866" s="688">
        <v>1278</v>
      </c>
      <c r="O866" s="781" t="s">
        <v>1103</v>
      </c>
      <c r="P866" s="781" t="s">
        <v>1103</v>
      </c>
      <c r="Q866" s="781" t="s">
        <v>1103</v>
      </c>
      <c r="R866" s="781" t="s">
        <v>1103</v>
      </c>
    </row>
    <row r="867" spans="2:18" ht="25.5" x14ac:dyDescent="0.2">
      <c r="B867" s="1747"/>
      <c r="C867" s="1747"/>
      <c r="D867" s="1749"/>
      <c r="E867" s="1764"/>
      <c r="F867" s="1661"/>
      <c r="G867" s="1661"/>
      <c r="H867" s="1661"/>
      <c r="I867" s="1661"/>
      <c r="J867" s="1661"/>
      <c r="K867" s="687" t="s">
        <v>1176</v>
      </c>
      <c r="L867" s="687"/>
      <c r="M867" s="688" t="s">
        <v>1096</v>
      </c>
      <c r="N867" s="688">
        <v>48</v>
      </c>
      <c r="O867" s="781" t="s">
        <v>1103</v>
      </c>
      <c r="P867" s="781" t="s">
        <v>1103</v>
      </c>
      <c r="Q867" s="781" t="s">
        <v>1103</v>
      </c>
      <c r="R867" s="781" t="s">
        <v>1103</v>
      </c>
    </row>
    <row r="868" spans="2:18" ht="25.5" x14ac:dyDescent="0.2">
      <c r="B868" s="1747"/>
      <c r="C868" s="1747"/>
      <c r="D868" s="1749"/>
      <c r="E868" s="1764"/>
      <c r="F868" s="1661"/>
      <c r="G868" s="1661"/>
      <c r="H868" s="1661"/>
      <c r="I868" s="1661"/>
      <c r="J868" s="1661"/>
      <c r="K868" s="687" t="s">
        <v>1177</v>
      </c>
      <c r="L868" s="687"/>
      <c r="M868" s="688" t="s">
        <v>1178</v>
      </c>
      <c r="N868" s="688">
        <v>12.6</v>
      </c>
      <c r="O868" s="781">
        <v>8.9</v>
      </c>
      <c r="P868" s="781">
        <v>8.9499999999999993</v>
      </c>
      <c r="Q868" s="781">
        <v>8.9499999999999993</v>
      </c>
      <c r="R868" s="781">
        <v>9.5</v>
      </c>
    </row>
    <row r="869" spans="2:18" x14ac:dyDescent="0.2">
      <c r="B869" s="1747"/>
      <c r="C869" s="1747"/>
      <c r="D869" s="1750"/>
      <c r="E869" s="1764"/>
      <c r="F869" s="1661"/>
      <c r="G869" s="1661"/>
      <c r="H869" s="1661"/>
      <c r="I869" s="1661"/>
      <c r="J869" s="1661"/>
      <c r="K869" s="687" t="s">
        <v>1179</v>
      </c>
      <c r="L869" s="687"/>
      <c r="M869" s="688" t="s">
        <v>1180</v>
      </c>
      <c r="N869" s="688">
        <v>3</v>
      </c>
      <c r="O869" s="688">
        <v>2.4</v>
      </c>
      <c r="P869" s="688">
        <v>2.4</v>
      </c>
      <c r="Q869" s="688">
        <v>2.5</v>
      </c>
      <c r="R869" s="688">
        <v>2.5</v>
      </c>
    </row>
    <row r="870" spans="2:18" ht="45" customHeight="1" x14ac:dyDescent="0.2">
      <c r="B870" s="1747"/>
      <c r="C870" s="1747" t="s">
        <v>275</v>
      </c>
      <c r="D870" s="1748"/>
      <c r="E870" s="1764" t="s">
        <v>1181</v>
      </c>
      <c r="F870" s="1661">
        <v>4069.3</v>
      </c>
      <c r="G870" s="1661">
        <v>4184.8</v>
      </c>
      <c r="H870" s="1661">
        <v>4025.6</v>
      </c>
      <c r="I870" s="1661">
        <v>4118.6000000000004</v>
      </c>
      <c r="J870" s="1661">
        <v>4118.6000000000004</v>
      </c>
      <c r="K870" s="687" t="s">
        <v>1182</v>
      </c>
      <c r="L870" s="687"/>
      <c r="M870" s="688" t="s">
        <v>1113</v>
      </c>
      <c r="N870" s="688">
        <v>9005.2000000000007</v>
      </c>
      <c r="O870" s="688">
        <v>9005.2000000000007</v>
      </c>
      <c r="P870" s="688">
        <v>9005.2000000000007</v>
      </c>
      <c r="Q870" s="688">
        <v>9005.2000000000007</v>
      </c>
      <c r="R870" s="688">
        <v>9005.2000000000007</v>
      </c>
    </row>
    <row r="871" spans="2:18" x14ac:dyDescent="0.2">
      <c r="B871" s="1747"/>
      <c r="C871" s="1747"/>
      <c r="D871" s="1749"/>
      <c r="E871" s="1764"/>
      <c r="F871" s="1661"/>
      <c r="G871" s="1661"/>
      <c r="H871" s="1661"/>
      <c r="I871" s="1661"/>
      <c r="J871" s="1661"/>
      <c r="K871" s="687" t="s">
        <v>1183</v>
      </c>
      <c r="L871" s="687"/>
      <c r="M871" s="688" t="s">
        <v>1113</v>
      </c>
      <c r="N871" s="688">
        <v>3987.2</v>
      </c>
      <c r="O871" s="688">
        <v>3987.2</v>
      </c>
      <c r="P871" s="688">
        <v>3987.2</v>
      </c>
      <c r="Q871" s="688">
        <v>3987.2</v>
      </c>
      <c r="R871" s="688">
        <v>3987.2</v>
      </c>
    </row>
    <row r="872" spans="2:18" x14ac:dyDescent="0.2">
      <c r="B872" s="1747"/>
      <c r="C872" s="1747"/>
      <c r="D872" s="1749"/>
      <c r="E872" s="1764"/>
      <c r="F872" s="1661"/>
      <c r="G872" s="1661"/>
      <c r="H872" s="1661"/>
      <c r="I872" s="1661"/>
      <c r="J872" s="1661"/>
      <c r="K872" s="687" t="s">
        <v>1184</v>
      </c>
      <c r="L872" s="687"/>
      <c r="M872" s="688" t="s">
        <v>31</v>
      </c>
      <c r="N872" s="688">
        <v>454</v>
      </c>
      <c r="O872" s="688">
        <v>454</v>
      </c>
      <c r="P872" s="688">
        <v>454</v>
      </c>
      <c r="Q872" s="688">
        <v>454</v>
      </c>
      <c r="R872" s="688">
        <v>454</v>
      </c>
    </row>
    <row r="873" spans="2:18" ht="25.5" x14ac:dyDescent="0.2">
      <c r="B873" s="1747"/>
      <c r="C873" s="1747"/>
      <c r="D873" s="1750"/>
      <c r="E873" s="1764"/>
      <c r="F873" s="1661"/>
      <c r="G873" s="1661"/>
      <c r="H873" s="1661"/>
      <c r="I873" s="1661"/>
      <c r="J873" s="1661"/>
      <c r="K873" s="522" t="s">
        <v>1185</v>
      </c>
      <c r="L873" s="522"/>
      <c r="M873" s="688" t="s">
        <v>1101</v>
      </c>
      <c r="N873" s="688">
        <v>3</v>
      </c>
      <c r="O873" s="688">
        <v>3</v>
      </c>
      <c r="P873" s="688">
        <v>3</v>
      </c>
      <c r="Q873" s="688">
        <v>3</v>
      </c>
      <c r="R873" s="688">
        <v>3</v>
      </c>
    </row>
    <row r="874" spans="2:18" ht="75" customHeight="1" x14ac:dyDescent="0.2">
      <c r="B874" s="1747"/>
      <c r="C874" s="1747" t="s">
        <v>88</v>
      </c>
      <c r="D874" s="1748"/>
      <c r="E874" s="1764" t="s">
        <v>1186</v>
      </c>
      <c r="F874" s="1661">
        <v>119052.7</v>
      </c>
      <c r="G874" s="1661">
        <v>7730</v>
      </c>
      <c r="H874" s="1661">
        <v>224338.8</v>
      </c>
      <c r="I874" s="1661">
        <v>0</v>
      </c>
      <c r="J874" s="1661">
        <v>0</v>
      </c>
      <c r="K874" s="522" t="s">
        <v>1187</v>
      </c>
      <c r="L874" s="522"/>
      <c r="M874" s="688"/>
      <c r="N874" s="688"/>
      <c r="O874" s="688"/>
      <c r="P874" s="688"/>
      <c r="Q874" s="688"/>
      <c r="R874" s="688"/>
    </row>
    <row r="875" spans="2:18" x14ac:dyDescent="0.2">
      <c r="B875" s="1747"/>
      <c r="C875" s="1747"/>
      <c r="D875" s="1749"/>
      <c r="E875" s="1764"/>
      <c r="F875" s="1661"/>
      <c r="G875" s="1661"/>
      <c r="H875" s="1661"/>
      <c r="I875" s="1661"/>
      <c r="J875" s="1661"/>
      <c r="K875" s="522" t="s">
        <v>1188</v>
      </c>
      <c r="L875" s="522"/>
      <c r="M875" s="688"/>
      <c r="N875" s="688"/>
      <c r="O875" s="688"/>
      <c r="P875" s="688"/>
      <c r="Q875" s="688"/>
      <c r="R875" s="688"/>
    </row>
    <row r="876" spans="2:18" ht="25.5" x14ac:dyDescent="0.2">
      <c r="B876" s="1747"/>
      <c r="C876" s="1747"/>
      <c r="D876" s="1749"/>
      <c r="E876" s="1764"/>
      <c r="F876" s="1661"/>
      <c r="G876" s="1661"/>
      <c r="H876" s="1661"/>
      <c r="I876" s="1661"/>
      <c r="J876" s="1661"/>
      <c r="K876" s="522" t="s">
        <v>1189</v>
      </c>
      <c r="L876" s="522"/>
      <c r="M876" s="688"/>
      <c r="N876" s="688"/>
      <c r="O876" s="688"/>
      <c r="P876" s="688"/>
      <c r="Q876" s="688"/>
      <c r="R876" s="688"/>
    </row>
    <row r="877" spans="2:18" ht="32.25" customHeight="1" x14ac:dyDescent="0.2">
      <c r="B877" s="1747"/>
      <c r="C877" s="1747"/>
      <c r="D877" s="1750"/>
      <c r="E877" s="1764"/>
      <c r="F877" s="1661"/>
      <c r="G877" s="1661"/>
      <c r="H877" s="1661"/>
      <c r="I877" s="1661"/>
      <c r="J877" s="1661"/>
      <c r="K877" s="522" t="s">
        <v>1190</v>
      </c>
      <c r="L877" s="522"/>
      <c r="M877" s="688"/>
      <c r="N877" s="688"/>
      <c r="O877" s="688"/>
      <c r="P877" s="688"/>
      <c r="Q877" s="688"/>
      <c r="R877" s="688"/>
    </row>
    <row r="878" spans="2:18" ht="25.5" x14ac:dyDescent="0.2">
      <c r="B878" s="1747"/>
      <c r="C878" s="1747" t="s">
        <v>285</v>
      </c>
      <c r="D878" s="1748"/>
      <c r="E878" s="1764" t="s">
        <v>1191</v>
      </c>
      <c r="F878" s="1661">
        <v>254235.5</v>
      </c>
      <c r="G878" s="1661">
        <v>320366.09999999998</v>
      </c>
      <c r="H878" s="1661">
        <v>436670.5</v>
      </c>
      <c r="I878" s="1661">
        <v>209979.2</v>
      </c>
      <c r="J878" s="1661">
        <v>209979.2</v>
      </c>
      <c r="K878" s="687" t="s">
        <v>2580</v>
      </c>
      <c r="L878" s="687"/>
      <c r="M878" s="688" t="s">
        <v>17</v>
      </c>
      <c r="N878" s="688">
        <v>0</v>
      </c>
      <c r="O878" s="781">
        <v>5</v>
      </c>
      <c r="P878" s="781">
        <v>10</v>
      </c>
      <c r="Q878" s="781">
        <v>20</v>
      </c>
      <c r="R878" s="781">
        <v>30</v>
      </c>
    </row>
    <row r="879" spans="2:18" ht="33" customHeight="1" x14ac:dyDescent="0.2">
      <c r="B879" s="1747"/>
      <c r="C879" s="1747"/>
      <c r="D879" s="1749"/>
      <c r="E879" s="1764"/>
      <c r="F879" s="1661"/>
      <c r="G879" s="1661"/>
      <c r="H879" s="1661"/>
      <c r="I879" s="1661"/>
      <c r="J879" s="1661"/>
      <c r="K879" s="687" t="s">
        <v>1192</v>
      </c>
      <c r="L879" s="687"/>
      <c r="M879" s="688" t="s">
        <v>1101</v>
      </c>
      <c r="N879" s="688">
        <v>0</v>
      </c>
      <c r="O879" s="691">
        <v>2000</v>
      </c>
      <c r="P879" s="691">
        <v>2200</v>
      </c>
      <c r="Q879" s="691">
        <v>2500</v>
      </c>
      <c r="R879" s="691">
        <v>2800</v>
      </c>
    </row>
    <row r="880" spans="2:18" ht="25.5" x14ac:dyDescent="0.2">
      <c r="B880" s="1747"/>
      <c r="C880" s="1747"/>
      <c r="D880" s="1750"/>
      <c r="E880" s="1764"/>
      <c r="F880" s="1661"/>
      <c r="G880" s="1661"/>
      <c r="H880" s="1661"/>
      <c r="I880" s="1661"/>
      <c r="J880" s="1661"/>
      <c r="K880" s="687" t="s">
        <v>2581</v>
      </c>
      <c r="L880" s="687"/>
      <c r="M880" s="688"/>
      <c r="N880" s="688">
        <v>0</v>
      </c>
      <c r="O880" s="781"/>
      <c r="P880" s="781"/>
      <c r="Q880" s="781"/>
      <c r="R880" s="781"/>
    </row>
    <row r="881" spans="2:18" ht="25.5" x14ac:dyDescent="0.2">
      <c r="B881" s="694"/>
      <c r="C881" s="694" t="s">
        <v>1193</v>
      </c>
      <c r="D881" s="694"/>
      <c r="E881" s="687" t="s">
        <v>1194</v>
      </c>
      <c r="F881" s="901">
        <v>0</v>
      </c>
      <c r="G881" s="901">
        <v>4715</v>
      </c>
      <c r="H881" s="901">
        <v>5870.8</v>
      </c>
      <c r="I881" s="901">
        <v>5870.8</v>
      </c>
      <c r="J881" s="901">
        <v>5870.8</v>
      </c>
      <c r="K881" s="687" t="s">
        <v>1195</v>
      </c>
      <c r="L881" s="687"/>
      <c r="M881" s="688" t="s">
        <v>1101</v>
      </c>
      <c r="N881" s="688">
        <v>0</v>
      </c>
      <c r="O881" s="691">
        <v>19</v>
      </c>
      <c r="P881" s="691">
        <v>19</v>
      </c>
      <c r="Q881" s="691">
        <v>19</v>
      </c>
      <c r="R881" s="691">
        <v>19</v>
      </c>
    </row>
    <row r="882" spans="2:18" ht="25.5" x14ac:dyDescent="0.2">
      <c r="B882" s="694"/>
      <c r="C882" s="694" t="s">
        <v>1196</v>
      </c>
      <c r="D882" s="694"/>
      <c r="E882" s="687" t="s">
        <v>1197</v>
      </c>
      <c r="F882" s="901">
        <v>0</v>
      </c>
      <c r="G882" s="901">
        <v>4045.2</v>
      </c>
      <c r="H882" s="901">
        <v>3643.5</v>
      </c>
      <c r="I882" s="901">
        <v>3643.5</v>
      </c>
      <c r="J882" s="901">
        <v>3643.5</v>
      </c>
      <c r="K882" s="687" t="s">
        <v>1198</v>
      </c>
      <c r="L882" s="687"/>
      <c r="M882" s="688" t="s">
        <v>1101</v>
      </c>
      <c r="N882" s="688">
        <v>0</v>
      </c>
      <c r="O882" s="691">
        <v>12</v>
      </c>
      <c r="P882" s="691">
        <v>12</v>
      </c>
      <c r="Q882" s="691">
        <v>12</v>
      </c>
      <c r="R882" s="691">
        <v>12</v>
      </c>
    </row>
    <row r="883" spans="2:18" ht="25.5" x14ac:dyDescent="0.2">
      <c r="B883" s="694"/>
      <c r="C883" s="694" t="s">
        <v>1199</v>
      </c>
      <c r="D883" s="514"/>
      <c r="E883" s="768" t="s">
        <v>1200</v>
      </c>
      <c r="F883" s="901">
        <v>38037.199999999997</v>
      </c>
      <c r="G883" s="901">
        <v>72615</v>
      </c>
      <c r="H883" s="901">
        <v>47608.5</v>
      </c>
      <c r="I883" s="901">
        <v>0</v>
      </c>
      <c r="J883" s="901">
        <v>0</v>
      </c>
      <c r="K883" s="687" t="s">
        <v>1201</v>
      </c>
      <c r="L883" s="687"/>
      <c r="M883" s="688" t="s">
        <v>130</v>
      </c>
      <c r="N883" s="688">
        <v>3001</v>
      </c>
      <c r="O883" s="688">
        <v>3001</v>
      </c>
      <c r="P883" s="688">
        <v>3001</v>
      </c>
      <c r="Q883" s="688">
        <v>3001</v>
      </c>
      <c r="R883" s="688">
        <v>3001</v>
      </c>
    </row>
    <row r="884" spans="2:18" ht="90" customHeight="1" x14ac:dyDescent="0.2">
      <c r="B884" s="1747"/>
      <c r="C884" s="1747" t="s">
        <v>1202</v>
      </c>
      <c r="D884" s="1748"/>
      <c r="E884" s="1764" t="s">
        <v>1203</v>
      </c>
      <c r="F884" s="1661">
        <v>8960.6</v>
      </c>
      <c r="G884" s="1661">
        <v>0</v>
      </c>
      <c r="H884" s="1661">
        <v>0</v>
      </c>
      <c r="I884" s="1661">
        <v>0</v>
      </c>
      <c r="J884" s="1661">
        <v>0</v>
      </c>
      <c r="K884" s="687" t="s">
        <v>1204</v>
      </c>
      <c r="L884" s="687"/>
      <c r="M884" s="688" t="s">
        <v>1205</v>
      </c>
      <c r="N884" s="688"/>
      <c r="O884" s="781">
        <v>0</v>
      </c>
      <c r="P884" s="781">
        <v>0</v>
      </c>
      <c r="Q884" s="781">
        <v>0</v>
      </c>
      <c r="R884" s="781">
        <v>0</v>
      </c>
    </row>
    <row r="885" spans="2:18" x14ac:dyDescent="0.2">
      <c r="B885" s="1747"/>
      <c r="C885" s="1747"/>
      <c r="D885" s="1749"/>
      <c r="E885" s="1764"/>
      <c r="F885" s="1661"/>
      <c r="G885" s="1661"/>
      <c r="H885" s="1661"/>
      <c r="I885" s="1661"/>
      <c r="J885" s="1661"/>
      <c r="K885" s="687" t="s">
        <v>1206</v>
      </c>
      <c r="L885" s="687"/>
      <c r="M885" s="688" t="s">
        <v>1207</v>
      </c>
      <c r="N885" s="688"/>
      <c r="O885" s="688">
        <v>0</v>
      </c>
      <c r="P885" s="688">
        <v>0</v>
      </c>
      <c r="Q885" s="688">
        <v>0</v>
      </c>
      <c r="R885" s="688">
        <v>0</v>
      </c>
    </row>
    <row r="886" spans="2:18" x14ac:dyDescent="0.2">
      <c r="B886" s="1747"/>
      <c r="C886" s="1747"/>
      <c r="D886" s="1750"/>
      <c r="E886" s="1764"/>
      <c r="F886" s="1661"/>
      <c r="G886" s="1661"/>
      <c r="H886" s="1661"/>
      <c r="I886" s="1661"/>
      <c r="J886" s="1661"/>
      <c r="K886" s="687" t="s">
        <v>2582</v>
      </c>
      <c r="L886" s="687"/>
      <c r="M886" s="688" t="s">
        <v>517</v>
      </c>
      <c r="N886" s="688"/>
      <c r="O886" s="781">
        <v>0</v>
      </c>
      <c r="P886" s="781">
        <v>0</v>
      </c>
      <c r="Q886" s="781">
        <v>0</v>
      </c>
      <c r="R886" s="781">
        <v>0</v>
      </c>
    </row>
    <row r="887" spans="2:18" ht="25.5" x14ac:dyDescent="0.2">
      <c r="B887" s="338" t="s">
        <v>161</v>
      </c>
      <c r="C887" s="694"/>
      <c r="D887" s="514"/>
      <c r="E887" s="311" t="s">
        <v>2583</v>
      </c>
      <c r="F887" s="902">
        <v>1475841.3</v>
      </c>
      <c r="G887" s="902">
        <v>0</v>
      </c>
      <c r="H887" s="902">
        <v>0</v>
      </c>
      <c r="I887" s="902">
        <v>0</v>
      </c>
      <c r="J887" s="902">
        <v>0</v>
      </c>
      <c r="K887" s="687"/>
      <c r="L887" s="687"/>
      <c r="M887" s="688"/>
      <c r="N887" s="688"/>
      <c r="O887" s="688"/>
      <c r="P887" s="688"/>
      <c r="Q887" s="688"/>
      <c r="R887" s="688"/>
    </row>
    <row r="888" spans="2:18" x14ac:dyDescent="0.2">
      <c r="B888" s="1748"/>
      <c r="C888" s="1747" t="s">
        <v>123</v>
      </c>
      <c r="D888" s="1748"/>
      <c r="E888" s="1853" t="s">
        <v>1208</v>
      </c>
      <c r="F888" s="1818" t="s">
        <v>1209</v>
      </c>
      <c r="G888" s="1779" t="s">
        <v>121</v>
      </c>
      <c r="H888" s="1779" t="s">
        <v>121</v>
      </c>
      <c r="I888" s="1779" t="s">
        <v>121</v>
      </c>
      <c r="J888" s="1779" t="s">
        <v>121</v>
      </c>
      <c r="K888" s="687" t="s">
        <v>1210</v>
      </c>
      <c r="L888" s="687"/>
      <c r="M888" s="688" t="s">
        <v>1113</v>
      </c>
      <c r="N888" s="688"/>
      <c r="O888" s="688">
        <v>0</v>
      </c>
      <c r="P888" s="688">
        <v>0</v>
      </c>
      <c r="Q888" s="688">
        <v>0</v>
      </c>
      <c r="R888" s="688">
        <v>0</v>
      </c>
    </row>
    <row r="889" spans="2:18" x14ac:dyDescent="0.2">
      <c r="B889" s="1749"/>
      <c r="C889" s="1747"/>
      <c r="D889" s="1749"/>
      <c r="E889" s="1853"/>
      <c r="F889" s="1818"/>
      <c r="G889" s="1780"/>
      <c r="H889" s="1780"/>
      <c r="I889" s="1780"/>
      <c r="J889" s="1780"/>
      <c r="K889" s="687" t="s">
        <v>1211</v>
      </c>
      <c r="L889" s="687"/>
      <c r="M889" s="688" t="s">
        <v>17</v>
      </c>
      <c r="N889" s="688"/>
      <c r="O889" s="688">
        <v>0</v>
      </c>
      <c r="P889" s="688">
        <v>0</v>
      </c>
      <c r="Q889" s="688">
        <v>0</v>
      </c>
      <c r="R889" s="688">
        <v>0</v>
      </c>
    </row>
    <row r="890" spans="2:18" ht="38.25" x14ac:dyDescent="0.2">
      <c r="B890" s="1750"/>
      <c r="C890" s="1747"/>
      <c r="D890" s="1750"/>
      <c r="E890" s="1853"/>
      <c r="F890" s="1818"/>
      <c r="G890" s="1781"/>
      <c r="H890" s="1781"/>
      <c r="I890" s="1781"/>
      <c r="J890" s="1781"/>
      <c r="K890" s="687" t="s">
        <v>1212</v>
      </c>
      <c r="L890" s="687"/>
      <c r="M890" s="688" t="s">
        <v>17</v>
      </c>
      <c r="N890" s="688"/>
      <c r="O890" s="688">
        <v>0</v>
      </c>
      <c r="P890" s="688">
        <v>0</v>
      </c>
      <c r="Q890" s="688">
        <v>0</v>
      </c>
      <c r="R890" s="688">
        <v>0</v>
      </c>
    </row>
    <row r="891" spans="2:18" ht="45" customHeight="1" x14ac:dyDescent="0.2">
      <c r="B891" s="1748"/>
      <c r="C891" s="1747" t="s">
        <v>125</v>
      </c>
      <c r="D891" s="1748"/>
      <c r="E891" s="1764" t="s">
        <v>1213</v>
      </c>
      <c r="F891" s="1818">
        <v>962926.2</v>
      </c>
      <c r="G891" s="1777">
        <v>0</v>
      </c>
      <c r="H891" s="1777">
        <v>0</v>
      </c>
      <c r="I891" s="1777">
        <v>0</v>
      </c>
      <c r="J891" s="1777">
        <v>0</v>
      </c>
      <c r="K891" s="687" t="s">
        <v>1214</v>
      </c>
      <c r="L891" s="687"/>
      <c r="M891" s="688" t="s">
        <v>1113</v>
      </c>
      <c r="N891" s="688"/>
      <c r="O891" s="688">
        <v>0</v>
      </c>
      <c r="P891" s="688">
        <v>0</v>
      </c>
      <c r="Q891" s="688">
        <v>0</v>
      </c>
      <c r="R891" s="688">
        <v>0</v>
      </c>
    </row>
    <row r="892" spans="2:18" x14ac:dyDescent="0.2">
      <c r="B892" s="1749"/>
      <c r="C892" s="1747"/>
      <c r="D892" s="1749"/>
      <c r="E892" s="1764"/>
      <c r="F892" s="1818"/>
      <c r="G892" s="1852"/>
      <c r="H892" s="1852"/>
      <c r="I892" s="1852"/>
      <c r="J892" s="1852"/>
      <c r="K892" s="687" t="s">
        <v>1215</v>
      </c>
      <c r="L892" s="687"/>
      <c r="M892" s="688" t="s">
        <v>1216</v>
      </c>
      <c r="N892" s="688"/>
      <c r="O892" s="688">
        <v>0</v>
      </c>
      <c r="P892" s="688">
        <v>0</v>
      </c>
      <c r="Q892" s="688">
        <v>0</v>
      </c>
      <c r="R892" s="688">
        <v>0</v>
      </c>
    </row>
    <row r="893" spans="2:18" ht="25.5" x14ac:dyDescent="0.2">
      <c r="B893" s="1749"/>
      <c r="C893" s="1747"/>
      <c r="D893" s="1749"/>
      <c r="E893" s="1764"/>
      <c r="F893" s="1818"/>
      <c r="G893" s="1852"/>
      <c r="H893" s="1852"/>
      <c r="I893" s="1852"/>
      <c r="J893" s="1852"/>
      <c r="K893" s="687" t="s">
        <v>1217</v>
      </c>
      <c r="L893" s="687"/>
      <c r="M893" s="688" t="s">
        <v>1218</v>
      </c>
      <c r="N893" s="688"/>
      <c r="O893" s="688">
        <v>0</v>
      </c>
      <c r="P893" s="688">
        <v>0</v>
      </c>
      <c r="Q893" s="688">
        <v>0</v>
      </c>
      <c r="R893" s="688">
        <v>0</v>
      </c>
    </row>
    <row r="894" spans="2:18" ht="25.5" x14ac:dyDescent="0.2">
      <c r="B894" s="1749"/>
      <c r="C894" s="1747"/>
      <c r="D894" s="1749"/>
      <c r="E894" s="1764"/>
      <c r="F894" s="1818"/>
      <c r="G894" s="1852"/>
      <c r="H894" s="1852"/>
      <c r="I894" s="1852"/>
      <c r="J894" s="1852"/>
      <c r="K894" s="687" t="s">
        <v>1219</v>
      </c>
      <c r="L894" s="687"/>
      <c r="M894" s="688" t="s">
        <v>517</v>
      </c>
      <c r="N894" s="688"/>
      <c r="O894" s="688">
        <v>0</v>
      </c>
      <c r="P894" s="688">
        <v>0</v>
      </c>
      <c r="Q894" s="688">
        <v>0</v>
      </c>
      <c r="R894" s="688">
        <v>0</v>
      </c>
    </row>
    <row r="895" spans="2:18" x14ac:dyDescent="0.2">
      <c r="B895" s="1749"/>
      <c r="C895" s="1747"/>
      <c r="D895" s="1749"/>
      <c r="E895" s="1764"/>
      <c r="F895" s="1818"/>
      <c r="G895" s="1852"/>
      <c r="H895" s="1852"/>
      <c r="I895" s="1852"/>
      <c r="J895" s="1852"/>
      <c r="K895" s="687" t="s">
        <v>1220</v>
      </c>
      <c r="L895" s="687"/>
      <c r="M895" s="688" t="s">
        <v>517</v>
      </c>
      <c r="N895" s="688"/>
      <c r="O895" s="688">
        <v>0</v>
      </c>
      <c r="P895" s="688">
        <v>0</v>
      </c>
      <c r="Q895" s="688">
        <v>0</v>
      </c>
      <c r="R895" s="688">
        <v>0</v>
      </c>
    </row>
    <row r="896" spans="2:18" x14ac:dyDescent="0.2">
      <c r="B896" s="1749"/>
      <c r="C896" s="1747"/>
      <c r="D896" s="1749"/>
      <c r="E896" s="1764"/>
      <c r="F896" s="1818"/>
      <c r="G896" s="1852"/>
      <c r="H896" s="1852"/>
      <c r="I896" s="1852"/>
      <c r="J896" s="1852"/>
      <c r="K896" s="687" t="s">
        <v>1221</v>
      </c>
      <c r="L896" s="687"/>
      <c r="M896" s="688" t="s">
        <v>1218</v>
      </c>
      <c r="N896" s="688"/>
      <c r="O896" s="688">
        <v>0</v>
      </c>
      <c r="P896" s="688">
        <v>0</v>
      </c>
      <c r="Q896" s="688">
        <v>0</v>
      </c>
      <c r="R896" s="688">
        <v>0</v>
      </c>
    </row>
    <row r="897" spans="2:18" x14ac:dyDescent="0.2">
      <c r="B897" s="1749"/>
      <c r="C897" s="1747"/>
      <c r="D897" s="1749"/>
      <c r="E897" s="1764"/>
      <c r="F897" s="1818"/>
      <c r="G897" s="1852"/>
      <c r="H897" s="1852"/>
      <c r="I897" s="1852"/>
      <c r="J897" s="1852"/>
      <c r="K897" s="687" t="s">
        <v>1245</v>
      </c>
      <c r="L897" s="687"/>
      <c r="M897" s="688" t="s">
        <v>1218</v>
      </c>
      <c r="N897" s="688"/>
      <c r="O897" s="688">
        <v>0</v>
      </c>
      <c r="P897" s="688">
        <v>0</v>
      </c>
      <c r="Q897" s="688">
        <v>0</v>
      </c>
      <c r="R897" s="688">
        <v>0</v>
      </c>
    </row>
    <row r="898" spans="2:18" x14ac:dyDescent="0.2">
      <c r="B898" s="1749"/>
      <c r="C898" s="1747"/>
      <c r="D898" s="1749"/>
      <c r="E898" s="1764"/>
      <c r="F898" s="1818"/>
      <c r="G898" s="1852"/>
      <c r="H898" s="1852"/>
      <c r="I898" s="1852"/>
      <c r="J898" s="1852"/>
      <c r="K898" s="687" t="s">
        <v>1222</v>
      </c>
      <c r="L898" s="687"/>
      <c r="M898" s="688" t="s">
        <v>1223</v>
      </c>
      <c r="N898" s="688"/>
      <c r="O898" s="688">
        <v>0</v>
      </c>
      <c r="P898" s="688">
        <v>0</v>
      </c>
      <c r="Q898" s="688">
        <v>0</v>
      </c>
      <c r="R898" s="688">
        <v>0</v>
      </c>
    </row>
    <row r="899" spans="2:18" x14ac:dyDescent="0.2">
      <c r="B899" s="1750"/>
      <c r="C899" s="1747"/>
      <c r="D899" s="1750"/>
      <c r="E899" s="1764"/>
      <c r="F899" s="1818"/>
      <c r="G899" s="1778"/>
      <c r="H899" s="1778"/>
      <c r="I899" s="1778"/>
      <c r="J899" s="1778"/>
      <c r="K899" s="687" t="s">
        <v>1224</v>
      </c>
      <c r="L899" s="687"/>
      <c r="M899" s="688" t="s">
        <v>1113</v>
      </c>
      <c r="N899" s="688"/>
      <c r="O899" s="688">
        <v>0</v>
      </c>
      <c r="P899" s="688">
        <v>0</v>
      </c>
      <c r="Q899" s="688">
        <v>0</v>
      </c>
      <c r="R899" s="688">
        <v>0</v>
      </c>
    </row>
    <row r="900" spans="2:18" ht="38.25" x14ac:dyDescent="0.2">
      <c r="B900" s="809"/>
      <c r="C900" s="809" t="s">
        <v>127</v>
      </c>
      <c r="D900" s="688"/>
      <c r="E900" s="768" t="s">
        <v>1225</v>
      </c>
      <c r="F900" s="901">
        <v>384785.4</v>
      </c>
      <c r="G900" s="901">
        <v>0</v>
      </c>
      <c r="H900" s="901">
        <v>0</v>
      </c>
      <c r="I900" s="901">
        <v>0</v>
      </c>
      <c r="J900" s="901">
        <v>0</v>
      </c>
      <c r="K900" s="687" t="s">
        <v>1226</v>
      </c>
      <c r="L900" s="687"/>
      <c r="M900" s="688" t="s">
        <v>1227</v>
      </c>
      <c r="N900" s="816"/>
      <c r="O900" s="688">
        <v>0</v>
      </c>
      <c r="P900" s="688">
        <v>0</v>
      </c>
      <c r="Q900" s="688">
        <v>0</v>
      </c>
      <c r="R900" s="688">
        <v>0</v>
      </c>
    </row>
    <row r="901" spans="2:18" ht="38.25" x14ac:dyDescent="0.2">
      <c r="B901" s="809"/>
      <c r="C901" s="809" t="s">
        <v>132</v>
      </c>
      <c r="D901" s="688"/>
      <c r="E901" s="768" t="s">
        <v>1228</v>
      </c>
      <c r="F901" s="901">
        <v>0</v>
      </c>
      <c r="G901" s="901">
        <v>0</v>
      </c>
      <c r="H901" s="901">
        <v>0</v>
      </c>
      <c r="I901" s="901">
        <v>0</v>
      </c>
      <c r="J901" s="901">
        <v>0</v>
      </c>
      <c r="K901" s="687" t="s">
        <v>1229</v>
      </c>
      <c r="L901" s="687"/>
      <c r="M901" s="688">
        <v>0</v>
      </c>
      <c r="N901" s="688"/>
      <c r="O901" s="688"/>
      <c r="P901" s="688"/>
      <c r="Q901" s="688"/>
      <c r="R901" s="688"/>
    </row>
    <row r="902" spans="2:18" ht="60" customHeight="1" x14ac:dyDescent="0.2">
      <c r="B902" s="514"/>
      <c r="C902" s="1747" t="s">
        <v>74</v>
      </c>
      <c r="D902" s="514"/>
      <c r="E902" s="1764" t="s">
        <v>1230</v>
      </c>
      <c r="F902" s="1818">
        <v>116147.2</v>
      </c>
      <c r="G902" s="1661">
        <v>0</v>
      </c>
      <c r="H902" s="1661">
        <v>0</v>
      </c>
      <c r="I902" s="1661">
        <v>0</v>
      </c>
      <c r="J902" s="1661">
        <v>0</v>
      </c>
      <c r="K902" s="687" t="s">
        <v>1231</v>
      </c>
      <c r="L902" s="687"/>
      <c r="M902" s="688" t="s">
        <v>1113</v>
      </c>
      <c r="N902" s="816"/>
      <c r="O902" s="688">
        <v>0</v>
      </c>
      <c r="P902" s="688">
        <v>0</v>
      </c>
      <c r="Q902" s="688">
        <v>0</v>
      </c>
      <c r="R902" s="688">
        <v>0</v>
      </c>
    </row>
    <row r="903" spans="2:18" ht="25.5" x14ac:dyDescent="0.2">
      <c r="B903" s="514"/>
      <c r="C903" s="1747"/>
      <c r="D903" s="514"/>
      <c r="E903" s="1764"/>
      <c r="F903" s="1818"/>
      <c r="G903" s="1661"/>
      <c r="H903" s="1661"/>
      <c r="I903" s="1661"/>
      <c r="J903" s="1661"/>
      <c r="K903" s="687" t="s">
        <v>1232</v>
      </c>
      <c r="L903" s="687"/>
      <c r="M903" s="688" t="s">
        <v>1113</v>
      </c>
      <c r="N903" s="837"/>
      <c r="O903" s="688">
        <v>0</v>
      </c>
      <c r="P903" s="688">
        <v>0</v>
      </c>
      <c r="Q903" s="688">
        <v>0</v>
      </c>
      <c r="R903" s="688">
        <v>0</v>
      </c>
    </row>
    <row r="904" spans="2:18" ht="20.25" customHeight="1" x14ac:dyDescent="0.2">
      <c r="B904" s="1906" t="s">
        <v>64</v>
      </c>
      <c r="C904" s="1906"/>
      <c r="D904" s="1906"/>
      <c r="E904" s="1906"/>
      <c r="F904" s="908">
        <v>2451266.2000000002</v>
      </c>
      <c r="G904" s="908">
        <v>978251.99999999988</v>
      </c>
      <c r="H904" s="908">
        <f>H808+H832</f>
        <v>1105507.2</v>
      </c>
      <c r="I904" s="908">
        <v>613851.89999999991</v>
      </c>
      <c r="J904" s="908">
        <v>617399</v>
      </c>
      <c r="K904" s="60"/>
      <c r="L904" s="60"/>
      <c r="M904" s="59"/>
      <c r="N904" s="59"/>
      <c r="O904" s="59"/>
      <c r="P904" s="59"/>
      <c r="Q904" s="59"/>
      <c r="R904" s="59"/>
    </row>
    <row r="905" spans="2:18" ht="23.25" customHeight="1" x14ac:dyDescent="0.2">
      <c r="B905" s="1741" t="s">
        <v>1233</v>
      </c>
      <c r="C905" s="1741"/>
      <c r="D905" s="1741"/>
      <c r="E905" s="1741"/>
      <c r="F905" s="1741"/>
      <c r="G905" s="1741"/>
      <c r="H905" s="1741"/>
      <c r="I905" s="1741"/>
      <c r="J905" s="1741"/>
      <c r="K905" s="1741"/>
      <c r="L905" s="1741"/>
      <c r="M905" s="1741"/>
      <c r="N905" s="1741"/>
      <c r="O905" s="1741"/>
      <c r="P905" s="1741"/>
      <c r="Q905" s="1079"/>
      <c r="R905" s="1079"/>
    </row>
    <row r="906" spans="2:18" ht="45" customHeight="1" x14ac:dyDescent="0.2">
      <c r="B906" s="1711"/>
      <c r="C906" s="1751"/>
      <c r="D906" s="1751"/>
      <c r="E906" s="1807" t="s">
        <v>2786</v>
      </c>
      <c r="F906" s="1847">
        <v>1381884.4</v>
      </c>
      <c r="G906" s="1847">
        <v>1194539.2000000002</v>
      </c>
      <c r="H906" s="1847">
        <f>H910+H911</f>
        <v>1199244.1000000001</v>
      </c>
      <c r="I906" s="1847">
        <v>1220306.1000000001</v>
      </c>
      <c r="J906" s="1847">
        <v>1231004.6000000001</v>
      </c>
      <c r="K906" s="670" t="s">
        <v>1234</v>
      </c>
      <c r="L906" s="670"/>
      <c r="M906" s="668" t="s">
        <v>1235</v>
      </c>
      <c r="N906" s="668">
        <v>1024</v>
      </c>
      <c r="O906" s="668">
        <v>1024</v>
      </c>
      <c r="P906" s="668">
        <v>1024</v>
      </c>
      <c r="Q906" s="668">
        <v>1024</v>
      </c>
      <c r="R906" s="668">
        <v>1024</v>
      </c>
    </row>
    <row r="907" spans="2:18" ht="190.5" customHeight="1" x14ac:dyDescent="0.2">
      <c r="B907" s="1711"/>
      <c r="C907" s="1751"/>
      <c r="D907" s="1751"/>
      <c r="E907" s="1807"/>
      <c r="F907" s="1848"/>
      <c r="G907" s="1848"/>
      <c r="H907" s="1848"/>
      <c r="I907" s="1848"/>
      <c r="J907" s="1848"/>
      <c r="K907" s="687" t="s">
        <v>1236</v>
      </c>
      <c r="L907" s="687"/>
      <c r="M907" s="708" t="s">
        <v>1235</v>
      </c>
      <c r="N907" s="688" t="s">
        <v>1237</v>
      </c>
      <c r="O907" s="688" t="s">
        <v>1238</v>
      </c>
      <c r="P907" s="688" t="s">
        <v>1239</v>
      </c>
      <c r="Q907" s="688" t="s">
        <v>1240</v>
      </c>
      <c r="R907" s="688" t="s">
        <v>1240</v>
      </c>
    </row>
    <row r="908" spans="2:18" x14ac:dyDescent="0.2">
      <c r="B908" s="1711"/>
      <c r="C908" s="1751"/>
      <c r="D908" s="1751"/>
      <c r="E908" s="1807"/>
      <c r="F908" s="1848"/>
      <c r="G908" s="1848"/>
      <c r="H908" s="1848"/>
      <c r="I908" s="1848"/>
      <c r="J908" s="1848"/>
      <c r="K908" s="687" t="s">
        <v>1211</v>
      </c>
      <c r="L908" s="687"/>
      <c r="M908" s="688" t="s">
        <v>17</v>
      </c>
      <c r="N908" s="688">
        <v>27</v>
      </c>
      <c r="O908" s="688">
        <v>27</v>
      </c>
      <c r="P908" s="688">
        <v>27</v>
      </c>
      <c r="Q908" s="688">
        <v>27</v>
      </c>
      <c r="R908" s="688">
        <v>27</v>
      </c>
    </row>
    <row r="909" spans="2:18" ht="51" x14ac:dyDescent="0.2">
      <c r="B909" s="1711"/>
      <c r="C909" s="1751"/>
      <c r="D909" s="1751"/>
      <c r="E909" s="1807"/>
      <c r="F909" s="1849"/>
      <c r="G909" s="1849"/>
      <c r="H909" s="1849"/>
      <c r="I909" s="1849"/>
      <c r="J909" s="1849"/>
      <c r="K909" s="687" t="s">
        <v>1212</v>
      </c>
      <c r="L909" s="687"/>
      <c r="M909" s="688" t="s">
        <v>17</v>
      </c>
      <c r="N909" s="688" t="s">
        <v>1241</v>
      </c>
      <c r="O909" s="688" t="s">
        <v>1241</v>
      </c>
      <c r="P909" s="688" t="s">
        <v>1241</v>
      </c>
      <c r="Q909" s="688" t="s">
        <v>1241</v>
      </c>
      <c r="R909" s="688" t="s">
        <v>1241</v>
      </c>
    </row>
    <row r="910" spans="2:18" x14ac:dyDescent="0.2">
      <c r="B910" s="669"/>
      <c r="C910" s="697" t="s">
        <v>2584</v>
      </c>
      <c r="D910" s="669"/>
      <c r="E910" s="670" t="s">
        <v>1208</v>
      </c>
      <c r="F910" s="914">
        <v>20091.099999999999</v>
      </c>
      <c r="G910" s="914">
        <v>22052.1</v>
      </c>
      <c r="H910" s="914">
        <v>23720.5</v>
      </c>
      <c r="I910" s="914">
        <v>25067.1</v>
      </c>
      <c r="J910" s="914">
        <v>25857.1</v>
      </c>
      <c r="K910" s="687"/>
      <c r="L910" s="687"/>
      <c r="M910" s="688"/>
      <c r="N910" s="688"/>
      <c r="O910" s="688"/>
      <c r="P910" s="688"/>
      <c r="Q910" s="688"/>
      <c r="R910" s="688"/>
    </row>
    <row r="911" spans="2:18" ht="60" customHeight="1" x14ac:dyDescent="0.2">
      <c r="B911" s="1752"/>
      <c r="C911" s="1752" t="s">
        <v>2585</v>
      </c>
      <c r="D911" s="1752"/>
      <c r="E911" s="1807" t="s">
        <v>1242</v>
      </c>
      <c r="F911" s="1753">
        <v>914966.8</v>
      </c>
      <c r="G911" s="1753">
        <v>1172487.1000000001</v>
      </c>
      <c r="H911" s="1753">
        <v>1175523.6000000001</v>
      </c>
      <c r="I911" s="1753">
        <v>1195239</v>
      </c>
      <c r="J911" s="1753">
        <v>1205147.5</v>
      </c>
      <c r="K911" s="673" t="s">
        <v>1243</v>
      </c>
      <c r="L911" s="673"/>
      <c r="M911" s="668" t="s">
        <v>1244</v>
      </c>
      <c r="N911" s="668">
        <v>1550</v>
      </c>
      <c r="O911" s="668">
        <v>1550</v>
      </c>
      <c r="P911" s="668">
        <v>1080</v>
      </c>
      <c r="Q911" s="668">
        <v>1218</v>
      </c>
      <c r="R911" s="668">
        <v>1139</v>
      </c>
    </row>
    <row r="912" spans="2:18" x14ac:dyDescent="0.2">
      <c r="B912" s="1752"/>
      <c r="C912" s="1752"/>
      <c r="D912" s="1752"/>
      <c r="E912" s="1807"/>
      <c r="F912" s="1533"/>
      <c r="G912" s="1533"/>
      <c r="H912" s="1533"/>
      <c r="I912" s="1533"/>
      <c r="J912" s="1533"/>
      <c r="K912" s="673" t="s">
        <v>1245</v>
      </c>
      <c r="L912" s="673"/>
      <c r="M912" s="668" t="s">
        <v>1218</v>
      </c>
      <c r="N912" s="668">
        <v>458</v>
      </c>
      <c r="O912" s="668">
        <v>458</v>
      </c>
      <c r="P912" s="668">
        <v>280.5</v>
      </c>
      <c r="Q912" s="668">
        <v>316.2</v>
      </c>
      <c r="R912" s="668">
        <v>295.8</v>
      </c>
    </row>
    <row r="913" spans="2:18" ht="25.5" x14ac:dyDescent="0.2">
      <c r="B913" s="1752"/>
      <c r="C913" s="1752"/>
      <c r="D913" s="1752"/>
      <c r="E913" s="1807"/>
      <c r="F913" s="1533"/>
      <c r="G913" s="1533"/>
      <c r="H913" s="1533"/>
      <c r="I913" s="1533"/>
      <c r="J913" s="1533"/>
      <c r="K913" s="673" t="s">
        <v>1219</v>
      </c>
      <c r="L913" s="673"/>
      <c r="M913" s="668" t="s">
        <v>517</v>
      </c>
      <c r="N913" s="668">
        <v>960</v>
      </c>
      <c r="O913" s="668">
        <v>960</v>
      </c>
      <c r="P913" s="668">
        <v>626</v>
      </c>
      <c r="Q913" s="668">
        <v>705</v>
      </c>
      <c r="R913" s="668">
        <v>660</v>
      </c>
    </row>
    <row r="914" spans="2:18" x14ac:dyDescent="0.2">
      <c r="B914" s="1752"/>
      <c r="C914" s="1752"/>
      <c r="D914" s="1752"/>
      <c r="E914" s="1807"/>
      <c r="F914" s="1532"/>
      <c r="G914" s="1533"/>
      <c r="H914" s="1533"/>
      <c r="I914" s="1533"/>
      <c r="J914" s="1533"/>
      <c r="K914" s="673" t="s">
        <v>1220</v>
      </c>
      <c r="L914" s="673"/>
      <c r="M914" s="668" t="s">
        <v>517</v>
      </c>
      <c r="N914" s="668">
        <v>820</v>
      </c>
      <c r="O914" s="668">
        <v>820</v>
      </c>
      <c r="P914" s="668">
        <v>548</v>
      </c>
      <c r="Q914" s="668">
        <v>618</v>
      </c>
      <c r="R914" s="668">
        <v>578</v>
      </c>
    </row>
    <row r="915" spans="2:18" x14ac:dyDescent="0.2">
      <c r="B915" s="1752"/>
      <c r="C915" s="1752"/>
      <c r="D915" s="1752"/>
      <c r="E915" s="1807"/>
      <c r="F915" s="1753">
        <v>446826.5</v>
      </c>
      <c r="G915" s="1533"/>
      <c r="H915" s="1533"/>
      <c r="I915" s="1533"/>
      <c r="J915" s="1533"/>
      <c r="K915" s="673" t="s">
        <v>1246</v>
      </c>
      <c r="L915" s="673"/>
      <c r="M915" s="668" t="s">
        <v>517</v>
      </c>
      <c r="N915" s="668" t="s">
        <v>1247</v>
      </c>
      <c r="O915" s="668" t="s">
        <v>1247</v>
      </c>
      <c r="P915" s="668" t="s">
        <v>1248</v>
      </c>
      <c r="Q915" s="668" t="s">
        <v>1249</v>
      </c>
      <c r="R915" s="668" t="s">
        <v>1250</v>
      </c>
    </row>
    <row r="916" spans="2:18" x14ac:dyDescent="0.2">
      <c r="B916" s="1752"/>
      <c r="C916" s="1752"/>
      <c r="D916" s="1752"/>
      <c r="E916" s="1807"/>
      <c r="F916" s="1532"/>
      <c r="G916" s="1532"/>
      <c r="H916" s="1532"/>
      <c r="I916" s="1532"/>
      <c r="J916" s="1532"/>
      <c r="K916" s="673" t="s">
        <v>1222</v>
      </c>
      <c r="L916" s="673"/>
      <c r="M916" s="668" t="s">
        <v>1251</v>
      </c>
      <c r="N916" s="668">
        <v>3000</v>
      </c>
      <c r="O916" s="668">
        <v>3000</v>
      </c>
      <c r="P916" s="668">
        <v>3000</v>
      </c>
      <c r="Q916" s="668">
        <v>3000</v>
      </c>
      <c r="R916" s="668">
        <v>3000</v>
      </c>
    </row>
    <row r="917" spans="2:18" ht="25.5" x14ac:dyDescent="0.2">
      <c r="B917" s="838" t="s">
        <v>138</v>
      </c>
      <c r="C917" s="407"/>
      <c r="D917" s="1081"/>
      <c r="E917" s="1081" t="s">
        <v>2586</v>
      </c>
      <c r="F917" s="914"/>
      <c r="G917" s="918">
        <v>11406.7</v>
      </c>
      <c r="H917" s="918">
        <f>H918</f>
        <v>11154.2</v>
      </c>
      <c r="I917" s="918">
        <v>11154.2</v>
      </c>
      <c r="J917" s="918">
        <v>11154.2</v>
      </c>
      <c r="K917" s="673"/>
      <c r="L917" s="673"/>
      <c r="M917" s="668"/>
      <c r="N917" s="523"/>
      <c r="O917" s="523"/>
      <c r="P917" s="523"/>
      <c r="Q917" s="523"/>
      <c r="R917" s="523"/>
    </row>
    <row r="918" spans="2:18" ht="25.5" x14ac:dyDescent="0.2">
      <c r="B918" s="669"/>
      <c r="C918" s="697" t="s">
        <v>123</v>
      </c>
      <c r="D918" s="697"/>
      <c r="E918" s="670" t="s">
        <v>1252</v>
      </c>
      <c r="F918" s="914"/>
      <c r="G918" s="914">
        <v>11406.7</v>
      </c>
      <c r="H918" s="914">
        <v>11154.2</v>
      </c>
      <c r="I918" s="914">
        <v>11154.2</v>
      </c>
      <c r="J918" s="914">
        <v>11154.2</v>
      </c>
      <c r="K918" s="673"/>
      <c r="L918" s="673"/>
      <c r="M918" s="668"/>
      <c r="N918" s="523"/>
      <c r="O918" s="523"/>
      <c r="P918" s="523"/>
      <c r="Q918" s="523"/>
      <c r="R918" s="523"/>
    </row>
    <row r="919" spans="2:18" x14ac:dyDescent="0.2">
      <c r="B919" s="838" t="s">
        <v>161</v>
      </c>
      <c r="C919" s="407"/>
      <c r="D919" s="640"/>
      <c r="E919" s="640" t="s">
        <v>765</v>
      </c>
      <c r="F919" s="918">
        <v>664545</v>
      </c>
      <c r="G919" s="918">
        <v>3729701.2</v>
      </c>
      <c r="H919" s="918">
        <f>H920+H921+H922+H924+H925+H926</f>
        <v>6587083.5</v>
      </c>
      <c r="I919" s="918">
        <v>7822751.1400000006</v>
      </c>
      <c r="J919" s="918">
        <v>4691182.28</v>
      </c>
      <c r="K919" s="673"/>
      <c r="L919" s="673"/>
      <c r="M919" s="668"/>
      <c r="N919" s="523"/>
      <c r="O919" s="523"/>
      <c r="P919" s="523"/>
      <c r="Q919" s="523"/>
      <c r="R919" s="523"/>
    </row>
    <row r="920" spans="2:18" ht="25.5" x14ac:dyDescent="0.2">
      <c r="B920" s="669"/>
      <c r="C920" s="697" t="s">
        <v>123</v>
      </c>
      <c r="D920" s="697"/>
      <c r="E920" s="670" t="s">
        <v>1253</v>
      </c>
      <c r="F920" s="914"/>
      <c r="G920" s="914">
        <v>2802796</v>
      </c>
      <c r="H920" s="914">
        <v>5233968.5</v>
      </c>
      <c r="I920" s="914">
        <v>6465647.3999999994</v>
      </c>
      <c r="J920" s="914">
        <v>4203200.28</v>
      </c>
      <c r="K920" s="673"/>
      <c r="L920" s="673"/>
      <c r="M920" s="668"/>
      <c r="N920" s="523"/>
      <c r="O920" s="523"/>
      <c r="P920" s="523"/>
      <c r="Q920" s="523"/>
      <c r="R920" s="523"/>
    </row>
    <row r="921" spans="2:18" ht="38.25" x14ac:dyDescent="0.2">
      <c r="B921" s="669"/>
      <c r="C921" s="697" t="s">
        <v>125</v>
      </c>
      <c r="D921" s="697"/>
      <c r="E921" s="670" t="s">
        <v>1254</v>
      </c>
      <c r="F921" s="914"/>
      <c r="G921" s="914"/>
      <c r="H921" s="914">
        <v>127500</v>
      </c>
      <c r="I921" s="914">
        <v>161604</v>
      </c>
      <c r="J921" s="914">
        <v>0</v>
      </c>
      <c r="K921" s="524" t="s">
        <v>1255</v>
      </c>
      <c r="L921" s="524"/>
      <c r="M921" s="668" t="s">
        <v>1256</v>
      </c>
      <c r="N921" s="818"/>
      <c r="O921" s="818"/>
      <c r="P921" s="818">
        <v>2</v>
      </c>
      <c r="Q921" s="818">
        <v>3</v>
      </c>
      <c r="R921" s="818"/>
    </row>
    <row r="922" spans="2:18" ht="75" customHeight="1" x14ac:dyDescent="0.2">
      <c r="B922" s="1752"/>
      <c r="C922" s="1752" t="s">
        <v>127</v>
      </c>
      <c r="D922" s="1850"/>
      <c r="E922" s="1807" t="s">
        <v>1257</v>
      </c>
      <c r="F922" s="1753">
        <v>453700</v>
      </c>
      <c r="G922" s="1753">
        <v>564200</v>
      </c>
      <c r="H922" s="1753">
        <v>510000</v>
      </c>
      <c r="I922" s="1753">
        <v>595048.43999999994</v>
      </c>
      <c r="J922" s="1753">
        <v>0</v>
      </c>
      <c r="K922" s="524" t="s">
        <v>1258</v>
      </c>
      <c r="L922" s="524"/>
      <c r="M922" s="668" t="s">
        <v>93</v>
      </c>
      <c r="N922" s="818">
        <v>2</v>
      </c>
      <c r="O922" s="818">
        <v>4</v>
      </c>
      <c r="P922" s="818">
        <v>10</v>
      </c>
      <c r="Q922" s="818">
        <v>13</v>
      </c>
      <c r="R922" s="818">
        <v>0</v>
      </c>
    </row>
    <row r="923" spans="2:18" x14ac:dyDescent="0.2">
      <c r="B923" s="1752"/>
      <c r="C923" s="1752"/>
      <c r="D923" s="1851"/>
      <c r="E923" s="1807"/>
      <c r="F923" s="1532"/>
      <c r="G923" s="1532"/>
      <c r="H923" s="1532"/>
      <c r="I923" s="1532"/>
      <c r="J923" s="1532"/>
      <c r="K923" s="524" t="s">
        <v>1259</v>
      </c>
      <c r="L923" s="524"/>
      <c r="M923" s="668" t="s">
        <v>1244</v>
      </c>
      <c r="N923" s="818">
        <v>0</v>
      </c>
      <c r="O923" s="818">
        <v>0</v>
      </c>
      <c r="P923" s="50">
        <v>22731</v>
      </c>
      <c r="Q923" s="50">
        <v>37269</v>
      </c>
      <c r="R923" s="818">
        <v>0</v>
      </c>
    </row>
    <row r="924" spans="2:18" ht="38.25" x14ac:dyDescent="0.2">
      <c r="B924" s="669"/>
      <c r="C924" s="697" t="s">
        <v>132</v>
      </c>
      <c r="D924" s="697"/>
      <c r="E924" s="670" t="s">
        <v>1260</v>
      </c>
      <c r="F924" s="944">
        <v>210845</v>
      </c>
      <c r="G924" s="901">
        <v>241500</v>
      </c>
      <c r="H924" s="901">
        <v>408000</v>
      </c>
      <c r="I924" s="901">
        <v>123598.9</v>
      </c>
      <c r="J924" s="901">
        <v>0</v>
      </c>
      <c r="K924" s="673" t="s">
        <v>1261</v>
      </c>
      <c r="L924" s="673"/>
      <c r="M924" s="668"/>
      <c r="N924" s="818"/>
      <c r="O924" s="818"/>
      <c r="P924" s="818"/>
      <c r="Q924" s="818"/>
      <c r="R924" s="818"/>
    </row>
    <row r="925" spans="2:18" ht="25.5" x14ac:dyDescent="0.2">
      <c r="B925" s="669"/>
      <c r="C925" s="697" t="s">
        <v>74</v>
      </c>
      <c r="D925" s="697"/>
      <c r="E925" s="670" t="s">
        <v>1262</v>
      </c>
      <c r="F925" s="944"/>
      <c r="G925" s="901">
        <v>121205.2</v>
      </c>
      <c r="H925" s="901">
        <v>249815</v>
      </c>
      <c r="I925" s="901">
        <v>476852.4</v>
      </c>
      <c r="J925" s="901">
        <v>487982</v>
      </c>
      <c r="K925" s="673"/>
      <c r="L925" s="673"/>
      <c r="M925" s="668"/>
      <c r="N925" s="818"/>
      <c r="O925" s="818"/>
      <c r="P925" s="818"/>
      <c r="Q925" s="818"/>
      <c r="R925" s="818"/>
    </row>
    <row r="926" spans="2:18" ht="25.5" x14ac:dyDescent="0.2">
      <c r="B926" s="669"/>
      <c r="C926" s="697" t="s">
        <v>197</v>
      </c>
      <c r="D926" s="697"/>
      <c r="E926" s="670" t="s">
        <v>1263</v>
      </c>
      <c r="F926" s="944"/>
      <c r="G926" s="901"/>
      <c r="H926" s="901">
        <v>57800</v>
      </c>
      <c r="I926" s="901"/>
      <c r="J926" s="901"/>
      <c r="K926" s="673"/>
      <c r="L926" s="673"/>
      <c r="M926" s="668"/>
      <c r="N926" s="818"/>
      <c r="O926" s="818"/>
      <c r="P926" s="818"/>
      <c r="Q926" s="818"/>
      <c r="R926" s="818"/>
    </row>
    <row r="927" spans="2:18" ht="27.75" customHeight="1" x14ac:dyDescent="0.2">
      <c r="B927" s="124" t="s">
        <v>64</v>
      </c>
      <c r="C927" s="124"/>
      <c r="D927" s="124"/>
      <c r="E927" s="124"/>
      <c r="F927" s="908">
        <v>2046429.4</v>
      </c>
      <c r="G927" s="908">
        <v>4935647.1000000006</v>
      </c>
      <c r="H927" s="908">
        <f>H906+H917+H919</f>
        <v>7797481.7999999998</v>
      </c>
      <c r="I927" s="908">
        <v>9054211.4400000013</v>
      </c>
      <c r="J927" s="908">
        <v>5933341.0800000001</v>
      </c>
      <c r="K927" s="1082"/>
      <c r="L927" s="1082"/>
      <c r="M927" s="1740"/>
      <c r="N927" s="1740"/>
      <c r="O927" s="1740"/>
      <c r="P927" s="1740"/>
      <c r="Q927" s="1740"/>
      <c r="R927" s="1083"/>
    </row>
    <row r="928" spans="2:18" ht="27" customHeight="1" x14ac:dyDescent="0.2">
      <c r="B928" s="1741" t="s">
        <v>1264</v>
      </c>
      <c r="C928" s="1741"/>
      <c r="D928" s="1741"/>
      <c r="E928" s="1741"/>
      <c r="F928" s="1076"/>
      <c r="G928" s="1076"/>
      <c r="H928" s="1076"/>
      <c r="I928" s="1076"/>
      <c r="J928" s="1076"/>
      <c r="K928" s="1079"/>
      <c r="L928" s="1079"/>
      <c r="M928" s="1078"/>
      <c r="N928" s="1079"/>
      <c r="O928" s="1079"/>
      <c r="P928" s="1079"/>
      <c r="Q928" s="1079"/>
      <c r="R928" s="1079"/>
    </row>
    <row r="929" spans="2:18" ht="48" customHeight="1" x14ac:dyDescent="0.2">
      <c r="B929" s="1084">
        <v>1</v>
      </c>
      <c r="C929" s="1085"/>
      <c r="D929" s="330"/>
      <c r="E929" s="768" t="s">
        <v>2787</v>
      </c>
      <c r="F929" s="959">
        <v>30295.800000000003</v>
      </c>
      <c r="G929" s="959">
        <v>28186.9</v>
      </c>
      <c r="H929" s="959">
        <f>H930+H933</f>
        <v>30272.6</v>
      </c>
      <c r="I929" s="959">
        <v>26912</v>
      </c>
      <c r="J929" s="959">
        <v>27168.799999999999</v>
      </c>
      <c r="K929" s="687" t="s">
        <v>16</v>
      </c>
      <c r="L929" s="687"/>
      <c r="M929" s="688" t="s">
        <v>17</v>
      </c>
      <c r="N929" s="688">
        <v>65.099999999999994</v>
      </c>
      <c r="O929" s="688">
        <v>68.2</v>
      </c>
      <c r="P929" s="688">
        <v>63.4</v>
      </c>
      <c r="Q929" s="688">
        <v>63.1</v>
      </c>
      <c r="R929" s="688">
        <v>61.2</v>
      </c>
    </row>
    <row r="930" spans="2:18" ht="60" customHeight="1" x14ac:dyDescent="0.2">
      <c r="B930" s="1902"/>
      <c r="C930" s="1903">
        <v>174</v>
      </c>
      <c r="D930" s="1875"/>
      <c r="E930" s="1905" t="s">
        <v>1265</v>
      </c>
      <c r="F930" s="1592">
        <v>21766.7</v>
      </c>
      <c r="G930" s="1592">
        <v>19722.7</v>
      </c>
      <c r="H930" s="1592">
        <f>14872.6+366</f>
        <v>15238.6</v>
      </c>
      <c r="I930" s="1592">
        <v>14147.2</v>
      </c>
      <c r="J930" s="1592">
        <v>14276.3</v>
      </c>
      <c r="K930" s="687" t="s">
        <v>1266</v>
      </c>
      <c r="L930" s="687"/>
      <c r="M930" s="688" t="s">
        <v>17</v>
      </c>
      <c r="N930" s="688">
        <v>21.7</v>
      </c>
      <c r="O930" s="688">
        <v>25</v>
      </c>
      <c r="P930" s="688">
        <v>25</v>
      </c>
      <c r="Q930" s="688">
        <v>100</v>
      </c>
      <c r="R930" s="688">
        <v>100</v>
      </c>
    </row>
    <row r="931" spans="2:18" x14ac:dyDescent="0.2">
      <c r="B931" s="1902"/>
      <c r="C931" s="1903"/>
      <c r="D931" s="1875"/>
      <c r="E931" s="1905"/>
      <c r="F931" s="1592"/>
      <c r="G931" s="1592"/>
      <c r="H931" s="1592"/>
      <c r="I931" s="1592"/>
      <c r="J931" s="1592"/>
      <c r="K931" s="687" t="s">
        <v>1267</v>
      </c>
      <c r="L931" s="687"/>
      <c r="M931" s="688" t="s">
        <v>17</v>
      </c>
      <c r="N931" s="688">
        <v>99.9</v>
      </c>
      <c r="O931" s="688">
        <v>100</v>
      </c>
      <c r="P931" s="688">
        <v>100</v>
      </c>
      <c r="Q931" s="688">
        <v>100</v>
      </c>
      <c r="R931" s="688">
        <v>100</v>
      </c>
    </row>
    <row r="932" spans="2:18" ht="25.5" x14ac:dyDescent="0.2">
      <c r="B932" s="1902"/>
      <c r="C932" s="1903"/>
      <c r="D932" s="1875"/>
      <c r="E932" s="1905"/>
      <c r="F932" s="1592"/>
      <c r="G932" s="1592"/>
      <c r="H932" s="1592"/>
      <c r="I932" s="1592"/>
      <c r="J932" s="1592"/>
      <c r="K932" s="687" t="s">
        <v>1268</v>
      </c>
      <c r="L932" s="687"/>
      <c r="M932" s="688" t="s">
        <v>130</v>
      </c>
      <c r="N932" s="688">
        <v>5</v>
      </c>
      <c r="O932" s="688">
        <v>5</v>
      </c>
      <c r="P932" s="688">
        <v>5</v>
      </c>
      <c r="Q932" s="688">
        <v>5</v>
      </c>
      <c r="R932" s="688">
        <v>5</v>
      </c>
    </row>
    <row r="933" spans="2:18" ht="45" customHeight="1" x14ac:dyDescent="0.2">
      <c r="B933" s="1902"/>
      <c r="C933" s="1903">
        <v>2</v>
      </c>
      <c r="D933" s="1903"/>
      <c r="E933" s="1764" t="s">
        <v>1269</v>
      </c>
      <c r="F933" s="1592">
        <v>8529.1</v>
      </c>
      <c r="G933" s="1592">
        <v>8464.2000000000007</v>
      </c>
      <c r="H933" s="1813">
        <v>15034</v>
      </c>
      <c r="I933" s="1813">
        <v>12764.8</v>
      </c>
      <c r="J933" s="1592">
        <v>12892.5</v>
      </c>
      <c r="K933" s="687" t="s">
        <v>1270</v>
      </c>
      <c r="L933" s="687"/>
      <c r="M933" s="688" t="s">
        <v>17</v>
      </c>
      <c r="N933" s="688">
        <v>75</v>
      </c>
      <c r="O933" s="688">
        <v>100</v>
      </c>
      <c r="P933" s="688">
        <v>100</v>
      </c>
      <c r="Q933" s="688">
        <v>100</v>
      </c>
      <c r="R933" s="688">
        <v>100</v>
      </c>
    </row>
    <row r="934" spans="2:18" x14ac:dyDescent="0.2">
      <c r="B934" s="1902"/>
      <c r="C934" s="1903"/>
      <c r="D934" s="1903"/>
      <c r="E934" s="1764"/>
      <c r="F934" s="1592"/>
      <c r="G934" s="1592"/>
      <c r="H934" s="1813"/>
      <c r="I934" s="1813"/>
      <c r="J934" s="1592"/>
      <c r="K934" s="687" t="s">
        <v>1271</v>
      </c>
      <c r="L934" s="687"/>
      <c r="M934" s="688" t="s">
        <v>17</v>
      </c>
      <c r="N934" s="688">
        <v>87.8</v>
      </c>
      <c r="O934" s="688">
        <v>100</v>
      </c>
      <c r="P934" s="688">
        <v>100</v>
      </c>
      <c r="Q934" s="688">
        <v>100</v>
      </c>
      <c r="R934" s="688">
        <v>100</v>
      </c>
    </row>
    <row r="935" spans="2:18" x14ac:dyDescent="0.2">
      <c r="B935" s="1902"/>
      <c r="C935" s="1903"/>
      <c r="D935" s="1903"/>
      <c r="E935" s="1764"/>
      <c r="F935" s="1592"/>
      <c r="G935" s="1592"/>
      <c r="H935" s="1813"/>
      <c r="I935" s="1813"/>
      <c r="J935" s="1592"/>
      <c r="K935" s="687" t="s">
        <v>1272</v>
      </c>
      <c r="L935" s="687"/>
      <c r="M935" s="688" t="s">
        <v>517</v>
      </c>
      <c r="N935" s="688">
        <v>2</v>
      </c>
      <c r="O935" s="688">
        <v>3</v>
      </c>
      <c r="P935" s="688">
        <v>3</v>
      </c>
      <c r="Q935" s="688">
        <v>3</v>
      </c>
      <c r="R935" s="688">
        <v>3</v>
      </c>
    </row>
    <row r="936" spans="2:18" ht="25.5" x14ac:dyDescent="0.2">
      <c r="B936" s="1902"/>
      <c r="C936" s="1903"/>
      <c r="D936" s="1903"/>
      <c r="E936" s="1764"/>
      <c r="F936" s="1592"/>
      <c r="G936" s="1592"/>
      <c r="H936" s="1813"/>
      <c r="I936" s="1813"/>
      <c r="J936" s="1592"/>
      <c r="K936" s="687" t="s">
        <v>2587</v>
      </c>
      <c r="L936" s="687"/>
      <c r="M936" s="688" t="s">
        <v>17</v>
      </c>
      <c r="N936" s="688">
        <v>80.900000000000006</v>
      </c>
      <c r="O936" s="688">
        <v>100</v>
      </c>
      <c r="P936" s="688">
        <v>100</v>
      </c>
      <c r="Q936" s="688">
        <v>100</v>
      </c>
      <c r="R936" s="688">
        <v>100</v>
      </c>
    </row>
    <row r="937" spans="2:18" ht="36" customHeight="1" x14ac:dyDescent="0.2">
      <c r="B937" s="1902"/>
      <c r="C937" s="1903"/>
      <c r="D937" s="1903"/>
      <c r="E937" s="1764"/>
      <c r="F937" s="1592"/>
      <c r="G937" s="1592"/>
      <c r="H937" s="1813"/>
      <c r="I937" s="1813"/>
      <c r="J937" s="1592"/>
      <c r="K937" s="687" t="s">
        <v>1273</v>
      </c>
      <c r="L937" s="687"/>
      <c r="M937" s="688" t="s">
        <v>517</v>
      </c>
      <c r="N937" s="688">
        <v>4</v>
      </c>
      <c r="O937" s="691">
        <v>2</v>
      </c>
      <c r="P937" s="691">
        <v>2</v>
      </c>
      <c r="Q937" s="691">
        <v>2</v>
      </c>
      <c r="R937" s="691">
        <v>3</v>
      </c>
    </row>
    <row r="938" spans="2:18" ht="15" customHeight="1" x14ac:dyDescent="0.2">
      <c r="B938" s="1904" t="s">
        <v>138</v>
      </c>
      <c r="C938" s="1853"/>
      <c r="D938" s="1853"/>
      <c r="E938" s="1764" t="s">
        <v>2788</v>
      </c>
      <c r="F938" s="1559">
        <v>1702745.4</v>
      </c>
      <c r="G938" s="1559">
        <v>1723636.2000000002</v>
      </c>
      <c r="H938" s="1559">
        <f>H940+H942+H944+H948+H951</f>
        <v>1608109.9</v>
      </c>
      <c r="I938" s="1559">
        <v>1643375</v>
      </c>
      <c r="J938" s="1559">
        <v>1661056.8</v>
      </c>
      <c r="K938" s="1846" t="s">
        <v>1274</v>
      </c>
      <c r="L938" s="688"/>
      <c r="M938" s="1846"/>
      <c r="N938" s="1846"/>
      <c r="O938" s="1901"/>
      <c r="P938" s="1901"/>
      <c r="Q938" s="1901"/>
      <c r="R938" s="1901"/>
    </row>
    <row r="939" spans="2:18" ht="75" customHeight="1" x14ac:dyDescent="0.2">
      <c r="B939" s="1904"/>
      <c r="C939" s="1853"/>
      <c r="D939" s="1853"/>
      <c r="E939" s="1764"/>
      <c r="F939" s="1559"/>
      <c r="G939" s="1559"/>
      <c r="H939" s="1559"/>
      <c r="I939" s="1559"/>
      <c r="J939" s="1559"/>
      <c r="K939" s="1846"/>
      <c r="L939" s="688"/>
      <c r="M939" s="1846"/>
      <c r="N939" s="1846"/>
      <c r="O939" s="1901"/>
      <c r="P939" s="1901"/>
      <c r="Q939" s="1901"/>
      <c r="R939" s="1901"/>
    </row>
    <row r="940" spans="2:18" ht="45" customHeight="1" x14ac:dyDescent="0.2">
      <c r="B940" s="1726"/>
      <c r="C940" s="1747" t="s">
        <v>123</v>
      </c>
      <c r="D940" s="1747"/>
      <c r="E940" s="1764" t="s">
        <v>1275</v>
      </c>
      <c r="F940" s="1813">
        <v>159631.79999999999</v>
      </c>
      <c r="G940" s="1813">
        <v>174413.4</v>
      </c>
      <c r="H940" s="1813">
        <v>154943</v>
      </c>
      <c r="I940" s="1813">
        <v>155443</v>
      </c>
      <c r="J940" s="1813">
        <v>155643</v>
      </c>
      <c r="K940" s="687" t="s">
        <v>1276</v>
      </c>
      <c r="L940" s="687"/>
      <c r="M940" s="688" t="s">
        <v>1048</v>
      </c>
      <c r="N940" s="688">
        <v>1196.8</v>
      </c>
      <c r="O940" s="781">
        <v>1502.4</v>
      </c>
      <c r="P940" s="781">
        <v>1502.4</v>
      </c>
      <c r="Q940" s="781">
        <v>1502.4</v>
      </c>
      <c r="R940" s="781">
        <v>1502.4</v>
      </c>
    </row>
    <row r="941" spans="2:18" ht="25.5" x14ac:dyDescent="0.2">
      <c r="B941" s="1726"/>
      <c r="C941" s="1747"/>
      <c r="D941" s="1747"/>
      <c r="E941" s="1764"/>
      <c r="F941" s="1813"/>
      <c r="G941" s="1813"/>
      <c r="H941" s="1813"/>
      <c r="I941" s="1813"/>
      <c r="J941" s="1813"/>
      <c r="K941" s="687" t="s">
        <v>1277</v>
      </c>
      <c r="L941" s="687"/>
      <c r="M941" s="688" t="s">
        <v>517</v>
      </c>
      <c r="N941" s="688">
        <v>300</v>
      </c>
      <c r="O941" s="691">
        <v>300</v>
      </c>
      <c r="P941" s="691">
        <v>300</v>
      </c>
      <c r="Q941" s="691">
        <v>300</v>
      </c>
      <c r="R941" s="691">
        <v>300</v>
      </c>
    </row>
    <row r="942" spans="2:18" ht="45" customHeight="1" x14ac:dyDescent="0.2">
      <c r="B942" s="1726"/>
      <c r="C942" s="1747" t="s">
        <v>125</v>
      </c>
      <c r="D942" s="1747"/>
      <c r="E942" s="1764" t="s">
        <v>1278</v>
      </c>
      <c r="F942" s="1813">
        <v>102804.2</v>
      </c>
      <c r="G942" s="1813">
        <v>123017.8</v>
      </c>
      <c r="H942" s="1813">
        <v>122663</v>
      </c>
      <c r="I942" s="1813">
        <v>123163</v>
      </c>
      <c r="J942" s="1813">
        <v>123963</v>
      </c>
      <c r="K942" s="687" t="s">
        <v>1279</v>
      </c>
      <c r="L942" s="687"/>
      <c r="M942" s="688" t="s">
        <v>1280</v>
      </c>
      <c r="N942" s="688">
        <v>655</v>
      </c>
      <c r="O942" s="691">
        <v>660</v>
      </c>
      <c r="P942" s="691">
        <v>660</v>
      </c>
      <c r="Q942" s="691">
        <v>660</v>
      </c>
      <c r="R942" s="691">
        <v>660</v>
      </c>
    </row>
    <row r="943" spans="2:18" x14ac:dyDescent="0.2">
      <c r="B943" s="1726"/>
      <c r="C943" s="1747"/>
      <c r="D943" s="1747"/>
      <c r="E943" s="1764"/>
      <c r="F943" s="1813"/>
      <c r="G943" s="1813"/>
      <c r="H943" s="1813"/>
      <c r="I943" s="1813"/>
      <c r="J943" s="1813"/>
      <c r="K943" s="687" t="s">
        <v>1281</v>
      </c>
      <c r="L943" s="687"/>
      <c r="M943" s="688" t="s">
        <v>517</v>
      </c>
      <c r="N943" s="688">
        <v>50</v>
      </c>
      <c r="O943" s="691">
        <v>54</v>
      </c>
      <c r="P943" s="691">
        <v>55</v>
      </c>
      <c r="Q943" s="691">
        <v>55</v>
      </c>
      <c r="R943" s="691">
        <v>55</v>
      </c>
    </row>
    <row r="944" spans="2:18" ht="105" customHeight="1" x14ac:dyDescent="0.2">
      <c r="B944" s="1747"/>
      <c r="C944" s="1747" t="s">
        <v>127</v>
      </c>
      <c r="D944" s="1747"/>
      <c r="E944" s="1764" t="s">
        <v>1282</v>
      </c>
      <c r="F944" s="1813">
        <v>195496.1</v>
      </c>
      <c r="G944" s="1813">
        <v>167102.79999999999</v>
      </c>
      <c r="H944" s="1813">
        <f>146229.3+157.5</f>
        <v>146386.79999999999</v>
      </c>
      <c r="I944" s="1813">
        <v>162584.20000000001</v>
      </c>
      <c r="J944" s="1813">
        <v>174484.1</v>
      </c>
      <c r="K944" s="687" t="s">
        <v>1283</v>
      </c>
      <c r="L944" s="687"/>
      <c r="M944" s="688" t="s">
        <v>1284</v>
      </c>
      <c r="N944" s="688">
        <v>17</v>
      </c>
      <c r="O944" s="691">
        <v>17</v>
      </c>
      <c r="P944" s="691">
        <v>18</v>
      </c>
      <c r="Q944" s="691">
        <v>18</v>
      </c>
      <c r="R944" s="691">
        <v>20</v>
      </c>
    </row>
    <row r="945" spans="2:18" ht="25.5" x14ac:dyDescent="0.2">
      <c r="B945" s="1747"/>
      <c r="C945" s="1747"/>
      <c r="D945" s="1747"/>
      <c r="E945" s="1764"/>
      <c r="F945" s="1813"/>
      <c r="G945" s="1813"/>
      <c r="H945" s="1813"/>
      <c r="I945" s="1813"/>
      <c r="J945" s="1813"/>
      <c r="K945" s="687" t="s">
        <v>1285</v>
      </c>
      <c r="L945" s="687"/>
      <c r="M945" s="688" t="s">
        <v>517</v>
      </c>
      <c r="N945" s="688">
        <v>1</v>
      </c>
      <c r="O945" s="691">
        <v>1</v>
      </c>
      <c r="P945" s="691">
        <v>2</v>
      </c>
      <c r="Q945" s="691">
        <v>2</v>
      </c>
      <c r="R945" s="691">
        <v>3</v>
      </c>
    </row>
    <row r="946" spans="2:18" ht="15" customHeight="1" x14ac:dyDescent="0.2">
      <c r="B946" s="1747"/>
      <c r="C946" s="1747"/>
      <c r="D946" s="1747"/>
      <c r="E946" s="1764"/>
      <c r="F946" s="1813"/>
      <c r="G946" s="1813"/>
      <c r="H946" s="1813"/>
      <c r="I946" s="1813"/>
      <c r="J946" s="1813"/>
      <c r="K946" s="1754" t="s">
        <v>1286</v>
      </c>
      <c r="L946" s="686"/>
      <c r="M946" s="1846" t="s">
        <v>517</v>
      </c>
      <c r="N946" s="1846">
        <v>20</v>
      </c>
      <c r="O946" s="1900">
        <v>20</v>
      </c>
      <c r="P946" s="1900">
        <v>18</v>
      </c>
      <c r="Q946" s="1900">
        <v>15</v>
      </c>
      <c r="R946" s="1900">
        <v>20</v>
      </c>
    </row>
    <row r="947" spans="2:18" x14ac:dyDescent="0.2">
      <c r="B947" s="1747"/>
      <c r="C947" s="1747"/>
      <c r="D947" s="1747"/>
      <c r="E947" s="1764"/>
      <c r="F947" s="1813"/>
      <c r="G947" s="1813"/>
      <c r="H947" s="1813"/>
      <c r="I947" s="1813"/>
      <c r="J947" s="1813"/>
      <c r="K947" s="1754"/>
      <c r="L947" s="686"/>
      <c r="M947" s="1846"/>
      <c r="N947" s="1846"/>
      <c r="O947" s="1900"/>
      <c r="P947" s="1900"/>
      <c r="Q947" s="1900"/>
      <c r="R947" s="1900"/>
    </row>
    <row r="948" spans="2:18" ht="45" customHeight="1" x14ac:dyDescent="0.2">
      <c r="B948" s="1747"/>
      <c r="C948" s="1747" t="s">
        <v>132</v>
      </c>
      <c r="D948" s="1747"/>
      <c r="E948" s="1764" t="s">
        <v>1287</v>
      </c>
      <c r="F948" s="1813">
        <v>583448.80000000005</v>
      </c>
      <c r="G948" s="1813">
        <v>496354.4</v>
      </c>
      <c r="H948" s="1813">
        <v>461792.9</v>
      </c>
      <c r="I948" s="1813">
        <v>465516</v>
      </c>
      <c r="J948" s="1813">
        <v>462305.9</v>
      </c>
      <c r="K948" s="687" t="s">
        <v>1288</v>
      </c>
      <c r="L948" s="687"/>
      <c r="M948" s="688" t="s">
        <v>517</v>
      </c>
      <c r="N948" s="688">
        <v>30</v>
      </c>
      <c r="O948" s="526">
        <v>37</v>
      </c>
      <c r="P948" s="526">
        <v>43</v>
      </c>
      <c r="Q948" s="526">
        <v>20</v>
      </c>
      <c r="R948" s="526">
        <v>20</v>
      </c>
    </row>
    <row r="949" spans="2:18" x14ac:dyDescent="0.2">
      <c r="B949" s="1747"/>
      <c r="C949" s="1747"/>
      <c r="D949" s="1747"/>
      <c r="E949" s="1764"/>
      <c r="F949" s="1813"/>
      <c r="G949" s="1813"/>
      <c r="H949" s="1813"/>
      <c r="I949" s="1813"/>
      <c r="J949" s="1813"/>
      <c r="K949" s="687" t="s">
        <v>1289</v>
      </c>
      <c r="L949" s="687"/>
      <c r="M949" s="688" t="s">
        <v>517</v>
      </c>
      <c r="N949" s="688">
        <v>65</v>
      </c>
      <c r="O949" s="526">
        <v>75</v>
      </c>
      <c r="P949" s="526">
        <v>79</v>
      </c>
      <c r="Q949" s="526">
        <v>50</v>
      </c>
      <c r="R949" s="526">
        <v>50</v>
      </c>
    </row>
    <row r="950" spans="2:18" x14ac:dyDescent="0.2">
      <c r="B950" s="1747"/>
      <c r="C950" s="1747"/>
      <c r="D950" s="1747"/>
      <c r="E950" s="1764"/>
      <c r="F950" s="1813"/>
      <c r="G950" s="1813"/>
      <c r="H950" s="1813"/>
      <c r="I950" s="1813"/>
      <c r="J950" s="1813"/>
      <c r="K950" s="687" t="s">
        <v>1290</v>
      </c>
      <c r="L950" s="687"/>
      <c r="M950" s="688" t="s">
        <v>1291</v>
      </c>
      <c r="N950" s="688">
        <v>1034384</v>
      </c>
      <c r="O950" s="527">
        <v>1059584</v>
      </c>
      <c r="P950" s="527">
        <v>1086038</v>
      </c>
      <c r="Q950" s="528">
        <v>1200000</v>
      </c>
      <c r="R950" s="528">
        <v>1200000</v>
      </c>
    </row>
    <row r="951" spans="2:18" ht="30" customHeight="1" x14ac:dyDescent="0.2">
      <c r="B951" s="1747"/>
      <c r="C951" s="1747" t="s">
        <v>74</v>
      </c>
      <c r="D951" s="1747"/>
      <c r="E951" s="1764" t="s">
        <v>1292</v>
      </c>
      <c r="F951" s="1813">
        <v>661364.5</v>
      </c>
      <c r="G951" s="1592">
        <v>762747.8</v>
      </c>
      <c r="H951" s="1592">
        <v>722324.2</v>
      </c>
      <c r="I951" s="1592">
        <v>736668.8</v>
      </c>
      <c r="J951" s="1592">
        <v>744660.8</v>
      </c>
      <c r="K951" s="687" t="s">
        <v>1293</v>
      </c>
      <c r="L951" s="687"/>
      <c r="M951" s="688" t="s">
        <v>124</v>
      </c>
      <c r="N951" s="688">
        <v>1020</v>
      </c>
      <c r="O951" s="691">
        <v>1086</v>
      </c>
      <c r="P951" s="691">
        <v>1150</v>
      </c>
      <c r="Q951" s="691">
        <v>1200</v>
      </c>
      <c r="R951" s="691">
        <v>1300</v>
      </c>
    </row>
    <row r="952" spans="2:18" x14ac:dyDescent="0.2">
      <c r="B952" s="1747"/>
      <c r="C952" s="1747"/>
      <c r="D952" s="1747"/>
      <c r="E952" s="1764"/>
      <c r="F952" s="1813"/>
      <c r="G952" s="1592"/>
      <c r="H952" s="1592"/>
      <c r="I952" s="1592"/>
      <c r="J952" s="1592"/>
      <c r="K952" s="687" t="s">
        <v>1294</v>
      </c>
      <c r="L952" s="687"/>
      <c r="M952" s="688" t="s">
        <v>124</v>
      </c>
      <c r="N952" s="688">
        <v>9021</v>
      </c>
      <c r="O952" s="691">
        <v>9021</v>
      </c>
      <c r="P952" s="691">
        <v>9021</v>
      </c>
      <c r="Q952" s="691">
        <v>9021</v>
      </c>
      <c r="R952" s="691">
        <v>9021</v>
      </c>
    </row>
    <row r="953" spans="2:18" ht="25.5" x14ac:dyDescent="0.2">
      <c r="B953" s="1747"/>
      <c r="C953" s="1747"/>
      <c r="D953" s="1747"/>
      <c r="E953" s="1764"/>
      <c r="F953" s="1813"/>
      <c r="G953" s="1592"/>
      <c r="H953" s="1592"/>
      <c r="I953" s="1592"/>
      <c r="J953" s="1592"/>
      <c r="K953" s="687" t="s">
        <v>1295</v>
      </c>
      <c r="L953" s="687"/>
      <c r="M953" s="688" t="s">
        <v>124</v>
      </c>
      <c r="N953" s="688">
        <v>20</v>
      </c>
      <c r="O953" s="691">
        <v>20</v>
      </c>
      <c r="P953" s="691">
        <v>20</v>
      </c>
      <c r="Q953" s="691">
        <v>20</v>
      </c>
      <c r="R953" s="691">
        <v>20</v>
      </c>
    </row>
    <row r="954" spans="2:18" ht="83.25" customHeight="1" x14ac:dyDescent="0.2">
      <c r="B954" s="338" t="s">
        <v>161</v>
      </c>
      <c r="C954" s="529"/>
      <c r="D954" s="529"/>
      <c r="E954" s="687" t="s">
        <v>2874</v>
      </c>
      <c r="F954" s="959">
        <v>71626.100000000006</v>
      </c>
      <c r="G954" s="959">
        <v>102113.7</v>
      </c>
      <c r="H954" s="959">
        <f>H955+H958+H959</f>
        <v>75861.8</v>
      </c>
      <c r="I954" s="959">
        <v>77395.3</v>
      </c>
      <c r="J954" s="959">
        <v>78284.899999999994</v>
      </c>
      <c r="K954" s="687"/>
      <c r="L954" s="687"/>
      <c r="M954" s="688"/>
      <c r="N954" s="688"/>
      <c r="O954" s="781"/>
      <c r="P954" s="781"/>
      <c r="Q954" s="781"/>
      <c r="R954" s="781"/>
    </row>
    <row r="955" spans="2:18" ht="45" customHeight="1" x14ac:dyDescent="0.2">
      <c r="B955" s="1853"/>
      <c r="C955" s="1747" t="s">
        <v>123</v>
      </c>
      <c r="D955" s="1853"/>
      <c r="E955" s="1764" t="s">
        <v>1296</v>
      </c>
      <c r="F955" s="1813">
        <v>20514</v>
      </c>
      <c r="G955" s="1592">
        <v>20514</v>
      </c>
      <c r="H955" s="1592">
        <v>10982.9</v>
      </c>
      <c r="I955" s="1592">
        <v>11193.1</v>
      </c>
      <c r="J955" s="1592">
        <v>11299.9</v>
      </c>
      <c r="K955" s="687" t="s">
        <v>2439</v>
      </c>
      <c r="L955" s="687"/>
      <c r="M955" s="688" t="s">
        <v>517</v>
      </c>
      <c r="N955" s="688">
        <v>1</v>
      </c>
      <c r="O955" s="691">
        <v>1</v>
      </c>
      <c r="P955" s="691">
        <v>1</v>
      </c>
      <c r="Q955" s="691">
        <v>1</v>
      </c>
      <c r="R955" s="816">
        <v>1</v>
      </c>
    </row>
    <row r="956" spans="2:18" x14ac:dyDescent="0.2">
      <c r="B956" s="1853"/>
      <c r="C956" s="1747"/>
      <c r="D956" s="1853"/>
      <c r="E956" s="1764"/>
      <c r="F956" s="1813"/>
      <c r="G956" s="1592"/>
      <c r="H956" s="1592"/>
      <c r="I956" s="1592"/>
      <c r="J956" s="1592"/>
      <c r="K956" s="687" t="s">
        <v>2588</v>
      </c>
      <c r="L956" s="687"/>
      <c r="M956" s="688" t="s">
        <v>517</v>
      </c>
      <c r="N956" s="688">
        <v>3</v>
      </c>
      <c r="O956" s="691">
        <v>3</v>
      </c>
      <c r="P956" s="691">
        <v>3</v>
      </c>
      <c r="Q956" s="691">
        <v>3</v>
      </c>
      <c r="R956" s="816">
        <v>3</v>
      </c>
    </row>
    <row r="957" spans="2:18" ht="25.5" x14ac:dyDescent="0.2">
      <c r="B957" s="1853"/>
      <c r="C957" s="1747"/>
      <c r="D957" s="1853"/>
      <c r="E957" s="1764"/>
      <c r="F957" s="1813"/>
      <c r="G957" s="1592"/>
      <c r="H957" s="1592"/>
      <c r="I957" s="1592"/>
      <c r="J957" s="1592"/>
      <c r="K957" s="687" t="s">
        <v>2589</v>
      </c>
      <c r="L957" s="687"/>
      <c r="M957" s="688" t="s">
        <v>517</v>
      </c>
      <c r="N957" s="688">
        <v>10</v>
      </c>
      <c r="O957" s="691">
        <v>10</v>
      </c>
      <c r="P957" s="691">
        <v>10</v>
      </c>
      <c r="Q957" s="691">
        <v>10</v>
      </c>
      <c r="R957" s="816">
        <v>10</v>
      </c>
    </row>
    <row r="958" spans="2:18" x14ac:dyDescent="0.2">
      <c r="B958" s="529"/>
      <c r="C958" s="694" t="s">
        <v>125</v>
      </c>
      <c r="D958" s="529"/>
      <c r="E958" s="687" t="s">
        <v>1297</v>
      </c>
      <c r="F958" s="987">
        <v>28240.1</v>
      </c>
      <c r="G958" s="987">
        <v>58727.7</v>
      </c>
      <c r="H958" s="987">
        <v>42841.7</v>
      </c>
      <c r="I958" s="987">
        <v>44165</v>
      </c>
      <c r="J958" s="987">
        <v>44947.799999999996</v>
      </c>
      <c r="K958" s="687" t="s">
        <v>2590</v>
      </c>
      <c r="L958" s="687"/>
      <c r="M958" s="688" t="s">
        <v>517</v>
      </c>
      <c r="N958" s="688">
        <v>5</v>
      </c>
      <c r="O958" s="691">
        <v>7</v>
      </c>
      <c r="P958" s="691">
        <v>7</v>
      </c>
      <c r="Q958" s="691">
        <v>7</v>
      </c>
      <c r="R958" s="816">
        <v>7</v>
      </c>
    </row>
    <row r="959" spans="2:18" ht="90" customHeight="1" x14ac:dyDescent="0.2">
      <c r="B959" s="1853"/>
      <c r="C959" s="1747" t="s">
        <v>127</v>
      </c>
      <c r="D959" s="1853"/>
      <c r="E959" s="1764" t="s">
        <v>1298</v>
      </c>
      <c r="F959" s="1592">
        <v>22872</v>
      </c>
      <c r="G959" s="1592">
        <v>22872</v>
      </c>
      <c r="H959" s="1592">
        <v>22037.200000000001</v>
      </c>
      <c r="I959" s="1592">
        <v>22037.200000000001</v>
      </c>
      <c r="J959" s="1592">
        <v>22037.200000000001</v>
      </c>
      <c r="K959" s="687" t="s">
        <v>2591</v>
      </c>
      <c r="L959" s="687"/>
      <c r="M959" s="688" t="s">
        <v>17</v>
      </c>
      <c r="N959" s="688">
        <v>24</v>
      </c>
      <c r="O959" s="691">
        <v>27</v>
      </c>
      <c r="P959" s="691">
        <v>30</v>
      </c>
      <c r="Q959" s="691">
        <v>30</v>
      </c>
      <c r="R959" s="816">
        <v>30</v>
      </c>
    </row>
    <row r="960" spans="2:18" ht="25.5" x14ac:dyDescent="0.2">
      <c r="B960" s="1853"/>
      <c r="C960" s="1747"/>
      <c r="D960" s="1853"/>
      <c r="E960" s="1764"/>
      <c r="F960" s="1592"/>
      <c r="G960" s="1592"/>
      <c r="H960" s="1592"/>
      <c r="I960" s="1592"/>
      <c r="J960" s="1592"/>
      <c r="K960" s="687" t="s">
        <v>2592</v>
      </c>
      <c r="L960" s="687"/>
      <c r="M960" s="688" t="s">
        <v>517</v>
      </c>
      <c r="N960" s="688">
        <v>2500</v>
      </c>
      <c r="O960" s="781">
        <v>2700</v>
      </c>
      <c r="P960" s="781">
        <v>2700</v>
      </c>
      <c r="Q960" s="781">
        <v>2300</v>
      </c>
      <c r="R960" s="816">
        <v>2300</v>
      </c>
    </row>
    <row r="961" spans="2:18" x14ac:dyDescent="0.2">
      <c r="B961" s="1853"/>
      <c r="C961" s="1747"/>
      <c r="D961" s="1853"/>
      <c r="E961" s="1764"/>
      <c r="F961" s="1592"/>
      <c r="G961" s="1592"/>
      <c r="H961" s="1592"/>
      <c r="I961" s="1592"/>
      <c r="J961" s="1592"/>
      <c r="K961" s="687" t="s">
        <v>2593</v>
      </c>
      <c r="L961" s="687"/>
      <c r="M961" s="688" t="s">
        <v>551</v>
      </c>
      <c r="N961" s="688">
        <v>4700</v>
      </c>
      <c r="O961" s="781">
        <v>4900</v>
      </c>
      <c r="P961" s="781">
        <v>5000</v>
      </c>
      <c r="Q961" s="781">
        <v>5000</v>
      </c>
      <c r="R961" s="816">
        <v>5000</v>
      </c>
    </row>
    <row r="962" spans="2:18" ht="38.25" x14ac:dyDescent="0.2">
      <c r="B962" s="338" t="s">
        <v>169</v>
      </c>
      <c r="C962" s="529"/>
      <c r="D962" s="529"/>
      <c r="E962" s="687" t="s">
        <v>2789</v>
      </c>
      <c r="F962" s="959">
        <v>9508.9</v>
      </c>
      <c r="G962" s="959">
        <v>8429.2999999999993</v>
      </c>
      <c r="H962" s="959">
        <f>H963+H964</f>
        <v>4909</v>
      </c>
      <c r="I962" s="959">
        <v>5003</v>
      </c>
      <c r="J962" s="959">
        <v>5050.7</v>
      </c>
      <c r="K962" s="687"/>
      <c r="L962" s="687"/>
      <c r="M962" s="688"/>
      <c r="N962" s="688"/>
      <c r="O962" s="781"/>
      <c r="P962" s="781"/>
      <c r="Q962" s="781"/>
      <c r="R962" s="781"/>
    </row>
    <row r="963" spans="2:18" ht="38.25" x14ac:dyDescent="0.2">
      <c r="B963" s="529"/>
      <c r="C963" s="694" t="s">
        <v>123</v>
      </c>
      <c r="D963" s="529"/>
      <c r="E963" s="687" t="s">
        <v>1299</v>
      </c>
      <c r="F963" s="987">
        <v>5819.7</v>
      </c>
      <c r="G963" s="987">
        <v>5181.5</v>
      </c>
      <c r="H963" s="987">
        <v>4830.8</v>
      </c>
      <c r="I963" s="987">
        <v>4830.8</v>
      </c>
      <c r="J963" s="987">
        <v>4830.8</v>
      </c>
      <c r="K963" s="687" t="s">
        <v>2594</v>
      </c>
      <c r="L963" s="687"/>
      <c r="M963" s="688" t="s">
        <v>1291</v>
      </c>
      <c r="N963" s="781">
        <v>8507.9</v>
      </c>
      <c r="O963" s="781">
        <v>2000</v>
      </c>
      <c r="P963" s="781" t="s">
        <v>1300</v>
      </c>
      <c r="Q963" s="781" t="s">
        <v>1301</v>
      </c>
      <c r="R963" s="781" t="s">
        <v>1302</v>
      </c>
    </row>
    <row r="964" spans="2:18" x14ac:dyDescent="0.2">
      <c r="B964" s="1748"/>
      <c r="C964" s="1747" t="s">
        <v>125</v>
      </c>
      <c r="D964" s="1853"/>
      <c r="E964" s="1764" t="s">
        <v>1303</v>
      </c>
      <c r="F964" s="1592">
        <v>3689.2</v>
      </c>
      <c r="G964" s="1592">
        <v>3247.8</v>
      </c>
      <c r="H964" s="1592">
        <v>78.2</v>
      </c>
      <c r="I964" s="1592">
        <v>172.2</v>
      </c>
      <c r="J964" s="1592">
        <v>219.9</v>
      </c>
      <c r="K964" s="687" t="s">
        <v>2595</v>
      </c>
      <c r="L964" s="687"/>
      <c r="M964" s="688" t="s">
        <v>17</v>
      </c>
      <c r="N964" s="781">
        <v>5.2</v>
      </c>
      <c r="O964" s="781">
        <v>3.2</v>
      </c>
      <c r="P964" s="781">
        <v>4.9000000000000004</v>
      </c>
      <c r="Q964" s="781">
        <v>5.2</v>
      </c>
      <c r="R964" s="781">
        <v>5.5</v>
      </c>
    </row>
    <row r="965" spans="2:18" ht="25.5" x14ac:dyDescent="0.2">
      <c r="B965" s="1749"/>
      <c r="C965" s="1747"/>
      <c r="D965" s="1853"/>
      <c r="E965" s="1764"/>
      <c r="F965" s="1592"/>
      <c r="G965" s="1592"/>
      <c r="H965" s="1592"/>
      <c r="I965" s="1592"/>
      <c r="J965" s="1592"/>
      <c r="K965" s="687" t="s">
        <v>2596</v>
      </c>
      <c r="L965" s="687"/>
      <c r="M965" s="688" t="s">
        <v>1304</v>
      </c>
      <c r="N965" s="781">
        <v>613.1</v>
      </c>
      <c r="O965" s="781">
        <v>61</v>
      </c>
      <c r="P965" s="781">
        <v>470</v>
      </c>
      <c r="Q965" s="781">
        <v>650</v>
      </c>
      <c r="R965" s="781">
        <v>800</v>
      </c>
    </row>
    <row r="966" spans="2:18" x14ac:dyDescent="0.2">
      <c r="B966" s="1750"/>
      <c r="C966" s="1747"/>
      <c r="D966" s="1853"/>
      <c r="E966" s="1764"/>
      <c r="F966" s="1592"/>
      <c r="G966" s="1592"/>
      <c r="H966" s="1592"/>
      <c r="I966" s="1592"/>
      <c r="J966" s="1592"/>
      <c r="K966" s="687" t="s">
        <v>1305</v>
      </c>
      <c r="L966" s="687"/>
      <c r="M966" s="688" t="s">
        <v>515</v>
      </c>
      <c r="N966" s="781">
        <v>27223</v>
      </c>
      <c r="O966" s="781">
        <v>500</v>
      </c>
      <c r="P966" s="781" t="s">
        <v>1306</v>
      </c>
      <c r="Q966" s="781" t="s">
        <v>1307</v>
      </c>
      <c r="R966" s="781" t="s">
        <v>1308</v>
      </c>
    </row>
    <row r="967" spans="2:18" ht="38.25" x14ac:dyDescent="0.2">
      <c r="B967" s="338" t="s">
        <v>241</v>
      </c>
      <c r="C967" s="529"/>
      <c r="D967" s="529"/>
      <c r="E967" s="687" t="s">
        <v>2875</v>
      </c>
      <c r="F967" s="959">
        <v>399325.7</v>
      </c>
      <c r="G967" s="959">
        <v>383875</v>
      </c>
      <c r="H967" s="959">
        <f>H968+H969+H970</f>
        <v>341829.6</v>
      </c>
      <c r="I967" s="959">
        <v>348372.39999999997</v>
      </c>
      <c r="J967" s="959">
        <v>351695.7</v>
      </c>
      <c r="K967" s="687"/>
      <c r="L967" s="687"/>
      <c r="M967" s="688"/>
      <c r="N967" s="688"/>
      <c r="O967" s="781"/>
      <c r="P967" s="781"/>
      <c r="Q967" s="781"/>
      <c r="R967" s="781"/>
    </row>
    <row r="968" spans="2:18" ht="25.5" x14ac:dyDescent="0.2">
      <c r="B968" s="529"/>
      <c r="C968" s="694" t="s">
        <v>123</v>
      </c>
      <c r="D968" s="529"/>
      <c r="E968" s="687" t="s">
        <v>1309</v>
      </c>
      <c r="F968" s="987">
        <v>10029.4</v>
      </c>
      <c r="G968" s="987">
        <v>9607.7999999999993</v>
      </c>
      <c r="H968" s="987">
        <v>4470.3</v>
      </c>
      <c r="I968" s="987">
        <v>4555.8999999999996</v>
      </c>
      <c r="J968" s="987">
        <v>4599.3</v>
      </c>
      <c r="K968" s="687" t="s">
        <v>2439</v>
      </c>
      <c r="L968" s="687"/>
      <c r="M968" s="688" t="s">
        <v>31</v>
      </c>
      <c r="N968" s="688">
        <v>1</v>
      </c>
      <c r="O968" s="688">
        <v>1</v>
      </c>
      <c r="P968" s="688">
        <v>1</v>
      </c>
      <c r="Q968" s="688">
        <v>1</v>
      </c>
      <c r="R968" s="688">
        <v>1</v>
      </c>
    </row>
    <row r="969" spans="2:18" ht="35.25" customHeight="1" x14ac:dyDescent="0.2">
      <c r="B969" s="529"/>
      <c r="C969" s="694" t="s">
        <v>125</v>
      </c>
      <c r="D969" s="529"/>
      <c r="E969" s="687" t="s">
        <v>1310</v>
      </c>
      <c r="F969" s="987">
        <v>119276.1</v>
      </c>
      <c r="G969" s="987">
        <v>144697.1</v>
      </c>
      <c r="H969" s="987">
        <v>107854.8</v>
      </c>
      <c r="I969" s="987">
        <v>109919.2</v>
      </c>
      <c r="J969" s="987">
        <v>110967.8</v>
      </c>
      <c r="K969" s="687" t="s">
        <v>1311</v>
      </c>
      <c r="L969" s="687"/>
      <c r="M969" s="688" t="s">
        <v>124</v>
      </c>
      <c r="N969" s="272">
        <v>40</v>
      </c>
      <c r="O969" s="272">
        <v>60</v>
      </c>
      <c r="P969" s="272">
        <v>80</v>
      </c>
      <c r="Q969" s="272">
        <v>80</v>
      </c>
      <c r="R969" s="272">
        <v>80</v>
      </c>
    </row>
    <row r="970" spans="2:18" ht="38.25" x14ac:dyDescent="0.2">
      <c r="B970" s="529"/>
      <c r="C970" s="694" t="s">
        <v>127</v>
      </c>
      <c r="D970" s="529"/>
      <c r="E970" s="687" t="s">
        <v>1312</v>
      </c>
      <c r="F970" s="987">
        <v>270020.2</v>
      </c>
      <c r="G970" s="987">
        <v>229570.1</v>
      </c>
      <c r="H970" s="987">
        <v>229504.5</v>
      </c>
      <c r="I970" s="987">
        <v>233897.3</v>
      </c>
      <c r="J970" s="987">
        <v>236128.6</v>
      </c>
      <c r="K970" s="687" t="s">
        <v>1313</v>
      </c>
      <c r="L970" s="687"/>
      <c r="M970" s="688" t="s">
        <v>517</v>
      </c>
      <c r="N970" s="688">
        <v>15</v>
      </c>
      <c r="O970" s="691">
        <v>15</v>
      </c>
      <c r="P970" s="691">
        <v>15</v>
      </c>
      <c r="Q970" s="691">
        <v>15</v>
      </c>
      <c r="R970" s="691">
        <v>15</v>
      </c>
    </row>
    <row r="971" spans="2:18" ht="27" customHeight="1" x14ac:dyDescent="0.2">
      <c r="B971" s="1086" t="s">
        <v>64</v>
      </c>
      <c r="C971" s="1086"/>
      <c r="D971" s="1086"/>
      <c r="E971" s="1086"/>
      <c r="F971" s="943">
        <v>2213501.9</v>
      </c>
      <c r="G971" s="943">
        <v>2246241.1</v>
      </c>
      <c r="H971" s="943">
        <f>H929+H938+H954+H962+H967</f>
        <v>2060982.9</v>
      </c>
      <c r="I971" s="943">
        <v>2101057.7000000002</v>
      </c>
      <c r="J971" s="943">
        <v>2123256.9</v>
      </c>
      <c r="K971" s="1082"/>
      <c r="L971" s="1082"/>
      <c r="M971" s="1740"/>
      <c r="N971" s="1740"/>
      <c r="O971" s="1740"/>
      <c r="P971" s="1740"/>
      <c r="Q971" s="1740"/>
      <c r="R971" s="1740"/>
    </row>
    <row r="972" spans="2:18" ht="25.5" customHeight="1" x14ac:dyDescent="0.2">
      <c r="B972" s="1741" t="s">
        <v>2597</v>
      </c>
      <c r="C972" s="1741"/>
      <c r="D972" s="1741"/>
      <c r="E972" s="1741"/>
      <c r="F972" s="1076"/>
      <c r="G972" s="1076"/>
      <c r="H972" s="1076"/>
      <c r="I972" s="1076"/>
      <c r="J972" s="1076"/>
      <c r="K972" s="1079"/>
      <c r="L972" s="1079"/>
      <c r="M972" s="1078"/>
      <c r="N972" s="1079"/>
      <c r="O972" s="1079"/>
      <c r="P972" s="1079"/>
      <c r="Q972" s="1079"/>
      <c r="R972" s="1079"/>
    </row>
    <row r="973" spans="2:18" ht="90.75" customHeight="1" x14ac:dyDescent="0.2">
      <c r="B973" s="1087">
        <v>1</v>
      </c>
      <c r="C973" s="1088"/>
      <c r="D973" s="1089"/>
      <c r="E973" s="1090" t="s">
        <v>1314</v>
      </c>
      <c r="F973" s="959">
        <v>17250.5</v>
      </c>
      <c r="G973" s="959">
        <v>14620.4</v>
      </c>
      <c r="H973" s="959">
        <f>H974</f>
        <v>14620.4</v>
      </c>
      <c r="I973" s="959">
        <v>14932.3</v>
      </c>
      <c r="J973" s="959">
        <v>15134.2</v>
      </c>
      <c r="K973" s="807" t="s">
        <v>2598</v>
      </c>
      <c r="L973" s="807"/>
      <c r="M973" s="336" t="s">
        <v>1315</v>
      </c>
      <c r="N973" s="336">
        <v>150</v>
      </c>
      <c r="O973" s="336">
        <v>170</v>
      </c>
      <c r="P973" s="336">
        <v>200</v>
      </c>
      <c r="Q973" s="336">
        <v>210</v>
      </c>
      <c r="R973" s="336">
        <v>210</v>
      </c>
    </row>
    <row r="974" spans="2:18" ht="30" customHeight="1" x14ac:dyDescent="0.2">
      <c r="B974" s="1899"/>
      <c r="C974" s="1663">
        <v>1</v>
      </c>
      <c r="D974" s="1664"/>
      <c r="E974" s="1821" t="s">
        <v>1316</v>
      </c>
      <c r="F974" s="1592">
        <v>17250.5</v>
      </c>
      <c r="G974" s="1592">
        <v>14620.4</v>
      </c>
      <c r="H974" s="1592">
        <v>14620.4</v>
      </c>
      <c r="I974" s="1592">
        <v>14932.3</v>
      </c>
      <c r="J974" s="1592">
        <v>15134.2</v>
      </c>
      <c r="K974" s="807" t="s">
        <v>2599</v>
      </c>
      <c r="L974" s="807"/>
      <c r="M974" s="336" t="s">
        <v>517</v>
      </c>
      <c r="N974" s="336">
        <v>7</v>
      </c>
      <c r="O974" s="336">
        <v>7.5</v>
      </c>
      <c r="P974" s="336">
        <v>8.1999999999999993</v>
      </c>
      <c r="Q974" s="336">
        <v>8.1999999999999993</v>
      </c>
      <c r="R974" s="336">
        <v>8.1999999999999993</v>
      </c>
    </row>
    <row r="975" spans="2:18" x14ac:dyDescent="0.2">
      <c r="B975" s="1899"/>
      <c r="C975" s="1663"/>
      <c r="D975" s="1664"/>
      <c r="E975" s="1821"/>
      <c r="F975" s="1592"/>
      <c r="G975" s="1592"/>
      <c r="H975" s="1592"/>
      <c r="I975" s="1592"/>
      <c r="J975" s="1592"/>
      <c r="K975" s="807" t="s">
        <v>2600</v>
      </c>
      <c r="L975" s="807"/>
      <c r="M975" s="336"/>
      <c r="N975" s="336">
        <v>11700</v>
      </c>
      <c r="O975" s="336">
        <v>12000</v>
      </c>
      <c r="P975" s="336">
        <v>12100</v>
      </c>
      <c r="Q975" s="336">
        <v>12200</v>
      </c>
      <c r="R975" s="336">
        <v>12200</v>
      </c>
    </row>
    <row r="976" spans="2:18" ht="45.75" customHeight="1" x14ac:dyDescent="0.2">
      <c r="B976" s="1899"/>
      <c r="C976" s="1663"/>
      <c r="D976" s="1664"/>
      <c r="E976" s="1821"/>
      <c r="F976" s="1592"/>
      <c r="G976" s="1592"/>
      <c r="H976" s="1592"/>
      <c r="I976" s="1592"/>
      <c r="J976" s="1592"/>
      <c r="K976" s="807" t="s">
        <v>2601</v>
      </c>
      <c r="L976" s="807"/>
      <c r="M976" s="336" t="s">
        <v>1317</v>
      </c>
      <c r="N976" s="336">
        <v>15</v>
      </c>
      <c r="O976" s="336">
        <v>16</v>
      </c>
      <c r="P976" s="336">
        <v>17</v>
      </c>
      <c r="Q976" s="336">
        <v>18</v>
      </c>
      <c r="R976" s="336">
        <v>18</v>
      </c>
    </row>
    <row r="977" spans="2:18" x14ac:dyDescent="0.2">
      <c r="B977" s="1899"/>
      <c r="C977" s="1663"/>
      <c r="D977" s="1664"/>
      <c r="E977" s="1821"/>
      <c r="F977" s="1592"/>
      <c r="G977" s="1592"/>
      <c r="H977" s="1592"/>
      <c r="I977" s="1592"/>
      <c r="J977" s="1592"/>
      <c r="K977" s="807" t="s">
        <v>2602</v>
      </c>
      <c r="L977" s="807"/>
      <c r="M977" s="336" t="s">
        <v>1318</v>
      </c>
      <c r="N977" s="336">
        <v>3500</v>
      </c>
      <c r="O977" s="336">
        <v>3800</v>
      </c>
      <c r="P977" s="336">
        <v>4000</v>
      </c>
      <c r="Q977" s="336">
        <v>4200</v>
      </c>
      <c r="R977" s="336">
        <v>4300</v>
      </c>
    </row>
    <row r="978" spans="2:18" x14ac:dyDescent="0.2">
      <c r="B978" s="1086" t="s">
        <v>64</v>
      </c>
      <c r="C978" s="1086"/>
      <c r="D978" s="1086"/>
      <c r="E978" s="1086"/>
      <c r="F978" s="943">
        <f>F973</f>
        <v>17250.5</v>
      </c>
      <c r="G978" s="943">
        <f t="shared" ref="G978:J978" si="33">G973</f>
        <v>14620.4</v>
      </c>
      <c r="H978" s="943">
        <f>H973</f>
        <v>14620.4</v>
      </c>
      <c r="I978" s="943">
        <f t="shared" si="33"/>
        <v>14932.3</v>
      </c>
      <c r="J978" s="943">
        <f t="shared" si="33"/>
        <v>15134.2</v>
      </c>
      <c r="K978" s="1082"/>
      <c r="L978" s="525"/>
      <c r="M978" s="1746"/>
      <c r="N978" s="1746"/>
      <c r="O978" s="1746"/>
      <c r="P978" s="1746"/>
      <c r="Q978" s="1746"/>
      <c r="R978" s="1746"/>
    </row>
    <row r="979" spans="2:18" ht="15" customHeight="1" x14ac:dyDescent="0.2">
      <c r="B979" s="1730" t="s">
        <v>1319</v>
      </c>
      <c r="C979" s="1730"/>
      <c r="D979" s="1730"/>
      <c r="E979" s="1730"/>
      <c r="F979" s="1730"/>
      <c r="G979" s="1730"/>
      <c r="H979" s="1730"/>
      <c r="I979" s="1730"/>
      <c r="J979" s="1730"/>
      <c r="K979" s="1730"/>
      <c r="L979" s="1730"/>
      <c r="M979" s="1730"/>
      <c r="N979" s="1730"/>
      <c r="O979" s="1730"/>
      <c r="P979" s="1730"/>
      <c r="Q979" s="1730"/>
      <c r="R979" s="1730"/>
    </row>
    <row r="980" spans="2:18" ht="36" customHeight="1" x14ac:dyDescent="0.2">
      <c r="B980" s="532">
        <v>8</v>
      </c>
      <c r="C980" s="694"/>
      <c r="D980" s="533"/>
      <c r="E980" s="687" t="s">
        <v>1320</v>
      </c>
      <c r="F980" s="902">
        <f>F981+F982</f>
        <v>802.3</v>
      </c>
      <c r="G980" s="902">
        <f t="shared" ref="G980:J980" si="34">G981+G982</f>
        <v>1194.7</v>
      </c>
      <c r="H980" s="902">
        <f t="shared" si="34"/>
        <v>1025.0999999999999</v>
      </c>
      <c r="I980" s="902">
        <f t="shared" si="34"/>
        <v>1044.7</v>
      </c>
      <c r="J980" s="902">
        <f t="shared" si="34"/>
        <v>1054.7</v>
      </c>
      <c r="K980" s="534" t="s">
        <v>23</v>
      </c>
      <c r="L980" s="534"/>
      <c r="M980" s="736" t="s">
        <v>17</v>
      </c>
      <c r="N980" s="736">
        <v>100</v>
      </c>
      <c r="O980" s="736">
        <v>100</v>
      </c>
      <c r="P980" s="736">
        <v>100</v>
      </c>
      <c r="Q980" s="736">
        <v>100</v>
      </c>
      <c r="R980" s="736">
        <v>100</v>
      </c>
    </row>
    <row r="981" spans="2:18" ht="39.75" customHeight="1" x14ac:dyDescent="0.2">
      <c r="B981" s="815"/>
      <c r="C981" s="694" t="s">
        <v>123</v>
      </c>
      <c r="D981" s="54"/>
      <c r="E981" s="755" t="s">
        <v>1321</v>
      </c>
      <c r="F981" s="901">
        <v>802.3</v>
      </c>
      <c r="G981" s="901">
        <v>1194.7</v>
      </c>
      <c r="H981" s="901">
        <v>1025.0999999999999</v>
      </c>
      <c r="I981" s="901">
        <v>1044.7</v>
      </c>
      <c r="J981" s="901">
        <v>1054.7</v>
      </c>
      <c r="K981" s="687" t="s">
        <v>1322</v>
      </c>
      <c r="L981" s="687"/>
      <c r="M981" s="688" t="s">
        <v>17</v>
      </c>
      <c r="N981" s="736">
        <v>100</v>
      </c>
      <c r="O981" s="736">
        <v>100</v>
      </c>
      <c r="P981" s="736">
        <v>100</v>
      </c>
      <c r="Q981" s="736">
        <v>100</v>
      </c>
      <c r="R981" s="736">
        <v>100</v>
      </c>
    </row>
    <row r="982" spans="2:18" ht="38.25" x14ac:dyDescent="0.2">
      <c r="B982" s="815"/>
      <c r="C982" s="694" t="s">
        <v>125</v>
      </c>
      <c r="D982" s="54"/>
      <c r="E982" s="755" t="s">
        <v>1323</v>
      </c>
      <c r="F982" s="914"/>
      <c r="G982" s="914"/>
      <c r="H982" s="914"/>
      <c r="I982" s="914"/>
      <c r="J982" s="914"/>
      <c r="K982" s="687" t="s">
        <v>1324</v>
      </c>
      <c r="L982" s="687"/>
      <c r="M982" s="688" t="s">
        <v>31</v>
      </c>
      <c r="N982" s="736"/>
      <c r="O982" s="736"/>
      <c r="P982" s="736"/>
      <c r="Q982" s="736"/>
      <c r="R982" s="736">
        <v>3</v>
      </c>
    </row>
    <row r="983" spans="2:18" x14ac:dyDescent="0.2">
      <c r="B983" s="1716" t="s">
        <v>64</v>
      </c>
      <c r="C983" s="1716"/>
      <c r="D983" s="1716"/>
      <c r="E983" s="1716"/>
      <c r="F983" s="1091">
        <f>F980</f>
        <v>802.3</v>
      </c>
      <c r="G983" s="1091">
        <f t="shared" ref="G983:J983" si="35">G980</f>
        <v>1194.7</v>
      </c>
      <c r="H983" s="1091">
        <f t="shared" si="35"/>
        <v>1025.0999999999999</v>
      </c>
      <c r="I983" s="1091">
        <f t="shared" si="35"/>
        <v>1044.7</v>
      </c>
      <c r="J983" s="1091">
        <f t="shared" si="35"/>
        <v>1054.7</v>
      </c>
      <c r="K983" s="535"/>
      <c r="L983" s="535"/>
      <c r="M983" s="1845"/>
      <c r="N983" s="1845"/>
      <c r="O983" s="1845"/>
      <c r="P983" s="1845"/>
      <c r="Q983" s="1845"/>
      <c r="R983" s="1845"/>
    </row>
    <row r="984" spans="2:18" ht="15" customHeight="1" x14ac:dyDescent="0.2">
      <c r="B984" s="1730" t="s">
        <v>1325</v>
      </c>
      <c r="C984" s="1730"/>
      <c r="D984" s="1730"/>
      <c r="E984" s="1730"/>
      <c r="F984" s="1730"/>
      <c r="G984" s="1730"/>
      <c r="H984" s="1730"/>
      <c r="I984" s="1730"/>
      <c r="J984" s="1730"/>
      <c r="K984" s="1730"/>
      <c r="L984" s="1730"/>
      <c r="M984" s="1730"/>
      <c r="N984" s="1730"/>
      <c r="O984" s="1730"/>
      <c r="P984" s="1730"/>
      <c r="Q984" s="1730"/>
      <c r="R984" s="1730"/>
    </row>
    <row r="985" spans="2:18" ht="50.25" customHeight="1" x14ac:dyDescent="0.2">
      <c r="B985" s="721">
        <v>1</v>
      </c>
      <c r="C985" s="1092"/>
      <c r="D985" s="1093"/>
      <c r="E985" s="541" t="s">
        <v>2790</v>
      </c>
      <c r="F985" s="955">
        <f>F986+F987+F991+F988+F989+F990</f>
        <v>10280.6</v>
      </c>
      <c r="G985" s="955">
        <f>G986+G987+G991+G988+G989+G990</f>
        <v>9463.7000000000007</v>
      </c>
      <c r="H985" s="955">
        <f>H986+H987+H991</f>
        <v>9463.7000000000007</v>
      </c>
      <c r="I985" s="955">
        <f>I986+I987+I991+I988+I989+I990</f>
        <v>9603.2999999999993</v>
      </c>
      <c r="J985" s="955">
        <f>J986+J987+J991+J988+J989+J990</f>
        <v>9710.6</v>
      </c>
      <c r="K985" s="383" t="s">
        <v>16</v>
      </c>
      <c r="L985" s="383"/>
      <c r="M985" s="542" t="s">
        <v>17</v>
      </c>
      <c r="N985" s="542">
        <v>100</v>
      </c>
      <c r="O985" s="542">
        <v>100</v>
      </c>
      <c r="P985" s="542">
        <v>100</v>
      </c>
      <c r="Q985" s="542">
        <v>100</v>
      </c>
      <c r="R985" s="542">
        <v>100</v>
      </c>
    </row>
    <row r="986" spans="2:18" x14ac:dyDescent="0.2">
      <c r="B986" s="721"/>
      <c r="C986" s="722">
        <v>1</v>
      </c>
      <c r="D986" s="1092"/>
      <c r="E986" s="1094" t="s">
        <v>18</v>
      </c>
      <c r="F986" s="954">
        <v>4811.3</v>
      </c>
      <c r="G986" s="954">
        <v>4275.7</v>
      </c>
      <c r="H986" s="954">
        <v>4275.7</v>
      </c>
      <c r="I986" s="954">
        <v>4277.6000000000004</v>
      </c>
      <c r="J986" s="954">
        <v>4343.1000000000004</v>
      </c>
      <c r="K986" s="370" t="s">
        <v>19</v>
      </c>
      <c r="L986" s="370"/>
      <c r="M986" s="401" t="s">
        <v>20</v>
      </c>
      <c r="N986" s="542"/>
      <c r="O986" s="542"/>
      <c r="P986" s="542"/>
      <c r="Q986" s="542"/>
      <c r="R986" s="542"/>
    </row>
    <row r="987" spans="2:18" x14ac:dyDescent="0.2">
      <c r="B987" s="721"/>
      <c r="C987" s="722">
        <v>2</v>
      </c>
      <c r="D987" s="1092"/>
      <c r="E987" s="1095" t="s">
        <v>22</v>
      </c>
      <c r="F987" s="954">
        <v>2323.5</v>
      </c>
      <c r="G987" s="954">
        <v>2165.9</v>
      </c>
      <c r="H987" s="954">
        <v>2165.9</v>
      </c>
      <c r="I987" s="954">
        <v>2199.5</v>
      </c>
      <c r="J987" s="954">
        <v>2218.5</v>
      </c>
      <c r="K987" s="370" t="s">
        <v>23</v>
      </c>
      <c r="L987" s="370"/>
      <c r="M987" s="401" t="s">
        <v>17</v>
      </c>
      <c r="N987" s="542">
        <v>100</v>
      </c>
      <c r="O987" s="542">
        <v>100</v>
      </c>
      <c r="P987" s="542">
        <v>100</v>
      </c>
      <c r="Q987" s="542">
        <v>100</v>
      </c>
      <c r="R987" s="542">
        <v>100</v>
      </c>
    </row>
    <row r="988" spans="2:18" x14ac:dyDescent="0.2">
      <c r="B988" s="721"/>
      <c r="C988" s="722">
        <v>3</v>
      </c>
      <c r="D988" s="1092"/>
      <c r="E988" s="1095" t="s">
        <v>24</v>
      </c>
      <c r="F988" s="954"/>
      <c r="G988" s="954"/>
      <c r="H988" s="954"/>
      <c r="I988" s="954"/>
      <c r="J988" s="954"/>
      <c r="K988" s="370" t="s">
        <v>25</v>
      </c>
      <c r="L988" s="370"/>
      <c r="M988" s="401" t="s">
        <v>17</v>
      </c>
      <c r="N988" s="542"/>
      <c r="O988" s="542"/>
      <c r="P988" s="542"/>
      <c r="Q988" s="542"/>
      <c r="R988" s="542"/>
    </row>
    <row r="989" spans="2:18" ht="25.5" x14ac:dyDescent="0.2">
      <c r="B989" s="721"/>
      <c r="C989" s="722">
        <v>4</v>
      </c>
      <c r="D989" s="1092"/>
      <c r="E989" s="1095" t="s">
        <v>26</v>
      </c>
      <c r="F989" s="954"/>
      <c r="G989" s="954"/>
      <c r="H989" s="954"/>
      <c r="I989" s="954"/>
      <c r="J989" s="954"/>
      <c r="K989" s="370" t="s">
        <v>27</v>
      </c>
      <c r="L989" s="370"/>
      <c r="M989" s="401" t="s">
        <v>28</v>
      </c>
      <c r="N989" s="542"/>
      <c r="O989" s="542"/>
      <c r="P989" s="542"/>
      <c r="Q989" s="542"/>
      <c r="R989" s="542"/>
    </row>
    <row r="990" spans="2:18" ht="25.5" x14ac:dyDescent="0.2">
      <c r="B990" s="721"/>
      <c r="C990" s="722">
        <v>5</v>
      </c>
      <c r="D990" s="1092"/>
      <c r="E990" s="1095" t="s">
        <v>29</v>
      </c>
      <c r="F990" s="954"/>
      <c r="G990" s="954"/>
      <c r="H990" s="954"/>
      <c r="I990" s="954"/>
      <c r="J990" s="954"/>
      <c r="K990" s="370" t="s">
        <v>30</v>
      </c>
      <c r="L990" s="370"/>
      <c r="M990" s="401" t="s">
        <v>31</v>
      </c>
      <c r="N990" s="542"/>
      <c r="O990" s="542"/>
      <c r="P990" s="542"/>
      <c r="Q990" s="542"/>
      <c r="R990" s="542"/>
    </row>
    <row r="991" spans="2:18" ht="25.5" x14ac:dyDescent="0.2">
      <c r="B991" s="721"/>
      <c r="C991" s="722">
        <v>6</v>
      </c>
      <c r="D991" s="1092"/>
      <c r="E991" s="543" t="s">
        <v>32</v>
      </c>
      <c r="F991" s="954">
        <v>3145.8</v>
      </c>
      <c r="G991" s="954">
        <v>3022.1</v>
      </c>
      <c r="H991" s="954">
        <v>3022.1</v>
      </c>
      <c r="I991" s="954">
        <v>3126.2</v>
      </c>
      <c r="J991" s="954">
        <v>3149</v>
      </c>
      <c r="K991" s="370" t="s">
        <v>33</v>
      </c>
      <c r="L991" s="370"/>
      <c r="M991" s="401" t="s">
        <v>17</v>
      </c>
      <c r="N991" s="542"/>
      <c r="O991" s="542"/>
      <c r="P991" s="542"/>
      <c r="Q991" s="542"/>
      <c r="R991" s="542"/>
    </row>
    <row r="992" spans="2:18" ht="25.5" x14ac:dyDescent="0.2">
      <c r="B992" s="721"/>
      <c r="C992" s="722">
        <v>7</v>
      </c>
      <c r="D992" s="1092"/>
      <c r="E992" s="543" t="s">
        <v>251</v>
      </c>
      <c r="F992" s="954"/>
      <c r="G992" s="954"/>
      <c r="H992" s="954"/>
      <c r="I992" s="954"/>
      <c r="J992" s="954"/>
      <c r="K992" s="370"/>
      <c r="L992" s="370"/>
      <c r="M992" s="401"/>
      <c r="N992" s="542"/>
      <c r="O992" s="542"/>
      <c r="P992" s="542"/>
      <c r="Q992" s="542"/>
      <c r="R992" s="542"/>
    </row>
    <row r="993" spans="2:18" x14ac:dyDescent="0.2">
      <c r="B993" s="721"/>
      <c r="C993" s="722">
        <v>8</v>
      </c>
      <c r="D993" s="1092"/>
      <c r="E993" s="543" t="s">
        <v>247</v>
      </c>
      <c r="F993" s="954"/>
      <c r="G993" s="954"/>
      <c r="H993" s="954"/>
      <c r="I993" s="954"/>
      <c r="J993" s="954"/>
      <c r="K993" s="370"/>
      <c r="L993" s="370"/>
      <c r="M993" s="401"/>
      <c r="N993" s="542"/>
      <c r="O993" s="542"/>
      <c r="P993" s="542"/>
      <c r="Q993" s="542"/>
      <c r="R993" s="542"/>
    </row>
    <row r="994" spans="2:18" ht="51" x14ac:dyDescent="0.2">
      <c r="B994" s="1096" t="s">
        <v>138</v>
      </c>
      <c r="C994" s="1097"/>
      <c r="D994" s="1097"/>
      <c r="E994" s="383" t="s">
        <v>2791</v>
      </c>
      <c r="F994" s="955">
        <f t="shared" ref="F994:G994" si="36">SUM(F995:F997)</f>
        <v>11665.7</v>
      </c>
      <c r="G994" s="955">
        <f t="shared" si="36"/>
        <v>11687</v>
      </c>
      <c r="H994" s="955">
        <f>SUM(H995:H997)</f>
        <v>11687</v>
      </c>
      <c r="I994" s="955">
        <f>I995+I996+I997</f>
        <v>10984</v>
      </c>
      <c r="J994" s="955">
        <f>J995+J996+J997</f>
        <v>11073.1</v>
      </c>
      <c r="K994" s="543" t="s">
        <v>1326</v>
      </c>
      <c r="L994" s="543"/>
      <c r="M994" s="401" t="s">
        <v>517</v>
      </c>
      <c r="N994" s="401">
        <v>49500</v>
      </c>
      <c r="O994" s="1098">
        <v>50500</v>
      </c>
      <c r="P994" s="1098">
        <v>51000</v>
      </c>
      <c r="Q994" s="1098">
        <v>51500</v>
      </c>
      <c r="R994" s="1098">
        <v>52000</v>
      </c>
    </row>
    <row r="995" spans="2:18" ht="38.25" x14ac:dyDescent="0.2">
      <c r="B995" s="1099"/>
      <c r="C995" s="1100" t="s">
        <v>123</v>
      </c>
      <c r="D995" s="1097"/>
      <c r="E995" s="543" t="s">
        <v>2603</v>
      </c>
      <c r="F995" s="954">
        <v>4766.2</v>
      </c>
      <c r="G995" s="954">
        <v>4390.2</v>
      </c>
      <c r="H995" s="954">
        <v>4390.2</v>
      </c>
      <c r="I995" s="954">
        <v>4445.8999999999996</v>
      </c>
      <c r="J995" s="954">
        <v>4483.8999999999996</v>
      </c>
      <c r="K995" s="543" t="s">
        <v>2604</v>
      </c>
      <c r="L995" s="543"/>
      <c r="M995" s="401" t="s">
        <v>1327</v>
      </c>
      <c r="N995" s="543">
        <v>11</v>
      </c>
      <c r="O995" s="544">
        <v>12</v>
      </c>
      <c r="P995" s="544">
        <v>12</v>
      </c>
      <c r="Q995" s="544">
        <v>12</v>
      </c>
      <c r="R995" s="544">
        <v>12</v>
      </c>
    </row>
    <row r="996" spans="2:18" ht="25.5" x14ac:dyDescent="0.2">
      <c r="B996" s="1099"/>
      <c r="C996" s="1100" t="s">
        <v>125</v>
      </c>
      <c r="D996" s="1097"/>
      <c r="E996" s="543" t="s">
        <v>2605</v>
      </c>
      <c r="F996" s="954">
        <v>2702.3</v>
      </c>
      <c r="G996" s="954">
        <v>3401.5</v>
      </c>
      <c r="H996" s="954">
        <f>2451.5+950</f>
        <v>3401.5</v>
      </c>
      <c r="I996" s="954">
        <v>2551.4</v>
      </c>
      <c r="J996" s="954">
        <v>2572.1</v>
      </c>
      <c r="K996" s="543" t="s">
        <v>2606</v>
      </c>
      <c r="L996" s="543"/>
      <c r="M996" s="401" t="s">
        <v>517</v>
      </c>
      <c r="N996" s="543">
        <v>5000</v>
      </c>
      <c r="O996" s="545">
        <v>5100</v>
      </c>
      <c r="P996" s="545">
        <v>5200</v>
      </c>
      <c r="Q996" s="545">
        <v>5300</v>
      </c>
      <c r="R996" s="545">
        <v>5400</v>
      </c>
    </row>
    <row r="997" spans="2:18" x14ac:dyDescent="0.2">
      <c r="B997" s="1099"/>
      <c r="C997" s="1100" t="s">
        <v>127</v>
      </c>
      <c r="D997" s="1097"/>
      <c r="E997" s="543" t="s">
        <v>2607</v>
      </c>
      <c r="F997" s="954">
        <v>4197.2</v>
      </c>
      <c r="G997" s="954">
        <v>3895.3</v>
      </c>
      <c r="H997" s="954">
        <v>3895.3</v>
      </c>
      <c r="I997" s="954">
        <v>3986.7</v>
      </c>
      <c r="J997" s="954">
        <v>4017.1</v>
      </c>
      <c r="K997" s="543" t="s">
        <v>2608</v>
      </c>
      <c r="L997" s="543"/>
      <c r="M997" s="401" t="s">
        <v>124</v>
      </c>
      <c r="N997" s="543">
        <v>924000</v>
      </c>
      <c r="O997" s="544">
        <v>1056000</v>
      </c>
      <c r="P997" s="544">
        <v>1100000</v>
      </c>
      <c r="Q997" s="544">
        <v>1188000</v>
      </c>
      <c r="R997" s="544">
        <v>1320000</v>
      </c>
    </row>
    <row r="998" spans="2:18" x14ac:dyDescent="0.2">
      <c r="B998" s="1716" t="s">
        <v>64</v>
      </c>
      <c r="C998" s="1716"/>
      <c r="D998" s="1716"/>
      <c r="E998" s="1716"/>
      <c r="F998" s="1091">
        <v>21946.300000000003</v>
      </c>
      <c r="G998" s="1091">
        <v>21150.7</v>
      </c>
      <c r="H998" s="1091">
        <f>H985+H994</f>
        <v>21150.7</v>
      </c>
      <c r="I998" s="1091">
        <v>20587.3</v>
      </c>
      <c r="J998" s="1091">
        <v>20783.7</v>
      </c>
      <c r="K998" s="535"/>
      <c r="L998" s="535"/>
      <c r="M998" s="1845"/>
      <c r="N998" s="1845"/>
      <c r="O998" s="1845"/>
      <c r="P998" s="1845"/>
      <c r="Q998" s="1845"/>
      <c r="R998" s="1845"/>
    </row>
    <row r="999" spans="2:18" x14ac:dyDescent="0.2">
      <c r="B999" s="1086" t="s">
        <v>64</v>
      </c>
      <c r="C999" s="1086"/>
      <c r="D999" s="1086"/>
      <c r="E999" s="1086"/>
      <c r="F999" s="943">
        <f>F967+F962+F954+F938+F929</f>
        <v>2213501.9</v>
      </c>
      <c r="G999" s="943">
        <f>G967+G962+G954+G938+G929</f>
        <v>2246241.1</v>
      </c>
      <c r="H999" s="943">
        <f>H971+H978+H983+H998</f>
        <v>2097779.1</v>
      </c>
      <c r="I999" s="943">
        <f>I967+I962+I954+I938+I929</f>
        <v>2101057.7000000002</v>
      </c>
      <c r="J999" s="943">
        <f>J967+J962+J954+J938+J929</f>
        <v>2123256.9</v>
      </c>
      <c r="K999" s="1082"/>
      <c r="L999" s="1082"/>
      <c r="M999" s="1740"/>
      <c r="N999" s="1740"/>
      <c r="O999" s="1740"/>
      <c r="P999" s="1740"/>
      <c r="Q999" s="1740"/>
      <c r="R999" s="1740"/>
    </row>
    <row r="1000" spans="2:18" ht="14.25" customHeight="1" x14ac:dyDescent="0.2">
      <c r="B1000" s="1741" t="s">
        <v>1330</v>
      </c>
      <c r="C1000" s="1741"/>
      <c r="D1000" s="1741"/>
      <c r="E1000" s="1741"/>
      <c r="F1000" s="1073"/>
      <c r="G1000" s="1073"/>
      <c r="H1000" s="1073"/>
      <c r="I1000" s="1073"/>
      <c r="J1000" s="1073"/>
      <c r="K1000" s="802"/>
      <c r="L1000" s="802"/>
      <c r="M1000" s="1075"/>
      <c r="N1000" s="802"/>
      <c r="O1000" s="802"/>
      <c r="P1000" s="802"/>
      <c r="Q1000" s="802"/>
      <c r="R1000" s="802"/>
    </row>
    <row r="1001" spans="2:18" ht="33" customHeight="1" x14ac:dyDescent="0.2">
      <c r="B1001" s="1101">
        <v>1</v>
      </c>
      <c r="C1001" s="200"/>
      <c r="D1001" s="200"/>
      <c r="E1001" s="628" t="s">
        <v>1331</v>
      </c>
      <c r="F1001" s="902">
        <f>F1002+F1003</f>
        <v>1200879.3</v>
      </c>
      <c r="G1001" s="902">
        <f t="shared" ref="G1001:J1001" si="37">G1002+G1003</f>
        <v>1232864.1000000001</v>
      </c>
      <c r="H1001" s="902">
        <f t="shared" si="37"/>
        <v>1238273.8999999997</v>
      </c>
      <c r="I1001" s="902">
        <f t="shared" si="37"/>
        <v>1256869.9593000002</v>
      </c>
      <c r="J1001" s="902">
        <f t="shared" si="37"/>
        <v>1268810.2239133501</v>
      </c>
      <c r="K1001" s="148"/>
      <c r="L1001" s="148"/>
      <c r="M1001" s="22"/>
      <c r="N1001" s="22"/>
      <c r="O1001" s="549"/>
      <c r="P1001" s="549"/>
      <c r="Q1001" s="549"/>
      <c r="R1001" s="549"/>
    </row>
    <row r="1002" spans="2:18" x14ac:dyDescent="0.2">
      <c r="B1002" s="547"/>
      <c r="C1002" s="548">
        <v>178</v>
      </c>
      <c r="D1002" s="200"/>
      <c r="E1002" s="148" t="s">
        <v>1332</v>
      </c>
      <c r="F1002" s="901">
        <v>48584.100000000006</v>
      </c>
      <c r="G1002" s="901">
        <v>50850</v>
      </c>
      <c r="H1002" s="901">
        <f>52150+240.8+35.6</f>
        <v>52426.400000000001</v>
      </c>
      <c r="I1002" s="901">
        <v>53140.85</v>
      </c>
      <c r="J1002" s="901">
        <v>53645.688074999998</v>
      </c>
      <c r="K1002" s="148" t="s">
        <v>19</v>
      </c>
      <c r="L1002" s="148"/>
      <c r="M1002" s="22" t="s">
        <v>1333</v>
      </c>
      <c r="N1002" s="22">
        <v>45.7</v>
      </c>
      <c r="O1002" s="200">
        <v>90</v>
      </c>
      <c r="P1002" s="200">
        <v>100</v>
      </c>
      <c r="Q1002" s="200">
        <v>100</v>
      </c>
      <c r="R1002" s="200">
        <v>100</v>
      </c>
    </row>
    <row r="1003" spans="2:18" ht="25.5" x14ac:dyDescent="0.2">
      <c r="B1003" s="547"/>
      <c r="C1003" s="548">
        <v>179</v>
      </c>
      <c r="D1003" s="200"/>
      <c r="E1003" s="148" t="s">
        <v>1334</v>
      </c>
      <c r="F1003" s="901">
        <v>1152295.2</v>
      </c>
      <c r="G1003" s="901">
        <v>1182014.1000000001</v>
      </c>
      <c r="H1003" s="901">
        <f>1181284.7+3973.4+589.4</f>
        <v>1185847.4999999998</v>
      </c>
      <c r="I1003" s="901">
        <v>1203729.1093000001</v>
      </c>
      <c r="J1003" s="901">
        <v>1215164.5358383502</v>
      </c>
      <c r="K1003" s="148" t="s">
        <v>19</v>
      </c>
      <c r="L1003" s="148"/>
      <c r="M1003" s="22" t="s">
        <v>1333</v>
      </c>
      <c r="N1003" s="22">
        <v>45.7</v>
      </c>
      <c r="O1003" s="200">
        <v>90</v>
      </c>
      <c r="P1003" s="200">
        <v>100</v>
      </c>
      <c r="Q1003" s="200">
        <v>100</v>
      </c>
      <c r="R1003" s="200">
        <v>100</v>
      </c>
    </row>
    <row r="1004" spans="2:18" ht="59.25" customHeight="1" x14ac:dyDescent="0.2">
      <c r="B1004" s="1101">
        <v>2</v>
      </c>
      <c r="C1004" s="548"/>
      <c r="D1004" s="200"/>
      <c r="E1004" s="1102" t="s">
        <v>1335</v>
      </c>
      <c r="F1004" s="1103">
        <f>F1005+F1006+F1007+F1008+F1009+F1010+F1011+F1012+F1015+F1016+F1017+F1018</f>
        <v>850703.47</v>
      </c>
      <c r="G1004" s="1103">
        <f t="shared" ref="G1004:J1004" si="38">G1005+G1006+G1007+G1008+G1009+G1010+G1011+G1012+G1015+G1016+G1017+G1018</f>
        <v>1104830.9999999998</v>
      </c>
      <c r="H1004" s="1103">
        <f>H1005+H1006+H1007+H1008+H1009+H1010+H1011+H1012+H1015+H1016+H1017+H1018</f>
        <v>2035421.2000000002</v>
      </c>
      <c r="I1004" s="1103">
        <f t="shared" si="38"/>
        <v>1646765.0787000002</v>
      </c>
      <c r="J1004" s="1103">
        <f t="shared" si="38"/>
        <v>2261896.8183476492</v>
      </c>
      <c r="K1004" s="148"/>
      <c r="L1004" s="148"/>
      <c r="M1004" s="22"/>
      <c r="N1004" s="22"/>
      <c r="O1004" s="549"/>
      <c r="P1004" s="549"/>
      <c r="Q1004" s="549"/>
      <c r="R1004" s="549"/>
    </row>
    <row r="1005" spans="2:18" ht="30.75" customHeight="1" x14ac:dyDescent="0.2">
      <c r="B1005" s="547"/>
      <c r="C1005" s="548">
        <v>1</v>
      </c>
      <c r="D1005" s="200"/>
      <c r="E1005" s="755" t="s">
        <v>1336</v>
      </c>
      <c r="F1005" s="901">
        <v>25691.4</v>
      </c>
      <c r="G1005" s="901">
        <v>72267</v>
      </c>
      <c r="H1005" s="901">
        <v>76745.2</v>
      </c>
      <c r="I1005" s="901">
        <v>78203.358800000002</v>
      </c>
      <c r="J1005" s="901">
        <v>78946.290708600005</v>
      </c>
      <c r="K1005" s="148" t="s">
        <v>19</v>
      </c>
      <c r="L1005" s="148"/>
      <c r="M1005" s="22" t="s">
        <v>1333</v>
      </c>
      <c r="N1005" s="1104">
        <v>45.689464773143378</v>
      </c>
      <c r="O1005" s="200">
        <v>90</v>
      </c>
      <c r="P1005" s="200">
        <v>100</v>
      </c>
      <c r="Q1005" s="200">
        <v>100</v>
      </c>
      <c r="R1005" s="200">
        <v>100</v>
      </c>
    </row>
    <row r="1006" spans="2:18" ht="51" x14ac:dyDescent="0.2">
      <c r="B1006" s="547"/>
      <c r="C1006" s="548">
        <v>2</v>
      </c>
      <c r="D1006" s="200"/>
      <c r="E1006" s="755" t="s">
        <v>1337</v>
      </c>
      <c r="F1006" s="901">
        <v>3260.3700000000008</v>
      </c>
      <c r="G1006" s="901">
        <v>3280.4</v>
      </c>
      <c r="H1006" s="901">
        <v>3291.2</v>
      </c>
      <c r="I1006" s="901">
        <v>3353.7328000000002</v>
      </c>
      <c r="J1006" s="901">
        <v>3385.5932616000005</v>
      </c>
      <c r="K1006" s="144" t="s">
        <v>1338</v>
      </c>
      <c r="L1006" s="144"/>
      <c r="M1006" s="22" t="s">
        <v>163</v>
      </c>
      <c r="N1006" s="22" t="s">
        <v>1339</v>
      </c>
      <c r="O1006" s="22" t="s">
        <v>1340</v>
      </c>
      <c r="P1006" s="22" t="s">
        <v>1340</v>
      </c>
      <c r="Q1006" s="22" t="s">
        <v>1340</v>
      </c>
      <c r="R1006" s="22" t="s">
        <v>1340</v>
      </c>
    </row>
    <row r="1007" spans="2:18" ht="15" customHeight="1" x14ac:dyDescent="0.2">
      <c r="B1007" s="1742"/>
      <c r="C1007" s="1842">
        <v>3</v>
      </c>
      <c r="D1007" s="1841"/>
      <c r="E1007" s="1743" t="s">
        <v>1341</v>
      </c>
      <c r="F1007" s="901">
        <v>18646.3</v>
      </c>
      <c r="G1007" s="901">
        <v>19673.7</v>
      </c>
      <c r="H1007" s="901">
        <v>19673.7</v>
      </c>
      <c r="I1007" s="901">
        <v>20047.500300000003</v>
      </c>
      <c r="J1007" s="901">
        <v>20237.951552850005</v>
      </c>
      <c r="K1007" s="1743" t="s">
        <v>1342</v>
      </c>
      <c r="L1007" s="144"/>
      <c r="M1007" s="1843" t="s">
        <v>1343</v>
      </c>
      <c r="N1007" s="1843">
        <v>5</v>
      </c>
      <c r="O1007" s="1843">
        <v>7</v>
      </c>
      <c r="P1007" s="1843">
        <v>10</v>
      </c>
      <c r="Q1007" s="1843">
        <v>10</v>
      </c>
      <c r="R1007" s="1843">
        <v>10</v>
      </c>
    </row>
    <row r="1008" spans="2:18" ht="34.5" customHeight="1" x14ac:dyDescent="0.2">
      <c r="B1008" s="1742"/>
      <c r="C1008" s="1842"/>
      <c r="D1008" s="1841"/>
      <c r="E1008" s="1743"/>
      <c r="F1008" s="960">
        <v>1053.7</v>
      </c>
      <c r="G1008" s="960">
        <v>1515</v>
      </c>
      <c r="H1008" s="960">
        <v>1515</v>
      </c>
      <c r="I1008" s="960">
        <v>1543.7850000000001</v>
      </c>
      <c r="J1008" s="960">
        <v>1558.4509575000002</v>
      </c>
      <c r="K1008" s="1743"/>
      <c r="L1008" s="144"/>
      <c r="M1008" s="1843"/>
      <c r="N1008" s="1843"/>
      <c r="O1008" s="1843"/>
      <c r="P1008" s="1843"/>
      <c r="Q1008" s="1843"/>
      <c r="R1008" s="1843"/>
    </row>
    <row r="1009" spans="2:18" ht="25.5" x14ac:dyDescent="0.2">
      <c r="B1009" s="547"/>
      <c r="C1009" s="548">
        <v>4</v>
      </c>
      <c r="D1009" s="200"/>
      <c r="E1009" s="144" t="s">
        <v>1344</v>
      </c>
      <c r="F1009" s="961">
        <v>182143.9</v>
      </c>
      <c r="G1009" s="961">
        <v>410310</v>
      </c>
      <c r="H1009" s="961">
        <v>1343255</v>
      </c>
      <c r="I1009" s="960">
        <v>941178.5</v>
      </c>
      <c r="J1009" s="960">
        <v>1549529.4</v>
      </c>
      <c r="K1009" s="148" t="s">
        <v>1345</v>
      </c>
      <c r="L1009" s="148"/>
      <c r="M1009" s="22" t="s">
        <v>551</v>
      </c>
      <c r="N1009" s="550">
        <v>182143.9</v>
      </c>
      <c r="O1009" s="1105">
        <v>90939.9</v>
      </c>
      <c r="P1009" s="1105">
        <v>555255.9</v>
      </c>
      <c r="Q1009" s="1105">
        <v>323456</v>
      </c>
      <c r="R1009" s="1105">
        <v>323457</v>
      </c>
    </row>
    <row r="1010" spans="2:18" ht="38.25" x14ac:dyDescent="0.2">
      <c r="B1010" s="547"/>
      <c r="C1010" s="157" t="s">
        <v>74</v>
      </c>
      <c r="D1010" s="157"/>
      <c r="E1010" s="144" t="s">
        <v>1346</v>
      </c>
      <c r="F1010" s="960">
        <v>270606.09999999998</v>
      </c>
      <c r="G1010" s="960">
        <v>326565.5</v>
      </c>
      <c r="H1010" s="960">
        <v>344133.6</v>
      </c>
      <c r="I1010" s="960">
        <v>350672.13839999994</v>
      </c>
      <c r="J1010" s="960">
        <v>354003.52371479996</v>
      </c>
      <c r="K1010" s="148" t="s">
        <v>1347</v>
      </c>
      <c r="L1010" s="148"/>
      <c r="M1010" s="22" t="s">
        <v>163</v>
      </c>
      <c r="N1010" s="22" t="s">
        <v>1348</v>
      </c>
      <c r="O1010" s="22" t="s">
        <v>1349</v>
      </c>
      <c r="P1010" s="22" t="s">
        <v>1350</v>
      </c>
      <c r="Q1010" s="22" t="s">
        <v>1351</v>
      </c>
      <c r="R1010" s="22" t="s">
        <v>1352</v>
      </c>
    </row>
    <row r="1011" spans="2:18" ht="51" x14ac:dyDescent="0.2">
      <c r="B1011" s="547"/>
      <c r="C1011" s="157" t="s">
        <v>197</v>
      </c>
      <c r="D1011" s="157"/>
      <c r="E1011" s="144" t="s">
        <v>1353</v>
      </c>
      <c r="F1011" s="960">
        <v>22980.6</v>
      </c>
      <c r="G1011" s="960">
        <v>24081.9</v>
      </c>
      <c r="H1011" s="960">
        <v>22243.4</v>
      </c>
      <c r="I1011" s="960">
        <v>22666.024600000004</v>
      </c>
      <c r="J1011" s="960">
        <v>22881.351833700006</v>
      </c>
      <c r="K1011" s="148" t="s">
        <v>1354</v>
      </c>
      <c r="L1011" s="148"/>
      <c r="M1011" s="551" t="s">
        <v>163</v>
      </c>
      <c r="N1011" s="551" t="s">
        <v>1355</v>
      </c>
      <c r="O1011" s="200" t="s">
        <v>1356</v>
      </c>
      <c r="P1011" s="200" t="s">
        <v>1357</v>
      </c>
      <c r="Q1011" s="157" t="s">
        <v>1358</v>
      </c>
      <c r="R1011" s="157" t="s">
        <v>1359</v>
      </c>
    </row>
    <row r="1012" spans="2:18" ht="38.25" x14ac:dyDescent="0.2">
      <c r="B1012" s="1742"/>
      <c r="C1012" s="1844" t="s">
        <v>155</v>
      </c>
      <c r="D1012" s="1844"/>
      <c r="E1012" s="148" t="s">
        <v>2609</v>
      </c>
      <c r="F1012" s="1661">
        <v>306248.40000000002</v>
      </c>
      <c r="G1012" s="1661">
        <v>226815.2</v>
      </c>
      <c r="H1012" s="1661">
        <v>203798.9</v>
      </c>
      <c r="I1012" s="1661">
        <v>207940.30000000002</v>
      </c>
      <c r="J1012" s="1661">
        <v>209993.5</v>
      </c>
      <c r="K1012" s="148" t="s">
        <v>1360</v>
      </c>
      <c r="L1012" s="148"/>
      <c r="M1012" s="551" t="s">
        <v>163</v>
      </c>
      <c r="N1012" s="551" t="s">
        <v>121</v>
      </c>
      <c r="O1012" s="551" t="s">
        <v>1361</v>
      </c>
      <c r="P1012" s="551" t="s">
        <v>1361</v>
      </c>
      <c r="Q1012" s="551" t="s">
        <v>1361</v>
      </c>
      <c r="R1012" s="551" t="s">
        <v>121</v>
      </c>
    </row>
    <row r="1013" spans="2:18" ht="25.5" x14ac:dyDescent="0.2">
      <c r="B1013" s="1742"/>
      <c r="C1013" s="1844"/>
      <c r="D1013" s="1844"/>
      <c r="E1013" s="148" t="s">
        <v>2610</v>
      </c>
      <c r="F1013" s="1661"/>
      <c r="G1013" s="1661"/>
      <c r="H1013" s="1661"/>
      <c r="I1013" s="1661"/>
      <c r="J1013" s="1661"/>
      <c r="K1013" s="148" t="s">
        <v>2611</v>
      </c>
      <c r="L1013" s="148"/>
      <c r="M1013" s="551" t="s">
        <v>163</v>
      </c>
      <c r="N1013" s="551" t="s">
        <v>1362</v>
      </c>
      <c r="O1013" s="200">
        <v>60000</v>
      </c>
      <c r="P1013" s="200">
        <v>60000</v>
      </c>
      <c r="Q1013" s="200">
        <v>60000</v>
      </c>
      <c r="R1013" s="200">
        <v>60000</v>
      </c>
    </row>
    <row r="1014" spans="2:18" ht="15" customHeight="1" x14ac:dyDescent="0.2">
      <c r="B1014" s="1742"/>
      <c r="C1014" s="1844"/>
      <c r="D1014" s="1844"/>
      <c r="E1014" s="1743" t="s">
        <v>2612</v>
      </c>
      <c r="F1014" s="1661"/>
      <c r="G1014" s="1661"/>
      <c r="H1014" s="1661"/>
      <c r="I1014" s="1661"/>
      <c r="J1014" s="1661"/>
      <c r="K1014" s="1743" t="s">
        <v>1363</v>
      </c>
      <c r="L1014" s="144"/>
      <c r="M1014" s="1768" t="s">
        <v>163</v>
      </c>
      <c r="N1014" s="1768" t="s">
        <v>1364</v>
      </c>
      <c r="O1014" s="1841">
        <v>1160</v>
      </c>
      <c r="P1014" s="1841">
        <v>1150</v>
      </c>
      <c r="Q1014" s="1841">
        <v>1170</v>
      </c>
      <c r="R1014" s="1841">
        <v>1200</v>
      </c>
    </row>
    <row r="1015" spans="2:18" x14ac:dyDescent="0.2">
      <c r="B1015" s="1742"/>
      <c r="C1015" s="1844"/>
      <c r="D1015" s="1844"/>
      <c r="E1015" s="1743"/>
      <c r="F1015" s="901">
        <v>1207.2</v>
      </c>
      <c r="G1015" s="901">
        <v>5334.2</v>
      </c>
      <c r="H1015" s="901">
        <v>4050</v>
      </c>
      <c r="I1015" s="901">
        <v>4126.95</v>
      </c>
      <c r="J1015" s="901">
        <v>4166.1560250000002</v>
      </c>
      <c r="K1015" s="1743"/>
      <c r="L1015" s="144"/>
      <c r="M1015" s="1768"/>
      <c r="N1015" s="1768"/>
      <c r="O1015" s="1841"/>
      <c r="P1015" s="1841"/>
      <c r="Q1015" s="1841"/>
      <c r="R1015" s="1841"/>
    </row>
    <row r="1016" spans="2:18" ht="38.25" x14ac:dyDescent="0.2">
      <c r="B1016" s="547"/>
      <c r="C1016" s="157" t="s">
        <v>158</v>
      </c>
      <c r="D1016" s="155"/>
      <c r="E1016" s="148" t="s">
        <v>1365</v>
      </c>
      <c r="F1016" s="901">
        <v>12200.000000000007</v>
      </c>
      <c r="G1016" s="901">
        <v>8147.9000000000033</v>
      </c>
      <c r="H1016" s="901">
        <v>9739.6</v>
      </c>
      <c r="I1016" s="901">
        <v>9924.6524000000009</v>
      </c>
      <c r="J1016" s="901">
        <v>10018.936597800001</v>
      </c>
      <c r="K1016" s="144" t="s">
        <v>1366</v>
      </c>
      <c r="L1016" s="144"/>
      <c r="M1016" s="551" t="s">
        <v>163</v>
      </c>
      <c r="N1016" s="551" t="s">
        <v>1367</v>
      </c>
      <c r="O1016" s="200">
        <v>60</v>
      </c>
      <c r="P1016" s="200">
        <v>100</v>
      </c>
      <c r="Q1016" s="200">
        <v>100</v>
      </c>
      <c r="R1016" s="200">
        <v>100</v>
      </c>
    </row>
    <row r="1017" spans="2:18" ht="15" customHeight="1" x14ac:dyDescent="0.2">
      <c r="B1017" s="1742"/>
      <c r="C1017" s="1844" t="s">
        <v>264</v>
      </c>
      <c r="D1017" s="1844"/>
      <c r="E1017" s="1743" t="s">
        <v>1368</v>
      </c>
      <c r="F1017" s="961">
        <v>5741.6</v>
      </c>
      <c r="G1017" s="961">
        <v>4890.2</v>
      </c>
      <c r="H1017" s="960">
        <v>5525.6</v>
      </c>
      <c r="I1017" s="901">
        <v>5630.5864000000001</v>
      </c>
      <c r="J1017" s="901">
        <v>5684.0769708000007</v>
      </c>
      <c r="K1017" s="1743" t="s">
        <v>1369</v>
      </c>
      <c r="L1017" s="144"/>
      <c r="M1017" s="1768" t="s">
        <v>163</v>
      </c>
      <c r="N1017" s="1768" t="s">
        <v>1370</v>
      </c>
      <c r="O1017" s="1841">
        <v>27000</v>
      </c>
      <c r="P1017" s="1841">
        <v>28000</v>
      </c>
      <c r="Q1017" s="1841">
        <v>29000</v>
      </c>
      <c r="R1017" s="1841">
        <v>30000</v>
      </c>
    </row>
    <row r="1018" spans="2:18" x14ac:dyDescent="0.2">
      <c r="B1018" s="1742"/>
      <c r="C1018" s="1844"/>
      <c r="D1018" s="1844"/>
      <c r="E1018" s="1743"/>
      <c r="F1018" s="944">
        <v>923.90000000000009</v>
      </c>
      <c r="G1018" s="944">
        <v>1950</v>
      </c>
      <c r="H1018" s="960">
        <v>1450</v>
      </c>
      <c r="I1018" s="901">
        <v>1477.55</v>
      </c>
      <c r="J1018" s="901">
        <v>1491.5867249999999</v>
      </c>
      <c r="K1018" s="1743"/>
      <c r="L1018" s="144"/>
      <c r="M1018" s="1768"/>
      <c r="N1018" s="1768"/>
      <c r="O1018" s="1841"/>
      <c r="P1018" s="1841"/>
      <c r="Q1018" s="1841"/>
      <c r="R1018" s="1841"/>
    </row>
    <row r="1019" spans="2:18" ht="18" customHeight="1" x14ac:dyDescent="0.2">
      <c r="B1019" s="1106" t="s">
        <v>64</v>
      </c>
      <c r="C1019" s="1106"/>
      <c r="D1019" s="1106"/>
      <c r="E1019" s="1106"/>
      <c r="F1019" s="1107">
        <f>F1001+F1004</f>
        <v>2051582.77</v>
      </c>
      <c r="G1019" s="1107">
        <f>G1001+G1004</f>
        <v>2337695.0999999996</v>
      </c>
      <c r="H1019" s="1107">
        <f>H1001+H1004</f>
        <v>3273695.0999999996</v>
      </c>
      <c r="I1019" s="1107">
        <f>I1001+I1004</f>
        <v>2903635.0380000006</v>
      </c>
      <c r="J1019" s="1107">
        <f>J1001+J1004</f>
        <v>3530707.0422609993</v>
      </c>
      <c r="K1019" s="1108"/>
      <c r="L1019" s="1108"/>
      <c r="M1019" s="1744"/>
      <c r="N1019" s="1744"/>
      <c r="O1019" s="1744"/>
      <c r="P1019" s="1744"/>
      <c r="Q1019" s="1744"/>
      <c r="R1019" s="1744"/>
    </row>
    <row r="1020" spans="2:18" ht="33.75" customHeight="1" x14ac:dyDescent="0.2">
      <c r="B1020" s="1741" t="s">
        <v>2613</v>
      </c>
      <c r="C1020" s="1741"/>
      <c r="D1020" s="1741"/>
      <c r="E1020" s="1741"/>
      <c r="F1020" s="1073"/>
      <c r="G1020" s="1073"/>
      <c r="H1020" s="1073"/>
      <c r="I1020" s="1073"/>
      <c r="J1020" s="1073"/>
      <c r="K1020" s="802"/>
      <c r="L1020" s="802"/>
      <c r="M1020" s="1075"/>
      <c r="N1020" s="802"/>
      <c r="O1020" s="802"/>
      <c r="P1020" s="802"/>
      <c r="Q1020" s="802"/>
      <c r="R1020" s="802"/>
    </row>
    <row r="1021" spans="2:18" ht="38.25" x14ac:dyDescent="0.2">
      <c r="B1021" s="1087">
        <v>1</v>
      </c>
      <c r="C1021" s="1089"/>
      <c r="D1021" s="1089"/>
      <c r="E1021" s="1090" t="s">
        <v>2792</v>
      </c>
      <c r="F1021" s="959">
        <v>3170.9</v>
      </c>
      <c r="G1021" s="959">
        <v>3170.9</v>
      </c>
      <c r="H1021" s="959">
        <f>H1022+H1023+H1024+H1027</f>
        <v>3062.1</v>
      </c>
      <c r="I1021" s="959">
        <v>3125.2</v>
      </c>
      <c r="J1021" s="959">
        <v>3155</v>
      </c>
      <c r="K1021" s="807" t="s">
        <v>16</v>
      </c>
      <c r="L1021" s="807"/>
      <c r="M1021" s="336" t="s">
        <v>17</v>
      </c>
      <c r="N1021" s="277">
        <v>21.671667719519899</v>
      </c>
      <c r="O1021" s="277">
        <v>21.671667719519899</v>
      </c>
      <c r="P1021" s="277">
        <v>21.4</v>
      </c>
      <c r="Q1021" s="277">
        <v>21.4</v>
      </c>
      <c r="R1021" s="552">
        <v>21.4</v>
      </c>
    </row>
    <row r="1022" spans="2:18" x14ac:dyDescent="0.2">
      <c r="B1022" s="1109"/>
      <c r="C1022" s="1110">
        <v>1</v>
      </c>
      <c r="D1022" s="1088"/>
      <c r="E1022" s="1111" t="s">
        <v>18</v>
      </c>
      <c r="F1022" s="987">
        <v>487.8</v>
      </c>
      <c r="G1022" s="987">
        <v>487.8</v>
      </c>
      <c r="H1022" s="987">
        <v>471.1</v>
      </c>
      <c r="I1022" s="987">
        <v>480.8</v>
      </c>
      <c r="J1022" s="987">
        <v>485.4</v>
      </c>
      <c r="K1022" s="807" t="s">
        <v>19</v>
      </c>
      <c r="L1022" s="807"/>
      <c r="M1022" s="336" t="s">
        <v>20</v>
      </c>
      <c r="N1022" s="553">
        <v>1</v>
      </c>
      <c r="O1022" s="553">
        <v>1</v>
      </c>
      <c r="P1022" s="553">
        <v>1</v>
      </c>
      <c r="Q1022" s="553">
        <v>1</v>
      </c>
      <c r="R1022" s="336">
        <v>1</v>
      </c>
    </row>
    <row r="1023" spans="2:18" x14ac:dyDescent="0.2">
      <c r="B1023" s="1109"/>
      <c r="C1023" s="1110">
        <v>2</v>
      </c>
      <c r="D1023" s="1088"/>
      <c r="E1023" s="1112" t="s">
        <v>22</v>
      </c>
      <c r="F1023" s="987">
        <v>975.7</v>
      </c>
      <c r="G1023" s="987">
        <v>975.7</v>
      </c>
      <c r="H1023" s="987">
        <v>942.4</v>
      </c>
      <c r="I1023" s="987">
        <v>961.8</v>
      </c>
      <c r="J1023" s="987">
        <v>970.9</v>
      </c>
      <c r="K1023" s="807" t="s">
        <v>23</v>
      </c>
      <c r="L1023" s="807"/>
      <c r="M1023" s="336" t="s">
        <v>17</v>
      </c>
      <c r="N1023" s="336">
        <v>100</v>
      </c>
      <c r="O1023" s="336">
        <v>100</v>
      </c>
      <c r="P1023" s="336">
        <v>100</v>
      </c>
      <c r="Q1023" s="336">
        <v>100</v>
      </c>
      <c r="R1023" s="336">
        <v>100</v>
      </c>
    </row>
    <row r="1024" spans="2:18" x14ac:dyDescent="0.2">
      <c r="B1024" s="1109"/>
      <c r="C1024" s="1110">
        <v>3</v>
      </c>
      <c r="D1024" s="1088"/>
      <c r="E1024" s="1112" t="s">
        <v>24</v>
      </c>
      <c r="F1024" s="987">
        <v>243.9</v>
      </c>
      <c r="G1024" s="987">
        <v>243.9</v>
      </c>
      <c r="H1024" s="987">
        <v>235.5</v>
      </c>
      <c r="I1024" s="987">
        <v>240.4</v>
      </c>
      <c r="J1024" s="987">
        <v>242.8</v>
      </c>
      <c r="K1024" s="807" t="s">
        <v>1371</v>
      </c>
      <c r="L1024" s="807"/>
      <c r="M1024" s="336" t="s">
        <v>17</v>
      </c>
      <c r="N1024" s="336">
        <v>3</v>
      </c>
      <c r="O1024" s="336">
        <v>5</v>
      </c>
      <c r="P1024" s="336">
        <v>5</v>
      </c>
      <c r="Q1024" s="336">
        <v>5</v>
      </c>
      <c r="R1024" s="336">
        <v>5</v>
      </c>
    </row>
    <row r="1025" spans="2:18" ht="25.5" x14ac:dyDescent="0.2">
      <c r="B1025" s="1109"/>
      <c r="C1025" s="1110">
        <v>4</v>
      </c>
      <c r="D1025" s="1088"/>
      <c r="E1025" s="1112" t="s">
        <v>26</v>
      </c>
      <c r="F1025" s="987"/>
      <c r="G1025" s="987"/>
      <c r="H1025" s="987"/>
      <c r="I1025" s="987"/>
      <c r="J1025" s="987"/>
      <c r="K1025" s="807" t="s">
        <v>27</v>
      </c>
      <c r="L1025" s="807"/>
      <c r="M1025" s="336" t="s">
        <v>28</v>
      </c>
      <c r="N1025" s="336"/>
      <c r="O1025" s="336"/>
      <c r="P1025" s="336"/>
      <c r="Q1025" s="336"/>
      <c r="R1025" s="336"/>
    </row>
    <row r="1026" spans="2:18" ht="25.5" x14ac:dyDescent="0.2">
      <c r="B1026" s="1109"/>
      <c r="C1026" s="1110">
        <v>5</v>
      </c>
      <c r="D1026" s="1088"/>
      <c r="E1026" s="1112" t="s">
        <v>29</v>
      </c>
      <c r="F1026" s="987"/>
      <c r="G1026" s="987"/>
      <c r="H1026" s="987"/>
      <c r="I1026" s="987"/>
      <c r="J1026" s="987"/>
      <c r="K1026" s="807" t="s">
        <v>30</v>
      </c>
      <c r="L1026" s="807"/>
      <c r="M1026" s="336" t="s">
        <v>31</v>
      </c>
      <c r="N1026" s="336"/>
      <c r="O1026" s="336"/>
      <c r="P1026" s="336"/>
      <c r="Q1026" s="336"/>
      <c r="R1026" s="336"/>
    </row>
    <row r="1027" spans="2:18" ht="25.5" x14ac:dyDescent="0.2">
      <c r="B1027" s="1109"/>
      <c r="C1027" s="1110">
        <v>6</v>
      </c>
      <c r="D1027" s="1088"/>
      <c r="E1027" s="557" t="s">
        <v>32</v>
      </c>
      <c r="F1027" s="987">
        <v>1463.5</v>
      </c>
      <c r="G1027" s="987">
        <v>1463.5</v>
      </c>
      <c r="H1027" s="987">
        <v>1413.1</v>
      </c>
      <c r="I1027" s="987">
        <v>1442.2</v>
      </c>
      <c r="J1027" s="987">
        <v>1455.9</v>
      </c>
      <c r="K1027" s="807" t="s">
        <v>33</v>
      </c>
      <c r="L1027" s="807"/>
      <c r="M1027" s="336" t="s">
        <v>17</v>
      </c>
      <c r="N1027" s="553">
        <v>11</v>
      </c>
      <c r="O1027" s="553">
        <v>11</v>
      </c>
      <c r="P1027" s="553">
        <v>20</v>
      </c>
      <c r="Q1027" s="553">
        <v>20</v>
      </c>
      <c r="R1027" s="336">
        <v>20</v>
      </c>
    </row>
    <row r="1028" spans="2:18" x14ac:dyDescent="0.2">
      <c r="B1028" s="1109"/>
      <c r="C1028" s="1110">
        <v>7</v>
      </c>
      <c r="D1028" s="1088"/>
      <c r="E1028" s="557" t="s">
        <v>1372</v>
      </c>
      <c r="F1028" s="987"/>
      <c r="G1028" s="987"/>
      <c r="H1028" s="987"/>
      <c r="I1028" s="987"/>
      <c r="J1028" s="987"/>
      <c r="K1028" s="807"/>
      <c r="L1028" s="807"/>
      <c r="M1028" s="336"/>
      <c r="N1028" s="336"/>
      <c r="O1028" s="336"/>
      <c r="P1028" s="336"/>
      <c r="Q1028" s="336"/>
      <c r="R1028" s="336"/>
    </row>
    <row r="1029" spans="2:18" x14ac:dyDescent="0.2">
      <c r="B1029" s="1109"/>
      <c r="C1029" s="1110">
        <v>8</v>
      </c>
      <c r="D1029" s="1088"/>
      <c r="E1029" s="557" t="s">
        <v>247</v>
      </c>
      <c r="F1029" s="987"/>
      <c r="G1029" s="987"/>
      <c r="H1029" s="987"/>
      <c r="I1029" s="987"/>
      <c r="J1029" s="987"/>
      <c r="K1029" s="807"/>
      <c r="L1029" s="807"/>
      <c r="M1029" s="336"/>
      <c r="N1029" s="336"/>
      <c r="O1029" s="336"/>
      <c r="P1029" s="336"/>
      <c r="Q1029" s="336"/>
      <c r="R1029" s="336"/>
    </row>
    <row r="1030" spans="2:18" ht="51" x14ac:dyDescent="0.2">
      <c r="B1030" s="1113" t="s">
        <v>138</v>
      </c>
      <c r="C1030" s="1114"/>
      <c r="D1030" s="1114"/>
      <c r="E1030" s="1090" t="s">
        <v>2614</v>
      </c>
      <c r="F1030" s="959">
        <v>11753.1</v>
      </c>
      <c r="G1030" s="959">
        <v>11753.1</v>
      </c>
      <c r="H1030" s="959">
        <f>H1031+H1033+H1035+H1037</f>
        <v>11273.4</v>
      </c>
      <c r="I1030" s="959">
        <v>11505.11</v>
      </c>
      <c r="J1030" s="959">
        <v>11614.8</v>
      </c>
      <c r="K1030" s="557" t="s">
        <v>1373</v>
      </c>
      <c r="L1030" s="557"/>
      <c r="M1030" s="336"/>
      <c r="N1030" s="558"/>
      <c r="O1030" s="558"/>
      <c r="P1030" s="558"/>
      <c r="Q1030" s="558"/>
      <c r="R1030" s="558"/>
    </row>
    <row r="1031" spans="2:18" ht="30" customHeight="1" x14ac:dyDescent="0.2">
      <c r="B1031" s="1745"/>
      <c r="C1031" s="1624" t="s">
        <v>123</v>
      </c>
      <c r="D1031" s="1745"/>
      <c r="E1031" s="1672" t="s">
        <v>1374</v>
      </c>
      <c r="F1031" s="1596">
        <v>3000.5</v>
      </c>
      <c r="G1031" s="1596">
        <v>3000.5</v>
      </c>
      <c r="H1031" s="1596">
        <v>2878.03</v>
      </c>
      <c r="I1031" s="1592">
        <v>2937.21</v>
      </c>
      <c r="J1031" s="1592">
        <v>2965.2</v>
      </c>
      <c r="K1031" s="557" t="s">
        <v>1375</v>
      </c>
      <c r="L1031" s="557"/>
      <c r="M1031" s="336" t="s">
        <v>1376</v>
      </c>
      <c r="N1031" s="557">
        <v>13</v>
      </c>
      <c r="O1031" s="557">
        <v>30</v>
      </c>
      <c r="P1031" s="557">
        <v>30</v>
      </c>
      <c r="Q1031" s="557">
        <v>30</v>
      </c>
      <c r="R1031" s="557">
        <v>30</v>
      </c>
    </row>
    <row r="1032" spans="2:18" x14ac:dyDescent="0.2">
      <c r="B1032" s="1745"/>
      <c r="C1032" s="1624"/>
      <c r="D1032" s="1745"/>
      <c r="E1032" s="1672"/>
      <c r="F1032" s="1597"/>
      <c r="G1032" s="1597"/>
      <c r="H1032" s="1597"/>
      <c r="I1032" s="1592"/>
      <c r="J1032" s="1592"/>
      <c r="K1032" s="557" t="s">
        <v>1377</v>
      </c>
      <c r="L1032" s="557"/>
      <c r="M1032" s="336" t="s">
        <v>1378</v>
      </c>
      <c r="N1032" s="559">
        <v>10</v>
      </c>
      <c r="O1032" s="559">
        <v>9</v>
      </c>
      <c r="P1032" s="559">
        <v>13</v>
      </c>
      <c r="Q1032" s="559">
        <v>13</v>
      </c>
      <c r="R1032" s="559">
        <v>13</v>
      </c>
    </row>
    <row r="1033" spans="2:18" ht="30" customHeight="1" x14ac:dyDescent="0.2">
      <c r="B1033" s="1745"/>
      <c r="C1033" s="1624" t="s">
        <v>125</v>
      </c>
      <c r="D1033" s="1745"/>
      <c r="E1033" s="1672" t="s">
        <v>1379</v>
      </c>
      <c r="F1033" s="1592">
        <v>3000.5</v>
      </c>
      <c r="G1033" s="1592">
        <v>3000.5</v>
      </c>
      <c r="H1033" s="1592">
        <v>2878.03</v>
      </c>
      <c r="I1033" s="1592">
        <v>2937.2</v>
      </c>
      <c r="J1033" s="1592">
        <v>2965.2</v>
      </c>
      <c r="K1033" s="557" t="s">
        <v>1380</v>
      </c>
      <c r="L1033" s="557"/>
      <c r="M1033" s="336" t="s">
        <v>1381</v>
      </c>
      <c r="N1033" s="557">
        <v>16</v>
      </c>
      <c r="O1033" s="557">
        <v>13</v>
      </c>
      <c r="P1033" s="557">
        <v>13</v>
      </c>
      <c r="Q1033" s="557">
        <v>13</v>
      </c>
      <c r="R1033" s="557">
        <v>13</v>
      </c>
    </row>
    <row r="1034" spans="2:18" x14ac:dyDescent="0.2">
      <c r="B1034" s="1745"/>
      <c r="C1034" s="1624"/>
      <c r="D1034" s="1745"/>
      <c r="E1034" s="1672"/>
      <c r="F1034" s="1592"/>
      <c r="G1034" s="1592"/>
      <c r="H1034" s="1592"/>
      <c r="I1034" s="1592"/>
      <c r="J1034" s="1592"/>
      <c r="K1034" s="557" t="s">
        <v>1382</v>
      </c>
      <c r="L1034" s="557"/>
      <c r="M1034" s="336" t="s">
        <v>1383</v>
      </c>
      <c r="N1034" s="560">
        <v>1</v>
      </c>
      <c r="O1034" s="560">
        <v>3</v>
      </c>
      <c r="P1034" s="560">
        <v>3</v>
      </c>
      <c r="Q1034" s="560">
        <v>3</v>
      </c>
      <c r="R1034" s="560">
        <v>3</v>
      </c>
    </row>
    <row r="1035" spans="2:18" ht="60" customHeight="1" x14ac:dyDescent="0.2">
      <c r="B1035" s="1745"/>
      <c r="C1035" s="1624" t="s">
        <v>127</v>
      </c>
      <c r="D1035" s="1745"/>
      <c r="E1035" s="1672" t="s">
        <v>1384</v>
      </c>
      <c r="F1035" s="1592">
        <v>4250.7</v>
      </c>
      <c r="G1035" s="1592">
        <v>4250.7</v>
      </c>
      <c r="H1035" s="1592">
        <v>4077.18</v>
      </c>
      <c r="I1035" s="1592">
        <v>4161</v>
      </c>
      <c r="J1035" s="1592">
        <v>4200.7</v>
      </c>
      <c r="K1035" s="557" t="s">
        <v>1385</v>
      </c>
      <c r="L1035" s="557"/>
      <c r="M1035" s="336" t="s">
        <v>1386</v>
      </c>
      <c r="N1035" s="560">
        <v>28</v>
      </c>
      <c r="O1035" s="560">
        <v>30</v>
      </c>
      <c r="P1035" s="560">
        <v>30</v>
      </c>
      <c r="Q1035" s="560">
        <v>30</v>
      </c>
      <c r="R1035" s="560">
        <v>30</v>
      </c>
    </row>
    <row r="1036" spans="2:18" x14ac:dyDescent="0.2">
      <c r="B1036" s="1745"/>
      <c r="C1036" s="1624"/>
      <c r="D1036" s="1745"/>
      <c r="E1036" s="1672"/>
      <c r="F1036" s="1592"/>
      <c r="G1036" s="1592"/>
      <c r="H1036" s="1592"/>
      <c r="I1036" s="1592"/>
      <c r="J1036" s="1592"/>
      <c r="K1036" s="557"/>
      <c r="L1036" s="557"/>
      <c r="M1036" s="336"/>
      <c r="N1036" s="561"/>
      <c r="O1036" s="561"/>
      <c r="P1036" s="561"/>
      <c r="Q1036" s="561"/>
      <c r="R1036" s="561"/>
    </row>
    <row r="1037" spans="2:18" ht="15" customHeight="1" x14ac:dyDescent="0.2">
      <c r="B1037" s="1745"/>
      <c r="C1037" s="1624" t="s">
        <v>132</v>
      </c>
      <c r="D1037" s="1745"/>
      <c r="E1037" s="1625" t="s">
        <v>1387</v>
      </c>
      <c r="F1037" s="1592">
        <v>1501.4</v>
      </c>
      <c r="G1037" s="1592">
        <v>1501.4</v>
      </c>
      <c r="H1037" s="1592">
        <v>1440.16</v>
      </c>
      <c r="I1037" s="1592">
        <v>1469.7</v>
      </c>
      <c r="J1037" s="1592">
        <v>1483.7</v>
      </c>
      <c r="K1037" s="557"/>
      <c r="L1037" s="557"/>
      <c r="M1037" s="336"/>
      <c r="N1037" s="561"/>
      <c r="O1037" s="561"/>
      <c r="P1037" s="561"/>
      <c r="Q1037" s="561"/>
      <c r="R1037" s="561"/>
    </row>
    <row r="1038" spans="2:18" ht="30.75" customHeight="1" x14ac:dyDescent="0.2">
      <c r="B1038" s="1745"/>
      <c r="C1038" s="1624"/>
      <c r="D1038" s="1745"/>
      <c r="E1038" s="1625"/>
      <c r="F1038" s="1592"/>
      <c r="G1038" s="1592"/>
      <c r="H1038" s="1592"/>
      <c r="I1038" s="1592"/>
      <c r="J1038" s="1592"/>
      <c r="K1038" s="557"/>
      <c r="L1038" s="557"/>
      <c r="M1038" s="336"/>
      <c r="N1038" s="557"/>
      <c r="O1038" s="557"/>
      <c r="P1038" s="557"/>
      <c r="Q1038" s="557"/>
      <c r="R1038" s="557"/>
    </row>
    <row r="1039" spans="2:18" ht="30" customHeight="1" x14ac:dyDescent="0.2">
      <c r="B1039" s="1086" t="s">
        <v>64</v>
      </c>
      <c r="C1039" s="1086"/>
      <c r="D1039" s="1086"/>
      <c r="E1039" s="1086"/>
      <c r="F1039" s="1115">
        <v>14924</v>
      </c>
      <c r="G1039" s="1115">
        <v>14924</v>
      </c>
      <c r="H1039" s="1115">
        <f>H1021+H1030</f>
        <v>14335.5</v>
      </c>
      <c r="I1039" s="1115">
        <v>14630.310000000001</v>
      </c>
      <c r="J1039" s="1115">
        <v>14769.8</v>
      </c>
      <c r="K1039" s="525"/>
      <c r="L1039" s="525"/>
      <c r="M1039" s="1746"/>
      <c r="N1039" s="1746"/>
      <c r="O1039" s="1746"/>
      <c r="P1039" s="1746"/>
      <c r="Q1039" s="1746"/>
      <c r="R1039" s="1746"/>
    </row>
    <row r="1040" spans="2:18" ht="24" customHeight="1" x14ac:dyDescent="0.2">
      <c r="B1040" s="1741" t="s">
        <v>1388</v>
      </c>
      <c r="C1040" s="1741"/>
      <c r="D1040" s="1741"/>
      <c r="E1040" s="1741"/>
      <c r="F1040" s="1073"/>
      <c r="G1040" s="1073"/>
      <c r="H1040" s="1073"/>
      <c r="I1040" s="1073"/>
      <c r="J1040" s="1073"/>
      <c r="K1040" s="802"/>
      <c r="L1040" s="802"/>
      <c r="M1040" s="1075"/>
      <c r="N1040" s="802"/>
      <c r="O1040" s="802"/>
      <c r="P1040" s="802"/>
      <c r="Q1040" s="802"/>
      <c r="R1040" s="802"/>
    </row>
    <row r="1041" spans="2:18" ht="51" customHeight="1" x14ac:dyDescent="0.2">
      <c r="B1041" s="838" t="s">
        <v>120</v>
      </c>
      <c r="C1041" s="1116"/>
      <c r="D1041" s="1116"/>
      <c r="E1041" s="1117" t="s">
        <v>2793</v>
      </c>
      <c r="F1041" s="918">
        <v>254662.5</v>
      </c>
      <c r="G1041" s="918">
        <v>220839.6</v>
      </c>
      <c r="H1041" s="918">
        <f>H1042+H1043+H1044+H1045+H1046</f>
        <v>262205.2</v>
      </c>
      <c r="I1041" s="918">
        <v>191234.18395367998</v>
      </c>
      <c r="J1041" s="918">
        <v>193058.45806859806</v>
      </c>
      <c r="K1041" s="562" t="s">
        <v>16</v>
      </c>
      <c r="L1041" s="562"/>
      <c r="M1041" s="697" t="s">
        <v>17</v>
      </c>
      <c r="N1041" s="563">
        <v>9.6</v>
      </c>
      <c r="O1041" s="50">
        <v>5.2</v>
      </c>
      <c r="P1041" s="50">
        <v>9.5</v>
      </c>
      <c r="Q1041" s="50">
        <v>9.5</v>
      </c>
      <c r="R1041" s="50">
        <v>9.5</v>
      </c>
    </row>
    <row r="1042" spans="2:18" x14ac:dyDescent="0.2">
      <c r="B1042" s="564"/>
      <c r="C1042" s="565">
        <v>1</v>
      </c>
      <c r="D1042" s="467"/>
      <c r="E1042" s="65" t="s">
        <v>1389</v>
      </c>
      <c r="F1042" s="914">
        <v>9923.7999999999993</v>
      </c>
      <c r="G1042" s="914">
        <v>8891.2000000000007</v>
      </c>
      <c r="H1042" s="914">
        <f>6924+574+86.1</f>
        <v>7584.1</v>
      </c>
      <c r="I1042" s="941">
        <v>7056.3148704000005</v>
      </c>
      <c r="J1042" s="941">
        <v>7123.6321142636161</v>
      </c>
      <c r="K1042" s="673" t="s">
        <v>19</v>
      </c>
      <c r="L1042" s="673"/>
      <c r="M1042" s="668" t="s">
        <v>20</v>
      </c>
      <c r="N1042" s="668">
        <v>22.8</v>
      </c>
      <c r="O1042" s="668">
        <v>20</v>
      </c>
      <c r="P1042" s="668">
        <v>20</v>
      </c>
      <c r="Q1042" s="668">
        <v>21</v>
      </c>
      <c r="R1042" s="668">
        <v>22</v>
      </c>
    </row>
    <row r="1043" spans="2:18" x14ac:dyDescent="0.2">
      <c r="B1043" s="564"/>
      <c r="C1043" s="565">
        <v>2</v>
      </c>
      <c r="D1043" s="467"/>
      <c r="E1043" s="65" t="s">
        <v>22</v>
      </c>
      <c r="F1043" s="914">
        <v>8837.5</v>
      </c>
      <c r="G1043" s="914">
        <v>8281.4</v>
      </c>
      <c r="H1043" s="914">
        <f>6739.3+663.3+99.5</f>
        <v>7502.1</v>
      </c>
      <c r="I1043" s="941">
        <v>6868.0853272800005</v>
      </c>
      <c r="J1043" s="941">
        <v>6933.6068613022508</v>
      </c>
      <c r="K1043" s="673" t="s">
        <v>23</v>
      </c>
      <c r="L1043" s="673"/>
      <c r="M1043" s="668" t="s">
        <v>17</v>
      </c>
      <c r="N1043" s="668">
        <v>100</v>
      </c>
      <c r="O1043" s="668">
        <v>100</v>
      </c>
      <c r="P1043" s="668">
        <v>100</v>
      </c>
      <c r="Q1043" s="668">
        <v>100</v>
      </c>
      <c r="R1043" s="668">
        <v>100</v>
      </c>
    </row>
    <row r="1044" spans="2:18" x14ac:dyDescent="0.2">
      <c r="B1044" s="564"/>
      <c r="C1044" s="565">
        <v>3</v>
      </c>
      <c r="D1044" s="467"/>
      <c r="E1044" s="65" t="s">
        <v>2615</v>
      </c>
      <c r="F1044" s="914">
        <v>6720.1</v>
      </c>
      <c r="G1044" s="914">
        <v>6782.4</v>
      </c>
      <c r="H1044" s="914">
        <f>5581.1+561.3+84.2</f>
        <v>6226.6</v>
      </c>
      <c r="I1044" s="941">
        <v>5687.7525885600007</v>
      </c>
      <c r="J1044" s="941">
        <v>5742.0137482548635</v>
      </c>
      <c r="K1044" s="673" t="s">
        <v>126</v>
      </c>
      <c r="L1044" s="673"/>
      <c r="M1044" s="668" t="s">
        <v>17</v>
      </c>
      <c r="N1044" s="668">
        <v>64.3</v>
      </c>
      <c r="O1044" s="668">
        <v>90</v>
      </c>
      <c r="P1044" s="668">
        <v>100</v>
      </c>
      <c r="Q1044" s="668">
        <v>100</v>
      </c>
      <c r="R1044" s="668">
        <v>100</v>
      </c>
    </row>
    <row r="1045" spans="2:18" ht="25.5" x14ac:dyDescent="0.2">
      <c r="B1045" s="564"/>
      <c r="C1045" s="565">
        <v>4</v>
      </c>
      <c r="D1045" s="467"/>
      <c r="E1045" s="65" t="s">
        <v>1411</v>
      </c>
      <c r="F1045" s="914">
        <v>4635.7</v>
      </c>
      <c r="G1045" s="914">
        <v>4349.2</v>
      </c>
      <c r="H1045" s="914">
        <f>3592.6+331.7+49.8</f>
        <v>3974.1</v>
      </c>
      <c r="I1045" s="941">
        <v>3661.2531489600001</v>
      </c>
      <c r="J1045" s="941">
        <v>3696.1815040010783</v>
      </c>
      <c r="K1045" s="673" t="s">
        <v>27</v>
      </c>
      <c r="L1045" s="673"/>
      <c r="M1045" s="668" t="s">
        <v>1390</v>
      </c>
      <c r="N1045" s="668" t="s">
        <v>1391</v>
      </c>
      <c r="O1045" s="668">
        <v>100</v>
      </c>
      <c r="P1045" s="668">
        <v>100</v>
      </c>
      <c r="Q1045" s="668">
        <v>100</v>
      </c>
      <c r="R1045" s="668">
        <v>100</v>
      </c>
    </row>
    <row r="1046" spans="2:18" ht="25.5" x14ac:dyDescent="0.2">
      <c r="B1046" s="564"/>
      <c r="C1046" s="565">
        <v>6</v>
      </c>
      <c r="D1046" s="467"/>
      <c r="E1046" s="65" t="s">
        <v>1392</v>
      </c>
      <c r="F1046" s="914">
        <v>224545.4</v>
      </c>
      <c r="G1046" s="914">
        <v>192535.4</v>
      </c>
      <c r="H1046" s="914">
        <f>164811.3+10962.8+1644.2+59500</f>
        <v>236918.3</v>
      </c>
      <c r="I1046" s="941">
        <v>167960.77801847999</v>
      </c>
      <c r="J1046" s="941">
        <v>169563.02384077627</v>
      </c>
      <c r="K1046" s="673" t="s">
        <v>33</v>
      </c>
      <c r="L1046" s="673"/>
      <c r="M1046" s="668" t="s">
        <v>17</v>
      </c>
      <c r="N1046" s="668">
        <v>18.100000000000001</v>
      </c>
      <c r="O1046" s="668" t="s">
        <v>1393</v>
      </c>
      <c r="P1046" s="668" t="s">
        <v>1393</v>
      </c>
      <c r="Q1046" s="668" t="s">
        <v>1393</v>
      </c>
      <c r="R1046" s="668" t="s">
        <v>1393</v>
      </c>
    </row>
    <row r="1047" spans="2:18" ht="45" customHeight="1" x14ac:dyDescent="0.2">
      <c r="B1047" s="1711" t="s">
        <v>138</v>
      </c>
      <c r="C1047" s="1836"/>
      <c r="D1047" s="1836"/>
      <c r="E1047" s="1837" t="s">
        <v>1394</v>
      </c>
      <c r="F1047" s="1755">
        <v>1448047.5999999999</v>
      </c>
      <c r="G1047" s="1755">
        <v>1412070.3999999999</v>
      </c>
      <c r="H1047" s="1755">
        <f>H1049+H1050+H1051+H1052+H1053</f>
        <v>1262714.7000000002</v>
      </c>
      <c r="I1047" s="1755">
        <v>1159849.9586915202</v>
      </c>
      <c r="J1047" s="1755">
        <v>1170914.5272974372</v>
      </c>
      <c r="K1047" s="1807" t="s">
        <v>1395</v>
      </c>
      <c r="L1047" s="673"/>
      <c r="M1047" s="1712"/>
      <c r="N1047" s="818">
        <v>100</v>
      </c>
      <c r="O1047" s="668" t="s">
        <v>1396</v>
      </c>
      <c r="P1047" s="668" t="s">
        <v>1396</v>
      </c>
      <c r="Q1047" s="668" t="s">
        <v>1396</v>
      </c>
      <c r="R1047" s="668" t="s">
        <v>1396</v>
      </c>
    </row>
    <row r="1048" spans="2:18" x14ac:dyDescent="0.2">
      <c r="B1048" s="1711"/>
      <c r="C1048" s="1836"/>
      <c r="D1048" s="1836"/>
      <c r="E1048" s="1837"/>
      <c r="F1048" s="1755"/>
      <c r="G1048" s="1755"/>
      <c r="H1048" s="1755"/>
      <c r="I1048" s="1755"/>
      <c r="J1048" s="1755"/>
      <c r="K1048" s="1807"/>
      <c r="L1048" s="673"/>
      <c r="M1048" s="1712"/>
      <c r="N1048" s="818"/>
      <c r="O1048" s="668"/>
      <c r="P1048" s="668"/>
      <c r="Q1048" s="668"/>
      <c r="R1048" s="668"/>
    </row>
    <row r="1049" spans="2:18" ht="25.5" x14ac:dyDescent="0.2">
      <c r="B1049" s="669"/>
      <c r="C1049" s="697" t="s">
        <v>123</v>
      </c>
      <c r="D1049" s="669"/>
      <c r="E1049" s="670" t="s">
        <v>1394</v>
      </c>
      <c r="F1049" s="914">
        <v>676960.8</v>
      </c>
      <c r="G1049" s="914">
        <v>446128</v>
      </c>
      <c r="H1049" s="914">
        <f>464891.9+108358.9+16254.6</f>
        <v>589505.4</v>
      </c>
      <c r="I1049" s="941">
        <v>473775.89825224003</v>
      </c>
      <c r="J1049" s="941">
        <v>478295.32032156637</v>
      </c>
      <c r="K1049" s="673" t="s">
        <v>1397</v>
      </c>
      <c r="L1049" s="673"/>
      <c r="M1049" s="668" t="s">
        <v>17</v>
      </c>
      <c r="N1049" s="668">
        <v>100</v>
      </c>
      <c r="O1049" s="668">
        <v>100</v>
      </c>
      <c r="P1049" s="668">
        <v>100</v>
      </c>
      <c r="Q1049" s="668">
        <v>100</v>
      </c>
      <c r="R1049" s="668">
        <v>100</v>
      </c>
    </row>
    <row r="1050" spans="2:18" ht="25.5" x14ac:dyDescent="0.2">
      <c r="B1050" s="669"/>
      <c r="C1050" s="697" t="s">
        <v>125</v>
      </c>
      <c r="D1050" s="669"/>
      <c r="E1050" s="670" t="s">
        <v>1398</v>
      </c>
      <c r="F1050" s="914">
        <v>433885.6</v>
      </c>
      <c r="G1050" s="914">
        <v>421025</v>
      </c>
      <c r="H1050" s="914">
        <v>0</v>
      </c>
      <c r="I1050" s="941">
        <v>0</v>
      </c>
      <c r="J1050" s="941">
        <v>0</v>
      </c>
      <c r="K1050" s="673" t="s">
        <v>1399</v>
      </c>
      <c r="L1050" s="673"/>
      <c r="M1050" s="668" t="s">
        <v>31</v>
      </c>
      <c r="N1050" s="668">
        <v>48653</v>
      </c>
      <c r="O1050" s="668">
        <v>15000</v>
      </c>
      <c r="P1050" s="668">
        <v>10000</v>
      </c>
      <c r="Q1050" s="668">
        <v>0</v>
      </c>
      <c r="R1050" s="668">
        <v>0</v>
      </c>
    </row>
    <row r="1051" spans="2:18" ht="25.5" x14ac:dyDescent="0.2">
      <c r="B1051" s="669"/>
      <c r="C1051" s="697" t="s">
        <v>127</v>
      </c>
      <c r="D1051" s="669"/>
      <c r="E1051" s="670" t="s">
        <v>1400</v>
      </c>
      <c r="F1051" s="914">
        <v>337201.2</v>
      </c>
      <c r="G1051" s="914">
        <v>272458.3</v>
      </c>
      <c r="H1051" s="914">
        <v>450858.70000000007</v>
      </c>
      <c r="I1051" s="941">
        <v>459474.42941352009</v>
      </c>
      <c r="J1051" s="941">
        <v>463857.81547012506</v>
      </c>
      <c r="K1051" s="673" t="s">
        <v>1401</v>
      </c>
      <c r="L1051" s="673"/>
      <c r="M1051" s="668" t="s">
        <v>17</v>
      </c>
      <c r="N1051" s="818">
        <v>7</v>
      </c>
      <c r="O1051" s="818">
        <v>5</v>
      </c>
      <c r="P1051" s="818">
        <v>5</v>
      </c>
      <c r="Q1051" s="818">
        <v>5</v>
      </c>
      <c r="R1051" s="818">
        <v>5</v>
      </c>
    </row>
    <row r="1052" spans="2:18" ht="25.5" x14ac:dyDescent="0.2">
      <c r="B1052" s="669"/>
      <c r="C1052" s="697" t="s">
        <v>132</v>
      </c>
      <c r="D1052" s="669"/>
      <c r="E1052" s="670" t="s">
        <v>1402</v>
      </c>
      <c r="F1052" s="914"/>
      <c r="G1052" s="914">
        <v>136229.4</v>
      </c>
      <c r="H1052" s="914">
        <v>222350.6</v>
      </c>
      <c r="I1052" s="941">
        <v>226599.63102576003</v>
      </c>
      <c r="J1052" s="941">
        <v>228761.39150574576</v>
      </c>
      <c r="K1052" s="673" t="s">
        <v>1403</v>
      </c>
      <c r="L1052" s="673"/>
      <c r="M1052" s="668" t="s">
        <v>17</v>
      </c>
      <c r="N1052" s="818">
        <v>13.5</v>
      </c>
      <c r="O1052" s="818">
        <v>13.5</v>
      </c>
      <c r="P1052" s="818">
        <v>13.5</v>
      </c>
      <c r="Q1052" s="818">
        <v>0</v>
      </c>
      <c r="R1052" s="818">
        <v>0</v>
      </c>
    </row>
    <row r="1053" spans="2:18" ht="38.25" x14ac:dyDescent="0.2">
      <c r="B1053" s="669"/>
      <c r="C1053" s="697" t="s">
        <v>74</v>
      </c>
      <c r="D1053" s="669"/>
      <c r="E1053" s="670" t="s">
        <v>1404</v>
      </c>
      <c r="F1053" s="914"/>
      <c r="G1053" s="914">
        <v>136229.70000000001</v>
      </c>
      <c r="H1053" s="914">
        <v>0</v>
      </c>
      <c r="I1053" s="941">
        <v>0</v>
      </c>
      <c r="J1053" s="941">
        <v>0</v>
      </c>
      <c r="K1053" s="673" t="s">
        <v>1405</v>
      </c>
      <c r="L1053" s="673"/>
      <c r="M1053" s="668" t="s">
        <v>17</v>
      </c>
      <c r="N1053" s="818">
        <v>6</v>
      </c>
      <c r="O1053" s="818">
        <v>10</v>
      </c>
      <c r="P1053" s="818">
        <v>15</v>
      </c>
      <c r="Q1053" s="818">
        <v>15</v>
      </c>
      <c r="R1053" s="818">
        <v>15</v>
      </c>
    </row>
    <row r="1054" spans="2:18" ht="20.25" customHeight="1" x14ac:dyDescent="0.2">
      <c r="B1054" s="1086" t="s">
        <v>64</v>
      </c>
      <c r="C1054" s="1086"/>
      <c r="D1054" s="1086"/>
      <c r="E1054" s="1086"/>
      <c r="F1054" s="943">
        <f>F1041+F1047</f>
        <v>1702710.0999999999</v>
      </c>
      <c r="G1054" s="943">
        <f>G1041+G1047</f>
        <v>1632910</v>
      </c>
      <c r="H1054" s="943">
        <f>H1041+H1047</f>
        <v>1524919.9000000001</v>
      </c>
      <c r="I1054" s="943">
        <f>I1041+I1047</f>
        <v>1351084.1426452002</v>
      </c>
      <c r="J1054" s="943">
        <f>J1041+J1047</f>
        <v>1363972.9853660353</v>
      </c>
      <c r="K1054" s="1082"/>
      <c r="L1054" s="525"/>
      <c r="M1054" s="1746"/>
      <c r="N1054" s="1746"/>
      <c r="O1054" s="1746"/>
      <c r="P1054" s="1746"/>
      <c r="Q1054" s="1746"/>
      <c r="R1054" s="1746"/>
    </row>
    <row r="1055" spans="2:18" ht="21" customHeight="1" x14ac:dyDescent="0.2">
      <c r="B1055" s="1741" t="s">
        <v>1406</v>
      </c>
      <c r="C1055" s="1741"/>
      <c r="D1055" s="1741"/>
      <c r="E1055" s="1741"/>
      <c r="F1055" s="1073"/>
      <c r="G1055" s="1073"/>
      <c r="H1055" s="1073"/>
      <c r="I1055" s="1073"/>
      <c r="J1055" s="1073"/>
      <c r="K1055" s="802"/>
      <c r="L1055" s="802"/>
      <c r="M1055" s="1075"/>
      <c r="N1055" s="802"/>
      <c r="O1055" s="802"/>
      <c r="P1055" s="802"/>
      <c r="Q1055" s="802"/>
      <c r="R1055" s="802"/>
    </row>
    <row r="1056" spans="2:18" ht="45" customHeight="1" x14ac:dyDescent="0.2">
      <c r="B1056" s="1118">
        <v>1</v>
      </c>
      <c r="C1056" s="567"/>
      <c r="D1056" s="567"/>
      <c r="E1056" s="427" t="s">
        <v>2794</v>
      </c>
      <c r="F1056" s="1119">
        <v>345476.50000000006</v>
      </c>
      <c r="G1056" s="1119">
        <v>374576.6</v>
      </c>
      <c r="H1056" s="1119">
        <f>H1057+H1058+H1059+H1060+H1061+H1062+H1063</f>
        <v>261148.90000000002</v>
      </c>
      <c r="I1056" s="1119">
        <v>266058.3</v>
      </c>
      <c r="J1056" s="1119">
        <v>268585.85384999996</v>
      </c>
      <c r="K1056" s="568" t="s">
        <v>16</v>
      </c>
      <c r="L1056" s="568"/>
      <c r="M1056" s="553" t="s">
        <v>17</v>
      </c>
      <c r="N1056" s="553" t="s">
        <v>21</v>
      </c>
      <c r="O1056" s="553" t="s">
        <v>21</v>
      </c>
      <c r="P1056" s="553" t="s">
        <v>21</v>
      </c>
      <c r="Q1056" s="553" t="s">
        <v>21</v>
      </c>
      <c r="R1056" s="553" t="s">
        <v>21</v>
      </c>
    </row>
    <row r="1057" spans="2:18" x14ac:dyDescent="0.2">
      <c r="B1057" s="566"/>
      <c r="C1057" s="570">
        <v>1</v>
      </c>
      <c r="D1057" s="567"/>
      <c r="E1057" s="65" t="s">
        <v>1389</v>
      </c>
      <c r="F1057" s="958">
        <v>38482.699999999997</v>
      </c>
      <c r="G1057" s="958">
        <v>56279.5</v>
      </c>
      <c r="H1057" s="958">
        <v>33189.300000000003</v>
      </c>
      <c r="I1057" s="958">
        <v>33813.199999999997</v>
      </c>
      <c r="J1057" s="958">
        <v>34134.4254</v>
      </c>
      <c r="K1057" s="568" t="s">
        <v>19</v>
      </c>
      <c r="L1057" s="568"/>
      <c r="M1057" s="553" t="s">
        <v>20</v>
      </c>
      <c r="N1057" s="553">
        <v>7.3</v>
      </c>
      <c r="O1057" s="553" t="s">
        <v>21</v>
      </c>
      <c r="P1057" s="553" t="s">
        <v>21</v>
      </c>
      <c r="Q1057" s="553" t="s">
        <v>21</v>
      </c>
      <c r="R1057" s="553" t="s">
        <v>21</v>
      </c>
    </row>
    <row r="1058" spans="2:18" ht="25.5" x14ac:dyDescent="0.2">
      <c r="B1058" s="566"/>
      <c r="C1058" s="570">
        <v>2</v>
      </c>
      <c r="D1058" s="567"/>
      <c r="E1058" s="741" t="s">
        <v>1407</v>
      </c>
      <c r="F1058" s="958">
        <v>49027.4</v>
      </c>
      <c r="G1058" s="958">
        <v>55987.199999999997</v>
      </c>
      <c r="H1058" s="958">
        <v>40997.5</v>
      </c>
      <c r="I1058" s="958">
        <v>41768.199999999997</v>
      </c>
      <c r="J1058" s="958">
        <v>42164.997900000002</v>
      </c>
      <c r="K1058" s="568" t="s">
        <v>1408</v>
      </c>
      <c r="L1058" s="568"/>
      <c r="M1058" s="553" t="s">
        <v>17</v>
      </c>
      <c r="N1058" s="553">
        <v>67</v>
      </c>
      <c r="O1058" s="553">
        <v>100</v>
      </c>
      <c r="P1058" s="553">
        <v>100</v>
      </c>
      <c r="Q1058" s="553">
        <v>100</v>
      </c>
      <c r="R1058" s="553">
        <v>100</v>
      </c>
    </row>
    <row r="1059" spans="2:18" x14ac:dyDescent="0.2">
      <c r="B1059" s="566"/>
      <c r="C1059" s="570">
        <v>3</v>
      </c>
      <c r="D1059" s="567"/>
      <c r="E1059" s="741" t="s">
        <v>1409</v>
      </c>
      <c r="F1059" s="958">
        <v>46145.3</v>
      </c>
      <c r="G1059" s="958">
        <v>57915.5</v>
      </c>
      <c r="H1059" s="958">
        <v>31456</v>
      </c>
      <c r="I1059" s="958">
        <v>32047.4</v>
      </c>
      <c r="J1059" s="958">
        <v>32351.850299999998</v>
      </c>
      <c r="K1059" s="568" t="s">
        <v>25</v>
      </c>
      <c r="L1059" s="568"/>
      <c r="M1059" s="553" t="s">
        <v>163</v>
      </c>
      <c r="N1059" s="569" t="s">
        <v>1410</v>
      </c>
      <c r="O1059" s="553" t="s">
        <v>21</v>
      </c>
      <c r="P1059" s="553" t="s">
        <v>21</v>
      </c>
      <c r="Q1059" s="553" t="s">
        <v>21</v>
      </c>
      <c r="R1059" s="553" t="s">
        <v>21</v>
      </c>
    </row>
    <row r="1060" spans="2:18" ht="35.25" customHeight="1" x14ac:dyDescent="0.2">
      <c r="B1060" s="566"/>
      <c r="C1060" s="570">
        <v>4</v>
      </c>
      <c r="D1060" s="567"/>
      <c r="E1060" s="741" t="s">
        <v>1411</v>
      </c>
      <c r="F1060" s="958">
        <v>24223.4</v>
      </c>
      <c r="G1060" s="958">
        <v>29209.4</v>
      </c>
      <c r="H1060" s="958">
        <v>17515.8</v>
      </c>
      <c r="I1060" s="958">
        <v>17845.099999999999</v>
      </c>
      <c r="J1060" s="958">
        <v>18014.62845</v>
      </c>
      <c r="K1060" s="568" t="s">
        <v>27</v>
      </c>
      <c r="L1060" s="568"/>
      <c r="M1060" s="553" t="s">
        <v>28</v>
      </c>
      <c r="N1060" s="553" t="s">
        <v>1412</v>
      </c>
      <c r="O1060" s="553" t="s">
        <v>21</v>
      </c>
      <c r="P1060" s="553" t="s">
        <v>21</v>
      </c>
      <c r="Q1060" s="553" t="s">
        <v>21</v>
      </c>
      <c r="R1060" s="553" t="s">
        <v>21</v>
      </c>
    </row>
    <row r="1061" spans="2:18" ht="25.5" x14ac:dyDescent="0.2">
      <c r="B1061" s="566"/>
      <c r="C1061" s="570">
        <v>5</v>
      </c>
      <c r="D1061" s="567"/>
      <c r="E1061" s="741" t="s">
        <v>1413</v>
      </c>
      <c r="F1061" s="958">
        <v>58053.8</v>
      </c>
      <c r="G1061" s="958">
        <v>58966.6</v>
      </c>
      <c r="H1061" s="958">
        <v>42113.8</v>
      </c>
      <c r="I1061" s="958">
        <v>42905.5</v>
      </c>
      <c r="J1061" s="958">
        <v>43313.102249999996</v>
      </c>
      <c r="K1061" s="568" t="s">
        <v>333</v>
      </c>
      <c r="L1061" s="568"/>
      <c r="M1061" s="553" t="s">
        <v>31</v>
      </c>
      <c r="N1061" s="553">
        <v>12</v>
      </c>
      <c r="O1061" s="553" t="s">
        <v>21</v>
      </c>
      <c r="P1061" s="553" t="s">
        <v>21</v>
      </c>
      <c r="Q1061" s="553" t="s">
        <v>21</v>
      </c>
      <c r="R1061" s="553" t="s">
        <v>21</v>
      </c>
    </row>
    <row r="1062" spans="2:18" ht="38.25" x14ac:dyDescent="0.2">
      <c r="B1062" s="566"/>
      <c r="C1062" s="570">
        <v>6</v>
      </c>
      <c r="D1062" s="567"/>
      <c r="E1062" s="670" t="s">
        <v>1414</v>
      </c>
      <c r="F1062" s="958">
        <v>70172.100000000006</v>
      </c>
      <c r="G1062" s="958">
        <v>62403.8</v>
      </c>
      <c r="H1062" s="958">
        <v>64755</v>
      </c>
      <c r="I1062" s="958">
        <v>65972.399999999994</v>
      </c>
      <c r="J1062" s="958">
        <v>66599.137799999997</v>
      </c>
      <c r="K1062" s="568" t="s">
        <v>1415</v>
      </c>
      <c r="L1062" s="568"/>
      <c r="M1062" s="553" t="s">
        <v>17</v>
      </c>
      <c r="N1062" s="571">
        <v>20</v>
      </c>
      <c r="O1062" s="553">
        <v>20</v>
      </c>
      <c r="P1062" s="553">
        <v>20</v>
      </c>
      <c r="Q1062" s="553">
        <v>20</v>
      </c>
      <c r="R1062" s="553">
        <v>20</v>
      </c>
    </row>
    <row r="1063" spans="2:18" ht="25.5" x14ac:dyDescent="0.2">
      <c r="B1063" s="566"/>
      <c r="C1063" s="570">
        <v>7</v>
      </c>
      <c r="D1063" s="567"/>
      <c r="E1063" s="670" t="s">
        <v>1416</v>
      </c>
      <c r="F1063" s="958">
        <v>59371.8</v>
      </c>
      <c r="G1063" s="958">
        <v>53814.6</v>
      </c>
      <c r="H1063" s="958">
        <v>31121.5</v>
      </c>
      <c r="I1063" s="958">
        <v>31706.5</v>
      </c>
      <c r="J1063" s="958">
        <v>32007.711750000002</v>
      </c>
      <c r="K1063" s="568" t="s">
        <v>1417</v>
      </c>
      <c r="L1063" s="568"/>
      <c r="M1063" s="553" t="s">
        <v>31</v>
      </c>
      <c r="N1063" s="553" t="s">
        <v>21</v>
      </c>
      <c r="O1063" s="553" t="s">
        <v>21</v>
      </c>
      <c r="P1063" s="553" t="s">
        <v>21</v>
      </c>
      <c r="Q1063" s="553" t="s">
        <v>21</v>
      </c>
      <c r="R1063" s="553" t="s">
        <v>21</v>
      </c>
    </row>
    <row r="1064" spans="2:18" ht="33" customHeight="1" x14ac:dyDescent="0.2">
      <c r="B1064" s="1118">
        <v>2</v>
      </c>
      <c r="C1064" s="1120"/>
      <c r="D1064" s="1121"/>
      <c r="E1064" s="641" t="s">
        <v>2795</v>
      </c>
      <c r="F1064" s="1119">
        <v>91566.599999999991</v>
      </c>
      <c r="G1064" s="1119">
        <v>306122.59999999998</v>
      </c>
      <c r="H1064" s="1119">
        <f>H1065+H1067</f>
        <v>185093.59999999998</v>
      </c>
      <c r="I1064" s="1119">
        <v>188573.4</v>
      </c>
      <c r="J1064" s="1119">
        <v>190364.84730000002</v>
      </c>
      <c r="K1064" s="427" t="s">
        <v>1418</v>
      </c>
      <c r="L1064" s="427"/>
      <c r="M1064" s="553"/>
      <c r="N1064" s="574"/>
      <c r="O1064" s="575" t="s">
        <v>21</v>
      </c>
      <c r="P1064" s="575" t="s">
        <v>21</v>
      </c>
      <c r="Q1064" s="575" t="s">
        <v>21</v>
      </c>
      <c r="R1064" s="575" t="s">
        <v>21</v>
      </c>
    </row>
    <row r="1065" spans="2:18" ht="15" customHeight="1" x14ac:dyDescent="0.2">
      <c r="B1065" s="1769"/>
      <c r="C1065" s="1838">
        <v>1</v>
      </c>
      <c r="D1065" s="1784"/>
      <c r="E1065" s="1840" t="s">
        <v>1419</v>
      </c>
      <c r="F1065" s="1598">
        <v>87202.2</v>
      </c>
      <c r="G1065" s="1598">
        <v>300613.8</v>
      </c>
      <c r="H1065" s="1598">
        <v>148305.79999999999</v>
      </c>
      <c r="I1065" s="1598">
        <v>151094</v>
      </c>
      <c r="J1065" s="1598">
        <v>152529.39300000001</v>
      </c>
      <c r="K1065" s="1785" t="s">
        <v>1420</v>
      </c>
      <c r="L1065" s="427"/>
      <c r="M1065" s="553" t="s">
        <v>551</v>
      </c>
      <c r="N1065" s="573">
        <v>41671849.5</v>
      </c>
      <c r="O1065" s="576">
        <v>48632900</v>
      </c>
      <c r="P1065" s="576">
        <v>50339900</v>
      </c>
      <c r="Q1065" s="576">
        <v>52582200</v>
      </c>
      <c r="R1065" s="576"/>
    </row>
    <row r="1066" spans="2:18" x14ac:dyDescent="0.2">
      <c r="B1066" s="1770"/>
      <c r="C1066" s="1770"/>
      <c r="D1066" s="1839"/>
      <c r="E1066" s="1785"/>
      <c r="F1066" s="1598"/>
      <c r="G1066" s="1598"/>
      <c r="H1066" s="1598"/>
      <c r="I1066" s="1598"/>
      <c r="J1066" s="1598"/>
      <c r="K1066" s="1785"/>
      <c r="L1066" s="427"/>
      <c r="M1066" s="553" t="s">
        <v>17</v>
      </c>
      <c r="N1066" s="553">
        <v>95.8</v>
      </c>
      <c r="O1066" s="573">
        <v>100</v>
      </c>
      <c r="P1066" s="573">
        <v>100</v>
      </c>
      <c r="Q1066" s="573">
        <v>100</v>
      </c>
      <c r="R1066" s="573">
        <v>100</v>
      </c>
    </row>
    <row r="1067" spans="2:18" ht="51" x14ac:dyDescent="0.2">
      <c r="B1067" s="566"/>
      <c r="C1067" s="570">
        <v>2</v>
      </c>
      <c r="D1067" s="577"/>
      <c r="E1067" s="427" t="s">
        <v>1421</v>
      </c>
      <c r="F1067" s="958">
        <v>4364.3999999999996</v>
      </c>
      <c r="G1067" s="958">
        <v>5508.8</v>
      </c>
      <c r="H1067" s="958">
        <v>36787.800000000003</v>
      </c>
      <c r="I1067" s="958">
        <v>37479.4</v>
      </c>
      <c r="J1067" s="958">
        <v>37835.454299999998</v>
      </c>
      <c r="K1067" s="427" t="s">
        <v>1422</v>
      </c>
      <c r="L1067" s="427"/>
      <c r="M1067" s="553" t="s">
        <v>1423</v>
      </c>
      <c r="N1067" s="553">
        <v>1</v>
      </c>
      <c r="O1067" s="578">
        <v>8</v>
      </c>
      <c r="P1067" s="578"/>
      <c r="Q1067" s="573"/>
      <c r="R1067" s="573"/>
    </row>
    <row r="1068" spans="2:18" ht="51" x14ac:dyDescent="0.2">
      <c r="B1068" s="1118">
        <v>3</v>
      </c>
      <c r="C1068" s="1120"/>
      <c r="D1068" s="1121"/>
      <c r="E1068" s="1122" t="s">
        <v>2796</v>
      </c>
      <c r="F1068" s="1119">
        <v>634824.80000000005</v>
      </c>
      <c r="G1068" s="1119">
        <v>363072.5</v>
      </c>
      <c r="H1068" s="1119">
        <f>H1069</f>
        <v>249365.80000000002</v>
      </c>
      <c r="I1068" s="1119">
        <v>254100.40000000002</v>
      </c>
      <c r="J1068" s="1119">
        <v>256542.45380000002</v>
      </c>
      <c r="K1068" s="427" t="s">
        <v>1424</v>
      </c>
      <c r="L1068" s="427"/>
      <c r="M1068" s="553" t="s">
        <v>420</v>
      </c>
      <c r="N1068" s="553">
        <v>1601</v>
      </c>
      <c r="O1068" s="575"/>
      <c r="P1068" s="579"/>
      <c r="Q1068" s="579"/>
      <c r="R1068" s="579"/>
    </row>
    <row r="1069" spans="2:18" x14ac:dyDescent="0.2">
      <c r="B1069" s="1771"/>
      <c r="C1069" s="1897">
        <v>1</v>
      </c>
      <c r="D1069" s="1898"/>
      <c r="E1069" s="1689" t="s">
        <v>1425</v>
      </c>
      <c r="F1069" s="1598">
        <v>634824.80000000005</v>
      </c>
      <c r="G1069" s="1598">
        <v>363072.5</v>
      </c>
      <c r="H1069" s="1598">
        <v>249365.80000000002</v>
      </c>
      <c r="I1069" s="1598">
        <v>254100.40000000002</v>
      </c>
      <c r="J1069" s="1598">
        <v>256542.45380000002</v>
      </c>
      <c r="K1069" s="427" t="s">
        <v>1426</v>
      </c>
      <c r="L1069" s="427"/>
      <c r="M1069" s="553" t="s">
        <v>420</v>
      </c>
      <c r="N1069" s="553">
        <v>240</v>
      </c>
      <c r="O1069" s="573"/>
      <c r="P1069" s="573" t="s">
        <v>21</v>
      </c>
      <c r="Q1069" s="573" t="s">
        <v>21</v>
      </c>
      <c r="R1069" s="573" t="s">
        <v>21</v>
      </c>
    </row>
    <row r="1070" spans="2:18" x14ac:dyDescent="0.2">
      <c r="B1070" s="1771"/>
      <c r="C1070" s="1897"/>
      <c r="D1070" s="1898"/>
      <c r="E1070" s="1689"/>
      <c r="F1070" s="1598"/>
      <c r="G1070" s="1598"/>
      <c r="H1070" s="1598"/>
      <c r="I1070" s="1598"/>
      <c r="J1070" s="1598"/>
      <c r="K1070" s="427" t="s">
        <v>1427</v>
      </c>
      <c r="L1070" s="427"/>
      <c r="M1070" s="553" t="s">
        <v>420</v>
      </c>
      <c r="N1070" s="553">
        <v>1361</v>
      </c>
      <c r="O1070" s="573"/>
      <c r="P1070" s="573" t="s">
        <v>21</v>
      </c>
      <c r="Q1070" s="573" t="s">
        <v>21</v>
      </c>
      <c r="R1070" s="573" t="s">
        <v>21</v>
      </c>
    </row>
    <row r="1071" spans="2:18" ht="27.75" customHeight="1" x14ac:dyDescent="0.2">
      <c r="B1071" s="1772" t="s">
        <v>64</v>
      </c>
      <c r="C1071" s="1772"/>
      <c r="D1071" s="1772"/>
      <c r="E1071" s="1772"/>
      <c r="F1071" s="1091">
        <v>1071867.9000000001</v>
      </c>
      <c r="G1071" s="1091">
        <v>1043771.7</v>
      </c>
      <c r="H1071" s="1091">
        <f>H1056+H1064+H1068</f>
        <v>695608.3</v>
      </c>
      <c r="I1071" s="1091">
        <v>708732.10000000009</v>
      </c>
      <c r="J1071" s="1091">
        <v>715493.15495</v>
      </c>
      <c r="K1071" s="1082"/>
      <c r="L1071" s="1082"/>
      <c r="M1071" s="1740"/>
      <c r="N1071" s="1740"/>
      <c r="O1071" s="1740"/>
      <c r="P1071" s="1740"/>
      <c r="Q1071" s="1740"/>
      <c r="R1071" s="1740"/>
    </row>
    <row r="1072" spans="2:18" ht="30" customHeight="1" x14ac:dyDescent="0.2">
      <c r="B1072" s="1741" t="s">
        <v>1428</v>
      </c>
      <c r="C1072" s="1741"/>
      <c r="D1072" s="1741"/>
      <c r="E1072" s="1741"/>
      <c r="F1072" s="1073"/>
      <c r="G1072" s="1073"/>
      <c r="H1072" s="1073"/>
      <c r="I1072" s="1073"/>
      <c r="J1072" s="1073"/>
      <c r="K1072" s="802"/>
      <c r="L1072" s="802"/>
      <c r="M1072" s="1075"/>
      <c r="N1072" s="802"/>
      <c r="O1072" s="802"/>
      <c r="P1072" s="802"/>
      <c r="Q1072" s="802"/>
      <c r="R1072" s="802"/>
    </row>
    <row r="1073" spans="2:18" ht="180" customHeight="1" x14ac:dyDescent="0.2">
      <c r="B1073" s="1733" t="s">
        <v>120</v>
      </c>
      <c r="C1073" s="1733"/>
      <c r="D1073" s="1733"/>
      <c r="E1073" s="1682" t="s">
        <v>2876</v>
      </c>
      <c r="F1073" s="1559">
        <f>F1075+F1077</f>
        <v>11692.6</v>
      </c>
      <c r="G1073" s="1559">
        <f t="shared" ref="G1073:H1073" si="39">G1075+G1077</f>
        <v>11692.6</v>
      </c>
      <c r="H1073" s="1559">
        <f t="shared" si="39"/>
        <v>11692.6</v>
      </c>
      <c r="I1073" s="1559">
        <v>11916.4</v>
      </c>
      <c r="J1073" s="1559">
        <v>12030.1</v>
      </c>
      <c r="K1073" s="557" t="s">
        <v>1429</v>
      </c>
      <c r="L1073" s="557"/>
      <c r="M1073" s="336" t="s">
        <v>96</v>
      </c>
      <c r="N1073" s="336">
        <v>433</v>
      </c>
      <c r="O1073" s="695">
        <v>450</v>
      </c>
      <c r="P1073" s="695">
        <v>450</v>
      </c>
      <c r="Q1073" s="695">
        <v>450</v>
      </c>
      <c r="R1073" s="695">
        <v>450</v>
      </c>
    </row>
    <row r="1074" spans="2:18" ht="38.25" x14ac:dyDescent="0.2">
      <c r="B1074" s="1734"/>
      <c r="C1074" s="1734"/>
      <c r="D1074" s="1734"/>
      <c r="E1074" s="1835"/>
      <c r="F1074" s="1765"/>
      <c r="G1074" s="1765"/>
      <c r="H1074" s="1765"/>
      <c r="I1074" s="1765"/>
      <c r="J1074" s="1765"/>
      <c r="K1074" s="557" t="s">
        <v>1430</v>
      </c>
      <c r="L1074" s="557"/>
      <c r="M1074" s="336" t="s">
        <v>1431</v>
      </c>
      <c r="N1074" s="336" t="s">
        <v>1432</v>
      </c>
      <c r="O1074" s="580" t="s">
        <v>1433</v>
      </c>
      <c r="P1074" s="580" t="s">
        <v>1434</v>
      </c>
      <c r="Q1074" s="580" t="s">
        <v>1435</v>
      </c>
      <c r="R1074" s="580" t="s">
        <v>1436</v>
      </c>
    </row>
    <row r="1075" spans="2:18" ht="25.5" x14ac:dyDescent="0.2">
      <c r="B1075" s="1624"/>
      <c r="C1075" s="1624" t="s">
        <v>123</v>
      </c>
      <c r="D1075" s="1624"/>
      <c r="E1075" s="1672" t="s">
        <v>1437</v>
      </c>
      <c r="F1075" s="1592">
        <f>1610+106</f>
        <v>1716</v>
      </c>
      <c r="G1075" s="1592">
        <f>1373.2+236.8+106</f>
        <v>1716</v>
      </c>
      <c r="H1075" s="1592">
        <f>1373.2+236.8+106</f>
        <v>1716</v>
      </c>
      <c r="I1075" s="1592">
        <f>1373.2+236.8+106</f>
        <v>1716</v>
      </c>
      <c r="J1075" s="1592">
        <f>1373.2+236.8+106</f>
        <v>1716</v>
      </c>
      <c r="K1075" s="557" t="s">
        <v>1438</v>
      </c>
      <c r="L1075" s="557"/>
      <c r="M1075" s="336" t="s">
        <v>1439</v>
      </c>
      <c r="N1075" s="336">
        <v>9</v>
      </c>
      <c r="O1075" s="581">
        <v>9</v>
      </c>
      <c r="P1075" s="581">
        <v>9</v>
      </c>
      <c r="Q1075" s="581">
        <v>10</v>
      </c>
      <c r="R1075" s="581">
        <v>10</v>
      </c>
    </row>
    <row r="1076" spans="2:18" x14ac:dyDescent="0.2">
      <c r="B1076" s="1732"/>
      <c r="C1076" s="1732"/>
      <c r="D1076" s="1732"/>
      <c r="E1076" s="1630"/>
      <c r="F1076" s="1582"/>
      <c r="G1076" s="1582"/>
      <c r="H1076" s="1582"/>
      <c r="I1076" s="1582"/>
      <c r="J1076" s="1582"/>
      <c r="K1076" s="557" t="s">
        <v>1440</v>
      </c>
      <c r="L1076" s="557"/>
      <c r="M1076" s="336" t="s">
        <v>96</v>
      </c>
      <c r="N1076" s="336">
        <v>713</v>
      </c>
      <c r="O1076" s="581">
        <v>2100</v>
      </c>
      <c r="P1076" s="581">
        <v>2150</v>
      </c>
      <c r="Q1076" s="581">
        <v>2200</v>
      </c>
      <c r="R1076" s="581">
        <v>2200</v>
      </c>
    </row>
    <row r="1077" spans="2:18" ht="75" customHeight="1" x14ac:dyDescent="0.2">
      <c r="B1077" s="1624"/>
      <c r="C1077" s="1624" t="s">
        <v>125</v>
      </c>
      <c r="D1077" s="1624"/>
      <c r="E1077" s="1672" t="s">
        <v>2616</v>
      </c>
      <c r="F1077" s="1592">
        <f>9976.6</f>
        <v>9976.6</v>
      </c>
      <c r="G1077" s="1592">
        <f>9976.6</f>
        <v>9976.6</v>
      </c>
      <c r="H1077" s="1592">
        <f>9976.6</f>
        <v>9976.6</v>
      </c>
      <c r="I1077" s="1592">
        <v>10200.4</v>
      </c>
      <c r="J1077" s="1592">
        <v>10314.1</v>
      </c>
      <c r="K1077" s="557" t="s">
        <v>1441</v>
      </c>
      <c r="L1077" s="557"/>
      <c r="M1077" s="336" t="s">
        <v>1442</v>
      </c>
      <c r="N1077" s="336">
        <v>162</v>
      </c>
      <c r="O1077" s="695">
        <v>165</v>
      </c>
      <c r="P1077" s="695">
        <v>165</v>
      </c>
      <c r="Q1077" s="695">
        <v>170</v>
      </c>
      <c r="R1077" s="695">
        <v>175</v>
      </c>
    </row>
    <row r="1078" spans="2:18" ht="38.25" x14ac:dyDescent="0.2">
      <c r="B1078" s="1732"/>
      <c r="C1078" s="1732"/>
      <c r="D1078" s="1732"/>
      <c r="E1078" s="1630"/>
      <c r="F1078" s="1582"/>
      <c r="G1078" s="1582"/>
      <c r="H1078" s="1582"/>
      <c r="I1078" s="1582"/>
      <c r="J1078" s="1582"/>
      <c r="K1078" s="557" t="s">
        <v>2617</v>
      </c>
      <c r="L1078" s="557"/>
      <c r="M1078" s="336" t="s">
        <v>1439</v>
      </c>
      <c r="N1078" s="336">
        <v>6843</v>
      </c>
      <c r="O1078" s="581">
        <v>6850</v>
      </c>
      <c r="P1078" s="581">
        <v>6850</v>
      </c>
      <c r="Q1078" s="581">
        <v>6850</v>
      </c>
      <c r="R1078" s="581">
        <v>6900</v>
      </c>
    </row>
    <row r="1079" spans="2:18" ht="25.5" x14ac:dyDescent="0.2">
      <c r="B1079" s="1732"/>
      <c r="C1079" s="1732"/>
      <c r="D1079" s="1732"/>
      <c r="E1079" s="1630"/>
      <c r="F1079" s="1582"/>
      <c r="G1079" s="1582"/>
      <c r="H1079" s="1582"/>
      <c r="I1079" s="1582"/>
      <c r="J1079" s="1582"/>
      <c r="K1079" s="807" t="s">
        <v>1443</v>
      </c>
      <c r="L1079" s="807"/>
      <c r="M1079" s="336" t="s">
        <v>17</v>
      </c>
      <c r="N1079" s="336">
        <v>50</v>
      </c>
      <c r="O1079" s="581">
        <v>50</v>
      </c>
      <c r="P1079" s="581">
        <v>55</v>
      </c>
      <c r="Q1079" s="581">
        <v>60</v>
      </c>
      <c r="R1079" s="581">
        <v>65</v>
      </c>
    </row>
    <row r="1080" spans="2:18" ht="165" customHeight="1" x14ac:dyDescent="0.2">
      <c r="B1080" s="1733" t="s">
        <v>138</v>
      </c>
      <c r="C1080" s="1644"/>
      <c r="D1080" s="1624"/>
      <c r="E1080" s="1672" t="s">
        <v>2797</v>
      </c>
      <c r="F1080" s="1559">
        <f>F1082+F1084</f>
        <v>28008.7</v>
      </c>
      <c r="G1080" s="1559">
        <f>G1082+G1084</f>
        <v>28008.7</v>
      </c>
      <c r="H1080" s="1559">
        <f t="shared" ref="H1080" si="40">H1082+H1084</f>
        <v>28008.7</v>
      </c>
      <c r="I1080" s="1559">
        <v>28544.799999999999</v>
      </c>
      <c r="J1080" s="1559">
        <v>28817.1</v>
      </c>
      <c r="K1080" s="582" t="s">
        <v>1444</v>
      </c>
      <c r="L1080" s="582"/>
      <c r="M1080" s="336" t="s">
        <v>96</v>
      </c>
      <c r="N1080" s="336">
        <v>213</v>
      </c>
      <c r="O1080" s="336">
        <v>211</v>
      </c>
      <c r="P1080" s="336">
        <v>211</v>
      </c>
      <c r="Q1080" s="336">
        <v>211</v>
      </c>
      <c r="R1080" s="336">
        <v>211</v>
      </c>
    </row>
    <row r="1081" spans="2:18" ht="42.75" customHeight="1" x14ac:dyDescent="0.2">
      <c r="B1081" s="1734"/>
      <c r="C1081" s="1645"/>
      <c r="D1081" s="1732"/>
      <c r="E1081" s="1630"/>
      <c r="F1081" s="1765"/>
      <c r="G1081" s="1765"/>
      <c r="H1081" s="1765"/>
      <c r="I1081" s="1765"/>
      <c r="J1081" s="1765"/>
      <c r="K1081" s="582" t="s">
        <v>1445</v>
      </c>
      <c r="L1081" s="582"/>
      <c r="M1081" s="336" t="s">
        <v>551</v>
      </c>
      <c r="N1081" s="336">
        <v>164854</v>
      </c>
      <c r="O1081" s="581">
        <v>160273</v>
      </c>
      <c r="P1081" s="581">
        <v>160272.5</v>
      </c>
      <c r="Q1081" s="581">
        <v>160272.5</v>
      </c>
      <c r="R1081" s="581">
        <v>160273</v>
      </c>
    </row>
    <row r="1082" spans="2:18" ht="25.5" x14ac:dyDescent="0.2">
      <c r="B1082" s="1735"/>
      <c r="C1082" s="1624" t="s">
        <v>123</v>
      </c>
      <c r="D1082" s="1624"/>
      <c r="E1082" s="1630" t="s">
        <v>1446</v>
      </c>
      <c r="F1082" s="1592">
        <v>19232.7</v>
      </c>
      <c r="G1082" s="1592">
        <v>19232.7</v>
      </c>
      <c r="H1082" s="1592">
        <f>G1082</f>
        <v>19232.7</v>
      </c>
      <c r="I1082" s="1592">
        <f>H1082</f>
        <v>19232.7</v>
      </c>
      <c r="J1082" s="1592">
        <f>I1082</f>
        <v>19232.7</v>
      </c>
      <c r="K1082" s="557" t="s">
        <v>2618</v>
      </c>
      <c r="L1082" s="557"/>
      <c r="M1082" s="336" t="s">
        <v>526</v>
      </c>
      <c r="N1082" s="336">
        <v>11597</v>
      </c>
      <c r="O1082" s="581">
        <v>0</v>
      </c>
      <c r="P1082" s="581">
        <v>0</v>
      </c>
      <c r="Q1082" s="581">
        <v>0</v>
      </c>
      <c r="R1082" s="581">
        <v>0</v>
      </c>
    </row>
    <row r="1083" spans="2:18" ht="38.25" x14ac:dyDescent="0.2">
      <c r="B1083" s="1732"/>
      <c r="C1083" s="1732"/>
      <c r="D1083" s="1732"/>
      <c r="E1083" s="1630"/>
      <c r="F1083" s="1582"/>
      <c r="G1083" s="1582"/>
      <c r="H1083" s="1582"/>
      <c r="I1083" s="1582"/>
      <c r="J1083" s="1582"/>
      <c r="K1083" s="557" t="s">
        <v>1447</v>
      </c>
      <c r="L1083" s="557"/>
      <c r="M1083" s="336" t="s">
        <v>551</v>
      </c>
      <c r="N1083" s="336">
        <v>9945</v>
      </c>
      <c r="O1083" s="581">
        <v>10786</v>
      </c>
      <c r="P1083" s="581">
        <v>10786</v>
      </c>
      <c r="Q1083" s="581">
        <v>10786</v>
      </c>
      <c r="R1083" s="581">
        <v>10786</v>
      </c>
    </row>
    <row r="1084" spans="2:18" ht="38.25" x14ac:dyDescent="0.2">
      <c r="B1084" s="1124"/>
      <c r="C1084" s="1124" t="s">
        <v>125</v>
      </c>
      <c r="D1084" s="1124"/>
      <c r="E1084" s="1125" t="s">
        <v>1448</v>
      </c>
      <c r="F1084" s="987">
        <v>8776</v>
      </c>
      <c r="G1084" s="987">
        <v>8776</v>
      </c>
      <c r="H1084" s="987">
        <v>8776</v>
      </c>
      <c r="I1084" s="987">
        <v>9312.1</v>
      </c>
      <c r="J1084" s="987">
        <v>9584.4</v>
      </c>
      <c r="K1084" s="557"/>
      <c r="L1084" s="557"/>
      <c r="M1084" s="336"/>
      <c r="N1084" s="336"/>
      <c r="O1084" s="581"/>
      <c r="P1084" s="581"/>
      <c r="Q1084" s="581"/>
      <c r="R1084" s="581"/>
    </row>
    <row r="1085" spans="2:18" ht="23.25" customHeight="1" x14ac:dyDescent="0.2">
      <c r="B1085" s="1736" t="s">
        <v>64</v>
      </c>
      <c r="C1085" s="1736"/>
      <c r="D1085" s="1736"/>
      <c r="E1085" s="1736"/>
      <c r="F1085" s="904">
        <f>F1073+F1080</f>
        <v>39701.300000000003</v>
      </c>
      <c r="G1085" s="904">
        <f>G1073+G1080</f>
        <v>39701.300000000003</v>
      </c>
      <c r="H1085" s="904">
        <f>H1073+H1080</f>
        <v>39701.300000000003</v>
      </c>
      <c r="I1085" s="904">
        <f>I1073+I1082+I1084</f>
        <v>40461.199999999997</v>
      </c>
      <c r="J1085" s="904">
        <f>J1073+J1082+J1084</f>
        <v>40847.200000000004</v>
      </c>
      <c r="K1085" s="1737"/>
      <c r="L1085" s="1737"/>
      <c r="M1085" s="1738"/>
      <c r="N1085" s="1738"/>
      <c r="O1085" s="1738"/>
      <c r="P1085" s="1738"/>
      <c r="Q1085" s="1738"/>
      <c r="R1085" s="1738"/>
    </row>
    <row r="1086" spans="2:18" ht="28.5" customHeight="1" x14ac:dyDescent="0.2">
      <c r="B1086" s="1725" t="s">
        <v>1632</v>
      </c>
      <c r="C1086" s="1725"/>
      <c r="D1086" s="1725"/>
      <c r="E1086" s="1725"/>
      <c r="F1086" s="1725"/>
      <c r="G1086" s="1725"/>
      <c r="H1086" s="1725"/>
      <c r="I1086" s="1725"/>
      <c r="J1086" s="1725"/>
      <c r="K1086" s="1725"/>
      <c r="L1086" s="1725"/>
      <c r="M1086" s="1725"/>
      <c r="N1086" s="1725"/>
      <c r="O1086" s="1725"/>
      <c r="P1086" s="1725"/>
      <c r="Q1086" s="1725"/>
      <c r="R1086" s="1725"/>
    </row>
    <row r="1087" spans="2:18" ht="38.25" x14ac:dyDescent="0.2">
      <c r="B1087" s="1113" t="s">
        <v>120</v>
      </c>
      <c r="C1087" s="1126"/>
      <c r="D1087" s="1127"/>
      <c r="E1087" s="1127" t="s">
        <v>2798</v>
      </c>
      <c r="F1087" s="1128">
        <v>5930</v>
      </c>
      <c r="G1087" s="1128">
        <f>G1088+G1089</f>
        <v>3184.5</v>
      </c>
      <c r="H1087" s="1128">
        <f>H1088+H1089</f>
        <v>3185</v>
      </c>
      <c r="I1087" s="1128">
        <f>I1088+I1089</f>
        <v>3213</v>
      </c>
      <c r="J1087" s="1128">
        <f>J1088+J1089</f>
        <v>3253</v>
      </c>
      <c r="K1087" s="1727" t="s">
        <v>19</v>
      </c>
      <c r="L1087" s="1727"/>
      <c r="M1087" s="1129" t="s">
        <v>20</v>
      </c>
      <c r="N1087" s="1126"/>
      <c r="O1087" s="1126"/>
      <c r="P1087" s="1126"/>
      <c r="Q1087" s="1126"/>
      <c r="R1087" s="1126"/>
    </row>
    <row r="1088" spans="2:18" ht="15" customHeight="1" x14ac:dyDescent="0.2">
      <c r="B1088" s="1130"/>
      <c r="C1088" s="1131" t="s">
        <v>123</v>
      </c>
      <c r="D1088" s="1127"/>
      <c r="E1088" s="1127" t="s">
        <v>18</v>
      </c>
      <c r="F1088" s="1132">
        <v>2251</v>
      </c>
      <c r="G1088" s="1132">
        <f>1473+200</f>
        <v>1673</v>
      </c>
      <c r="H1088" s="1132">
        <v>1673</v>
      </c>
      <c r="I1088" s="1132">
        <v>1687</v>
      </c>
      <c r="J1088" s="1132">
        <f>I1088+20</f>
        <v>1707</v>
      </c>
      <c r="K1088" s="1727" t="s">
        <v>23</v>
      </c>
      <c r="L1088" s="1727"/>
      <c r="M1088" s="1129" t="s">
        <v>17</v>
      </c>
      <c r="N1088" s="1126">
        <v>100</v>
      </c>
      <c r="O1088" s="1126"/>
      <c r="P1088" s="1126"/>
      <c r="Q1088" s="1126"/>
      <c r="R1088" s="1126"/>
    </row>
    <row r="1089" spans="2:18" x14ac:dyDescent="0.2">
      <c r="B1089" s="1733"/>
      <c r="C1089" s="1131" t="s">
        <v>125</v>
      </c>
      <c r="D1089" s="1133"/>
      <c r="E1089" s="1127" t="s">
        <v>22</v>
      </c>
      <c r="F1089" s="1132">
        <v>3679</v>
      </c>
      <c r="G1089" s="1132">
        <f>1283.9+227.6</f>
        <v>1511.5</v>
      </c>
      <c r="H1089" s="1132">
        <v>1512</v>
      </c>
      <c r="I1089" s="1132">
        <v>1526</v>
      </c>
      <c r="J1089" s="1132">
        <f>I1089+20</f>
        <v>1546</v>
      </c>
      <c r="K1089" s="1727"/>
      <c r="L1089" s="1727"/>
      <c r="M1089" s="336" t="s">
        <v>28</v>
      </c>
      <c r="N1089" s="336"/>
      <c r="O1089" s="336"/>
      <c r="P1089" s="336"/>
      <c r="Q1089" s="336"/>
      <c r="R1089" s="336"/>
    </row>
    <row r="1090" spans="2:18" x14ac:dyDescent="0.2">
      <c r="B1090" s="1734"/>
      <c r="C1090" s="1131" t="s">
        <v>197</v>
      </c>
      <c r="D1090" s="1133"/>
      <c r="E1090" s="1134" t="s">
        <v>32</v>
      </c>
      <c r="F1090" s="1132"/>
      <c r="G1090" s="1132"/>
      <c r="H1090" s="1132"/>
      <c r="I1090" s="1132"/>
      <c r="J1090" s="1132"/>
      <c r="K1090" s="1727"/>
      <c r="L1090" s="1727"/>
      <c r="M1090" s="336" t="s">
        <v>31</v>
      </c>
      <c r="N1090" s="336"/>
      <c r="O1090" s="336"/>
      <c r="P1090" s="336"/>
      <c r="Q1090" s="336"/>
      <c r="R1090" s="336"/>
    </row>
    <row r="1091" spans="2:18" ht="38.25" x14ac:dyDescent="0.2">
      <c r="B1091" s="1733" t="s">
        <v>138</v>
      </c>
      <c r="C1091" s="1832"/>
      <c r="D1091" s="1833"/>
      <c r="E1091" s="1135" t="s">
        <v>2619</v>
      </c>
      <c r="F1091" s="1834">
        <f>F1094+F1095+F1096+F1097+F1098+F1099+F1100+F1101+F1102+F1103</f>
        <v>22464</v>
      </c>
      <c r="G1091" s="1834">
        <f>G1093+G1094+G1097+G1098+G1101</f>
        <v>10917.1</v>
      </c>
      <c r="H1091" s="1834">
        <f>H1093+H1094+H1098+H1101+H1103+H1097</f>
        <v>10916.6</v>
      </c>
      <c r="I1091" s="1834">
        <f>I1093+I1094+I1095+I1096+I1097+I1098+I1101</f>
        <v>10971.6</v>
      </c>
      <c r="J1091" s="1834">
        <f>J1093+J1094+J1097+J1098+J1101</f>
        <v>11035.8</v>
      </c>
      <c r="K1091" s="1739"/>
      <c r="L1091" s="1739"/>
      <c r="M1091" s="336" t="s">
        <v>17</v>
      </c>
      <c r="N1091" s="336"/>
      <c r="O1091" s="336"/>
      <c r="P1091" s="336"/>
      <c r="Q1091" s="336"/>
      <c r="R1091" s="336"/>
    </row>
    <row r="1092" spans="2:18" ht="25.5" x14ac:dyDescent="0.2">
      <c r="B1092" s="1734"/>
      <c r="C1092" s="1832"/>
      <c r="D1092" s="1833"/>
      <c r="E1092" s="1136" t="s">
        <v>2620</v>
      </c>
      <c r="F1092" s="1834"/>
      <c r="G1092" s="1834"/>
      <c r="H1092" s="1834"/>
      <c r="I1092" s="1834"/>
      <c r="J1092" s="1834"/>
      <c r="K1092" s="1739"/>
      <c r="L1092" s="1739"/>
      <c r="M1092" s="336"/>
      <c r="N1092" s="336"/>
      <c r="O1092" s="336"/>
      <c r="P1092" s="336"/>
      <c r="Q1092" s="336"/>
      <c r="R1092" s="336"/>
    </row>
    <row r="1093" spans="2:18" x14ac:dyDescent="0.2">
      <c r="B1093" s="1127"/>
      <c r="C1093" s="1131" t="s">
        <v>123</v>
      </c>
      <c r="D1093" s="1133"/>
      <c r="E1093" s="1137" t="s">
        <v>247</v>
      </c>
      <c r="F1093" s="1132"/>
      <c r="G1093" s="1132">
        <f>2213+400</f>
        <v>2613</v>
      </c>
      <c r="H1093" s="1132">
        <v>2613</v>
      </c>
      <c r="I1093" s="1132">
        <v>2627</v>
      </c>
      <c r="J1093" s="1132">
        <f>I1093+20</f>
        <v>2647</v>
      </c>
      <c r="K1093" s="1727"/>
      <c r="L1093" s="1727"/>
      <c r="M1093" s="336"/>
      <c r="N1093" s="336"/>
      <c r="O1093" s="336"/>
      <c r="P1093" s="336"/>
      <c r="Q1093" s="336"/>
      <c r="R1093" s="336"/>
    </row>
    <row r="1094" spans="2:18" ht="63.75" x14ac:dyDescent="0.2">
      <c r="B1094" s="1126"/>
      <c r="C1094" s="1138" t="s">
        <v>125</v>
      </c>
      <c r="D1094" s="1126"/>
      <c r="E1094" s="1127" t="s">
        <v>2621</v>
      </c>
      <c r="F1094" s="1132">
        <v>3685</v>
      </c>
      <c r="G1094" s="1132">
        <f>3164.3+600</f>
        <v>3764.3</v>
      </c>
      <c r="H1094" s="1132">
        <v>3764</v>
      </c>
      <c r="I1094" s="1132">
        <v>3778</v>
      </c>
      <c r="J1094" s="1132">
        <f>I1094+20</f>
        <v>3798</v>
      </c>
      <c r="K1094" s="1727" t="s">
        <v>1633</v>
      </c>
      <c r="L1094" s="1727"/>
      <c r="M1094" s="1129"/>
      <c r="N1094" s="1139">
        <v>0.5</v>
      </c>
      <c r="O1094" s="558"/>
      <c r="P1094" s="558"/>
      <c r="Q1094" s="558"/>
      <c r="R1094" s="558"/>
    </row>
    <row r="1095" spans="2:18" x14ac:dyDescent="0.2">
      <c r="B1095" s="1126"/>
      <c r="C1095" s="1138" t="s">
        <v>127</v>
      </c>
      <c r="D1095" s="1126"/>
      <c r="E1095" s="1140" t="s">
        <v>2622</v>
      </c>
      <c r="F1095" s="1132">
        <v>4134</v>
      </c>
      <c r="G1095" s="1132"/>
      <c r="H1095" s="1132"/>
      <c r="I1095" s="1132"/>
      <c r="J1095" s="1132"/>
      <c r="K1095" s="1727" t="s">
        <v>1633</v>
      </c>
      <c r="L1095" s="1727"/>
      <c r="M1095" s="1129"/>
      <c r="N1095" s="1139"/>
      <c r="O1095" s="1141"/>
      <c r="P1095" s="1141"/>
      <c r="Q1095" s="1141"/>
      <c r="R1095" s="1141"/>
    </row>
    <row r="1096" spans="2:18" x14ac:dyDescent="0.2">
      <c r="B1096" s="1126"/>
      <c r="C1096" s="1138" t="s">
        <v>132</v>
      </c>
      <c r="D1096" s="1126"/>
      <c r="E1096" s="1127" t="s">
        <v>1634</v>
      </c>
      <c r="F1096" s="1132">
        <v>3280</v>
      </c>
      <c r="G1096" s="1132"/>
      <c r="H1096" s="1132"/>
      <c r="I1096" s="1132"/>
      <c r="J1096" s="1132"/>
      <c r="K1096" s="1727" t="s">
        <v>1633</v>
      </c>
      <c r="L1096" s="1727"/>
      <c r="M1096" s="1129"/>
      <c r="N1096" s="1139"/>
      <c r="O1096" s="1141"/>
      <c r="P1096" s="1141"/>
      <c r="Q1096" s="1141"/>
      <c r="R1096" s="1141"/>
    </row>
    <row r="1097" spans="2:18" ht="25.5" x14ac:dyDescent="0.2">
      <c r="B1097" s="1126"/>
      <c r="C1097" s="1138" t="s">
        <v>74</v>
      </c>
      <c r="D1097" s="1126"/>
      <c r="E1097" s="1140" t="s">
        <v>1635</v>
      </c>
      <c r="F1097" s="1142">
        <v>303</v>
      </c>
      <c r="G1097" s="1132">
        <v>303</v>
      </c>
      <c r="H1097" s="1142">
        <v>303</v>
      </c>
      <c r="I1097" s="1142">
        <v>316</v>
      </c>
      <c r="J1097" s="1142">
        <v>316.39999999999998</v>
      </c>
      <c r="K1097" s="1727" t="s">
        <v>2623</v>
      </c>
      <c r="L1097" s="1727"/>
      <c r="M1097" s="336"/>
      <c r="N1097" s="557"/>
      <c r="O1097" s="1141"/>
      <c r="P1097" s="1141"/>
      <c r="Q1097" s="1141"/>
      <c r="R1097" s="1141"/>
    </row>
    <row r="1098" spans="2:18" ht="51" x14ac:dyDescent="0.2">
      <c r="B1098" s="1126"/>
      <c r="C1098" s="1138" t="s">
        <v>197</v>
      </c>
      <c r="D1098" s="1126"/>
      <c r="E1098" s="1127" t="s">
        <v>1636</v>
      </c>
      <c r="F1098" s="1132">
        <v>2132</v>
      </c>
      <c r="G1098" s="1132">
        <f>3136.2+600</f>
        <v>3736.2</v>
      </c>
      <c r="H1098" s="1132">
        <v>3736</v>
      </c>
      <c r="I1098" s="1132">
        <v>3750</v>
      </c>
      <c r="J1098" s="1132">
        <f>I1098+20</f>
        <v>3770</v>
      </c>
      <c r="K1098" s="1727" t="s">
        <v>1418</v>
      </c>
      <c r="L1098" s="1727"/>
      <c r="M1098" s="336"/>
      <c r="N1098" s="557"/>
      <c r="O1098" s="558"/>
      <c r="P1098" s="558"/>
      <c r="Q1098" s="558"/>
      <c r="R1098" s="558"/>
    </row>
    <row r="1099" spans="2:18" ht="15" customHeight="1" x14ac:dyDescent="0.2">
      <c r="B1099" s="1126"/>
      <c r="C1099" s="1138" t="s">
        <v>155</v>
      </c>
      <c r="D1099" s="1126"/>
      <c r="E1099" s="1140" t="s">
        <v>1637</v>
      </c>
      <c r="F1099" s="1132">
        <v>1070</v>
      </c>
      <c r="G1099" s="1132"/>
      <c r="H1099" s="1132"/>
      <c r="I1099" s="1132"/>
      <c r="J1099" s="1132"/>
      <c r="K1099" s="1727" t="s">
        <v>2799</v>
      </c>
      <c r="L1099" s="1727"/>
      <c r="M1099" s="336"/>
      <c r="N1099" s="557"/>
      <c r="O1099" s="1141"/>
      <c r="P1099" s="1141"/>
      <c r="Q1099" s="1141"/>
      <c r="R1099" s="1141"/>
    </row>
    <row r="1100" spans="2:18" x14ac:dyDescent="0.2">
      <c r="B1100" s="1126"/>
      <c r="C1100" s="1138" t="s">
        <v>158</v>
      </c>
      <c r="D1100" s="1126"/>
      <c r="E1100" s="1140" t="s">
        <v>1638</v>
      </c>
      <c r="F1100" s="1132">
        <v>1070</v>
      </c>
      <c r="G1100" s="1132"/>
      <c r="H1100" s="1132"/>
      <c r="I1100" s="1132"/>
      <c r="J1100" s="1132"/>
      <c r="K1100" s="1727"/>
      <c r="L1100" s="1727"/>
      <c r="M1100" s="336"/>
      <c r="N1100" s="557"/>
      <c r="O1100" s="1141"/>
      <c r="P1100" s="1141"/>
      <c r="Q1100" s="1141"/>
      <c r="R1100" s="1141"/>
    </row>
    <row r="1101" spans="2:18" ht="25.5" x14ac:dyDescent="0.2">
      <c r="B1101" s="1126"/>
      <c r="C1101" s="1138" t="s">
        <v>264</v>
      </c>
      <c r="D1101" s="1126"/>
      <c r="E1101" s="1127" t="s">
        <v>1639</v>
      </c>
      <c r="F1101" s="1132">
        <v>2828</v>
      </c>
      <c r="G1101" s="1132">
        <v>500.6</v>
      </c>
      <c r="H1101" s="1132">
        <v>500.6</v>
      </c>
      <c r="I1101" s="1132">
        <v>500.6</v>
      </c>
      <c r="J1101" s="1132">
        <v>504.4</v>
      </c>
      <c r="K1101" s="1727" t="s">
        <v>2624</v>
      </c>
      <c r="L1101" s="1727"/>
      <c r="M1101" s="1143">
        <v>1</v>
      </c>
      <c r="N1101" s="557"/>
      <c r="O1101" s="1141"/>
      <c r="P1101" s="1141"/>
      <c r="Q1101" s="1141"/>
      <c r="R1101" s="1141"/>
    </row>
    <row r="1102" spans="2:18" ht="25.5" x14ac:dyDescent="0.2">
      <c r="B1102" s="1126"/>
      <c r="C1102" s="1138">
        <v>10</v>
      </c>
      <c r="D1102" s="1126"/>
      <c r="E1102" s="1127" t="s">
        <v>1640</v>
      </c>
      <c r="F1102" s="1132">
        <v>3659</v>
      </c>
      <c r="G1102" s="1132"/>
      <c r="H1102" s="1132"/>
      <c r="I1102" s="1132"/>
      <c r="J1102" s="1132"/>
      <c r="K1102" s="1727"/>
      <c r="L1102" s="1727"/>
      <c r="M1102" s="685">
        <v>1</v>
      </c>
      <c r="N1102" s="1144"/>
      <c r="O1102" s="1144"/>
      <c r="P1102" s="1144"/>
      <c r="Q1102" s="1144"/>
      <c r="R1102" s="1144"/>
    </row>
    <row r="1103" spans="2:18" x14ac:dyDescent="0.2">
      <c r="B1103" s="1126"/>
      <c r="C1103" s="1138">
        <v>11</v>
      </c>
      <c r="D1103" s="1126"/>
      <c r="E1103" s="1127" t="s">
        <v>2625</v>
      </c>
      <c r="F1103" s="1132">
        <v>303</v>
      </c>
      <c r="G1103" s="1132"/>
      <c r="H1103" s="1132"/>
      <c r="I1103" s="1132"/>
      <c r="J1103" s="1132"/>
      <c r="K1103" s="1727" t="s">
        <v>2626</v>
      </c>
      <c r="L1103" s="1727"/>
      <c r="M1103" s="1145"/>
      <c r="N1103" s="1146"/>
      <c r="O1103" s="1146"/>
      <c r="P1103" s="1146"/>
      <c r="Q1103" s="1146"/>
      <c r="R1103" s="1146"/>
    </row>
    <row r="1104" spans="2:18" ht="19.5" customHeight="1" x14ac:dyDescent="0.2">
      <c r="B1104" s="1716" t="s">
        <v>64</v>
      </c>
      <c r="C1104" s="1716"/>
      <c r="D1104" s="1716"/>
      <c r="E1104" s="1716"/>
      <c r="F1104" s="937">
        <v>30403.5</v>
      </c>
      <c r="G1104" s="937">
        <f>G1087+G1091</f>
        <v>14101.6</v>
      </c>
      <c r="H1104" s="937">
        <f>H1087+H1091</f>
        <v>14101.6</v>
      </c>
      <c r="I1104" s="937">
        <f>I1087+I1091</f>
        <v>14184.6</v>
      </c>
      <c r="J1104" s="937">
        <f>J1087+J1091</f>
        <v>14288.8</v>
      </c>
      <c r="K1104" s="1690"/>
      <c r="L1104" s="1690"/>
      <c r="M1104" s="1728"/>
      <c r="N1104" s="1728"/>
      <c r="O1104" s="1728"/>
      <c r="P1104" s="1728"/>
      <c r="Q1104" s="1728"/>
      <c r="R1104" s="1728"/>
    </row>
    <row r="1105" spans="2:18" ht="19.5" customHeight="1" x14ac:dyDescent="0.2">
      <c r="B1105" s="1725" t="s">
        <v>1641</v>
      </c>
      <c r="C1105" s="1725"/>
      <c r="D1105" s="1725"/>
      <c r="E1105" s="1725"/>
      <c r="F1105" s="1725"/>
      <c r="G1105" s="1725"/>
      <c r="H1105" s="1725"/>
      <c r="I1105" s="1725"/>
      <c r="J1105" s="1725"/>
      <c r="K1105" s="1725"/>
      <c r="L1105" s="1725"/>
      <c r="M1105" s="1725"/>
      <c r="N1105" s="1725"/>
      <c r="O1105" s="1725"/>
      <c r="P1105" s="1725"/>
      <c r="Q1105" s="1725"/>
      <c r="R1105" s="1725"/>
    </row>
    <row r="1106" spans="2:18" ht="73.5" customHeight="1" x14ac:dyDescent="0.2">
      <c r="B1106" s="1087">
        <v>1</v>
      </c>
      <c r="C1106" s="1088"/>
      <c r="D1106" s="1088"/>
      <c r="E1106" s="1090" t="s">
        <v>2792</v>
      </c>
      <c r="F1106" s="959">
        <f>F1107+F1108+F1109+F1110+F1111+F1112</f>
        <v>16691.526940830317</v>
      </c>
      <c r="G1106" s="959">
        <f t="shared" ref="G1106:J1106" si="41">G1107+G1108+G1109+G1110+G1111+G1112</f>
        <v>11583.300000000001</v>
      </c>
      <c r="H1106" s="959">
        <f t="shared" si="41"/>
        <v>11583.300000000001</v>
      </c>
      <c r="I1106" s="959">
        <f t="shared" si="41"/>
        <v>11583.300000000001</v>
      </c>
      <c r="J1106" s="959">
        <f t="shared" si="41"/>
        <v>11583.300000000001</v>
      </c>
      <c r="K1106" s="1727" t="s">
        <v>16</v>
      </c>
      <c r="L1106" s="1727"/>
      <c r="M1106" s="336" t="s">
        <v>17</v>
      </c>
      <c r="N1106" s="1147">
        <v>4.5</v>
      </c>
      <c r="O1106" s="1147">
        <v>4.5</v>
      </c>
      <c r="P1106" s="1147">
        <v>4.5</v>
      </c>
      <c r="Q1106" s="1147">
        <v>4.5</v>
      </c>
      <c r="R1106" s="1147">
        <v>4.5</v>
      </c>
    </row>
    <row r="1107" spans="2:18" ht="15" customHeight="1" x14ac:dyDescent="0.2">
      <c r="B1107" s="1109"/>
      <c r="C1107" s="1124" t="s">
        <v>123</v>
      </c>
      <c r="D1107" s="1088"/>
      <c r="E1107" s="1111" t="s">
        <v>18</v>
      </c>
      <c r="F1107" s="987">
        <v>6188.803700627459</v>
      </c>
      <c r="G1107" s="1148">
        <v>4294.8</v>
      </c>
      <c r="H1107" s="1148">
        <v>4294.8</v>
      </c>
      <c r="I1107" s="987">
        <v>4294.8</v>
      </c>
      <c r="J1107" s="987">
        <v>4294.8</v>
      </c>
      <c r="K1107" s="1727" t="s">
        <v>19</v>
      </c>
      <c r="L1107" s="1727"/>
      <c r="M1107" s="336"/>
      <c r="N1107" s="1149"/>
      <c r="O1107" s="1149"/>
      <c r="P1107" s="1149"/>
      <c r="Q1107" s="1149"/>
      <c r="R1107" s="1149"/>
    </row>
    <row r="1108" spans="2:18" ht="15" customHeight="1" x14ac:dyDescent="0.2">
      <c r="B1108" s="1109"/>
      <c r="C1108" s="1124" t="s">
        <v>125</v>
      </c>
      <c r="D1108" s="1088"/>
      <c r="E1108" s="1150" t="s">
        <v>1407</v>
      </c>
      <c r="F1108" s="987">
        <v>3532.7538307856662</v>
      </c>
      <c r="G1108" s="1148">
        <v>2451.6000000000004</v>
      </c>
      <c r="H1108" s="1148">
        <v>2451.6000000000004</v>
      </c>
      <c r="I1108" s="987">
        <v>2451.6000000000004</v>
      </c>
      <c r="J1108" s="987">
        <v>2451.6000000000004</v>
      </c>
      <c r="K1108" s="1727" t="s">
        <v>23</v>
      </c>
      <c r="L1108" s="1727"/>
      <c r="M1108" s="336"/>
      <c r="N1108" s="1147">
        <v>52</v>
      </c>
      <c r="O1108" s="1147">
        <v>54</v>
      </c>
      <c r="P1108" s="1147">
        <v>56</v>
      </c>
      <c r="Q1108" s="1147">
        <v>60</v>
      </c>
      <c r="R1108" s="1147">
        <v>62</v>
      </c>
    </row>
    <row r="1109" spans="2:18" ht="30" customHeight="1" x14ac:dyDescent="0.2">
      <c r="B1109" s="1109"/>
      <c r="C1109" s="1124" t="s">
        <v>127</v>
      </c>
      <c r="D1109" s="1088"/>
      <c r="E1109" s="1150" t="s">
        <v>1642</v>
      </c>
      <c r="F1109" s="987">
        <v>2793.6653009235479</v>
      </c>
      <c r="G1109" s="1148">
        <v>1938.7</v>
      </c>
      <c r="H1109" s="1148">
        <v>1938.7</v>
      </c>
      <c r="I1109" s="987">
        <v>1938.7</v>
      </c>
      <c r="J1109" s="987">
        <v>1938.7</v>
      </c>
      <c r="K1109" s="1727" t="s">
        <v>25</v>
      </c>
      <c r="L1109" s="1727"/>
      <c r="M1109" s="336"/>
      <c r="N1109" s="1147">
        <v>40</v>
      </c>
      <c r="O1109" s="1147">
        <v>45</v>
      </c>
      <c r="P1109" s="1147">
        <v>50</v>
      </c>
      <c r="Q1109" s="1147">
        <v>55</v>
      </c>
      <c r="R1109" s="1147">
        <v>60</v>
      </c>
    </row>
    <row r="1110" spans="2:18" ht="30" customHeight="1" x14ac:dyDescent="0.2">
      <c r="B1110" s="1109"/>
      <c r="C1110" s="1124" t="s">
        <v>132</v>
      </c>
      <c r="D1110" s="1088"/>
      <c r="E1110" s="1150" t="s">
        <v>1643</v>
      </c>
      <c r="F1110" s="987">
        <v>698.30825028501135</v>
      </c>
      <c r="G1110" s="1148">
        <v>484.6</v>
      </c>
      <c r="H1110" s="1148">
        <v>484.6</v>
      </c>
      <c r="I1110" s="987">
        <v>484.6</v>
      </c>
      <c r="J1110" s="987">
        <v>484.6</v>
      </c>
      <c r="K1110" s="1727" t="s">
        <v>333</v>
      </c>
      <c r="L1110" s="1727"/>
      <c r="M1110" s="336"/>
      <c r="N1110" s="1147"/>
      <c r="O1110" s="1147"/>
      <c r="P1110" s="1147"/>
      <c r="Q1110" s="1147"/>
      <c r="R1110" s="1147"/>
    </row>
    <row r="1111" spans="2:18" ht="15" customHeight="1" x14ac:dyDescent="0.2">
      <c r="B1111" s="1109"/>
      <c r="C1111" s="1124" t="s">
        <v>74</v>
      </c>
      <c r="D1111" s="1088"/>
      <c r="E1111" s="1146" t="s">
        <v>1644</v>
      </c>
      <c r="F1111" s="987">
        <v>2745.1036252433896</v>
      </c>
      <c r="G1111" s="1148">
        <v>1905</v>
      </c>
      <c r="H1111" s="1148">
        <v>1905</v>
      </c>
      <c r="I1111" s="987">
        <v>1905</v>
      </c>
      <c r="J1111" s="987">
        <v>1905</v>
      </c>
      <c r="K1111" s="1727" t="s">
        <v>25</v>
      </c>
      <c r="L1111" s="1727"/>
      <c r="M1111" s="336"/>
      <c r="N1111" s="1147">
        <v>28</v>
      </c>
      <c r="O1111" s="1147">
        <v>20</v>
      </c>
      <c r="P1111" s="1147">
        <v>16</v>
      </c>
      <c r="Q1111" s="1147">
        <v>12</v>
      </c>
      <c r="R1111" s="1147">
        <v>10</v>
      </c>
    </row>
    <row r="1112" spans="2:18" ht="15" customHeight="1" x14ac:dyDescent="0.2">
      <c r="B1112" s="1109"/>
      <c r="C1112" s="1124" t="s">
        <v>197</v>
      </c>
      <c r="D1112" s="1088"/>
      <c r="E1112" s="1146" t="s">
        <v>1414</v>
      </c>
      <c r="F1112" s="987">
        <v>732.89223296524301</v>
      </c>
      <c r="G1112" s="1148">
        <v>508.6</v>
      </c>
      <c r="H1112" s="1148">
        <v>508.6</v>
      </c>
      <c r="I1112" s="987">
        <v>508.6</v>
      </c>
      <c r="J1112" s="987">
        <v>508.6</v>
      </c>
      <c r="K1112" s="1727" t="s">
        <v>33</v>
      </c>
      <c r="L1112" s="1727"/>
      <c r="M1112" s="336"/>
      <c r="N1112" s="336">
        <v>5</v>
      </c>
      <c r="O1112" s="336"/>
      <c r="P1112" s="336"/>
      <c r="Q1112" s="336"/>
      <c r="R1112" s="336"/>
    </row>
    <row r="1113" spans="2:18" ht="25.5" x14ac:dyDescent="0.2">
      <c r="B1113" s="1087">
        <v>2</v>
      </c>
      <c r="C1113" s="1089"/>
      <c r="D1113" s="1089"/>
      <c r="E1113" s="1151" t="s">
        <v>2627</v>
      </c>
      <c r="F1113" s="959">
        <f>F1114+F1115</f>
        <v>31624.359499568614</v>
      </c>
      <c r="G1113" s="959">
        <f t="shared" ref="G1113:J1113" si="42">G1114+G1115</f>
        <v>16956.599999999999</v>
      </c>
      <c r="H1113" s="959">
        <f t="shared" si="42"/>
        <v>16956.599999999999</v>
      </c>
      <c r="I1113" s="959">
        <f t="shared" si="42"/>
        <v>17502.899999999998</v>
      </c>
      <c r="J1113" s="959">
        <f t="shared" si="42"/>
        <v>17780.3</v>
      </c>
      <c r="K1113" s="1727"/>
      <c r="L1113" s="1727"/>
      <c r="M1113" s="336"/>
      <c r="N1113" s="336"/>
      <c r="O1113" s="336"/>
      <c r="P1113" s="336"/>
      <c r="Q1113" s="336"/>
      <c r="R1113" s="336"/>
    </row>
    <row r="1114" spans="2:18" ht="30" customHeight="1" x14ac:dyDescent="0.2">
      <c r="B1114" s="1109"/>
      <c r="C1114" s="556">
        <v>2</v>
      </c>
      <c r="D1114" s="1088"/>
      <c r="E1114" s="1150" t="s">
        <v>1645</v>
      </c>
      <c r="F1114" s="987">
        <v>22657.9</v>
      </c>
      <c r="G1114" s="1148">
        <v>6430.2</v>
      </c>
      <c r="H1114" s="987">
        <v>6430.2</v>
      </c>
      <c r="I1114" s="987">
        <v>6703.2999999999993</v>
      </c>
      <c r="J1114" s="987">
        <v>6842.0999999999995</v>
      </c>
      <c r="K1114" s="1727" t="s">
        <v>1646</v>
      </c>
      <c r="L1114" s="1727"/>
      <c r="M1114" s="336" t="s">
        <v>17</v>
      </c>
      <c r="N1114" s="1150">
        <v>26</v>
      </c>
      <c r="O1114" s="1150">
        <v>26</v>
      </c>
      <c r="P1114" s="1150">
        <v>28</v>
      </c>
      <c r="Q1114" s="1150">
        <v>29</v>
      </c>
      <c r="R1114" s="1150">
        <v>30</v>
      </c>
    </row>
    <row r="1115" spans="2:18" ht="15" customHeight="1" x14ac:dyDescent="0.2">
      <c r="B1115" s="1109"/>
      <c r="C1115" s="556">
        <v>3</v>
      </c>
      <c r="D1115" s="1088"/>
      <c r="E1115" s="1150" t="s">
        <v>1647</v>
      </c>
      <c r="F1115" s="987">
        <v>8966.4594995686148</v>
      </c>
      <c r="G1115" s="1148">
        <v>10526.4</v>
      </c>
      <c r="H1115" s="987">
        <v>10526.4</v>
      </c>
      <c r="I1115" s="987">
        <v>10799.599999999999</v>
      </c>
      <c r="J1115" s="987">
        <v>10938.199999999999</v>
      </c>
      <c r="K1115" s="1727" t="s">
        <v>1648</v>
      </c>
      <c r="L1115" s="1727"/>
      <c r="M1115" s="336" t="s">
        <v>31</v>
      </c>
      <c r="N1115" s="1150">
        <v>26</v>
      </c>
      <c r="O1115" s="1150">
        <v>26</v>
      </c>
      <c r="P1115" s="1150">
        <v>26</v>
      </c>
      <c r="Q1115" s="1150">
        <v>26</v>
      </c>
      <c r="R1115" s="1150">
        <v>26</v>
      </c>
    </row>
    <row r="1116" spans="2:18" x14ac:dyDescent="0.2">
      <c r="B1116" s="1087">
        <v>3</v>
      </c>
      <c r="C1116" s="556"/>
      <c r="D1116" s="1088"/>
      <c r="E1116" s="1151" t="s">
        <v>2453</v>
      </c>
      <c r="F1116" s="959">
        <f t="shared" ref="F1116:G1116" si="43">F1117</f>
        <v>3491927.1</v>
      </c>
      <c r="G1116" s="959">
        <f t="shared" si="43"/>
        <v>1221100</v>
      </c>
      <c r="H1116" s="959">
        <f>H1117</f>
        <v>0</v>
      </c>
      <c r="I1116" s="959">
        <f t="shared" ref="I1116:J1116" si="44">I1117</f>
        <v>959220.24</v>
      </c>
      <c r="J1116" s="959">
        <f t="shared" si="44"/>
        <v>527396.93999999994</v>
      </c>
      <c r="K1116" s="1127"/>
      <c r="L1116" s="1127"/>
      <c r="M1116" s="336"/>
      <c r="N1116" s="1150"/>
      <c r="O1116" s="1150"/>
      <c r="P1116" s="1150"/>
      <c r="Q1116" s="1150"/>
      <c r="R1116" s="1150"/>
    </row>
    <row r="1117" spans="2:18" x14ac:dyDescent="0.2">
      <c r="B1117" s="1109"/>
      <c r="C1117" s="556">
        <v>1</v>
      </c>
      <c r="D1117" s="1088"/>
      <c r="E1117" s="1150" t="s">
        <v>765</v>
      </c>
      <c r="F1117" s="914">
        <v>3491927.1</v>
      </c>
      <c r="G1117" s="914">
        <v>1221100</v>
      </c>
      <c r="H1117" s="987"/>
      <c r="I1117" s="987">
        <f>2428.08+956792.16</f>
        <v>959220.24</v>
      </c>
      <c r="J1117" s="987">
        <v>527396.93999999994</v>
      </c>
      <c r="K1117" s="1127"/>
      <c r="L1117" s="1127"/>
      <c r="M1117" s="336"/>
      <c r="N1117" s="1150"/>
      <c r="O1117" s="1150"/>
      <c r="P1117" s="1150"/>
      <c r="Q1117" s="1150"/>
      <c r="R1117" s="1150"/>
    </row>
    <row r="1118" spans="2:18" ht="25.5" customHeight="1" x14ac:dyDescent="0.2">
      <c r="B1118" s="1716" t="s">
        <v>64</v>
      </c>
      <c r="C1118" s="1716"/>
      <c r="D1118" s="1716"/>
      <c r="E1118" s="1716"/>
      <c r="F1118" s="937">
        <f t="shared" ref="F1118:G1118" si="45">SUM(F1107:F1116)</f>
        <v>3571867.3459399678</v>
      </c>
      <c r="G1118" s="937">
        <f t="shared" si="45"/>
        <v>1266596.5</v>
      </c>
      <c r="H1118" s="937">
        <f>H1106+H1113+H1116</f>
        <v>28539.9</v>
      </c>
      <c r="I1118" s="937">
        <f t="shared" ref="I1118:J1118" si="46">SUM(I1107:I1116)</f>
        <v>1005809.34</v>
      </c>
      <c r="J1118" s="937">
        <f t="shared" si="46"/>
        <v>574540.84</v>
      </c>
      <c r="K1118" s="1690"/>
      <c r="L1118" s="1690"/>
      <c r="M1118" s="1728"/>
      <c r="N1118" s="1728"/>
      <c r="O1118" s="1728"/>
      <c r="P1118" s="1728"/>
      <c r="Q1118" s="1728"/>
      <c r="R1118" s="1728"/>
    </row>
    <row r="1119" spans="2:18" ht="24.75" customHeight="1" x14ac:dyDescent="0.2">
      <c r="B1119" s="1730" t="s">
        <v>1649</v>
      </c>
      <c r="C1119" s="1730"/>
      <c r="D1119" s="1730"/>
      <c r="E1119" s="1730"/>
      <c r="F1119" s="1730"/>
      <c r="G1119" s="1730"/>
      <c r="H1119" s="1730"/>
      <c r="I1119" s="1730"/>
      <c r="J1119" s="1730"/>
      <c r="K1119" s="1730"/>
      <c r="L1119" s="1730"/>
      <c r="M1119" s="1730"/>
      <c r="N1119" s="1730"/>
      <c r="O1119" s="1730"/>
      <c r="P1119" s="1730"/>
      <c r="Q1119" s="1152"/>
      <c r="R1119" s="1152"/>
    </row>
    <row r="1120" spans="2:18" ht="73.5" customHeight="1" x14ac:dyDescent="0.2">
      <c r="B1120" s="1153" t="s">
        <v>120</v>
      </c>
      <c r="C1120" s="1153"/>
      <c r="D1120" s="809"/>
      <c r="E1120" s="534" t="s">
        <v>2800</v>
      </c>
      <c r="F1120" s="902">
        <f t="shared" ref="F1120:J1120" si="47">F1121+F1122+F1123+F1124+F1125+F1126+F1127</f>
        <v>27256.899999999998</v>
      </c>
      <c r="G1120" s="902">
        <f t="shared" si="47"/>
        <v>19256.899999999998</v>
      </c>
      <c r="H1120" s="902">
        <f>H1121+H1122+H1123+H1124+H1125+H1126</f>
        <v>17256.899999999998</v>
      </c>
      <c r="I1120" s="902">
        <f t="shared" si="47"/>
        <v>21026.6</v>
      </c>
      <c r="J1120" s="902">
        <f t="shared" si="47"/>
        <v>22077.93</v>
      </c>
      <c r="K1120" s="1731" t="s">
        <v>1650</v>
      </c>
      <c r="L1120" s="1731"/>
      <c r="M1120" s="688" t="s">
        <v>17</v>
      </c>
      <c r="N1120" s="768"/>
      <c r="O1120" s="768"/>
      <c r="P1120" s="768"/>
      <c r="Q1120" s="768"/>
      <c r="R1120" s="768"/>
    </row>
    <row r="1121" spans="2:18" ht="15" customHeight="1" x14ac:dyDescent="0.2">
      <c r="B1121" s="809"/>
      <c r="C1121" s="809" t="s">
        <v>123</v>
      </c>
      <c r="D1121" s="809"/>
      <c r="E1121" s="755" t="s">
        <v>18</v>
      </c>
      <c r="F1121" s="901">
        <v>3841.6000000000004</v>
      </c>
      <c r="G1121" s="901">
        <v>3841.6000000000004</v>
      </c>
      <c r="H1121" s="901">
        <v>3841.6000000000004</v>
      </c>
      <c r="I1121" s="901">
        <v>4611.3</v>
      </c>
      <c r="J1121" s="901">
        <f>(I1121)*5%+4611.3</f>
        <v>4841.8649999999998</v>
      </c>
      <c r="K1121" s="1727" t="s">
        <v>19</v>
      </c>
      <c r="L1121" s="1727"/>
      <c r="M1121" s="688" t="s">
        <v>20</v>
      </c>
      <c r="N1121" s="768"/>
      <c r="O1121" s="768"/>
      <c r="P1121" s="768"/>
      <c r="Q1121" s="768"/>
      <c r="R1121" s="768"/>
    </row>
    <row r="1122" spans="2:18" ht="15" customHeight="1" x14ac:dyDescent="0.2">
      <c r="B1122" s="809"/>
      <c r="C1122" s="809" t="s">
        <v>125</v>
      </c>
      <c r="D1122" s="809"/>
      <c r="E1122" s="755" t="s">
        <v>22</v>
      </c>
      <c r="F1122" s="901">
        <v>3180</v>
      </c>
      <c r="G1122" s="901">
        <v>3180</v>
      </c>
      <c r="H1122" s="901">
        <v>3180</v>
      </c>
      <c r="I1122" s="901">
        <v>3180</v>
      </c>
      <c r="J1122" s="901">
        <f>I1122*5%+3180</f>
        <v>3339</v>
      </c>
      <c r="K1122" s="1727" t="s">
        <v>23</v>
      </c>
      <c r="L1122" s="1727"/>
      <c r="M1122" s="688" t="s">
        <v>17</v>
      </c>
      <c r="N1122" s="768">
        <v>100</v>
      </c>
      <c r="O1122" s="768">
        <v>100</v>
      </c>
      <c r="P1122" s="768">
        <v>100</v>
      </c>
      <c r="Q1122" s="768">
        <v>100</v>
      </c>
      <c r="R1122" s="768">
        <v>100</v>
      </c>
    </row>
    <row r="1123" spans="2:18" ht="15" customHeight="1" x14ac:dyDescent="0.2">
      <c r="B1123" s="809"/>
      <c r="C1123" s="809" t="s">
        <v>127</v>
      </c>
      <c r="D1123" s="809"/>
      <c r="E1123" s="755" t="s">
        <v>24</v>
      </c>
      <c r="F1123" s="901">
        <v>5019.3999999999996</v>
      </c>
      <c r="G1123" s="901">
        <v>5019.3999999999996</v>
      </c>
      <c r="H1123" s="901">
        <v>5019.3999999999996</v>
      </c>
      <c r="I1123" s="901">
        <v>5019.3999999999996</v>
      </c>
      <c r="J1123" s="901">
        <f>I1123*5%+5019.4</f>
        <v>5270.37</v>
      </c>
      <c r="K1123" s="1727" t="s">
        <v>25</v>
      </c>
      <c r="L1123" s="1727"/>
      <c r="M1123" s="688" t="s">
        <v>17</v>
      </c>
      <c r="N1123" s="768">
        <v>100</v>
      </c>
      <c r="O1123" s="768">
        <v>100</v>
      </c>
      <c r="P1123" s="768">
        <v>100</v>
      </c>
      <c r="Q1123" s="768">
        <v>100</v>
      </c>
      <c r="R1123" s="768">
        <v>100</v>
      </c>
    </row>
    <row r="1124" spans="2:18" ht="15" customHeight="1" x14ac:dyDescent="0.2">
      <c r="B1124" s="809"/>
      <c r="C1124" s="809" t="s">
        <v>132</v>
      </c>
      <c r="D1124" s="809"/>
      <c r="E1124" s="755" t="s">
        <v>26</v>
      </c>
      <c r="F1124" s="901">
        <v>1923.3</v>
      </c>
      <c r="G1124" s="901">
        <v>1923.3</v>
      </c>
      <c r="H1124" s="901">
        <v>1923.3</v>
      </c>
      <c r="I1124" s="901">
        <v>1923.3</v>
      </c>
      <c r="J1124" s="901">
        <f>I1124*5%+1923.3</f>
        <v>2019.4649999999999</v>
      </c>
      <c r="K1124" s="1727" t="s">
        <v>27</v>
      </c>
      <c r="L1124" s="1727"/>
      <c r="M1124" s="688" t="s">
        <v>28</v>
      </c>
      <c r="N1124" s="768">
        <v>100</v>
      </c>
      <c r="O1124" s="768">
        <v>100</v>
      </c>
      <c r="P1124" s="768">
        <v>100</v>
      </c>
      <c r="Q1124" s="768">
        <v>100</v>
      </c>
      <c r="R1124" s="768">
        <v>100</v>
      </c>
    </row>
    <row r="1125" spans="2:18" ht="30" customHeight="1" x14ac:dyDescent="0.2">
      <c r="B1125" s="809"/>
      <c r="C1125" s="809" t="s">
        <v>74</v>
      </c>
      <c r="D1125" s="809"/>
      <c r="E1125" s="755" t="s">
        <v>29</v>
      </c>
      <c r="F1125" s="901">
        <v>1878.3</v>
      </c>
      <c r="G1125" s="901">
        <v>1878.3</v>
      </c>
      <c r="H1125" s="901">
        <v>1878.3</v>
      </c>
      <c r="I1125" s="901">
        <v>1878.3</v>
      </c>
      <c r="J1125" s="901">
        <f>I1125*5%+1878.3</f>
        <v>1972.2149999999999</v>
      </c>
      <c r="K1125" s="1727" t="s">
        <v>30</v>
      </c>
      <c r="L1125" s="1727"/>
      <c r="M1125" s="688" t="s">
        <v>31</v>
      </c>
      <c r="N1125" s="768">
        <v>15</v>
      </c>
      <c r="O1125" s="768">
        <v>15</v>
      </c>
      <c r="P1125" s="768">
        <v>15</v>
      </c>
      <c r="Q1125" s="768">
        <v>15</v>
      </c>
      <c r="R1125" s="768">
        <v>15</v>
      </c>
    </row>
    <row r="1126" spans="2:18" ht="51.75" customHeight="1" x14ac:dyDescent="0.2">
      <c r="B1126" s="809"/>
      <c r="C1126" s="809" t="s">
        <v>725</v>
      </c>
      <c r="D1126" s="809"/>
      <c r="E1126" s="687" t="s">
        <v>1651</v>
      </c>
      <c r="F1126" s="901">
        <v>1414.3</v>
      </c>
      <c r="G1126" s="901">
        <v>1414.3</v>
      </c>
      <c r="H1126" s="901">
        <v>1414.3</v>
      </c>
      <c r="I1126" s="901">
        <v>1414.3</v>
      </c>
      <c r="J1126" s="901">
        <f>I1126*5%+1414.3</f>
        <v>1485.0149999999999</v>
      </c>
      <c r="K1126" s="1727" t="s">
        <v>1652</v>
      </c>
      <c r="L1126" s="1727"/>
      <c r="M1126" s="688" t="s">
        <v>17</v>
      </c>
      <c r="N1126" s="768">
        <v>15</v>
      </c>
      <c r="O1126" s="768">
        <v>15</v>
      </c>
      <c r="P1126" s="768">
        <v>15</v>
      </c>
      <c r="Q1126" s="768">
        <v>15</v>
      </c>
      <c r="R1126" s="768">
        <v>15</v>
      </c>
    </row>
    <row r="1127" spans="2:18" ht="15" customHeight="1" x14ac:dyDescent="0.2">
      <c r="B1127" s="809"/>
      <c r="C1127" s="809" t="s">
        <v>726</v>
      </c>
      <c r="D1127" s="809"/>
      <c r="E1127" s="687" t="s">
        <v>1653</v>
      </c>
      <c r="F1127" s="901">
        <v>10000</v>
      </c>
      <c r="G1127" s="901">
        <v>2000</v>
      </c>
      <c r="H1127" s="901"/>
      <c r="I1127" s="901">
        <v>3000</v>
      </c>
      <c r="J1127" s="901">
        <f>I1127*5%+3000</f>
        <v>3150</v>
      </c>
      <c r="K1127" s="1727" t="s">
        <v>1686</v>
      </c>
      <c r="L1127" s="1727"/>
      <c r="M1127" s="688" t="s">
        <v>513</v>
      </c>
      <c r="N1127" s="768" t="s">
        <v>1654</v>
      </c>
      <c r="O1127" s="768" t="s">
        <v>1654</v>
      </c>
      <c r="P1127" s="768" t="s">
        <v>1654</v>
      </c>
      <c r="Q1127" s="768" t="s">
        <v>1654</v>
      </c>
      <c r="R1127" s="768" t="s">
        <v>1654</v>
      </c>
    </row>
    <row r="1128" spans="2:18" ht="89.25" customHeight="1" x14ac:dyDescent="0.2">
      <c r="B1128" s="1153" t="s">
        <v>138</v>
      </c>
      <c r="C1128" s="1153"/>
      <c r="D1128" s="1153"/>
      <c r="E1128" s="534" t="s">
        <v>2801</v>
      </c>
      <c r="F1128" s="902">
        <f t="shared" ref="F1128:J1128" si="48">F1129+F1131+F1138+F1143+F1146+F1150</f>
        <v>146283.5</v>
      </c>
      <c r="G1128" s="902">
        <f t="shared" si="48"/>
        <v>143983.5</v>
      </c>
      <c r="H1128" s="902">
        <f>H1129+H1131+H1138+H1143+H1146</f>
        <v>85576.4</v>
      </c>
      <c r="I1128" s="902">
        <f t="shared" si="48"/>
        <v>144818.9</v>
      </c>
      <c r="J1128" s="902">
        <f t="shared" si="48"/>
        <v>152059.845</v>
      </c>
      <c r="K1128" s="1731" t="s">
        <v>1655</v>
      </c>
      <c r="L1128" s="1731"/>
      <c r="M1128" s="736" t="s">
        <v>736</v>
      </c>
      <c r="N1128" s="311">
        <v>99</v>
      </c>
      <c r="O1128" s="311">
        <v>71</v>
      </c>
      <c r="P1128" s="311">
        <v>71</v>
      </c>
      <c r="Q1128" s="311">
        <v>71</v>
      </c>
      <c r="R1128" s="311">
        <v>71</v>
      </c>
    </row>
    <row r="1129" spans="2:18" ht="49.5" customHeight="1" x14ac:dyDescent="0.2">
      <c r="B1129" s="1726"/>
      <c r="C1129" s="1726" t="s">
        <v>123</v>
      </c>
      <c r="D1129" s="1726"/>
      <c r="E1129" s="1764" t="s">
        <v>1656</v>
      </c>
      <c r="F1129" s="1661">
        <v>2078.8000000000002</v>
      </c>
      <c r="G1129" s="1661">
        <v>2278.8000000000002</v>
      </c>
      <c r="H1129" s="1661">
        <v>2478.8000000000002</v>
      </c>
      <c r="I1129" s="1661">
        <v>2978.8</v>
      </c>
      <c r="J1129" s="1661">
        <f>I1129*5%+2978.8</f>
        <v>3127.7400000000002</v>
      </c>
      <c r="K1129" s="1727" t="s">
        <v>1657</v>
      </c>
      <c r="L1129" s="1727"/>
      <c r="M1129" s="688" t="s">
        <v>513</v>
      </c>
      <c r="N1129" s="768">
        <v>3</v>
      </c>
      <c r="O1129" s="768">
        <v>3</v>
      </c>
      <c r="P1129" s="768">
        <v>3</v>
      </c>
      <c r="Q1129" s="768">
        <v>3</v>
      </c>
      <c r="R1129" s="768">
        <v>3</v>
      </c>
    </row>
    <row r="1130" spans="2:18" ht="75" customHeight="1" x14ac:dyDescent="0.2">
      <c r="B1130" s="1726"/>
      <c r="C1130" s="1726"/>
      <c r="D1130" s="1726"/>
      <c r="E1130" s="1764"/>
      <c r="F1130" s="1661"/>
      <c r="G1130" s="1661"/>
      <c r="H1130" s="1661"/>
      <c r="I1130" s="1661"/>
      <c r="J1130" s="1661"/>
      <c r="K1130" s="1727" t="s">
        <v>1658</v>
      </c>
      <c r="L1130" s="1727"/>
      <c r="M1130" s="688" t="s">
        <v>31</v>
      </c>
      <c r="N1130" s="768">
        <v>15</v>
      </c>
      <c r="O1130" s="768">
        <v>15</v>
      </c>
      <c r="P1130" s="768">
        <v>15</v>
      </c>
      <c r="Q1130" s="768">
        <v>15</v>
      </c>
      <c r="R1130" s="768">
        <v>15</v>
      </c>
    </row>
    <row r="1131" spans="2:18" ht="45" customHeight="1" x14ac:dyDescent="0.2">
      <c r="B1131" s="1726"/>
      <c r="C1131" s="1726" t="s">
        <v>125</v>
      </c>
      <c r="D1131" s="1726"/>
      <c r="E1131" s="1764" t="s">
        <v>1659</v>
      </c>
      <c r="F1131" s="1661">
        <v>4306.1000000000004</v>
      </c>
      <c r="G1131" s="1661">
        <v>4306.1000000000004</v>
      </c>
      <c r="H1131" s="1661">
        <v>4306.1000000000004</v>
      </c>
      <c r="I1131" s="1661">
        <v>4306.1000000000004</v>
      </c>
      <c r="J1131" s="1661">
        <f>I1131*5%+4306.1</f>
        <v>4521.4050000000007</v>
      </c>
      <c r="K1131" s="1727" t="s">
        <v>1660</v>
      </c>
      <c r="L1131" s="1727"/>
      <c r="M1131" s="688" t="s">
        <v>31</v>
      </c>
      <c r="N1131" s="768" t="s">
        <v>1661</v>
      </c>
      <c r="O1131" s="768" t="s">
        <v>1661</v>
      </c>
      <c r="P1131" s="768" t="s">
        <v>1661</v>
      </c>
      <c r="Q1131" s="768" t="s">
        <v>1661</v>
      </c>
      <c r="R1131" s="768" t="s">
        <v>1661</v>
      </c>
    </row>
    <row r="1132" spans="2:18" ht="60" customHeight="1" x14ac:dyDescent="0.2">
      <c r="B1132" s="1726"/>
      <c r="C1132" s="1726"/>
      <c r="D1132" s="1726"/>
      <c r="E1132" s="1764"/>
      <c r="F1132" s="1661"/>
      <c r="G1132" s="1661"/>
      <c r="H1132" s="1661"/>
      <c r="I1132" s="1661"/>
      <c r="J1132" s="1661"/>
      <c r="K1132" s="1727" t="s">
        <v>1662</v>
      </c>
      <c r="L1132" s="1727"/>
      <c r="M1132" s="688" t="s">
        <v>31</v>
      </c>
      <c r="N1132" s="768" t="s">
        <v>1663</v>
      </c>
      <c r="O1132" s="768" t="s">
        <v>1663</v>
      </c>
      <c r="P1132" s="768" t="s">
        <v>1663</v>
      </c>
      <c r="Q1132" s="768" t="s">
        <v>1663</v>
      </c>
      <c r="R1132" s="768" t="s">
        <v>1663</v>
      </c>
    </row>
    <row r="1133" spans="2:18" ht="60" customHeight="1" x14ac:dyDescent="0.2">
      <c r="B1133" s="1726"/>
      <c r="C1133" s="1726"/>
      <c r="D1133" s="1726"/>
      <c r="E1133" s="1764"/>
      <c r="F1133" s="1661"/>
      <c r="G1133" s="1661"/>
      <c r="H1133" s="1661"/>
      <c r="I1133" s="1661"/>
      <c r="J1133" s="1661"/>
      <c r="K1133" s="1727" t="s">
        <v>1664</v>
      </c>
      <c r="L1133" s="1727"/>
      <c r="M1133" s="688" t="s">
        <v>31</v>
      </c>
      <c r="N1133" s="768" t="s">
        <v>1663</v>
      </c>
      <c r="O1133" s="768" t="s">
        <v>1663</v>
      </c>
      <c r="P1133" s="768" t="s">
        <v>1663</v>
      </c>
      <c r="Q1133" s="768" t="s">
        <v>1663</v>
      </c>
      <c r="R1133" s="768" t="s">
        <v>1663</v>
      </c>
    </row>
    <row r="1134" spans="2:18" ht="60" customHeight="1" x14ac:dyDescent="0.2">
      <c r="B1134" s="1726"/>
      <c r="C1134" s="1726"/>
      <c r="D1134" s="1726"/>
      <c r="E1134" s="1764"/>
      <c r="F1134" s="1661"/>
      <c r="G1134" s="1661"/>
      <c r="H1134" s="1661"/>
      <c r="I1134" s="1661"/>
      <c r="J1134" s="1661"/>
      <c r="K1134" s="1727" t="s">
        <v>1665</v>
      </c>
      <c r="L1134" s="1727"/>
      <c r="M1134" s="688" t="s">
        <v>31</v>
      </c>
      <c r="N1134" s="768" t="s">
        <v>1663</v>
      </c>
      <c r="O1134" s="768" t="s">
        <v>1663</v>
      </c>
      <c r="P1134" s="768" t="s">
        <v>1663</v>
      </c>
      <c r="Q1134" s="768" t="s">
        <v>1663</v>
      </c>
      <c r="R1134" s="768" t="s">
        <v>1663</v>
      </c>
    </row>
    <row r="1135" spans="2:18" ht="60" customHeight="1" x14ac:dyDescent="0.2">
      <c r="B1135" s="1726"/>
      <c r="C1135" s="1726"/>
      <c r="D1135" s="1726"/>
      <c r="E1135" s="1764"/>
      <c r="F1135" s="1661"/>
      <c r="G1135" s="1661"/>
      <c r="H1135" s="1661"/>
      <c r="I1135" s="1661"/>
      <c r="J1135" s="1661"/>
      <c r="K1135" s="1727" t="s">
        <v>1666</v>
      </c>
      <c r="L1135" s="1727"/>
      <c r="M1135" s="688" t="s">
        <v>31</v>
      </c>
      <c r="N1135" s="768" t="s">
        <v>1663</v>
      </c>
      <c r="O1135" s="768" t="s">
        <v>1663</v>
      </c>
      <c r="P1135" s="768" t="s">
        <v>1663</v>
      </c>
      <c r="Q1135" s="768" t="s">
        <v>1663</v>
      </c>
      <c r="R1135" s="768" t="s">
        <v>1663</v>
      </c>
    </row>
    <row r="1136" spans="2:18" ht="60" customHeight="1" x14ac:dyDescent="0.2">
      <c r="B1136" s="1726"/>
      <c r="C1136" s="1726"/>
      <c r="D1136" s="1726"/>
      <c r="E1136" s="1764"/>
      <c r="F1136" s="1661"/>
      <c r="G1136" s="1661"/>
      <c r="H1136" s="1661"/>
      <c r="I1136" s="1661"/>
      <c r="J1136" s="1661"/>
      <c r="K1136" s="1727" t="s">
        <v>1667</v>
      </c>
      <c r="L1136" s="1727"/>
      <c r="M1136" s="688"/>
      <c r="N1136" s="768" t="s">
        <v>1663</v>
      </c>
      <c r="O1136" s="768" t="s">
        <v>1663</v>
      </c>
      <c r="P1136" s="768" t="s">
        <v>1663</v>
      </c>
      <c r="Q1136" s="768" t="s">
        <v>1663</v>
      </c>
      <c r="R1136" s="768" t="s">
        <v>1663</v>
      </c>
    </row>
    <row r="1137" spans="2:18" ht="60" customHeight="1" x14ac:dyDescent="0.2">
      <c r="B1137" s="1726"/>
      <c r="C1137" s="1726"/>
      <c r="D1137" s="1726"/>
      <c r="E1137" s="1764"/>
      <c r="F1137" s="1661"/>
      <c r="G1137" s="1661"/>
      <c r="H1137" s="1661"/>
      <c r="I1137" s="1661"/>
      <c r="J1137" s="1661"/>
      <c r="K1137" s="1727" t="s">
        <v>1668</v>
      </c>
      <c r="L1137" s="1727"/>
      <c r="M1137" s="688"/>
      <c r="N1137" s="768" t="s">
        <v>1663</v>
      </c>
      <c r="O1137" s="768" t="s">
        <v>1663</v>
      </c>
      <c r="P1137" s="768" t="s">
        <v>1663</v>
      </c>
      <c r="Q1137" s="768" t="s">
        <v>1663</v>
      </c>
      <c r="R1137" s="768" t="s">
        <v>1663</v>
      </c>
    </row>
    <row r="1138" spans="2:18" ht="48" customHeight="1" x14ac:dyDescent="0.2">
      <c r="B1138" s="1726"/>
      <c r="C1138" s="1726" t="s">
        <v>127</v>
      </c>
      <c r="D1138" s="1726"/>
      <c r="E1138" s="1764" t="s">
        <v>1669</v>
      </c>
      <c r="F1138" s="1661">
        <v>78161.8</v>
      </c>
      <c r="G1138" s="1661">
        <v>78161.8</v>
      </c>
      <c r="H1138" s="1661">
        <f>68161.8+669.7</f>
        <v>68831.5</v>
      </c>
      <c r="I1138" s="1661">
        <v>78161.8</v>
      </c>
      <c r="J1138" s="1661">
        <f>I1138*5%+78161.8</f>
        <v>82069.89</v>
      </c>
      <c r="K1138" s="1727" t="s">
        <v>1670</v>
      </c>
      <c r="L1138" s="1727"/>
      <c r="M1138" s="1154" t="s">
        <v>31</v>
      </c>
      <c r="N1138" s="768" t="s">
        <v>1654</v>
      </c>
      <c r="O1138" s="768" t="s">
        <v>1654</v>
      </c>
      <c r="P1138" s="768" t="s">
        <v>1654</v>
      </c>
      <c r="Q1138" s="768" t="s">
        <v>1654</v>
      </c>
      <c r="R1138" s="768" t="s">
        <v>1654</v>
      </c>
    </row>
    <row r="1139" spans="2:18" ht="37.5" customHeight="1" x14ac:dyDescent="0.2">
      <c r="B1139" s="1726"/>
      <c r="C1139" s="1726"/>
      <c r="D1139" s="1726"/>
      <c r="E1139" s="1764"/>
      <c r="F1139" s="1661"/>
      <c r="G1139" s="1661"/>
      <c r="H1139" s="1661"/>
      <c r="I1139" s="1661"/>
      <c r="J1139" s="1661"/>
      <c r="K1139" s="1727" t="s">
        <v>1671</v>
      </c>
      <c r="L1139" s="1727"/>
      <c r="M1139" s="1154" t="s">
        <v>31</v>
      </c>
      <c r="N1139" s="768" t="s">
        <v>1654</v>
      </c>
      <c r="O1139" s="768" t="s">
        <v>1654</v>
      </c>
      <c r="P1139" s="768" t="s">
        <v>1654</v>
      </c>
      <c r="Q1139" s="768" t="s">
        <v>1654</v>
      </c>
      <c r="R1139" s="768" t="s">
        <v>1654</v>
      </c>
    </row>
    <row r="1140" spans="2:18" ht="30" customHeight="1" x14ac:dyDescent="0.2">
      <c r="B1140" s="1726"/>
      <c r="C1140" s="1726"/>
      <c r="D1140" s="1726"/>
      <c r="E1140" s="1764"/>
      <c r="F1140" s="1661"/>
      <c r="G1140" s="1661"/>
      <c r="H1140" s="1661"/>
      <c r="I1140" s="1661"/>
      <c r="J1140" s="1661"/>
      <c r="K1140" s="1727" t="s">
        <v>1672</v>
      </c>
      <c r="L1140" s="1727"/>
      <c r="M1140" s="519" t="s">
        <v>513</v>
      </c>
      <c r="N1140" s="768" t="s">
        <v>1654</v>
      </c>
      <c r="O1140" s="768" t="s">
        <v>1654</v>
      </c>
      <c r="P1140" s="768" t="s">
        <v>1654</v>
      </c>
      <c r="Q1140" s="768" t="s">
        <v>1654</v>
      </c>
      <c r="R1140" s="768" t="s">
        <v>1654</v>
      </c>
    </row>
    <row r="1141" spans="2:18" ht="30" customHeight="1" x14ac:dyDescent="0.2">
      <c r="B1141" s="1726"/>
      <c r="C1141" s="1726"/>
      <c r="D1141" s="1726"/>
      <c r="E1141" s="1764"/>
      <c r="F1141" s="1661"/>
      <c r="G1141" s="1661"/>
      <c r="H1141" s="1661"/>
      <c r="I1141" s="1661"/>
      <c r="J1141" s="1661"/>
      <c r="K1141" s="1727" t="s">
        <v>1673</v>
      </c>
      <c r="L1141" s="1727"/>
      <c r="M1141" s="688" t="s">
        <v>31</v>
      </c>
      <c r="N1141" s="768">
        <v>17</v>
      </c>
      <c r="O1141" s="768">
        <v>17</v>
      </c>
      <c r="P1141" s="768">
        <v>17</v>
      </c>
      <c r="Q1141" s="768">
        <v>17</v>
      </c>
      <c r="R1141" s="768">
        <v>17</v>
      </c>
    </row>
    <row r="1142" spans="2:18" ht="15" customHeight="1" x14ac:dyDescent="0.2">
      <c r="B1142" s="1726"/>
      <c r="C1142" s="1726"/>
      <c r="D1142" s="1726"/>
      <c r="E1142" s="1764"/>
      <c r="F1142" s="1661"/>
      <c r="G1142" s="1661"/>
      <c r="H1142" s="1661"/>
      <c r="I1142" s="1661"/>
      <c r="J1142" s="1661"/>
      <c r="K1142" s="1727" t="s">
        <v>1674</v>
      </c>
      <c r="L1142" s="1727"/>
      <c r="M1142" s="688" t="s">
        <v>31</v>
      </c>
      <c r="N1142" s="768">
        <v>45</v>
      </c>
      <c r="O1142" s="768">
        <v>61</v>
      </c>
      <c r="P1142" s="768">
        <v>61</v>
      </c>
      <c r="Q1142" s="768">
        <v>61</v>
      </c>
      <c r="R1142" s="768">
        <v>61</v>
      </c>
    </row>
    <row r="1143" spans="2:18" ht="40.5" customHeight="1" x14ac:dyDescent="0.2">
      <c r="B1143" s="1726"/>
      <c r="C1143" s="1726" t="s">
        <v>132</v>
      </c>
      <c r="D1143" s="1726"/>
      <c r="E1143" s="1764" t="s">
        <v>1675</v>
      </c>
      <c r="F1143" s="1661">
        <v>7324.6</v>
      </c>
      <c r="G1143" s="1661">
        <v>7824.6</v>
      </c>
      <c r="H1143" s="1661">
        <v>7960</v>
      </c>
      <c r="I1143" s="1661">
        <v>7960</v>
      </c>
      <c r="J1143" s="1661">
        <f>I1143*5%+7960</f>
        <v>8358</v>
      </c>
      <c r="K1143" s="1727" t="s">
        <v>1676</v>
      </c>
      <c r="L1143" s="1727"/>
      <c r="M1143" s="688" t="s">
        <v>93</v>
      </c>
      <c r="N1143" s="768">
        <v>1</v>
      </c>
      <c r="O1143" s="768">
        <v>1</v>
      </c>
      <c r="P1143" s="768">
        <v>1</v>
      </c>
      <c r="Q1143" s="768">
        <v>1</v>
      </c>
      <c r="R1143" s="768">
        <v>1</v>
      </c>
    </row>
    <row r="1144" spans="2:18" ht="32.25" customHeight="1" x14ac:dyDescent="0.2">
      <c r="B1144" s="1726"/>
      <c r="C1144" s="1726"/>
      <c r="D1144" s="1726"/>
      <c r="E1144" s="1764"/>
      <c r="F1144" s="1661"/>
      <c r="G1144" s="1661"/>
      <c r="H1144" s="1661"/>
      <c r="I1144" s="1661"/>
      <c r="J1144" s="1661"/>
      <c r="K1144" s="1727" t="s">
        <v>1677</v>
      </c>
      <c r="L1144" s="1727"/>
      <c r="M1144" s="688" t="s">
        <v>93</v>
      </c>
      <c r="N1144" s="768">
        <v>2</v>
      </c>
      <c r="O1144" s="768">
        <v>2</v>
      </c>
      <c r="P1144" s="768">
        <v>2</v>
      </c>
      <c r="Q1144" s="768">
        <v>2</v>
      </c>
      <c r="R1144" s="768">
        <v>2</v>
      </c>
    </row>
    <row r="1145" spans="2:18" ht="38.25" customHeight="1" x14ac:dyDescent="0.2">
      <c r="B1145" s="1726"/>
      <c r="C1145" s="1726"/>
      <c r="D1145" s="1726"/>
      <c r="E1145" s="1764"/>
      <c r="F1145" s="1661"/>
      <c r="G1145" s="1661"/>
      <c r="H1145" s="1661"/>
      <c r="I1145" s="1661"/>
      <c r="J1145" s="1661"/>
      <c r="K1145" s="1727" t="s">
        <v>1678</v>
      </c>
      <c r="L1145" s="1727"/>
      <c r="M1145" s="688" t="s">
        <v>93</v>
      </c>
      <c r="N1145" s="768">
        <v>3</v>
      </c>
      <c r="O1145" s="768">
        <v>3</v>
      </c>
      <c r="P1145" s="768">
        <v>3</v>
      </c>
      <c r="Q1145" s="768">
        <v>3</v>
      </c>
      <c r="R1145" s="768">
        <v>3</v>
      </c>
    </row>
    <row r="1146" spans="2:18" ht="42.75" customHeight="1" x14ac:dyDescent="0.2">
      <c r="B1146" s="1726"/>
      <c r="C1146" s="1726" t="s">
        <v>74</v>
      </c>
      <c r="D1146" s="1726"/>
      <c r="E1146" s="1764" t="s">
        <v>1679</v>
      </c>
      <c r="F1146" s="1661">
        <v>5000</v>
      </c>
      <c r="G1146" s="1661">
        <v>2000</v>
      </c>
      <c r="H1146" s="1661">
        <v>2000</v>
      </c>
      <c r="I1146" s="1661">
        <v>2000</v>
      </c>
      <c r="J1146" s="1661">
        <f>I1146*5%+2000</f>
        <v>2100</v>
      </c>
      <c r="K1146" s="1727" t="s">
        <v>1680</v>
      </c>
      <c r="L1146" s="1727"/>
      <c r="M1146" s="688" t="s">
        <v>93</v>
      </c>
      <c r="N1146" s="768">
        <v>100</v>
      </c>
      <c r="O1146" s="768">
        <v>100</v>
      </c>
      <c r="P1146" s="768">
        <v>100</v>
      </c>
      <c r="Q1146" s="768">
        <v>100</v>
      </c>
      <c r="R1146" s="768">
        <v>100</v>
      </c>
    </row>
    <row r="1147" spans="2:18" ht="33" customHeight="1" x14ac:dyDescent="0.2">
      <c r="B1147" s="1726"/>
      <c r="C1147" s="1726"/>
      <c r="D1147" s="1726"/>
      <c r="E1147" s="1764"/>
      <c r="F1147" s="1661"/>
      <c r="G1147" s="1661"/>
      <c r="H1147" s="1661"/>
      <c r="I1147" s="1661"/>
      <c r="J1147" s="1661"/>
      <c r="K1147" s="1727" t="s">
        <v>1681</v>
      </c>
      <c r="L1147" s="1727"/>
      <c r="M1147" s="688" t="s">
        <v>93</v>
      </c>
      <c r="N1147" s="768">
        <v>5</v>
      </c>
      <c r="O1147" s="768">
        <v>5</v>
      </c>
      <c r="P1147" s="768">
        <v>5</v>
      </c>
      <c r="Q1147" s="768">
        <v>5</v>
      </c>
      <c r="R1147" s="768">
        <v>5</v>
      </c>
    </row>
    <row r="1148" spans="2:18" ht="15" customHeight="1" x14ac:dyDescent="0.2">
      <c r="B1148" s="1726"/>
      <c r="C1148" s="1726"/>
      <c r="D1148" s="1726"/>
      <c r="E1148" s="1764"/>
      <c r="F1148" s="1661"/>
      <c r="G1148" s="1661"/>
      <c r="H1148" s="1661"/>
      <c r="I1148" s="1661"/>
      <c r="J1148" s="1661"/>
      <c r="K1148" s="1727" t="s">
        <v>1682</v>
      </c>
      <c r="L1148" s="1727"/>
      <c r="M1148" s="688" t="s">
        <v>1683</v>
      </c>
      <c r="N1148" s="768">
        <v>33</v>
      </c>
      <c r="O1148" s="768">
        <v>33</v>
      </c>
      <c r="P1148" s="768">
        <v>33</v>
      </c>
      <c r="Q1148" s="768">
        <v>33</v>
      </c>
      <c r="R1148" s="768">
        <v>33</v>
      </c>
    </row>
    <row r="1149" spans="2:18" ht="15" customHeight="1" x14ac:dyDescent="0.2">
      <c r="B1149" s="1726"/>
      <c r="C1149" s="1726"/>
      <c r="D1149" s="1726"/>
      <c r="E1149" s="1764"/>
      <c r="F1149" s="1661"/>
      <c r="G1149" s="1661"/>
      <c r="H1149" s="1661"/>
      <c r="I1149" s="1661"/>
      <c r="J1149" s="1661"/>
      <c r="K1149" s="1727" t="s">
        <v>1684</v>
      </c>
      <c r="L1149" s="1727"/>
      <c r="M1149" s="688" t="s">
        <v>1685</v>
      </c>
      <c r="N1149" s="768">
        <v>30</v>
      </c>
      <c r="O1149" s="768">
        <v>30</v>
      </c>
      <c r="P1149" s="768">
        <v>30</v>
      </c>
      <c r="Q1149" s="768">
        <v>30</v>
      </c>
      <c r="R1149" s="768">
        <v>30</v>
      </c>
    </row>
    <row r="1150" spans="2:18" ht="40.5" customHeight="1" x14ac:dyDescent="0.2">
      <c r="B1150" s="809"/>
      <c r="C1150" s="809" t="s">
        <v>197</v>
      </c>
      <c r="D1150" s="809"/>
      <c r="E1150" s="687" t="s">
        <v>1653</v>
      </c>
      <c r="F1150" s="901">
        <v>49412.2</v>
      </c>
      <c r="G1150" s="901">
        <v>49412.2</v>
      </c>
      <c r="H1150" s="901"/>
      <c r="I1150" s="901">
        <v>49412.2</v>
      </c>
      <c r="J1150" s="901">
        <f>I1150*5%+49412.2</f>
        <v>51882.81</v>
      </c>
      <c r="K1150" s="1727" t="s">
        <v>1686</v>
      </c>
      <c r="L1150" s="1727"/>
      <c r="M1150" s="688" t="s">
        <v>513</v>
      </c>
      <c r="N1150" s="768" t="s">
        <v>1654</v>
      </c>
      <c r="O1150" s="768" t="s">
        <v>1654</v>
      </c>
      <c r="P1150" s="768" t="s">
        <v>1654</v>
      </c>
      <c r="Q1150" s="768" t="s">
        <v>1654</v>
      </c>
      <c r="R1150" s="768" t="s">
        <v>1654</v>
      </c>
    </row>
    <row r="1151" spans="2:18" ht="72" customHeight="1" x14ac:dyDescent="0.2">
      <c r="B1151" s="1153" t="s">
        <v>161</v>
      </c>
      <c r="C1151" s="1153"/>
      <c r="D1151" s="809"/>
      <c r="E1151" s="534" t="s">
        <v>2802</v>
      </c>
      <c r="F1151" s="902">
        <f t="shared" ref="F1151:J1151" si="49">F1152+F1154+F1155+F1158+F1159+F1161+F1162+F1163</f>
        <v>332568.5</v>
      </c>
      <c r="G1151" s="902">
        <f t="shared" si="49"/>
        <v>304868.5</v>
      </c>
      <c r="H1151" s="902">
        <f>H1152+H1154+H1155+H1158+H1159+H1161+H1162</f>
        <v>249774.89999999997</v>
      </c>
      <c r="I1151" s="902">
        <f t="shared" si="49"/>
        <v>310892.49999999994</v>
      </c>
      <c r="J1151" s="902">
        <f t="shared" si="49"/>
        <v>326437.125</v>
      </c>
      <c r="K1151" s="1727" t="s">
        <v>1687</v>
      </c>
      <c r="L1151" s="1727"/>
      <c r="M1151" s="736" t="s">
        <v>1244</v>
      </c>
      <c r="N1151" s="311">
        <v>768637</v>
      </c>
      <c r="O1151" s="311">
        <v>768637</v>
      </c>
      <c r="P1151" s="311">
        <v>768637</v>
      </c>
      <c r="Q1151" s="311">
        <v>768637</v>
      </c>
      <c r="R1151" s="311">
        <v>768637</v>
      </c>
    </row>
    <row r="1152" spans="2:18" ht="34.5" customHeight="1" x14ac:dyDescent="0.2">
      <c r="B1152" s="1726"/>
      <c r="C1152" s="1726" t="s">
        <v>123</v>
      </c>
      <c r="D1152" s="1726"/>
      <c r="E1152" s="1764" t="s">
        <v>1688</v>
      </c>
      <c r="F1152" s="1661">
        <v>185550</v>
      </c>
      <c r="G1152" s="1661">
        <v>187392.4</v>
      </c>
      <c r="H1152" s="1661">
        <f>177392.4+226.5</f>
        <v>177618.9</v>
      </c>
      <c r="I1152" s="1661">
        <v>187392.4</v>
      </c>
      <c r="J1152" s="1661">
        <f>I1152*5%+187392.4</f>
        <v>196762.02</v>
      </c>
      <c r="K1152" s="1727" t="s">
        <v>1689</v>
      </c>
      <c r="L1152" s="1727"/>
      <c r="M1152" s="688" t="s">
        <v>1244</v>
      </c>
      <c r="N1152" s="768">
        <v>2546323</v>
      </c>
      <c r="O1152" s="768">
        <v>2546323</v>
      </c>
      <c r="P1152" s="768">
        <v>2546323</v>
      </c>
      <c r="Q1152" s="768">
        <v>2546323</v>
      </c>
      <c r="R1152" s="768">
        <v>2546323</v>
      </c>
    </row>
    <row r="1153" spans="2:18" ht="32.25" customHeight="1" x14ac:dyDescent="0.2">
      <c r="B1153" s="1726"/>
      <c r="C1153" s="1726"/>
      <c r="D1153" s="1726"/>
      <c r="E1153" s="1764"/>
      <c r="F1153" s="1661"/>
      <c r="G1153" s="1661"/>
      <c r="H1153" s="1661"/>
      <c r="I1153" s="1661"/>
      <c r="J1153" s="1661"/>
      <c r="K1153" s="1727" t="s">
        <v>1690</v>
      </c>
      <c r="L1153" s="1727"/>
      <c r="M1153" s="688" t="s">
        <v>17</v>
      </c>
      <c r="N1153" s="768">
        <v>100</v>
      </c>
      <c r="O1153" s="768">
        <v>100</v>
      </c>
      <c r="P1153" s="768">
        <v>100</v>
      </c>
      <c r="Q1153" s="768">
        <v>100</v>
      </c>
      <c r="R1153" s="768">
        <v>100</v>
      </c>
    </row>
    <row r="1154" spans="2:18" ht="30" customHeight="1" x14ac:dyDescent="0.2">
      <c r="B1154" s="809"/>
      <c r="C1154" s="809" t="s">
        <v>125</v>
      </c>
      <c r="D1154" s="809"/>
      <c r="E1154" s="687" t="s">
        <v>1691</v>
      </c>
      <c r="F1154" s="901">
        <v>2806.5</v>
      </c>
      <c r="G1154" s="901">
        <v>2833.8</v>
      </c>
      <c r="H1154" s="901">
        <v>2833.8</v>
      </c>
      <c r="I1154" s="901">
        <v>2833.8</v>
      </c>
      <c r="J1154" s="901">
        <f>I1154*5%+2833.8</f>
        <v>2975.4900000000002</v>
      </c>
      <c r="K1154" s="1727" t="s">
        <v>1692</v>
      </c>
      <c r="L1154" s="1727"/>
      <c r="M1154" s="688" t="s">
        <v>17</v>
      </c>
      <c r="N1154" s="768">
        <v>100</v>
      </c>
      <c r="O1154" s="768">
        <v>100</v>
      </c>
      <c r="P1154" s="768">
        <v>100</v>
      </c>
      <c r="Q1154" s="768">
        <v>100</v>
      </c>
      <c r="R1154" s="768">
        <v>100</v>
      </c>
    </row>
    <row r="1155" spans="2:18" ht="30.75" customHeight="1" x14ac:dyDescent="0.2">
      <c r="B1155" s="1726"/>
      <c r="C1155" s="1726" t="s">
        <v>127</v>
      </c>
      <c r="D1155" s="1726"/>
      <c r="E1155" s="1764" t="s">
        <v>1693</v>
      </c>
      <c r="F1155" s="1661">
        <v>70289.2</v>
      </c>
      <c r="G1155" s="1661">
        <f>30183.8+225.6</f>
        <v>30409.399999999998</v>
      </c>
      <c r="H1155" s="1661">
        <v>30183.8</v>
      </c>
      <c r="I1155" s="1661">
        <v>30183.8</v>
      </c>
      <c r="J1155" s="1661">
        <f>I1155*5%+30183.8</f>
        <v>31692.989999999998</v>
      </c>
      <c r="K1155" s="1727" t="s">
        <v>1694</v>
      </c>
      <c r="L1155" s="1727"/>
      <c r="M1155" s="688" t="s">
        <v>17</v>
      </c>
      <c r="N1155" s="768">
        <v>61</v>
      </c>
      <c r="O1155" s="768">
        <v>62</v>
      </c>
      <c r="P1155" s="768">
        <v>62</v>
      </c>
      <c r="Q1155" s="768">
        <v>62</v>
      </c>
      <c r="R1155" s="768">
        <v>62</v>
      </c>
    </row>
    <row r="1156" spans="2:18" ht="48" customHeight="1" x14ac:dyDescent="0.2">
      <c r="B1156" s="1726"/>
      <c r="C1156" s="1726"/>
      <c r="D1156" s="1726"/>
      <c r="E1156" s="1764"/>
      <c r="F1156" s="1661"/>
      <c r="G1156" s="1661"/>
      <c r="H1156" s="1661"/>
      <c r="I1156" s="1661"/>
      <c r="J1156" s="1661"/>
      <c r="K1156" s="1727" t="s">
        <v>1695</v>
      </c>
      <c r="L1156" s="1727"/>
      <c r="M1156" s="688" t="s">
        <v>1244</v>
      </c>
      <c r="N1156" s="768">
        <v>1120</v>
      </c>
      <c r="O1156" s="768">
        <v>1130</v>
      </c>
      <c r="P1156" s="768">
        <v>1130</v>
      </c>
      <c r="Q1156" s="768">
        <v>1130</v>
      </c>
      <c r="R1156" s="768">
        <v>1130</v>
      </c>
    </row>
    <row r="1157" spans="2:18" ht="15" customHeight="1" x14ac:dyDescent="0.2">
      <c r="B1157" s="1726"/>
      <c r="C1157" s="1726"/>
      <c r="D1157" s="1726"/>
      <c r="E1157" s="1764"/>
      <c r="F1157" s="1661"/>
      <c r="G1157" s="1661"/>
      <c r="H1157" s="1661"/>
      <c r="I1157" s="1661"/>
      <c r="J1157" s="1661"/>
      <c r="K1157" s="1727" t="s">
        <v>1696</v>
      </c>
      <c r="L1157" s="1727"/>
      <c r="M1157" s="688" t="s">
        <v>1178</v>
      </c>
      <c r="N1157" s="768">
        <v>13</v>
      </c>
      <c r="O1157" s="768">
        <v>13</v>
      </c>
      <c r="P1157" s="768">
        <v>13</v>
      </c>
      <c r="Q1157" s="768">
        <v>13</v>
      </c>
      <c r="R1157" s="768">
        <v>13</v>
      </c>
    </row>
    <row r="1158" spans="2:18" ht="32.25" customHeight="1" x14ac:dyDescent="0.2">
      <c r="B1158" s="809"/>
      <c r="C1158" s="809" t="s">
        <v>132</v>
      </c>
      <c r="D1158" s="809"/>
      <c r="E1158" s="687" t="s">
        <v>1697</v>
      </c>
      <c r="F1158" s="901">
        <v>3097.5</v>
      </c>
      <c r="G1158" s="901">
        <v>3185.8</v>
      </c>
      <c r="H1158" s="901">
        <v>3281.3</v>
      </c>
      <c r="I1158" s="901">
        <v>3281.3</v>
      </c>
      <c r="J1158" s="901">
        <f>I1158*5%+3281.3</f>
        <v>3445.3650000000002</v>
      </c>
      <c r="K1158" s="1727" t="s">
        <v>1698</v>
      </c>
      <c r="L1158" s="1727"/>
      <c r="M1158" s="688" t="s">
        <v>1244</v>
      </c>
      <c r="N1158" s="768">
        <v>754</v>
      </c>
      <c r="O1158" s="768">
        <v>754</v>
      </c>
      <c r="P1158" s="768">
        <v>760</v>
      </c>
      <c r="Q1158" s="768">
        <v>760</v>
      </c>
      <c r="R1158" s="768">
        <v>760</v>
      </c>
    </row>
    <row r="1159" spans="2:18" ht="40.5" customHeight="1" x14ac:dyDescent="0.2">
      <c r="B1159" s="1726"/>
      <c r="C1159" s="1726" t="s">
        <v>74</v>
      </c>
      <c r="D1159" s="1726"/>
      <c r="E1159" s="1764" t="s">
        <v>1699</v>
      </c>
      <c r="F1159" s="1661">
        <v>1667.9</v>
      </c>
      <c r="G1159" s="1661">
        <v>1679.7</v>
      </c>
      <c r="H1159" s="1661">
        <v>1730.1</v>
      </c>
      <c r="I1159" s="1661">
        <v>1730.1</v>
      </c>
      <c r="J1159" s="1661">
        <f>I1159*5%+1730.1</f>
        <v>1816.605</v>
      </c>
      <c r="K1159" s="1727" t="s">
        <v>1700</v>
      </c>
      <c r="L1159" s="1727"/>
      <c r="M1159" s="688" t="s">
        <v>1701</v>
      </c>
      <c r="N1159" s="1155">
        <v>5</v>
      </c>
      <c r="O1159" s="1155">
        <v>10</v>
      </c>
      <c r="P1159" s="1155">
        <v>15</v>
      </c>
      <c r="Q1159" s="1155">
        <v>15</v>
      </c>
      <c r="R1159" s="1155">
        <v>15</v>
      </c>
    </row>
    <row r="1160" spans="2:18" ht="15" customHeight="1" x14ac:dyDescent="0.2">
      <c r="B1160" s="1726"/>
      <c r="C1160" s="1726"/>
      <c r="D1160" s="1726"/>
      <c r="E1160" s="1764"/>
      <c r="F1160" s="1661"/>
      <c r="G1160" s="1661"/>
      <c r="H1160" s="1661"/>
      <c r="I1160" s="1661"/>
      <c r="J1160" s="1661"/>
      <c r="K1160" s="1727" t="s">
        <v>1702</v>
      </c>
      <c r="L1160" s="1727"/>
      <c r="M1160" s="688" t="s">
        <v>1701</v>
      </c>
      <c r="N1160" s="768">
        <v>1020</v>
      </c>
      <c r="O1160" s="768">
        <v>1030</v>
      </c>
      <c r="P1160" s="768">
        <v>1040</v>
      </c>
      <c r="Q1160" s="768">
        <v>1040</v>
      </c>
      <c r="R1160" s="768">
        <v>1040</v>
      </c>
    </row>
    <row r="1161" spans="2:18" ht="51.75" customHeight="1" x14ac:dyDescent="0.2">
      <c r="B1161" s="809"/>
      <c r="C1161" s="809" t="s">
        <v>197</v>
      </c>
      <c r="D1161" s="809"/>
      <c r="E1161" s="687" t="s">
        <v>1703</v>
      </c>
      <c r="F1161" s="901">
        <v>2867.3</v>
      </c>
      <c r="G1161" s="901">
        <v>2887.6</v>
      </c>
      <c r="H1161" s="901">
        <v>2974.3</v>
      </c>
      <c r="I1161" s="901">
        <v>2974.3</v>
      </c>
      <c r="J1161" s="901">
        <f>I1161*5%+2974.3</f>
        <v>3123.0150000000003</v>
      </c>
      <c r="K1161" s="1727" t="s">
        <v>1704</v>
      </c>
      <c r="L1161" s="1727"/>
      <c r="M1161" s="688" t="s">
        <v>17</v>
      </c>
      <c r="N1161" s="768">
        <v>0.7</v>
      </c>
      <c r="O1161" s="768">
        <v>0.7</v>
      </c>
      <c r="P1161" s="768">
        <v>0.7</v>
      </c>
      <c r="Q1161" s="768">
        <v>0.7</v>
      </c>
      <c r="R1161" s="768">
        <v>0.7</v>
      </c>
    </row>
    <row r="1162" spans="2:18" ht="67.5" customHeight="1" x14ac:dyDescent="0.2">
      <c r="B1162" s="809"/>
      <c r="C1162" s="809" t="s">
        <v>155</v>
      </c>
      <c r="D1162" s="809"/>
      <c r="E1162" s="687" t="s">
        <v>1705</v>
      </c>
      <c r="F1162" s="901">
        <v>21789.1</v>
      </c>
      <c r="G1162" s="901">
        <v>31479.8</v>
      </c>
      <c r="H1162" s="901">
        <v>31152.7</v>
      </c>
      <c r="I1162" s="901">
        <v>37496.800000000003</v>
      </c>
      <c r="J1162" s="901">
        <f>I1162*5%+37496.8</f>
        <v>39371.64</v>
      </c>
      <c r="K1162" s="1727" t="s">
        <v>1706</v>
      </c>
      <c r="L1162" s="1727"/>
      <c r="M1162" s="688" t="s">
        <v>17</v>
      </c>
      <c r="N1162" s="768">
        <v>29.6</v>
      </c>
      <c r="O1162" s="768">
        <v>29.6</v>
      </c>
      <c r="P1162" s="768">
        <v>29.6</v>
      </c>
      <c r="Q1162" s="768">
        <v>29.6</v>
      </c>
      <c r="R1162" s="768">
        <v>29.6</v>
      </c>
    </row>
    <row r="1163" spans="2:18" ht="15" customHeight="1" x14ac:dyDescent="0.2">
      <c r="B1163" s="809"/>
      <c r="C1163" s="809" t="s">
        <v>158</v>
      </c>
      <c r="D1163" s="809"/>
      <c r="E1163" s="687" t="s">
        <v>1653</v>
      </c>
      <c r="F1163" s="901">
        <v>44501</v>
      </c>
      <c r="G1163" s="901">
        <v>45000</v>
      </c>
      <c r="H1163" s="901"/>
      <c r="I1163" s="901">
        <v>45000</v>
      </c>
      <c r="J1163" s="901">
        <f>I1163*5%+45000</f>
        <v>47250</v>
      </c>
      <c r="K1163" s="1727" t="s">
        <v>1686</v>
      </c>
      <c r="L1163" s="1727"/>
      <c r="M1163" s="688" t="s">
        <v>513</v>
      </c>
      <c r="N1163" s="768" t="s">
        <v>1654</v>
      </c>
      <c r="O1163" s="768" t="s">
        <v>1654</v>
      </c>
      <c r="P1163" s="768" t="s">
        <v>1654</v>
      </c>
      <c r="Q1163" s="768" t="s">
        <v>1654</v>
      </c>
      <c r="R1163" s="768" t="s">
        <v>1654</v>
      </c>
    </row>
    <row r="1164" spans="2:18" ht="117.75" customHeight="1" x14ac:dyDescent="0.2">
      <c r="B1164" s="1153" t="s">
        <v>169</v>
      </c>
      <c r="C1164" s="1153"/>
      <c r="D1164" s="809"/>
      <c r="E1164" s="641" t="s">
        <v>2803</v>
      </c>
      <c r="F1164" s="902">
        <f t="shared" ref="F1164:J1164" si="50">F1165+F1166+F1167+F1171+F1175+F1179</f>
        <v>49000</v>
      </c>
      <c r="G1164" s="902">
        <f t="shared" si="50"/>
        <v>49000</v>
      </c>
      <c r="H1164" s="902">
        <f>H1165+H1166+H1167+H1171+H1175+H1179</f>
        <v>44000</v>
      </c>
      <c r="I1164" s="902">
        <f t="shared" si="50"/>
        <v>49000</v>
      </c>
      <c r="J1164" s="902">
        <f t="shared" si="50"/>
        <v>51450</v>
      </c>
      <c r="K1164" s="1727" t="s">
        <v>1707</v>
      </c>
      <c r="L1164" s="1727"/>
      <c r="M1164" s="736" t="s">
        <v>1235</v>
      </c>
      <c r="N1164" s="1156">
        <v>3665.49</v>
      </c>
      <c r="O1164" s="1156">
        <v>4641.8999999999996</v>
      </c>
      <c r="P1164" s="1156">
        <v>4641.8999999999996</v>
      </c>
      <c r="Q1164" s="1156">
        <v>4641.8999999999996</v>
      </c>
      <c r="R1164" s="1156">
        <v>4641.8999999999996</v>
      </c>
    </row>
    <row r="1165" spans="2:18" ht="62.25" customHeight="1" x14ac:dyDescent="0.2">
      <c r="B1165" s="809"/>
      <c r="C1165" s="809" t="s">
        <v>123</v>
      </c>
      <c r="D1165" s="809"/>
      <c r="E1165" s="673" t="s">
        <v>1708</v>
      </c>
      <c r="F1165" s="901">
        <v>6980</v>
      </c>
      <c r="G1165" s="901">
        <v>6980</v>
      </c>
      <c r="H1165" s="901">
        <v>6980</v>
      </c>
      <c r="I1165" s="901">
        <v>6980</v>
      </c>
      <c r="J1165" s="901">
        <f>I1165*5%+6980</f>
        <v>7329</v>
      </c>
      <c r="K1165" s="1727" t="s">
        <v>1709</v>
      </c>
      <c r="L1165" s="1727"/>
      <c r="M1165" s="736" t="s">
        <v>17</v>
      </c>
      <c r="N1165" s="1157"/>
      <c r="O1165" s="1157"/>
      <c r="P1165" s="1157"/>
      <c r="Q1165" s="1157"/>
      <c r="R1165" s="1157"/>
    </row>
    <row r="1166" spans="2:18" ht="42" customHeight="1" x14ac:dyDescent="0.2">
      <c r="B1166" s="809"/>
      <c r="C1166" s="809" t="s">
        <v>125</v>
      </c>
      <c r="D1166" s="809"/>
      <c r="E1166" s="687" t="s">
        <v>1710</v>
      </c>
      <c r="F1166" s="901">
        <v>10987</v>
      </c>
      <c r="G1166" s="901">
        <v>10987</v>
      </c>
      <c r="H1166" s="901">
        <v>10987</v>
      </c>
      <c r="I1166" s="901">
        <v>10987</v>
      </c>
      <c r="J1166" s="944">
        <f>I1166*5%+10987</f>
        <v>11536.35</v>
      </c>
      <c r="K1166" s="1727" t="s">
        <v>1711</v>
      </c>
      <c r="L1166" s="1727"/>
      <c r="M1166" s="688" t="s">
        <v>1235</v>
      </c>
      <c r="N1166" s="768">
        <v>558.29999999999995</v>
      </c>
      <c r="O1166" s="768">
        <v>1116.5999999999999</v>
      </c>
      <c r="P1166" s="768">
        <v>1116.5999999999999</v>
      </c>
      <c r="Q1166" s="768">
        <v>1116.5999999999999</v>
      </c>
      <c r="R1166" s="768">
        <v>1116.5999999999999</v>
      </c>
    </row>
    <row r="1167" spans="2:18" ht="15" customHeight="1" x14ac:dyDescent="0.2">
      <c r="B1167" s="1726"/>
      <c r="C1167" s="1726" t="s">
        <v>127</v>
      </c>
      <c r="D1167" s="1726"/>
      <c r="E1167" s="1764" t="s">
        <v>1712</v>
      </c>
      <c r="F1167" s="1661">
        <v>13325</v>
      </c>
      <c r="G1167" s="1661">
        <v>13325</v>
      </c>
      <c r="H1167" s="1661">
        <v>13325</v>
      </c>
      <c r="I1167" s="1661">
        <v>13325</v>
      </c>
      <c r="J1167" s="1661">
        <f>I1167*5%+13325</f>
        <v>13991.25</v>
      </c>
      <c r="K1167" s="1727" t="s">
        <v>1713</v>
      </c>
      <c r="L1167" s="1727"/>
      <c r="M1167" s="688" t="s">
        <v>1235</v>
      </c>
      <c r="N1167" s="768">
        <v>308.29000000000002</v>
      </c>
      <c r="O1167" s="768">
        <v>303.3</v>
      </c>
      <c r="P1167" s="768">
        <v>293.8</v>
      </c>
      <c r="Q1167" s="768">
        <v>293.8</v>
      </c>
      <c r="R1167" s="768">
        <v>293.8</v>
      </c>
    </row>
    <row r="1168" spans="2:18" ht="15" customHeight="1" x14ac:dyDescent="0.2">
      <c r="B1168" s="1726"/>
      <c r="C1168" s="1726"/>
      <c r="D1168" s="1726"/>
      <c r="E1168" s="1764"/>
      <c r="F1168" s="1661"/>
      <c r="G1168" s="1661"/>
      <c r="H1168" s="1661"/>
      <c r="I1168" s="1661"/>
      <c r="J1168" s="1661"/>
      <c r="K1168" s="1727" t="s">
        <v>1714</v>
      </c>
      <c r="L1168" s="1727"/>
      <c r="M1168" s="688" t="s">
        <v>1235</v>
      </c>
      <c r="N1168" s="768">
        <v>308.29000000000002</v>
      </c>
      <c r="O1168" s="768">
        <v>303.3</v>
      </c>
      <c r="P1168" s="768">
        <v>293.8</v>
      </c>
      <c r="Q1168" s="768">
        <v>293.8</v>
      </c>
      <c r="R1168" s="768">
        <v>293.8</v>
      </c>
    </row>
    <row r="1169" spans="2:18" ht="15" customHeight="1" x14ac:dyDescent="0.2">
      <c r="B1169" s="1726"/>
      <c r="C1169" s="1726"/>
      <c r="D1169" s="1726"/>
      <c r="E1169" s="1764"/>
      <c r="F1169" s="1661"/>
      <c r="G1169" s="1661"/>
      <c r="H1169" s="1661"/>
      <c r="I1169" s="1661"/>
      <c r="J1169" s="1661"/>
      <c r="K1169" s="1727" t="s">
        <v>1715</v>
      </c>
      <c r="L1169" s="1727"/>
      <c r="M1169" s="688" t="s">
        <v>31</v>
      </c>
      <c r="N1169" s="768">
        <v>1769</v>
      </c>
      <c r="O1169" s="768">
        <v>1689</v>
      </c>
      <c r="P1169" s="768">
        <v>1451</v>
      </c>
      <c r="Q1169" s="768">
        <v>1451</v>
      </c>
      <c r="R1169" s="768">
        <v>1451</v>
      </c>
    </row>
    <row r="1170" spans="2:18" ht="15" customHeight="1" x14ac:dyDescent="0.2">
      <c r="B1170" s="1726"/>
      <c r="C1170" s="1726"/>
      <c r="D1170" s="1726"/>
      <c r="E1170" s="1764"/>
      <c r="F1170" s="1661"/>
      <c r="G1170" s="1661"/>
      <c r="H1170" s="1661"/>
      <c r="I1170" s="1661"/>
      <c r="J1170" s="1661"/>
      <c r="K1170" s="1727" t="s">
        <v>1716</v>
      </c>
      <c r="L1170" s="1727"/>
      <c r="M1170" s="688" t="s">
        <v>31</v>
      </c>
      <c r="N1170" s="768">
        <v>12</v>
      </c>
      <c r="O1170" s="768">
        <v>14</v>
      </c>
      <c r="P1170" s="768">
        <v>7</v>
      </c>
      <c r="Q1170" s="768">
        <v>7</v>
      </c>
      <c r="R1170" s="768">
        <v>7</v>
      </c>
    </row>
    <row r="1171" spans="2:18" ht="15" customHeight="1" x14ac:dyDescent="0.2">
      <c r="B1171" s="1726"/>
      <c r="C1171" s="1726" t="s">
        <v>132</v>
      </c>
      <c r="D1171" s="1726"/>
      <c r="E1171" s="1764" t="s">
        <v>1717</v>
      </c>
      <c r="F1171" s="1661">
        <v>10093</v>
      </c>
      <c r="G1171" s="1661">
        <v>10093</v>
      </c>
      <c r="H1171" s="1661">
        <v>10093</v>
      </c>
      <c r="I1171" s="1661">
        <v>10093</v>
      </c>
      <c r="J1171" s="1661">
        <f>I1171*5%+10093</f>
        <v>10597.65</v>
      </c>
      <c r="K1171" s="1727" t="s">
        <v>1718</v>
      </c>
      <c r="L1171" s="1727"/>
      <c r="M1171" s="688" t="s">
        <v>1235</v>
      </c>
      <c r="N1171" s="768">
        <v>1274.5</v>
      </c>
      <c r="O1171" s="768">
        <v>1341.7</v>
      </c>
      <c r="P1171" s="768">
        <v>1000</v>
      </c>
      <c r="Q1171" s="768">
        <v>1000</v>
      </c>
      <c r="R1171" s="768">
        <v>1000</v>
      </c>
    </row>
    <row r="1172" spans="2:18" ht="15" customHeight="1" x14ac:dyDescent="0.2">
      <c r="B1172" s="1726"/>
      <c r="C1172" s="1726"/>
      <c r="D1172" s="1726"/>
      <c r="E1172" s="1764"/>
      <c r="F1172" s="1661"/>
      <c r="G1172" s="1661"/>
      <c r="H1172" s="1661"/>
      <c r="I1172" s="1661"/>
      <c r="J1172" s="1661"/>
      <c r="K1172" s="1727" t="s">
        <v>1719</v>
      </c>
      <c r="L1172" s="1727"/>
      <c r="M1172" s="688" t="s">
        <v>93</v>
      </c>
      <c r="N1172" s="768">
        <v>350</v>
      </c>
      <c r="O1172" s="768">
        <v>365</v>
      </c>
      <c r="P1172" s="768">
        <v>317</v>
      </c>
      <c r="Q1172" s="768">
        <v>317</v>
      </c>
      <c r="R1172" s="768">
        <v>317</v>
      </c>
    </row>
    <row r="1173" spans="2:18" ht="15" customHeight="1" x14ac:dyDescent="0.2">
      <c r="B1173" s="1726"/>
      <c r="C1173" s="1726"/>
      <c r="D1173" s="1726"/>
      <c r="E1173" s="1764"/>
      <c r="F1173" s="1661"/>
      <c r="G1173" s="1661"/>
      <c r="H1173" s="1661"/>
      <c r="I1173" s="1661"/>
      <c r="J1173" s="1661"/>
      <c r="K1173" s="1727" t="s">
        <v>1720</v>
      </c>
      <c r="L1173" s="1727"/>
      <c r="M1173" s="688" t="s">
        <v>1721</v>
      </c>
      <c r="N1173" s="768">
        <v>1800</v>
      </c>
      <c r="O1173" s="768">
        <v>2100</v>
      </c>
      <c r="P1173" s="768">
        <v>1650</v>
      </c>
      <c r="Q1173" s="768">
        <v>1650</v>
      </c>
      <c r="R1173" s="768">
        <v>1650</v>
      </c>
    </row>
    <row r="1174" spans="2:18" ht="15" customHeight="1" x14ac:dyDescent="0.2">
      <c r="B1174" s="1726"/>
      <c r="C1174" s="1726"/>
      <c r="D1174" s="1726"/>
      <c r="E1174" s="1764"/>
      <c r="F1174" s="1661"/>
      <c r="G1174" s="1661"/>
      <c r="H1174" s="1661"/>
      <c r="I1174" s="1661"/>
      <c r="J1174" s="1661"/>
      <c r="K1174" s="1727" t="s">
        <v>1722</v>
      </c>
      <c r="L1174" s="1727"/>
      <c r="M1174" s="688" t="s">
        <v>93</v>
      </c>
      <c r="N1174" s="768">
        <v>2</v>
      </c>
      <c r="O1174" s="768">
        <v>1</v>
      </c>
      <c r="P1174" s="768">
        <v>1</v>
      </c>
      <c r="Q1174" s="768">
        <v>1</v>
      </c>
      <c r="R1174" s="768">
        <v>1</v>
      </c>
    </row>
    <row r="1175" spans="2:18" ht="15" customHeight="1" x14ac:dyDescent="0.2">
      <c r="B1175" s="1726"/>
      <c r="C1175" s="1726" t="s">
        <v>74</v>
      </c>
      <c r="D1175" s="1726"/>
      <c r="E1175" s="1764" t="s">
        <v>1723</v>
      </c>
      <c r="F1175" s="1661">
        <v>2615</v>
      </c>
      <c r="G1175" s="1661">
        <v>2615</v>
      </c>
      <c r="H1175" s="1661">
        <v>2615</v>
      </c>
      <c r="I1175" s="1661">
        <v>2615</v>
      </c>
      <c r="J1175" s="1661">
        <f>I1175*5%+2615</f>
        <v>2745.75</v>
      </c>
      <c r="K1175" s="1727" t="s">
        <v>1724</v>
      </c>
      <c r="L1175" s="1727"/>
      <c r="M1175" s="688" t="s">
        <v>1235</v>
      </c>
      <c r="N1175" s="768">
        <v>2141.1</v>
      </c>
      <c r="O1175" s="768">
        <v>2761.6</v>
      </c>
      <c r="P1175" s="768">
        <v>1293.8</v>
      </c>
      <c r="Q1175" s="768">
        <v>1293.8</v>
      </c>
      <c r="R1175" s="768">
        <v>1293.8</v>
      </c>
    </row>
    <row r="1176" spans="2:18" ht="15" customHeight="1" x14ac:dyDescent="0.2">
      <c r="B1176" s="1726"/>
      <c r="C1176" s="1726"/>
      <c r="D1176" s="1726"/>
      <c r="E1176" s="1764"/>
      <c r="F1176" s="1661"/>
      <c r="G1176" s="1661"/>
      <c r="H1176" s="1661"/>
      <c r="I1176" s="1661"/>
      <c r="J1176" s="1661"/>
      <c r="K1176" s="1727" t="s">
        <v>1725</v>
      </c>
      <c r="L1176" s="1727"/>
      <c r="M1176" s="688" t="s">
        <v>93</v>
      </c>
      <c r="N1176" s="768">
        <v>34345</v>
      </c>
      <c r="O1176" s="768">
        <v>34556</v>
      </c>
      <c r="P1176" s="768">
        <v>17859</v>
      </c>
      <c r="Q1176" s="768">
        <v>17859</v>
      </c>
      <c r="R1176" s="768">
        <v>17859</v>
      </c>
    </row>
    <row r="1177" spans="2:18" ht="15" customHeight="1" x14ac:dyDescent="0.2">
      <c r="B1177" s="1726"/>
      <c r="C1177" s="1726"/>
      <c r="D1177" s="1726"/>
      <c r="E1177" s="1764"/>
      <c r="F1177" s="1661"/>
      <c r="G1177" s="1661"/>
      <c r="H1177" s="1661"/>
      <c r="I1177" s="1661"/>
      <c r="J1177" s="1661"/>
      <c r="K1177" s="1727" t="s">
        <v>1726</v>
      </c>
      <c r="L1177" s="1727"/>
      <c r="M1177" s="688" t="s">
        <v>93</v>
      </c>
      <c r="N1177" s="768">
        <v>154</v>
      </c>
      <c r="O1177" s="768">
        <v>182</v>
      </c>
      <c r="P1177" s="768">
        <v>91</v>
      </c>
      <c r="Q1177" s="768">
        <v>91</v>
      </c>
      <c r="R1177" s="768">
        <v>91</v>
      </c>
    </row>
    <row r="1178" spans="2:18" ht="15" customHeight="1" x14ac:dyDescent="0.2">
      <c r="B1178" s="1726"/>
      <c r="C1178" s="1726"/>
      <c r="D1178" s="1726"/>
      <c r="E1178" s="1764"/>
      <c r="F1178" s="1661"/>
      <c r="G1178" s="1661"/>
      <c r="H1178" s="1661"/>
      <c r="I1178" s="1661"/>
      <c r="J1178" s="1661"/>
      <c r="K1178" s="1727" t="s">
        <v>1727</v>
      </c>
      <c r="L1178" s="1727"/>
      <c r="M1178" s="688" t="s">
        <v>93</v>
      </c>
      <c r="N1178" s="768">
        <v>264</v>
      </c>
      <c r="O1178" s="768">
        <v>282</v>
      </c>
      <c r="P1178" s="768">
        <v>148</v>
      </c>
      <c r="Q1178" s="768">
        <v>148</v>
      </c>
      <c r="R1178" s="768">
        <v>148</v>
      </c>
    </row>
    <row r="1179" spans="2:18" ht="45" customHeight="1" x14ac:dyDescent="0.2">
      <c r="B1179" s="809"/>
      <c r="C1179" s="809" t="s">
        <v>197</v>
      </c>
      <c r="D1179" s="809"/>
      <c r="E1179" s="687" t="s">
        <v>1653</v>
      </c>
      <c r="F1179" s="901">
        <v>5000</v>
      </c>
      <c r="G1179" s="901">
        <v>5000</v>
      </c>
      <c r="H1179" s="901"/>
      <c r="I1179" s="901">
        <v>5000</v>
      </c>
      <c r="J1179" s="901">
        <f>I1179*5%+5000</f>
        <v>5250</v>
      </c>
      <c r="K1179" s="1727" t="s">
        <v>1686</v>
      </c>
      <c r="L1179" s="1727"/>
      <c r="M1179" s="688" t="s">
        <v>513</v>
      </c>
      <c r="N1179" s="768" t="s">
        <v>1654</v>
      </c>
      <c r="O1179" s="768" t="s">
        <v>1654</v>
      </c>
      <c r="P1179" s="768" t="s">
        <v>1654</v>
      </c>
      <c r="Q1179" s="768" t="s">
        <v>1654</v>
      </c>
      <c r="R1179" s="768" t="s">
        <v>1654</v>
      </c>
    </row>
    <row r="1180" spans="2:18" ht="35.25" customHeight="1" x14ac:dyDescent="0.2">
      <c r="B1180" s="1729" t="s">
        <v>241</v>
      </c>
      <c r="C1180" s="1729"/>
      <c r="D1180" s="1726"/>
      <c r="E1180" s="1731" t="s">
        <v>2804</v>
      </c>
      <c r="F1180" s="1767">
        <f>F1183+F1190+F1195+F1196+F1200+F1204+F1211</f>
        <v>228791.30000000002</v>
      </c>
      <c r="G1180" s="1767">
        <f>G1183+G1190+G1195+G1196+G1200+G1204+G1211</f>
        <v>223791.30000000002</v>
      </c>
      <c r="H1180" s="1767">
        <f>H1183+H1190+H1195+H1196+H1200+H1204</f>
        <v>189171.40000000002</v>
      </c>
      <c r="I1180" s="1767">
        <f>I1183+I1190+I1195+I1196+I1200+I1204+I1211</f>
        <v>217109.1</v>
      </c>
      <c r="J1180" s="1767">
        <f>J1183+J1190+J1195+J1196+J1200+J1204+J1211</f>
        <v>227964.55499999999</v>
      </c>
      <c r="K1180" s="1727" t="s">
        <v>1728</v>
      </c>
      <c r="L1180" s="1727"/>
      <c r="M1180" s="736" t="s">
        <v>560</v>
      </c>
      <c r="N1180" s="311">
        <v>58</v>
      </c>
      <c r="O1180" s="311">
        <v>58</v>
      </c>
      <c r="P1180" s="311">
        <v>58</v>
      </c>
      <c r="Q1180" s="311">
        <v>58</v>
      </c>
      <c r="R1180" s="311">
        <v>58</v>
      </c>
    </row>
    <row r="1181" spans="2:18" ht="35.25" customHeight="1" x14ac:dyDescent="0.2">
      <c r="B1181" s="1729"/>
      <c r="C1181" s="1729"/>
      <c r="D1181" s="1726"/>
      <c r="E1181" s="1731"/>
      <c r="F1181" s="1767"/>
      <c r="G1181" s="1767"/>
      <c r="H1181" s="1767"/>
      <c r="I1181" s="1767"/>
      <c r="J1181" s="1767"/>
      <c r="K1181" s="1727" t="s">
        <v>1729</v>
      </c>
      <c r="L1181" s="1727"/>
      <c r="M1181" s="736" t="s">
        <v>560</v>
      </c>
      <c r="N1181" s="311">
        <v>57</v>
      </c>
      <c r="O1181" s="311">
        <v>57</v>
      </c>
      <c r="P1181" s="311">
        <v>57</v>
      </c>
      <c r="Q1181" s="311">
        <v>57</v>
      </c>
      <c r="R1181" s="311">
        <v>57</v>
      </c>
    </row>
    <row r="1182" spans="2:18" ht="34.5" customHeight="1" x14ac:dyDescent="0.2">
      <c r="B1182" s="1729"/>
      <c r="C1182" s="1729"/>
      <c r="D1182" s="1726"/>
      <c r="E1182" s="1731"/>
      <c r="F1182" s="1767"/>
      <c r="G1182" s="1767"/>
      <c r="H1182" s="1767"/>
      <c r="I1182" s="1767"/>
      <c r="J1182" s="1767"/>
      <c r="K1182" s="1727" t="s">
        <v>1730</v>
      </c>
      <c r="L1182" s="1727"/>
      <c r="M1182" s="736" t="s">
        <v>560</v>
      </c>
      <c r="N1182" s="311">
        <v>85</v>
      </c>
      <c r="O1182" s="311">
        <v>85</v>
      </c>
      <c r="P1182" s="311">
        <v>85</v>
      </c>
      <c r="Q1182" s="311">
        <v>85</v>
      </c>
      <c r="R1182" s="311">
        <v>85</v>
      </c>
    </row>
    <row r="1183" spans="2:18" ht="38.25" customHeight="1" x14ac:dyDescent="0.2">
      <c r="B1183" s="1726"/>
      <c r="C1183" s="1726" t="s">
        <v>123</v>
      </c>
      <c r="D1183" s="1726"/>
      <c r="E1183" s="1764" t="s">
        <v>1731</v>
      </c>
      <c r="F1183" s="1661">
        <v>96007.3</v>
      </c>
      <c r="G1183" s="1661">
        <v>96007.3</v>
      </c>
      <c r="H1183" s="1661">
        <f>86007.3+1143.1</f>
        <v>87150.400000000009</v>
      </c>
      <c r="I1183" s="1661">
        <v>96007.3</v>
      </c>
      <c r="J1183" s="1661">
        <f>I1183*5%+96007.3</f>
        <v>100807.66500000001</v>
      </c>
      <c r="K1183" s="1727" t="s">
        <v>1709</v>
      </c>
      <c r="L1183" s="1727"/>
      <c r="M1183" s="736" t="s">
        <v>17</v>
      </c>
      <c r="N1183" s="1157"/>
      <c r="O1183" s="1157"/>
      <c r="P1183" s="1157"/>
      <c r="Q1183" s="1157"/>
      <c r="R1183" s="1157"/>
    </row>
    <row r="1184" spans="2:18" ht="40.5" customHeight="1" x14ac:dyDescent="0.2">
      <c r="B1184" s="1726"/>
      <c r="C1184" s="1726"/>
      <c r="D1184" s="1726"/>
      <c r="E1184" s="1764"/>
      <c r="F1184" s="1661"/>
      <c r="G1184" s="1661"/>
      <c r="H1184" s="1661"/>
      <c r="I1184" s="1661"/>
      <c r="J1184" s="1661"/>
      <c r="K1184" s="1727" t="s">
        <v>1732</v>
      </c>
      <c r="L1184" s="1727"/>
      <c r="M1184" s="688" t="s">
        <v>31</v>
      </c>
      <c r="N1184" s="768">
        <v>20</v>
      </c>
      <c r="O1184" s="768">
        <v>22</v>
      </c>
      <c r="P1184" s="768">
        <v>22</v>
      </c>
      <c r="Q1184" s="768">
        <v>22</v>
      </c>
      <c r="R1184" s="768">
        <v>22</v>
      </c>
    </row>
    <row r="1185" spans="2:18" ht="32.25" customHeight="1" x14ac:dyDescent="0.2">
      <c r="B1185" s="1726"/>
      <c r="C1185" s="1726"/>
      <c r="D1185" s="1726"/>
      <c r="E1185" s="1764"/>
      <c r="F1185" s="1661"/>
      <c r="G1185" s="1661"/>
      <c r="H1185" s="1661"/>
      <c r="I1185" s="1661"/>
      <c r="J1185" s="1661"/>
      <c r="K1185" s="1727" t="s">
        <v>1733</v>
      </c>
      <c r="L1185" s="1727"/>
      <c r="M1185" s="688" t="s">
        <v>1734</v>
      </c>
      <c r="N1185" s="768">
        <v>7.6</v>
      </c>
      <c r="O1185" s="768">
        <v>8</v>
      </c>
      <c r="P1185" s="768">
        <v>10</v>
      </c>
      <c r="Q1185" s="768">
        <v>10</v>
      </c>
      <c r="R1185" s="768">
        <v>10</v>
      </c>
    </row>
    <row r="1186" spans="2:18" ht="32.25" customHeight="1" x14ac:dyDescent="0.2">
      <c r="B1186" s="1726"/>
      <c r="C1186" s="1726"/>
      <c r="D1186" s="1726"/>
      <c r="E1186" s="1764"/>
      <c r="F1186" s="1661"/>
      <c r="G1186" s="1661"/>
      <c r="H1186" s="1661"/>
      <c r="I1186" s="1661"/>
      <c r="J1186" s="1661"/>
      <c r="K1186" s="1727" t="s">
        <v>1735</v>
      </c>
      <c r="L1186" s="1727"/>
      <c r="M1186" s="688" t="s">
        <v>1235</v>
      </c>
      <c r="N1186" s="560">
        <v>1516121.6</v>
      </c>
      <c r="O1186" s="560">
        <v>1616121.6</v>
      </c>
      <c r="P1186" s="768"/>
      <c r="Q1186" s="768"/>
      <c r="R1186" s="768"/>
    </row>
    <row r="1187" spans="2:18" ht="27" customHeight="1" x14ac:dyDescent="0.2">
      <c r="B1187" s="1726"/>
      <c r="C1187" s="1726"/>
      <c r="D1187" s="1726"/>
      <c r="E1187" s="1764"/>
      <c r="F1187" s="1661"/>
      <c r="G1187" s="1661"/>
      <c r="H1187" s="1661"/>
      <c r="I1187" s="1661"/>
      <c r="J1187" s="1661"/>
      <c r="K1187" s="1727" t="s">
        <v>1736</v>
      </c>
      <c r="L1187" s="1727"/>
      <c r="M1187" s="688" t="s">
        <v>31</v>
      </c>
      <c r="N1187" s="768">
        <v>1</v>
      </c>
      <c r="O1187" s="768">
        <v>5</v>
      </c>
      <c r="P1187" s="768">
        <v>6</v>
      </c>
      <c r="Q1187" s="768">
        <v>6</v>
      </c>
      <c r="R1187" s="768">
        <v>6</v>
      </c>
    </row>
    <row r="1188" spans="2:18" ht="27.75" customHeight="1" x14ac:dyDescent="0.2">
      <c r="B1188" s="1726"/>
      <c r="C1188" s="1726"/>
      <c r="D1188" s="1726"/>
      <c r="E1188" s="1764"/>
      <c r="F1188" s="1661"/>
      <c r="G1188" s="1661"/>
      <c r="H1188" s="1661"/>
      <c r="I1188" s="1661"/>
      <c r="J1188" s="1661"/>
      <c r="K1188" s="1727" t="s">
        <v>1737</v>
      </c>
      <c r="L1188" s="1727"/>
      <c r="M1188" s="688" t="s">
        <v>31</v>
      </c>
      <c r="N1188" s="768">
        <v>1</v>
      </c>
      <c r="O1188" s="768">
        <v>2</v>
      </c>
      <c r="P1188" s="768">
        <v>3</v>
      </c>
      <c r="Q1188" s="768">
        <v>3</v>
      </c>
      <c r="R1188" s="768">
        <v>3</v>
      </c>
    </row>
    <row r="1189" spans="2:18" ht="27" customHeight="1" x14ac:dyDescent="0.2">
      <c r="B1189" s="1726"/>
      <c r="C1189" s="1726"/>
      <c r="D1189" s="1726"/>
      <c r="E1189" s="1764"/>
      <c r="F1189" s="1661"/>
      <c r="G1189" s="1661"/>
      <c r="H1189" s="1661"/>
      <c r="I1189" s="1661"/>
      <c r="J1189" s="1661"/>
      <c r="K1189" s="1727" t="s">
        <v>1738</v>
      </c>
      <c r="L1189" s="1727"/>
      <c r="M1189" s="688" t="s">
        <v>513</v>
      </c>
      <c r="N1189" s="768"/>
      <c r="O1189" s="768"/>
      <c r="P1189" s="768"/>
      <c r="Q1189" s="768"/>
      <c r="R1189" s="768"/>
    </row>
    <row r="1190" spans="2:18" ht="45.75" customHeight="1" x14ac:dyDescent="0.2">
      <c r="B1190" s="1726"/>
      <c r="C1190" s="1726" t="s">
        <v>125</v>
      </c>
      <c r="D1190" s="1726"/>
      <c r="E1190" s="1764" t="s">
        <v>1739</v>
      </c>
      <c r="F1190" s="1661">
        <v>39139</v>
      </c>
      <c r="G1190" s="1661">
        <v>39139</v>
      </c>
      <c r="H1190" s="1661">
        <v>30139</v>
      </c>
      <c r="I1190" s="1661">
        <v>39139</v>
      </c>
      <c r="J1190" s="1661">
        <f>I1190*5%+39139</f>
        <v>41095.949999999997</v>
      </c>
      <c r="K1190" s="1727" t="s">
        <v>1740</v>
      </c>
      <c r="L1190" s="1727"/>
      <c r="M1190" s="688" t="s">
        <v>31</v>
      </c>
      <c r="N1190" s="768"/>
      <c r="O1190" s="768"/>
      <c r="P1190" s="768"/>
      <c r="Q1190" s="768"/>
      <c r="R1190" s="768"/>
    </row>
    <row r="1191" spans="2:18" ht="36.75" customHeight="1" x14ac:dyDescent="0.2">
      <c r="B1191" s="1726"/>
      <c r="C1191" s="1726"/>
      <c r="D1191" s="1726"/>
      <c r="E1191" s="1764"/>
      <c r="F1191" s="1661"/>
      <c r="G1191" s="1661"/>
      <c r="H1191" s="1661"/>
      <c r="I1191" s="1661"/>
      <c r="J1191" s="1661"/>
      <c r="K1191" s="1727" t="s">
        <v>1741</v>
      </c>
      <c r="L1191" s="1727"/>
      <c r="M1191" s="688" t="s">
        <v>31</v>
      </c>
      <c r="N1191" s="768"/>
      <c r="O1191" s="768"/>
      <c r="P1191" s="768"/>
      <c r="Q1191" s="768"/>
      <c r="R1191" s="768"/>
    </row>
    <row r="1192" spans="2:18" ht="29.25" customHeight="1" x14ac:dyDescent="0.2">
      <c r="B1192" s="1726"/>
      <c r="C1192" s="1726"/>
      <c r="D1192" s="1726"/>
      <c r="E1192" s="1764"/>
      <c r="F1192" s="1661"/>
      <c r="G1192" s="1661"/>
      <c r="H1192" s="1661"/>
      <c r="I1192" s="1661"/>
      <c r="J1192" s="1661"/>
      <c r="K1192" s="1727" t="s">
        <v>1742</v>
      </c>
      <c r="L1192" s="1727"/>
      <c r="M1192" s="688" t="s">
        <v>31</v>
      </c>
      <c r="N1192" s="768"/>
      <c r="O1192" s="768"/>
      <c r="P1192" s="768"/>
      <c r="Q1192" s="768"/>
      <c r="R1192" s="768"/>
    </row>
    <row r="1193" spans="2:18" ht="34.5" customHeight="1" x14ac:dyDescent="0.2">
      <c r="B1193" s="1726"/>
      <c r="C1193" s="1726"/>
      <c r="D1193" s="1726"/>
      <c r="E1193" s="1764"/>
      <c r="F1193" s="1661"/>
      <c r="G1193" s="1661"/>
      <c r="H1193" s="1661"/>
      <c r="I1193" s="1661"/>
      <c r="J1193" s="1661"/>
      <c r="K1193" s="1727" t="s">
        <v>1743</v>
      </c>
      <c r="L1193" s="1727"/>
      <c r="M1193" s="688" t="s">
        <v>17</v>
      </c>
      <c r="N1193" s="768"/>
      <c r="O1193" s="768"/>
      <c r="P1193" s="768"/>
      <c r="Q1193" s="768"/>
      <c r="R1193" s="768"/>
    </row>
    <row r="1194" spans="2:18" ht="39.75" customHeight="1" x14ac:dyDescent="0.2">
      <c r="B1194" s="1726"/>
      <c r="C1194" s="1726"/>
      <c r="D1194" s="1726"/>
      <c r="E1194" s="1764"/>
      <c r="F1194" s="1661"/>
      <c r="G1194" s="1661"/>
      <c r="H1194" s="1661"/>
      <c r="I1194" s="1661"/>
      <c r="J1194" s="1661"/>
      <c r="K1194" s="1727" t="s">
        <v>1744</v>
      </c>
      <c r="L1194" s="1727"/>
      <c r="M1194" s="688" t="s">
        <v>31</v>
      </c>
      <c r="N1194" s="768">
        <v>10</v>
      </c>
      <c r="O1194" s="768">
        <v>5</v>
      </c>
      <c r="P1194" s="768"/>
      <c r="Q1194" s="768"/>
      <c r="R1194" s="768"/>
    </row>
    <row r="1195" spans="2:18" ht="30" customHeight="1" x14ac:dyDescent="0.2">
      <c r="B1195" s="809"/>
      <c r="C1195" s="809" t="s">
        <v>127</v>
      </c>
      <c r="D1195" s="809"/>
      <c r="E1195" s="687" t="s">
        <v>1745</v>
      </c>
      <c r="F1195" s="901">
        <v>10000</v>
      </c>
      <c r="G1195" s="901">
        <v>10000</v>
      </c>
      <c r="H1195" s="901">
        <v>3237</v>
      </c>
      <c r="I1195" s="901">
        <v>4000</v>
      </c>
      <c r="J1195" s="901">
        <f>I1195*5%+4000</f>
        <v>4200</v>
      </c>
      <c r="K1195" s="1727" t="s">
        <v>1746</v>
      </c>
      <c r="L1195" s="1727"/>
      <c r="M1195" s="688" t="s">
        <v>31</v>
      </c>
      <c r="N1195" s="768"/>
      <c r="O1195" s="768"/>
      <c r="P1195" s="768"/>
      <c r="Q1195" s="768"/>
      <c r="R1195" s="768"/>
    </row>
    <row r="1196" spans="2:18" ht="45" customHeight="1" x14ac:dyDescent="0.2">
      <c r="B1196" s="1726"/>
      <c r="C1196" s="1726" t="s">
        <v>132</v>
      </c>
      <c r="D1196" s="1726"/>
      <c r="E1196" s="1764" t="s">
        <v>1747</v>
      </c>
      <c r="F1196" s="1661">
        <v>26681.600000000002</v>
      </c>
      <c r="G1196" s="1661">
        <v>26681.600000000002</v>
      </c>
      <c r="H1196" s="1661">
        <v>26681.600000000002</v>
      </c>
      <c r="I1196" s="1661">
        <v>26681.599999999999</v>
      </c>
      <c r="J1196" s="1661">
        <f>I1196*5%+26681.6</f>
        <v>28015.68</v>
      </c>
      <c r="K1196" s="1727" t="s">
        <v>1748</v>
      </c>
      <c r="L1196" s="1727"/>
      <c r="M1196" s="688" t="s">
        <v>31</v>
      </c>
      <c r="N1196" s="768">
        <v>14</v>
      </c>
      <c r="O1196" s="768">
        <v>15</v>
      </c>
      <c r="P1196" s="768">
        <v>15</v>
      </c>
      <c r="Q1196" s="768">
        <v>15</v>
      </c>
      <c r="R1196" s="768">
        <v>15</v>
      </c>
    </row>
    <row r="1197" spans="2:18" ht="44.25" customHeight="1" x14ac:dyDescent="0.2">
      <c r="B1197" s="1726"/>
      <c r="C1197" s="1726"/>
      <c r="D1197" s="1726"/>
      <c r="E1197" s="1764"/>
      <c r="F1197" s="1661"/>
      <c r="G1197" s="1661"/>
      <c r="H1197" s="1661"/>
      <c r="I1197" s="1661"/>
      <c r="J1197" s="1661"/>
      <c r="K1197" s="1727" t="s">
        <v>1749</v>
      </c>
      <c r="L1197" s="1727"/>
      <c r="M1197" s="688" t="s">
        <v>31</v>
      </c>
      <c r="N1197" s="768">
        <v>12</v>
      </c>
      <c r="O1197" s="768">
        <v>14</v>
      </c>
      <c r="P1197" s="768">
        <v>15</v>
      </c>
      <c r="Q1197" s="768">
        <v>15</v>
      </c>
      <c r="R1197" s="768">
        <v>15</v>
      </c>
    </row>
    <row r="1198" spans="2:18" ht="36.75" customHeight="1" x14ac:dyDescent="0.2">
      <c r="B1198" s="1726"/>
      <c r="C1198" s="1726"/>
      <c r="D1198" s="1726"/>
      <c r="E1198" s="1764"/>
      <c r="F1198" s="1661"/>
      <c r="G1198" s="1661"/>
      <c r="H1198" s="1661"/>
      <c r="I1198" s="1661"/>
      <c r="J1198" s="1661"/>
      <c r="K1198" s="1727" t="s">
        <v>1750</v>
      </c>
      <c r="L1198" s="1727"/>
      <c r="M1198" s="688" t="s">
        <v>130</v>
      </c>
      <c r="N1198" s="768">
        <v>0</v>
      </c>
      <c r="O1198" s="768">
        <v>2</v>
      </c>
      <c r="P1198" s="768">
        <v>5</v>
      </c>
      <c r="Q1198" s="768">
        <v>5</v>
      </c>
      <c r="R1198" s="768">
        <v>5</v>
      </c>
    </row>
    <row r="1199" spans="2:18" ht="36.75" customHeight="1" x14ac:dyDescent="0.2">
      <c r="B1199" s="1726"/>
      <c r="C1199" s="1726"/>
      <c r="D1199" s="1726"/>
      <c r="E1199" s="1764"/>
      <c r="F1199" s="1661"/>
      <c r="G1199" s="1661"/>
      <c r="H1199" s="1661"/>
      <c r="I1199" s="1661"/>
      <c r="J1199" s="1661"/>
      <c r="K1199" s="1727" t="s">
        <v>1751</v>
      </c>
      <c r="L1199" s="1727"/>
      <c r="M1199" s="688" t="s">
        <v>31</v>
      </c>
      <c r="N1199" s="768">
        <v>26</v>
      </c>
      <c r="O1199" s="768">
        <v>29</v>
      </c>
      <c r="P1199" s="768">
        <v>30</v>
      </c>
      <c r="Q1199" s="768">
        <v>30</v>
      </c>
      <c r="R1199" s="768">
        <v>30</v>
      </c>
    </row>
    <row r="1200" spans="2:18" ht="37.5" customHeight="1" x14ac:dyDescent="0.2">
      <c r="B1200" s="1726"/>
      <c r="C1200" s="1726" t="s">
        <v>74</v>
      </c>
      <c r="D1200" s="1726"/>
      <c r="E1200" s="1764" t="s">
        <v>1752</v>
      </c>
      <c r="F1200" s="1661">
        <v>20981.7</v>
      </c>
      <c r="G1200" s="1661">
        <v>20981.7</v>
      </c>
      <c r="H1200" s="1661">
        <v>20981.7</v>
      </c>
      <c r="I1200" s="1661">
        <v>20981.7</v>
      </c>
      <c r="J1200" s="1661">
        <f>I1200*5%+20981.7</f>
        <v>22030.785</v>
      </c>
      <c r="K1200" s="1727" t="s">
        <v>1753</v>
      </c>
      <c r="L1200" s="1727"/>
      <c r="M1200" s="688" t="s">
        <v>31</v>
      </c>
      <c r="N1200" s="768">
        <v>1200</v>
      </c>
      <c r="O1200" s="768">
        <v>1100</v>
      </c>
      <c r="P1200" s="768">
        <v>1000</v>
      </c>
      <c r="Q1200" s="768">
        <v>1000</v>
      </c>
      <c r="R1200" s="768">
        <v>1000</v>
      </c>
    </row>
    <row r="1201" spans="2:18" ht="54.75" customHeight="1" x14ac:dyDescent="0.2">
      <c r="B1201" s="1726"/>
      <c r="C1201" s="1726"/>
      <c r="D1201" s="1726"/>
      <c r="E1201" s="1764"/>
      <c r="F1201" s="1661"/>
      <c r="G1201" s="1661"/>
      <c r="H1201" s="1661"/>
      <c r="I1201" s="1661"/>
      <c r="J1201" s="1661"/>
      <c r="K1201" s="1727" t="s">
        <v>1754</v>
      </c>
      <c r="L1201" s="1727"/>
      <c r="M1201" s="688" t="s">
        <v>31</v>
      </c>
      <c r="N1201" s="768">
        <v>85</v>
      </c>
      <c r="O1201" s="768">
        <v>85</v>
      </c>
      <c r="P1201" s="768">
        <v>85</v>
      </c>
      <c r="Q1201" s="768">
        <v>85</v>
      </c>
      <c r="R1201" s="768">
        <v>85</v>
      </c>
    </row>
    <row r="1202" spans="2:18" ht="36.75" customHeight="1" x14ac:dyDescent="0.2">
      <c r="B1202" s="1726"/>
      <c r="C1202" s="1726"/>
      <c r="D1202" s="1726"/>
      <c r="E1202" s="1764"/>
      <c r="F1202" s="1661"/>
      <c r="G1202" s="1661"/>
      <c r="H1202" s="1661"/>
      <c r="I1202" s="1661"/>
      <c r="J1202" s="1661"/>
      <c r="K1202" s="1727" t="s">
        <v>1755</v>
      </c>
      <c r="L1202" s="1727"/>
      <c r="M1202" s="688" t="s">
        <v>31</v>
      </c>
      <c r="N1202" s="768">
        <v>273</v>
      </c>
      <c r="O1202" s="768">
        <v>277</v>
      </c>
      <c r="P1202" s="768">
        <v>279</v>
      </c>
      <c r="Q1202" s="768">
        <v>279</v>
      </c>
      <c r="R1202" s="768">
        <v>279</v>
      </c>
    </row>
    <row r="1203" spans="2:18" ht="37.5" customHeight="1" x14ac:dyDescent="0.2">
      <c r="B1203" s="1726"/>
      <c r="C1203" s="1726"/>
      <c r="D1203" s="1726"/>
      <c r="E1203" s="1764"/>
      <c r="F1203" s="1661"/>
      <c r="G1203" s="1661"/>
      <c r="H1203" s="1661"/>
      <c r="I1203" s="1661"/>
      <c r="J1203" s="1661"/>
      <c r="K1203" s="1727" t="s">
        <v>1756</v>
      </c>
      <c r="L1203" s="1727"/>
      <c r="M1203" s="688" t="s">
        <v>31</v>
      </c>
      <c r="N1203" s="768">
        <v>2</v>
      </c>
      <c r="O1203" s="768">
        <v>4</v>
      </c>
      <c r="P1203" s="768">
        <v>6</v>
      </c>
      <c r="Q1203" s="768">
        <v>6</v>
      </c>
      <c r="R1203" s="768">
        <v>6</v>
      </c>
    </row>
    <row r="1204" spans="2:18" ht="44.25" customHeight="1" x14ac:dyDescent="0.2">
      <c r="B1204" s="1726"/>
      <c r="C1204" s="1726" t="s">
        <v>197</v>
      </c>
      <c r="D1204" s="1726"/>
      <c r="E1204" s="1764" t="s">
        <v>1757</v>
      </c>
      <c r="F1204" s="1661">
        <v>20981.7</v>
      </c>
      <c r="G1204" s="1661">
        <v>20981.7</v>
      </c>
      <c r="H1204" s="1661">
        <v>20981.7</v>
      </c>
      <c r="I1204" s="1661">
        <v>20981.7</v>
      </c>
      <c r="J1204" s="1661">
        <f>I1204*5%+20981.7</f>
        <v>22030.785</v>
      </c>
      <c r="K1204" s="1727" t="s">
        <v>1758</v>
      </c>
      <c r="L1204" s="1727"/>
      <c r="M1204" s="688" t="s">
        <v>31</v>
      </c>
      <c r="N1204" s="768" t="s">
        <v>1759</v>
      </c>
      <c r="O1204" s="768" t="s">
        <v>1760</v>
      </c>
      <c r="P1204" s="768" t="s">
        <v>1760</v>
      </c>
      <c r="Q1204" s="768" t="s">
        <v>1761</v>
      </c>
      <c r="R1204" s="768" t="s">
        <v>1762</v>
      </c>
    </row>
    <row r="1205" spans="2:18" ht="35.25" customHeight="1" x14ac:dyDescent="0.2">
      <c r="B1205" s="1726"/>
      <c r="C1205" s="1726"/>
      <c r="D1205" s="1726"/>
      <c r="E1205" s="1764"/>
      <c r="F1205" s="1661"/>
      <c r="G1205" s="1661"/>
      <c r="H1205" s="1661"/>
      <c r="I1205" s="1661"/>
      <c r="J1205" s="1661"/>
      <c r="K1205" s="1727" t="s">
        <v>1763</v>
      </c>
      <c r="L1205" s="1727"/>
      <c r="M1205" s="688" t="s">
        <v>31</v>
      </c>
      <c r="N1205" s="768">
        <v>420</v>
      </c>
      <c r="O1205" s="768">
        <v>415</v>
      </c>
      <c r="P1205" s="768">
        <v>410</v>
      </c>
      <c r="Q1205" s="768">
        <v>410</v>
      </c>
      <c r="R1205" s="768">
        <v>410</v>
      </c>
    </row>
    <row r="1206" spans="2:18" ht="33" customHeight="1" x14ac:dyDescent="0.2">
      <c r="B1206" s="1726"/>
      <c r="C1206" s="1726"/>
      <c r="D1206" s="1726"/>
      <c r="E1206" s="1764"/>
      <c r="F1206" s="1661"/>
      <c r="G1206" s="1661"/>
      <c r="H1206" s="1661"/>
      <c r="I1206" s="1661"/>
      <c r="J1206" s="1661"/>
      <c r="K1206" s="1727" t="s">
        <v>1764</v>
      </c>
      <c r="L1206" s="1727"/>
      <c r="M1206" s="688" t="s">
        <v>17</v>
      </c>
      <c r="N1206" s="768">
        <v>90</v>
      </c>
      <c r="O1206" s="768">
        <v>90</v>
      </c>
      <c r="P1206" s="768">
        <v>90</v>
      </c>
      <c r="Q1206" s="768">
        <v>90</v>
      </c>
      <c r="R1206" s="768">
        <v>90</v>
      </c>
    </row>
    <row r="1207" spans="2:18" ht="27.75" customHeight="1" x14ac:dyDescent="0.2">
      <c r="B1207" s="1726"/>
      <c r="C1207" s="1726"/>
      <c r="D1207" s="1726"/>
      <c r="E1207" s="1764"/>
      <c r="F1207" s="1661"/>
      <c r="G1207" s="1661"/>
      <c r="H1207" s="1661"/>
      <c r="I1207" s="1661"/>
      <c r="J1207" s="1661"/>
      <c r="K1207" s="1727" t="s">
        <v>1765</v>
      </c>
      <c r="L1207" s="1727"/>
      <c r="M1207" s="688" t="s">
        <v>1113</v>
      </c>
      <c r="N1207" s="768">
        <v>9264.2000000000007</v>
      </c>
      <c r="O1207" s="768">
        <v>9727.4</v>
      </c>
      <c r="P1207" s="768">
        <v>10190.6</v>
      </c>
      <c r="Q1207" s="768">
        <v>10190.6</v>
      </c>
      <c r="R1207" s="768">
        <v>10190.6</v>
      </c>
    </row>
    <row r="1208" spans="2:18" ht="35.25" customHeight="1" x14ac:dyDescent="0.2">
      <c r="B1208" s="1726"/>
      <c r="C1208" s="1726"/>
      <c r="D1208" s="1726"/>
      <c r="E1208" s="1764"/>
      <c r="F1208" s="1661"/>
      <c r="G1208" s="1661"/>
      <c r="H1208" s="1661"/>
      <c r="I1208" s="1661"/>
      <c r="J1208" s="1661"/>
      <c r="K1208" s="1727" t="s">
        <v>1766</v>
      </c>
      <c r="L1208" s="1727"/>
      <c r="M1208" s="688" t="s">
        <v>513</v>
      </c>
      <c r="N1208" s="768">
        <v>9</v>
      </c>
      <c r="O1208" s="768">
        <v>9</v>
      </c>
      <c r="P1208" s="768">
        <v>9</v>
      </c>
      <c r="Q1208" s="768">
        <v>9</v>
      </c>
      <c r="R1208" s="768">
        <v>9</v>
      </c>
    </row>
    <row r="1209" spans="2:18" ht="45" customHeight="1" x14ac:dyDescent="0.2">
      <c r="B1209" s="1726"/>
      <c r="C1209" s="1726"/>
      <c r="D1209" s="1726"/>
      <c r="E1209" s="1764"/>
      <c r="F1209" s="1661"/>
      <c r="G1209" s="1661"/>
      <c r="H1209" s="1661"/>
      <c r="I1209" s="1661"/>
      <c r="J1209" s="1661"/>
      <c r="K1209" s="1727" t="s">
        <v>1767</v>
      </c>
      <c r="L1209" s="1727"/>
      <c r="M1209" s="688" t="s">
        <v>1768</v>
      </c>
      <c r="N1209" s="768">
        <v>62</v>
      </c>
      <c r="O1209" s="768">
        <v>70</v>
      </c>
      <c r="P1209" s="768">
        <v>75</v>
      </c>
      <c r="Q1209" s="768">
        <v>75</v>
      </c>
      <c r="R1209" s="768">
        <v>75</v>
      </c>
    </row>
    <row r="1210" spans="2:18" ht="34.5" customHeight="1" x14ac:dyDescent="0.2">
      <c r="B1210" s="1726"/>
      <c r="C1210" s="1726"/>
      <c r="D1210" s="1726"/>
      <c r="E1210" s="1764"/>
      <c r="F1210" s="1661"/>
      <c r="G1210" s="1661"/>
      <c r="H1210" s="1661"/>
      <c r="I1210" s="1661"/>
      <c r="J1210" s="1661"/>
      <c r="K1210" s="1727" t="s">
        <v>1769</v>
      </c>
      <c r="L1210" s="1727"/>
      <c r="M1210" s="688" t="s">
        <v>513</v>
      </c>
      <c r="N1210" s="768">
        <v>19000</v>
      </c>
      <c r="O1210" s="768">
        <v>20000</v>
      </c>
      <c r="P1210" s="768">
        <v>21000</v>
      </c>
      <c r="Q1210" s="768">
        <v>21000</v>
      </c>
      <c r="R1210" s="768">
        <v>21000</v>
      </c>
    </row>
    <row r="1211" spans="2:18" ht="57.75" customHeight="1" x14ac:dyDescent="0.2">
      <c r="B1211" s="809"/>
      <c r="C1211" s="809" t="s">
        <v>155</v>
      </c>
      <c r="D1211" s="809"/>
      <c r="E1211" s="687" t="s">
        <v>1653</v>
      </c>
      <c r="F1211" s="901">
        <v>15000</v>
      </c>
      <c r="G1211" s="901">
        <v>10000</v>
      </c>
      <c r="H1211" s="901"/>
      <c r="I1211" s="901">
        <v>9317.7999999999993</v>
      </c>
      <c r="J1211" s="901">
        <f>I1211*5%+9317.8</f>
        <v>9783.6899999999987</v>
      </c>
      <c r="K1211" s="1727" t="s">
        <v>1686</v>
      </c>
      <c r="L1211" s="1727"/>
      <c r="M1211" s="688" t="s">
        <v>513</v>
      </c>
      <c r="N1211" s="768" t="s">
        <v>1654</v>
      </c>
      <c r="O1211" s="768" t="s">
        <v>1654</v>
      </c>
      <c r="P1211" s="768" t="s">
        <v>1654</v>
      </c>
      <c r="Q1211" s="768" t="s">
        <v>1654</v>
      </c>
      <c r="R1211" s="768" t="s">
        <v>1654</v>
      </c>
    </row>
    <row r="1212" spans="2:18" ht="27" customHeight="1" x14ac:dyDescent="0.2">
      <c r="B1212" s="1153" t="s">
        <v>2628</v>
      </c>
      <c r="C1212" s="1153" t="s">
        <v>123</v>
      </c>
      <c r="D1212" s="1153"/>
      <c r="E1212" s="534" t="s">
        <v>765</v>
      </c>
      <c r="F1212" s="901">
        <v>139600</v>
      </c>
      <c r="G1212" s="901">
        <v>282000</v>
      </c>
      <c r="H1212" s="901">
        <v>354450</v>
      </c>
      <c r="I1212" s="901">
        <v>132725.29999999999</v>
      </c>
      <c r="J1212" s="901"/>
      <c r="K1212" s="1727"/>
      <c r="L1212" s="1727"/>
      <c r="M1212" s="688"/>
      <c r="N1212" s="768"/>
      <c r="O1212" s="768"/>
      <c r="P1212" s="768"/>
      <c r="Q1212" s="768"/>
      <c r="R1212" s="768"/>
    </row>
    <row r="1213" spans="2:18" ht="24.75" customHeight="1" x14ac:dyDescent="0.2">
      <c r="B1213" s="1716" t="s">
        <v>64</v>
      </c>
      <c r="C1213" s="1716"/>
      <c r="D1213" s="1716"/>
      <c r="E1213" s="1716"/>
      <c r="F1213" s="937">
        <f>F1180+F1164+F1151+F1128+F1120+F1212</f>
        <v>923500.20000000007</v>
      </c>
      <c r="G1213" s="937">
        <f>G1180+G1164+G1151+G1128+G1120+G1212</f>
        <v>1022900.2000000001</v>
      </c>
      <c r="H1213" s="937">
        <f>H1120+H1128+H1151+H1164+H1180+H1212</f>
        <v>940229.6</v>
      </c>
      <c r="I1213" s="937">
        <f>I1180+I1164+I1151+I1128+I1120+I1212</f>
        <v>875572.39999999991</v>
      </c>
      <c r="J1213" s="937">
        <f>J1180+J1164+J1151+J1128+J1120+J1212</f>
        <v>779989.45499999996</v>
      </c>
      <c r="K1213" s="1158"/>
      <c r="L1213" s="1158"/>
      <c r="M1213" s="1728"/>
      <c r="N1213" s="1728"/>
      <c r="O1213" s="1728"/>
      <c r="P1213" s="1728"/>
      <c r="Q1213" s="1728"/>
      <c r="R1213" s="1728"/>
    </row>
    <row r="1214" spans="2:18" ht="22.5" customHeight="1" x14ac:dyDescent="0.2">
      <c r="B1214" s="1725" t="s">
        <v>1770</v>
      </c>
      <c r="C1214" s="1725"/>
      <c r="D1214" s="1725"/>
      <c r="E1214" s="1725"/>
      <c r="F1214" s="1725"/>
      <c r="G1214" s="1725"/>
      <c r="H1214" s="1725"/>
      <c r="I1214" s="1725"/>
      <c r="J1214" s="1725"/>
      <c r="K1214" s="1725"/>
      <c r="L1214" s="1725"/>
      <c r="M1214" s="1725"/>
      <c r="N1214" s="1725"/>
      <c r="O1214" s="1725"/>
      <c r="P1214" s="1725"/>
      <c r="Q1214" s="1725"/>
      <c r="R1214" s="1725"/>
    </row>
    <row r="1215" spans="2:18" ht="57.75" customHeight="1" x14ac:dyDescent="0.2">
      <c r="B1215" s="1118">
        <v>1</v>
      </c>
      <c r="C1215" s="1159"/>
      <c r="D1215" s="1160"/>
      <c r="E1215" s="1161" t="s">
        <v>1771</v>
      </c>
      <c r="F1215" s="1119">
        <v>326651.69999999995</v>
      </c>
      <c r="G1215" s="1119">
        <f>G1216+G1217+G1218+G1219+G1220+G1221+G1222</f>
        <v>208360.7</v>
      </c>
      <c r="H1215" s="1119">
        <f>H1216+H1217+H1218+H1219+H1220+H1221+H1222</f>
        <v>305211.03512337781</v>
      </c>
      <c r="I1215" s="1119">
        <f>I1216+I1217+I1218+I1219+I1220+I1221+I1222</f>
        <v>304690.31163726479</v>
      </c>
      <c r="J1215" s="1119">
        <f t="shared" ref="J1215" si="51">J1216+J1217+J1218+J1219+J1220+J1221+J1222</f>
        <v>310426.53332027263</v>
      </c>
      <c r="K1215" s="1724" t="s">
        <v>16</v>
      </c>
      <c r="L1215" s="1724"/>
      <c r="M1215" s="1162" t="s">
        <v>17</v>
      </c>
      <c r="N1215" s="1162"/>
      <c r="O1215" s="1162"/>
      <c r="P1215" s="1162"/>
      <c r="Q1215" s="1162"/>
      <c r="R1215" s="1162"/>
    </row>
    <row r="1216" spans="2:18" ht="15" customHeight="1" x14ac:dyDescent="0.2">
      <c r="B1216" s="1109"/>
      <c r="C1216" s="1110">
        <v>1</v>
      </c>
      <c r="D1216" s="1088"/>
      <c r="E1216" s="1111" t="s">
        <v>18</v>
      </c>
      <c r="F1216" s="987">
        <v>10084.9</v>
      </c>
      <c r="G1216" s="987">
        <v>11252.400000000001</v>
      </c>
      <c r="H1216" s="987">
        <v>10852.490357886689</v>
      </c>
      <c r="I1216" s="958">
        <v>11156.885348440839</v>
      </c>
      <c r="J1216" s="958">
        <v>11366.929334764725</v>
      </c>
      <c r="K1216" s="1689" t="s">
        <v>19</v>
      </c>
      <c r="L1216" s="1689"/>
      <c r="M1216" s="336" t="s">
        <v>20</v>
      </c>
      <c r="N1216" s="336">
        <v>33.799999999999997</v>
      </c>
      <c r="O1216" s="552">
        <v>35.6</v>
      </c>
      <c r="P1216" s="336">
        <v>34</v>
      </c>
      <c r="Q1216" s="336" t="s">
        <v>1772</v>
      </c>
      <c r="R1216" s="336">
        <v>35</v>
      </c>
    </row>
    <row r="1217" spans="2:18" ht="15" customHeight="1" x14ac:dyDescent="0.2">
      <c r="B1217" s="1109"/>
      <c r="C1217" s="1110">
        <v>2</v>
      </c>
      <c r="D1217" s="1088"/>
      <c r="E1217" s="1112" t="s">
        <v>22</v>
      </c>
      <c r="F1217" s="987">
        <v>7266.7</v>
      </c>
      <c r="G1217" s="987">
        <v>8335.2000000000007</v>
      </c>
      <c r="H1217" s="987">
        <v>8071.5558004113263</v>
      </c>
      <c r="I1217" s="958">
        <v>8297.9500261235844</v>
      </c>
      <c r="J1217" s="958">
        <v>8454.1705524953977</v>
      </c>
      <c r="K1217" s="1689" t="s">
        <v>1773</v>
      </c>
      <c r="L1217" s="1689"/>
      <c r="M1217" s="336" t="s">
        <v>17</v>
      </c>
      <c r="N1217" s="553">
        <v>78.7</v>
      </c>
      <c r="O1217" s="553">
        <v>85</v>
      </c>
      <c r="P1217" s="336">
        <v>90</v>
      </c>
      <c r="Q1217" s="336">
        <v>90</v>
      </c>
      <c r="R1217" s="336">
        <v>90</v>
      </c>
    </row>
    <row r="1218" spans="2:18" ht="15" customHeight="1" x14ac:dyDescent="0.2">
      <c r="B1218" s="1109"/>
      <c r="C1218" s="1110">
        <v>3</v>
      </c>
      <c r="D1218" s="1088"/>
      <c r="E1218" s="1112" t="s">
        <v>24</v>
      </c>
      <c r="F1218" s="987">
        <v>5343.8</v>
      </c>
      <c r="G1218" s="987">
        <v>6269.5999999999995</v>
      </c>
      <c r="H1218" s="987">
        <v>6126.7327449127988</v>
      </c>
      <c r="I1218" s="958">
        <v>6298.5777956352113</v>
      </c>
      <c r="J1218" s="958">
        <v>6417.1573406469579</v>
      </c>
      <c r="K1218" s="1689" t="s">
        <v>126</v>
      </c>
      <c r="L1218" s="1689"/>
      <c r="M1218" s="336" t="s">
        <v>17</v>
      </c>
      <c r="N1218" s="336">
        <v>72.7</v>
      </c>
      <c r="O1218" s="336" t="s">
        <v>1103</v>
      </c>
      <c r="P1218" s="336" t="s">
        <v>1103</v>
      </c>
      <c r="Q1218" s="336" t="s">
        <v>1103</v>
      </c>
      <c r="R1218" s="336" t="s">
        <v>1103</v>
      </c>
    </row>
    <row r="1219" spans="2:18" ht="45" customHeight="1" x14ac:dyDescent="0.2">
      <c r="B1219" s="1109"/>
      <c r="C1219" s="1110">
        <v>4</v>
      </c>
      <c r="D1219" s="1088"/>
      <c r="E1219" s="1112" t="s">
        <v>26</v>
      </c>
      <c r="F1219" s="987">
        <v>5500.7</v>
      </c>
      <c r="G1219" s="987">
        <v>6273.5999999999995</v>
      </c>
      <c r="H1219" s="987">
        <v>6412.8613136541117</v>
      </c>
      <c r="I1219" s="958">
        <v>6592.7318129240084</v>
      </c>
      <c r="J1219" s="958">
        <v>6716.8492191268415</v>
      </c>
      <c r="K1219" s="1689" t="s">
        <v>27</v>
      </c>
      <c r="L1219" s="1689"/>
      <c r="M1219" s="336" t="s">
        <v>28</v>
      </c>
      <c r="N1219" s="336" t="s">
        <v>1774</v>
      </c>
      <c r="O1219" s="336" t="s">
        <v>1103</v>
      </c>
      <c r="P1219" s="336" t="s">
        <v>1103</v>
      </c>
      <c r="Q1219" s="336" t="s">
        <v>1103</v>
      </c>
      <c r="R1219" s="336" t="s">
        <v>1103</v>
      </c>
    </row>
    <row r="1220" spans="2:18" ht="30" customHeight="1" x14ac:dyDescent="0.2">
      <c r="B1220" s="1109"/>
      <c r="C1220" s="1110">
        <v>5</v>
      </c>
      <c r="D1220" s="1088"/>
      <c r="E1220" s="1112" t="s">
        <v>29</v>
      </c>
      <c r="F1220" s="987">
        <v>5032.8999999999996</v>
      </c>
      <c r="G1220" s="987">
        <v>6271.4</v>
      </c>
      <c r="H1220" s="987">
        <v>6088.6275435537264</v>
      </c>
      <c r="I1220" s="958">
        <v>6259.4038043463388</v>
      </c>
      <c r="J1220" s="958">
        <v>6377.2458441284853</v>
      </c>
      <c r="K1220" s="1689" t="s">
        <v>1775</v>
      </c>
      <c r="L1220" s="1689"/>
      <c r="M1220" s="336" t="s">
        <v>31</v>
      </c>
      <c r="N1220" s="336">
        <v>359</v>
      </c>
      <c r="O1220" s="336">
        <v>180</v>
      </c>
      <c r="P1220" s="336">
        <v>185</v>
      </c>
      <c r="Q1220" s="336">
        <v>190</v>
      </c>
      <c r="R1220" s="336">
        <v>195</v>
      </c>
    </row>
    <row r="1221" spans="2:18" ht="45.75" customHeight="1" x14ac:dyDescent="0.2">
      <c r="B1221" s="1109"/>
      <c r="C1221" s="1110">
        <v>6</v>
      </c>
      <c r="D1221" s="1088"/>
      <c r="E1221" s="557" t="s">
        <v>32</v>
      </c>
      <c r="F1221" s="987">
        <v>284691.09999999998</v>
      </c>
      <c r="G1221" s="987">
        <v>158851</v>
      </c>
      <c r="H1221" s="987">
        <f>248102.6+1504.5+150.7+4493.2+2685.2</f>
        <v>256936.20000000004</v>
      </c>
      <c r="I1221" s="958">
        <v>255061.44462841246</v>
      </c>
      <c r="J1221" s="958">
        <v>259863.3334095648</v>
      </c>
      <c r="K1221" s="1689" t="s">
        <v>249</v>
      </c>
      <c r="L1221" s="1689"/>
      <c r="M1221" s="336" t="s">
        <v>17</v>
      </c>
      <c r="N1221" s="336">
        <v>34</v>
      </c>
      <c r="O1221" s="336">
        <v>31.8</v>
      </c>
      <c r="P1221" s="336">
        <v>31.8</v>
      </c>
      <c r="Q1221" s="336">
        <v>31.8</v>
      </c>
      <c r="R1221" s="336">
        <v>31.8</v>
      </c>
    </row>
    <row r="1222" spans="2:18" ht="30" customHeight="1" x14ac:dyDescent="0.2">
      <c r="B1222" s="1109"/>
      <c r="C1222" s="1110">
        <v>7</v>
      </c>
      <c r="D1222" s="695"/>
      <c r="E1222" s="557" t="s">
        <v>251</v>
      </c>
      <c r="F1222" s="987">
        <v>8731.6</v>
      </c>
      <c r="G1222" s="987">
        <v>11107.5</v>
      </c>
      <c r="H1222" s="987">
        <v>10722.567362959133</v>
      </c>
      <c r="I1222" s="958">
        <v>11023.318221382357</v>
      </c>
      <c r="J1222" s="958">
        <v>11230.84761954539</v>
      </c>
      <c r="K1222" s="1689" t="s">
        <v>1776</v>
      </c>
      <c r="L1222" s="1689"/>
      <c r="M1222" s="336" t="s">
        <v>17</v>
      </c>
      <c r="N1222" s="336">
        <v>80</v>
      </c>
      <c r="O1222" s="336">
        <v>39.6</v>
      </c>
      <c r="P1222" s="336">
        <v>26.4</v>
      </c>
      <c r="Q1222" s="336">
        <v>0</v>
      </c>
      <c r="R1222" s="336">
        <v>0</v>
      </c>
    </row>
    <row r="1223" spans="2:18" ht="28.5" customHeight="1" x14ac:dyDescent="0.2">
      <c r="B1223" s="1121" t="s">
        <v>138</v>
      </c>
      <c r="C1223" s="1121"/>
      <c r="D1223" s="572"/>
      <c r="E1223" s="1122" t="s">
        <v>1777</v>
      </c>
      <c r="F1223" s="1119">
        <v>272645.31</v>
      </c>
      <c r="G1223" s="1119">
        <f>G1224+G1225</f>
        <v>277847.69999999995</v>
      </c>
      <c r="H1223" s="1119">
        <v>320137.40000000002</v>
      </c>
      <c r="I1223" s="1119">
        <v>328016.52467100002</v>
      </c>
      <c r="J1223" s="1119">
        <v>334051.5293242163</v>
      </c>
      <c r="K1223" s="1724" t="s">
        <v>1778</v>
      </c>
      <c r="L1223" s="1724"/>
      <c r="M1223" s="553"/>
      <c r="N1223" s="427"/>
      <c r="O1223" s="1163"/>
      <c r="P1223" s="1163"/>
      <c r="Q1223" s="1163"/>
      <c r="R1223" s="1163"/>
    </row>
    <row r="1224" spans="2:18" ht="15" customHeight="1" x14ac:dyDescent="0.2">
      <c r="B1224" s="1114"/>
      <c r="C1224" s="1124" t="s">
        <v>123</v>
      </c>
      <c r="D1224" s="1114"/>
      <c r="E1224" s="557" t="s">
        <v>1779</v>
      </c>
      <c r="F1224" s="987">
        <v>190851.72999999998</v>
      </c>
      <c r="G1224" s="987">
        <v>194493.38999999998</v>
      </c>
      <c r="H1224" s="987">
        <f>H1223*70%</f>
        <v>224096.18</v>
      </c>
      <c r="I1224" s="958">
        <f>I1223*70%</f>
        <v>229611.5672697</v>
      </c>
      <c r="J1224" s="958">
        <f>J1223*70%</f>
        <v>233836.0705269514</v>
      </c>
      <c r="K1224" s="1689" t="s">
        <v>1780</v>
      </c>
      <c r="L1224" s="1689"/>
      <c r="M1224" s="336" t="s">
        <v>1781</v>
      </c>
      <c r="N1224" s="580">
        <v>1061.05</v>
      </c>
      <c r="O1224" s="580">
        <v>1220.21</v>
      </c>
      <c r="P1224" s="580">
        <v>1260.53</v>
      </c>
      <c r="Q1224" s="580">
        <v>1323.56</v>
      </c>
      <c r="R1224" s="580">
        <v>1389.74</v>
      </c>
    </row>
    <row r="1225" spans="2:18" ht="45" customHeight="1" x14ac:dyDescent="0.2">
      <c r="B1225" s="1114"/>
      <c r="C1225" s="1124" t="s">
        <v>125</v>
      </c>
      <c r="D1225" s="1114"/>
      <c r="E1225" s="557" t="s">
        <v>1782</v>
      </c>
      <c r="F1225" s="987">
        <v>81793.58</v>
      </c>
      <c r="G1225" s="987">
        <v>83354.31</v>
      </c>
      <c r="H1225" s="987">
        <f>H1223*30%</f>
        <v>96041.22</v>
      </c>
      <c r="I1225" s="958">
        <f>I1223*30%</f>
        <v>98404.957401300009</v>
      </c>
      <c r="J1225" s="958">
        <f>J1223*30%</f>
        <v>100215.45879726489</v>
      </c>
      <c r="K1225" s="1689" t="s">
        <v>1783</v>
      </c>
      <c r="L1225" s="1689"/>
      <c r="M1225" s="336" t="s">
        <v>1781</v>
      </c>
      <c r="N1225" s="580">
        <v>365.9</v>
      </c>
      <c r="O1225" s="580">
        <v>401.66</v>
      </c>
      <c r="P1225" s="580">
        <v>442.74</v>
      </c>
      <c r="Q1225" s="580">
        <v>464.88</v>
      </c>
      <c r="R1225" s="580">
        <v>488.1</v>
      </c>
    </row>
    <row r="1226" spans="2:18" ht="28.5" customHeight="1" x14ac:dyDescent="0.2">
      <c r="B1226" s="1164" t="s">
        <v>161</v>
      </c>
      <c r="C1226" s="1121"/>
      <c r="D1226" s="572"/>
      <c r="E1226" s="1122" t="s">
        <v>1784</v>
      </c>
      <c r="F1226" s="1119">
        <f>F1227+F1228</f>
        <v>101046.8</v>
      </c>
      <c r="G1226" s="1119">
        <f t="shared" ref="G1226" si="52">G1227+G1228</f>
        <v>295091.29999999993</v>
      </c>
      <c r="H1226" s="1119">
        <v>190025.4</v>
      </c>
      <c r="I1226" s="1119">
        <v>195713.13712795</v>
      </c>
      <c r="J1226" s="1119">
        <v>199510.86840710888</v>
      </c>
      <c r="K1226" s="1724" t="s">
        <v>1778</v>
      </c>
      <c r="L1226" s="1724"/>
      <c r="M1226" s="553"/>
      <c r="N1226" s="427"/>
      <c r="O1226" s="1163"/>
      <c r="P1226" s="1163"/>
      <c r="Q1226" s="1163"/>
      <c r="R1226" s="1163"/>
    </row>
    <row r="1227" spans="2:18" ht="15" customHeight="1" x14ac:dyDescent="0.2">
      <c r="B1227" s="1114"/>
      <c r="C1227" s="1124" t="s">
        <v>123</v>
      </c>
      <c r="D1227" s="1114"/>
      <c r="E1227" s="557" t="s">
        <v>1785</v>
      </c>
      <c r="F1227" s="987">
        <v>47492</v>
      </c>
      <c r="G1227" s="958">
        <v>138692.90800673122</v>
      </c>
      <c r="H1227" s="958">
        <v>89311.937999999995</v>
      </c>
      <c r="I1227" s="958">
        <f>I1226*47%</f>
        <v>91985.174450136503</v>
      </c>
      <c r="J1227" s="958">
        <f>J1226*47%</f>
        <v>93770.108151341163</v>
      </c>
      <c r="K1227" s="1689" t="s">
        <v>1786</v>
      </c>
      <c r="L1227" s="1689"/>
      <c r="M1227" s="336" t="s">
        <v>31</v>
      </c>
      <c r="N1227" s="1165">
        <v>317226</v>
      </c>
      <c r="O1227" s="1166">
        <v>196808</v>
      </c>
      <c r="P1227" s="1165">
        <v>221803</v>
      </c>
      <c r="Q1227" s="1165">
        <v>226239</v>
      </c>
      <c r="R1227" s="1165">
        <v>230764</v>
      </c>
    </row>
    <row r="1228" spans="2:18" ht="15" customHeight="1" x14ac:dyDescent="0.2">
      <c r="B1228" s="1114"/>
      <c r="C1228" s="1124" t="s">
        <v>125</v>
      </c>
      <c r="D1228" s="1114"/>
      <c r="E1228" s="557" t="s">
        <v>1787</v>
      </c>
      <c r="F1228" s="987">
        <v>53554.8</v>
      </c>
      <c r="G1228" s="958">
        <v>156398.39199326874</v>
      </c>
      <c r="H1228" s="958">
        <v>100713.462</v>
      </c>
      <c r="I1228" s="958">
        <f>I1226*53%</f>
        <v>103727.9626778135</v>
      </c>
      <c r="J1228" s="958">
        <f>J1226*53%</f>
        <v>105740.76025576772</v>
      </c>
      <c r="K1228" s="1689" t="s">
        <v>1788</v>
      </c>
      <c r="L1228" s="1689"/>
      <c r="M1228" s="336" t="s">
        <v>93</v>
      </c>
      <c r="N1228" s="557">
        <v>110970</v>
      </c>
      <c r="O1228" s="1166">
        <v>157592</v>
      </c>
      <c r="P1228" s="1165">
        <v>185764</v>
      </c>
      <c r="Q1228" s="1165">
        <v>189479</v>
      </c>
      <c r="R1228" s="1165">
        <v>193268</v>
      </c>
    </row>
    <row r="1229" spans="2:18" ht="53.25" customHeight="1" x14ac:dyDescent="0.2">
      <c r="B1229" s="1164" t="s">
        <v>241</v>
      </c>
      <c r="C1229" s="1159"/>
      <c r="D1229" s="572"/>
      <c r="E1229" s="1167" t="s">
        <v>1789</v>
      </c>
      <c r="F1229" s="1119">
        <f>F1230++F1231+F1232</f>
        <v>231334.39999999999</v>
      </c>
      <c r="G1229" s="1119">
        <f t="shared" ref="G1229:J1229" si="53">G1230++G1231+G1232</f>
        <v>231630.2</v>
      </c>
      <c r="H1229" s="1119">
        <f t="shared" si="53"/>
        <v>229198.6</v>
      </c>
      <c r="I1229" s="1119">
        <f t="shared" si="53"/>
        <v>233061.7</v>
      </c>
      <c r="J1229" s="1119">
        <f t="shared" si="53"/>
        <v>233418.60000000003</v>
      </c>
      <c r="K1229" s="1724" t="s">
        <v>1790</v>
      </c>
      <c r="L1229" s="1724"/>
      <c r="M1229" s="553" t="s">
        <v>1791</v>
      </c>
      <c r="N1229" s="553">
        <v>20878</v>
      </c>
      <c r="O1229" s="578">
        <v>20733</v>
      </c>
      <c r="P1229" s="578">
        <v>20733</v>
      </c>
      <c r="Q1229" s="578">
        <v>20111</v>
      </c>
      <c r="R1229" s="578">
        <v>20891</v>
      </c>
    </row>
    <row r="1230" spans="2:18" ht="30" customHeight="1" x14ac:dyDescent="0.2">
      <c r="B1230" s="1624"/>
      <c r="C1230" s="1624" t="s">
        <v>123</v>
      </c>
      <c r="D1230" s="1624"/>
      <c r="E1230" s="1168" t="s">
        <v>1792</v>
      </c>
      <c r="F1230" s="987">
        <f>219768</f>
        <v>219768</v>
      </c>
      <c r="G1230" s="958">
        <f>220049.2</f>
        <v>220049.2</v>
      </c>
      <c r="H1230" s="958">
        <v>217738</v>
      </c>
      <c r="I1230" s="958">
        <f>221408.6</f>
        <v>221408.6</v>
      </c>
      <c r="J1230" s="958">
        <f>221747.7</f>
        <v>221747.7</v>
      </c>
      <c r="K1230" s="1689" t="s">
        <v>1793</v>
      </c>
      <c r="L1230" s="1689"/>
      <c r="M1230" s="336" t="s">
        <v>1791</v>
      </c>
      <c r="N1230" s="559">
        <v>53509</v>
      </c>
      <c r="O1230" s="559">
        <f>85614.4*84/100</f>
        <v>71916.09599999999</v>
      </c>
      <c r="P1230" s="559">
        <f t="shared" ref="P1230:R1230" si="54">85614.4*84/100</f>
        <v>71916.09599999999</v>
      </c>
      <c r="Q1230" s="559">
        <f t="shared" si="54"/>
        <v>71916.09599999999</v>
      </c>
      <c r="R1230" s="559">
        <f t="shared" si="54"/>
        <v>71916.09599999999</v>
      </c>
    </row>
    <row r="1231" spans="2:18" ht="15" customHeight="1" x14ac:dyDescent="0.2">
      <c r="B1231" s="1624"/>
      <c r="C1231" s="1624"/>
      <c r="D1231" s="1624"/>
      <c r="E1231" s="557" t="s">
        <v>1794</v>
      </c>
      <c r="F1231" s="987">
        <v>9253.4</v>
      </c>
      <c r="G1231" s="958">
        <f>9265</f>
        <v>9265</v>
      </c>
      <c r="H1231" s="958">
        <f>9168+1</f>
        <v>9169</v>
      </c>
      <c r="I1231" s="958">
        <f>9322.5</f>
        <v>9322.5</v>
      </c>
      <c r="J1231" s="958">
        <f>9336.7</f>
        <v>9336.7000000000007</v>
      </c>
      <c r="K1231" s="1689" t="s">
        <v>1794</v>
      </c>
      <c r="L1231" s="1689"/>
      <c r="M1231" s="336" t="s">
        <v>1795</v>
      </c>
      <c r="N1231" s="559">
        <v>75850</v>
      </c>
      <c r="O1231" s="559">
        <f>87227*99/100</f>
        <v>86354.73</v>
      </c>
      <c r="P1231" s="559">
        <f t="shared" ref="P1231:R1231" si="55">87227*99/100</f>
        <v>86354.73</v>
      </c>
      <c r="Q1231" s="559">
        <f t="shared" si="55"/>
        <v>86354.73</v>
      </c>
      <c r="R1231" s="559">
        <f t="shared" si="55"/>
        <v>86354.73</v>
      </c>
    </row>
    <row r="1232" spans="2:18" ht="15" customHeight="1" x14ac:dyDescent="0.2">
      <c r="B1232" s="1114"/>
      <c r="C1232" s="1124" t="s">
        <v>125</v>
      </c>
      <c r="D1232" s="1124"/>
      <c r="E1232" s="807" t="s">
        <v>1796</v>
      </c>
      <c r="F1232" s="987">
        <v>2313</v>
      </c>
      <c r="G1232" s="958">
        <f>2316</f>
        <v>2316</v>
      </c>
      <c r="H1232" s="958">
        <v>2291.6</v>
      </c>
      <c r="I1232" s="958">
        <f>2330.6</f>
        <v>2330.6</v>
      </c>
      <c r="J1232" s="958">
        <f>2334.8-0.6</f>
        <v>2334.2000000000003</v>
      </c>
      <c r="K1232" s="1689" t="s">
        <v>1797</v>
      </c>
      <c r="L1232" s="1689"/>
      <c r="M1232" s="336" t="s">
        <v>1791</v>
      </c>
      <c r="N1232" s="559">
        <v>4754</v>
      </c>
      <c r="O1232" s="559">
        <f>8462*2</f>
        <v>16924</v>
      </c>
      <c r="P1232" s="559">
        <f t="shared" ref="P1232:R1232" si="56">8462*2</f>
        <v>16924</v>
      </c>
      <c r="Q1232" s="559">
        <f t="shared" si="56"/>
        <v>16924</v>
      </c>
      <c r="R1232" s="559">
        <f t="shared" si="56"/>
        <v>16924</v>
      </c>
    </row>
    <row r="1233" spans="2:18" ht="57" customHeight="1" x14ac:dyDescent="0.2">
      <c r="B1233" s="1121" t="s">
        <v>152</v>
      </c>
      <c r="C1233" s="1159" t="s">
        <v>123</v>
      </c>
      <c r="D1233" s="572"/>
      <c r="E1233" s="1122" t="s">
        <v>1798</v>
      </c>
      <c r="F1233" s="1119">
        <v>2400</v>
      </c>
      <c r="G1233" s="1119">
        <v>2400</v>
      </c>
      <c r="H1233" s="1119">
        <v>0</v>
      </c>
      <c r="I1233" s="1119">
        <v>0</v>
      </c>
      <c r="J1233" s="1119">
        <v>0</v>
      </c>
      <c r="K1233" s="1724" t="s">
        <v>1799</v>
      </c>
      <c r="L1233" s="1724"/>
      <c r="M1233" s="553" t="s">
        <v>1800</v>
      </c>
      <c r="N1233" s="553" t="s">
        <v>1801</v>
      </c>
      <c r="O1233" s="1169" t="s">
        <v>1802</v>
      </c>
      <c r="P1233" s="1169" t="s">
        <v>1803</v>
      </c>
      <c r="Q1233" s="1169" t="s">
        <v>1804</v>
      </c>
      <c r="R1233" s="1169" t="s">
        <v>1805</v>
      </c>
    </row>
    <row r="1234" spans="2:18" ht="15" customHeight="1" x14ac:dyDescent="0.2">
      <c r="B1234" s="1624"/>
      <c r="C1234" s="1624" t="s">
        <v>123</v>
      </c>
      <c r="D1234" s="1624"/>
      <c r="E1234" s="1625" t="s">
        <v>1806</v>
      </c>
      <c r="F1234" s="1592">
        <v>1200</v>
      </c>
      <c r="G1234" s="1598">
        <v>1200</v>
      </c>
      <c r="H1234" s="1598">
        <v>0</v>
      </c>
      <c r="I1234" s="1598">
        <v>0</v>
      </c>
      <c r="J1234" s="1598">
        <v>0</v>
      </c>
      <c r="K1234" s="1689" t="s">
        <v>1807</v>
      </c>
      <c r="L1234" s="1689"/>
      <c r="M1234" s="336" t="s">
        <v>1808</v>
      </c>
      <c r="N1234" s="336">
        <v>1450</v>
      </c>
      <c r="O1234" s="336">
        <v>1500</v>
      </c>
      <c r="P1234" s="336">
        <v>1500</v>
      </c>
      <c r="Q1234" s="336">
        <v>1500</v>
      </c>
      <c r="R1234" s="336">
        <v>1500</v>
      </c>
    </row>
    <row r="1235" spans="2:18" ht="15" customHeight="1" x14ac:dyDescent="0.2">
      <c r="B1235" s="1624"/>
      <c r="C1235" s="1624"/>
      <c r="D1235" s="1624"/>
      <c r="E1235" s="1625"/>
      <c r="F1235" s="1592"/>
      <c r="G1235" s="1598"/>
      <c r="H1235" s="1598"/>
      <c r="I1235" s="1598"/>
      <c r="J1235" s="1598"/>
      <c r="K1235" s="1689" t="s">
        <v>1809</v>
      </c>
      <c r="L1235" s="1689"/>
      <c r="M1235" s="336" t="s">
        <v>1791</v>
      </c>
      <c r="N1235" s="336">
        <v>152</v>
      </c>
      <c r="O1235" s="336">
        <v>170</v>
      </c>
      <c r="P1235" s="336">
        <v>170</v>
      </c>
      <c r="Q1235" s="336">
        <v>170</v>
      </c>
      <c r="R1235" s="336">
        <v>170</v>
      </c>
    </row>
    <row r="1236" spans="2:18" ht="15" customHeight="1" x14ac:dyDescent="0.2">
      <c r="B1236" s="1624"/>
      <c r="C1236" s="1624" t="s">
        <v>125</v>
      </c>
      <c r="D1236" s="1624"/>
      <c r="E1236" s="1625" t="s">
        <v>1810</v>
      </c>
      <c r="F1236" s="1592">
        <v>1200</v>
      </c>
      <c r="G1236" s="1598">
        <v>1200</v>
      </c>
      <c r="H1236" s="1598">
        <v>0</v>
      </c>
      <c r="I1236" s="1598">
        <v>0</v>
      </c>
      <c r="J1236" s="1598">
        <v>0</v>
      </c>
      <c r="K1236" s="1689" t="s">
        <v>2629</v>
      </c>
      <c r="L1236" s="1689"/>
      <c r="M1236" s="336" t="s">
        <v>1808</v>
      </c>
      <c r="N1236" s="1170">
        <v>1450</v>
      </c>
      <c r="O1236" s="1170">
        <v>1450</v>
      </c>
      <c r="P1236" s="1170">
        <v>1450</v>
      </c>
      <c r="Q1236" s="1170">
        <v>1450</v>
      </c>
      <c r="R1236" s="1145">
        <v>1450</v>
      </c>
    </row>
    <row r="1237" spans="2:18" ht="15" customHeight="1" x14ac:dyDescent="0.2">
      <c r="B1237" s="1624"/>
      <c r="C1237" s="1624"/>
      <c r="D1237" s="1624"/>
      <c r="E1237" s="1625"/>
      <c r="F1237" s="1592"/>
      <c r="G1237" s="1598"/>
      <c r="H1237" s="1598"/>
      <c r="I1237" s="1598"/>
      <c r="J1237" s="1598"/>
      <c r="K1237" s="1689" t="s">
        <v>2630</v>
      </c>
      <c r="L1237" s="1689"/>
      <c r="M1237" s="336" t="s">
        <v>1791</v>
      </c>
      <c r="N1237" s="1170">
        <v>152</v>
      </c>
      <c r="O1237" s="1170">
        <v>152</v>
      </c>
      <c r="P1237" s="1170">
        <v>152</v>
      </c>
      <c r="Q1237" s="1170">
        <v>152</v>
      </c>
      <c r="R1237" s="1145">
        <v>152</v>
      </c>
    </row>
    <row r="1238" spans="2:18" x14ac:dyDescent="0.2">
      <c r="B1238" s="1171">
        <v>992</v>
      </c>
      <c r="C1238" s="1172"/>
      <c r="D1238" s="1173"/>
      <c r="E1238" s="1174" t="s">
        <v>765</v>
      </c>
      <c r="F1238" s="918">
        <f>F1239+F1240</f>
        <v>51081.061000000002</v>
      </c>
      <c r="G1238" s="918">
        <f>G1239+G1240</f>
        <v>115170</v>
      </c>
      <c r="H1238" s="918">
        <f>H1239+H1240</f>
        <v>75225</v>
      </c>
      <c r="I1238" s="918">
        <f t="shared" ref="I1238:J1238" si="57">I1239+I1240</f>
        <v>0</v>
      </c>
      <c r="J1238" s="918">
        <f t="shared" si="57"/>
        <v>0</v>
      </c>
      <c r="K1238" s="1689"/>
      <c r="L1238" s="1689"/>
      <c r="M1238" s="553"/>
      <c r="N1238" s="1169"/>
      <c r="O1238" s="1169"/>
      <c r="P1238" s="1169"/>
      <c r="Q1238" s="1169"/>
      <c r="R1238" s="575"/>
    </row>
    <row r="1239" spans="2:18" x14ac:dyDescent="0.2">
      <c r="B1239" s="1171"/>
      <c r="C1239" s="1172"/>
      <c r="D1239" s="1173"/>
      <c r="E1239" s="755" t="s">
        <v>1811</v>
      </c>
      <c r="F1239" s="914">
        <v>51081.061000000002</v>
      </c>
      <c r="G1239" s="914">
        <v>52350</v>
      </c>
      <c r="H1239" s="914">
        <f>27186+5517-30</f>
        <v>32673</v>
      </c>
      <c r="I1239" s="958"/>
      <c r="J1239" s="958"/>
      <c r="K1239" s="1689"/>
      <c r="L1239" s="1689"/>
      <c r="M1239" s="336"/>
      <c r="N1239" s="1170"/>
      <c r="O1239" s="1170"/>
      <c r="P1239" s="1170"/>
      <c r="Q1239" s="1170"/>
      <c r="R1239" s="1145"/>
    </row>
    <row r="1240" spans="2:18" x14ac:dyDescent="0.2">
      <c r="B1240" s="1171"/>
      <c r="C1240" s="1172"/>
      <c r="D1240" s="1173"/>
      <c r="E1240" s="755" t="s">
        <v>1812</v>
      </c>
      <c r="F1240" s="914"/>
      <c r="G1240" s="914">
        <v>62820</v>
      </c>
      <c r="H1240" s="914">
        <v>42552</v>
      </c>
      <c r="I1240" s="958"/>
      <c r="J1240" s="958"/>
      <c r="K1240" s="1689"/>
      <c r="L1240" s="1689"/>
      <c r="M1240" s="336"/>
      <c r="N1240" s="1170"/>
      <c r="O1240" s="1170"/>
      <c r="P1240" s="1170"/>
      <c r="Q1240" s="1170"/>
      <c r="R1240" s="1145"/>
    </row>
    <row r="1241" spans="2:18" ht="22.5" customHeight="1" x14ac:dyDescent="0.2">
      <c r="B1241" s="1716" t="s">
        <v>64</v>
      </c>
      <c r="C1241" s="1716"/>
      <c r="D1241" s="1716"/>
      <c r="E1241" s="1716"/>
      <c r="F1241" s="937">
        <f>F1215+F1223+F1226+F1229+F1233+F1238</f>
        <v>985159.27100000007</v>
      </c>
      <c r="G1241" s="937">
        <f t="shared" ref="G1241:J1241" si="58">G1215+G1223+G1226+G1229+G1233+G1238</f>
        <v>1130499.8999999999</v>
      </c>
      <c r="H1241" s="937">
        <f>H1215+H1223+H1226+H1229+H1233+H1238</f>
        <v>1119797.4351233779</v>
      </c>
      <c r="I1241" s="937">
        <f t="shared" si="58"/>
        <v>1061481.6734362149</v>
      </c>
      <c r="J1241" s="937">
        <f t="shared" si="58"/>
        <v>1077407.5310515978</v>
      </c>
      <c r="K1241" s="1690"/>
      <c r="L1241" s="1690"/>
      <c r="M1241" s="1175"/>
      <c r="N1241" s="1176"/>
      <c r="O1241" s="1176"/>
      <c r="P1241" s="1176"/>
      <c r="Q1241" s="1176"/>
      <c r="R1241" s="1177"/>
    </row>
    <row r="1242" spans="2:18" ht="21" customHeight="1" x14ac:dyDescent="0.2">
      <c r="B1242" s="1725" t="s">
        <v>1813</v>
      </c>
      <c r="C1242" s="1725"/>
      <c r="D1242" s="1725"/>
      <c r="E1242" s="1725"/>
      <c r="F1242" s="1725"/>
      <c r="G1242" s="1725"/>
      <c r="H1242" s="1725"/>
      <c r="I1242" s="1725"/>
      <c r="J1242" s="1725"/>
      <c r="K1242" s="1725"/>
      <c r="L1242" s="1725"/>
      <c r="M1242" s="1725"/>
      <c r="N1242" s="1725"/>
      <c r="O1242" s="1725"/>
      <c r="P1242" s="1725"/>
      <c r="Q1242" s="1725"/>
      <c r="R1242" s="1725"/>
    </row>
    <row r="1243" spans="2:18" ht="21" customHeight="1" x14ac:dyDescent="0.2">
      <c r="B1243" s="1178">
        <v>1</v>
      </c>
      <c r="C1243" s="1179"/>
      <c r="D1243" s="1179"/>
      <c r="E1243" s="1180" t="s">
        <v>2805</v>
      </c>
      <c r="F1243" s="955">
        <v>85496.936245110817</v>
      </c>
      <c r="G1243" s="955">
        <v>98981.746874999997</v>
      </c>
      <c r="H1243" s="1181">
        <f>H1244+H1245+H1246+H1247+H1249+H1250+H1253+H1254+H1255</f>
        <v>79787</v>
      </c>
      <c r="I1243" s="955">
        <v>74011.282031249997</v>
      </c>
      <c r="J1243" s="955">
        <v>74619.573046874997</v>
      </c>
      <c r="K1243" s="1719" t="s">
        <v>16</v>
      </c>
      <c r="L1243" s="1719"/>
      <c r="M1243" s="1182" t="s">
        <v>17</v>
      </c>
      <c r="N1243" s="1183">
        <v>0.315</v>
      </c>
      <c r="O1243" s="1183">
        <v>0.316</v>
      </c>
      <c r="P1243" s="1183">
        <v>0.316</v>
      </c>
      <c r="Q1243" s="1183">
        <v>0.316</v>
      </c>
      <c r="R1243" s="1183">
        <v>0.316</v>
      </c>
    </row>
    <row r="1244" spans="2:18" ht="15" customHeight="1" x14ac:dyDescent="0.2">
      <c r="B1244" s="1184"/>
      <c r="C1244" s="1185">
        <v>1</v>
      </c>
      <c r="D1244" s="1186"/>
      <c r="E1244" s="1095" t="s">
        <v>18</v>
      </c>
      <c r="F1244" s="954">
        <v>20054.836897001303</v>
      </c>
      <c r="G1244" s="954">
        <v>23217.940624999999</v>
      </c>
      <c r="H1244" s="1187">
        <f>16734.8+224.6+49.8+7.4+342.9</f>
        <v>17359.5</v>
      </c>
      <c r="I1244" s="954">
        <v>17360.671093749999</v>
      </c>
      <c r="J1244" s="954">
        <v>17503.356640624999</v>
      </c>
      <c r="K1244" s="1689" t="s">
        <v>19</v>
      </c>
      <c r="L1244" s="1689"/>
      <c r="M1244" s="1188" t="s">
        <v>20</v>
      </c>
      <c r="N1244" s="1189">
        <v>0.40699999999999997</v>
      </c>
      <c r="O1244" s="1190">
        <v>0.44</v>
      </c>
      <c r="P1244" s="1190">
        <v>0.49</v>
      </c>
      <c r="Q1244" s="1190">
        <v>0.53</v>
      </c>
      <c r="R1244" s="1190">
        <v>0.56999999999999995</v>
      </c>
    </row>
    <row r="1245" spans="2:18" ht="15" customHeight="1" x14ac:dyDescent="0.2">
      <c r="B1245" s="1191"/>
      <c r="C1245" s="1192">
        <v>2</v>
      </c>
      <c r="D1245" s="1193"/>
      <c r="E1245" s="1194" t="s">
        <v>22</v>
      </c>
      <c r="F1245" s="1195">
        <v>3518.3924380704043</v>
      </c>
      <c r="G1245" s="1195">
        <v>4073.3229166666665</v>
      </c>
      <c r="H1245" s="1187">
        <f>3462.7+320.9</f>
        <v>3783.6</v>
      </c>
      <c r="I1245" s="1195">
        <v>3045.7317708333335</v>
      </c>
      <c r="J1245" s="1195">
        <v>3070.7643229166665</v>
      </c>
      <c r="K1245" s="1689" t="s">
        <v>23</v>
      </c>
      <c r="L1245" s="1689"/>
      <c r="M1245" s="1188" t="s">
        <v>17</v>
      </c>
      <c r="N1245" s="1189">
        <v>0.95199999999999996</v>
      </c>
      <c r="O1245" s="1189">
        <v>0.98</v>
      </c>
      <c r="P1245" s="1189">
        <v>0.99</v>
      </c>
      <c r="Q1245" s="1189">
        <v>0.99</v>
      </c>
      <c r="R1245" s="1189">
        <v>1</v>
      </c>
    </row>
    <row r="1246" spans="2:18" ht="40.5" customHeight="1" x14ac:dyDescent="0.2">
      <c r="B1246" s="1191"/>
      <c r="C1246" s="1192">
        <v>3</v>
      </c>
      <c r="D1246" s="1193"/>
      <c r="E1246" s="1196" t="s">
        <v>1409</v>
      </c>
      <c r="F1246" s="1195">
        <v>2462.8747066492829</v>
      </c>
      <c r="G1246" s="1195">
        <v>2851.3260416666667</v>
      </c>
      <c r="H1246" s="1187">
        <f>2423.9+224.6</f>
        <v>2648.5</v>
      </c>
      <c r="I1246" s="1195">
        <v>2132.0122395833332</v>
      </c>
      <c r="J1246" s="1195">
        <v>2149.5350260416667</v>
      </c>
      <c r="K1246" s="1689" t="s">
        <v>2631</v>
      </c>
      <c r="L1246" s="1689"/>
      <c r="M1246" s="1188" t="s">
        <v>17</v>
      </c>
      <c r="N1246" s="1189">
        <v>0.85</v>
      </c>
      <c r="O1246" s="1189">
        <v>0.85</v>
      </c>
      <c r="P1246" s="1189">
        <v>0.9</v>
      </c>
      <c r="Q1246" s="1189">
        <v>0.9</v>
      </c>
      <c r="R1246" s="1189">
        <v>0.9</v>
      </c>
    </row>
    <row r="1247" spans="2:18" ht="15" customHeight="1" x14ac:dyDescent="0.2">
      <c r="B1247" s="1721"/>
      <c r="C1247" s="1829">
        <v>4</v>
      </c>
      <c r="D1247" s="1713"/>
      <c r="E1247" s="1831" t="s">
        <v>26</v>
      </c>
      <c r="F1247" s="1723">
        <v>4925.7494132985657</v>
      </c>
      <c r="G1247" s="1723">
        <v>5702.6520833333334</v>
      </c>
      <c r="H1247" s="1723">
        <f>4721.9+352.9+5.9+0.9+65.3</f>
        <v>5146.8999999999987</v>
      </c>
      <c r="I1247" s="1723">
        <v>4264.0244791666664</v>
      </c>
      <c r="J1247" s="1723">
        <v>4299.0700520833334</v>
      </c>
      <c r="K1247" s="1689" t="s">
        <v>2632</v>
      </c>
      <c r="L1247" s="1689"/>
      <c r="M1247" s="1197" t="s">
        <v>130</v>
      </c>
      <c r="N1247" s="1198">
        <v>10</v>
      </c>
      <c r="O1247" s="1197">
        <v>15</v>
      </c>
      <c r="P1247" s="1197">
        <v>20</v>
      </c>
      <c r="Q1247" s="1197">
        <v>25</v>
      </c>
      <c r="R1247" s="1197">
        <v>30</v>
      </c>
    </row>
    <row r="1248" spans="2:18" ht="15" customHeight="1" x14ac:dyDescent="0.2">
      <c r="B1248" s="1721"/>
      <c r="C1248" s="1829"/>
      <c r="D1248" s="1713"/>
      <c r="E1248" s="1831"/>
      <c r="F1248" s="1723"/>
      <c r="G1248" s="1723"/>
      <c r="H1248" s="1723"/>
      <c r="I1248" s="1723"/>
      <c r="J1248" s="1723"/>
      <c r="K1248" s="1689" t="s">
        <v>27</v>
      </c>
      <c r="L1248" s="1689"/>
      <c r="M1248" s="1197" t="s">
        <v>28</v>
      </c>
      <c r="N1248" s="1197" t="s">
        <v>1814</v>
      </c>
      <c r="O1248" s="1197" t="s">
        <v>1815</v>
      </c>
      <c r="P1248" s="1197" t="s">
        <v>1816</v>
      </c>
      <c r="Q1248" s="1197" t="s">
        <v>1817</v>
      </c>
      <c r="R1248" s="1197" t="s">
        <v>1818</v>
      </c>
    </row>
    <row r="1249" spans="2:18" ht="30" customHeight="1" x14ac:dyDescent="0.2">
      <c r="B1249" s="1199"/>
      <c r="C1249" s="1200">
        <v>5</v>
      </c>
      <c r="D1249" s="1201"/>
      <c r="E1249" s="1202" t="s">
        <v>1819</v>
      </c>
      <c r="F1249" s="1187">
        <v>1407.3569752281617</v>
      </c>
      <c r="G1249" s="1187">
        <v>1629.3291666666667</v>
      </c>
      <c r="H1249" s="1187">
        <f>1385.1+128.4</f>
        <v>1513.5</v>
      </c>
      <c r="I1249" s="1187">
        <v>1218.2927083333334</v>
      </c>
      <c r="J1249" s="1187">
        <v>1228.3057291666667</v>
      </c>
      <c r="K1249" s="1689" t="s">
        <v>2633</v>
      </c>
      <c r="L1249" s="1689"/>
      <c r="M1249" s="1197" t="s">
        <v>225</v>
      </c>
      <c r="N1249" s="1197">
        <v>12.4</v>
      </c>
      <c r="O1249" s="1197">
        <v>14</v>
      </c>
      <c r="P1249" s="1197">
        <v>15</v>
      </c>
      <c r="Q1249" s="1197">
        <v>16</v>
      </c>
      <c r="R1249" s="1197">
        <v>17</v>
      </c>
    </row>
    <row r="1250" spans="2:18" ht="15" customHeight="1" x14ac:dyDescent="0.2">
      <c r="B1250" s="1722"/>
      <c r="C1250" s="1829">
        <v>6</v>
      </c>
      <c r="D1250" s="1830"/>
      <c r="E1250" s="1831" t="s">
        <v>29</v>
      </c>
      <c r="F1250" s="1723">
        <v>351.83924380704042</v>
      </c>
      <c r="G1250" s="1723">
        <v>407.33229166666666</v>
      </c>
      <c r="H1250" s="1723">
        <f>346.3</f>
        <v>346.3</v>
      </c>
      <c r="I1250" s="1723">
        <v>304.57317708333335</v>
      </c>
      <c r="J1250" s="1723">
        <v>307.07643229166666</v>
      </c>
      <c r="K1250" s="1689" t="s">
        <v>2634</v>
      </c>
      <c r="L1250" s="1689"/>
      <c r="M1250" s="1197" t="s">
        <v>31</v>
      </c>
      <c r="N1250" s="1197">
        <v>15</v>
      </c>
      <c r="O1250" s="1197">
        <v>17</v>
      </c>
      <c r="P1250" s="1197">
        <v>19</v>
      </c>
      <c r="Q1250" s="1197">
        <v>21</v>
      </c>
      <c r="R1250" s="1197">
        <v>25</v>
      </c>
    </row>
    <row r="1251" spans="2:18" ht="38.25" customHeight="1" x14ac:dyDescent="0.2">
      <c r="B1251" s="1722"/>
      <c r="C1251" s="1829"/>
      <c r="D1251" s="1830"/>
      <c r="E1251" s="1831"/>
      <c r="F1251" s="1723"/>
      <c r="G1251" s="1723"/>
      <c r="H1251" s="1723"/>
      <c r="I1251" s="1723"/>
      <c r="J1251" s="1723"/>
      <c r="K1251" s="1689" t="s">
        <v>2635</v>
      </c>
      <c r="L1251" s="1689"/>
      <c r="M1251" s="1197" t="s">
        <v>31</v>
      </c>
      <c r="N1251" s="1197">
        <v>100</v>
      </c>
      <c r="O1251" s="1197">
        <v>106</v>
      </c>
      <c r="P1251" s="1197">
        <v>109</v>
      </c>
      <c r="Q1251" s="1197">
        <v>111</v>
      </c>
      <c r="R1251" s="1197">
        <v>115</v>
      </c>
    </row>
    <row r="1252" spans="2:18" ht="51.75" customHeight="1" x14ac:dyDescent="0.2">
      <c r="B1252" s="1722"/>
      <c r="C1252" s="1829"/>
      <c r="D1252" s="1830"/>
      <c r="E1252" s="1831"/>
      <c r="F1252" s="1723"/>
      <c r="G1252" s="1723"/>
      <c r="H1252" s="1723"/>
      <c r="I1252" s="1723"/>
      <c r="J1252" s="1723"/>
      <c r="K1252" s="1689" t="s">
        <v>2636</v>
      </c>
      <c r="L1252" s="1689"/>
      <c r="M1252" s="1197" t="s">
        <v>31</v>
      </c>
      <c r="N1252" s="1197">
        <v>75</v>
      </c>
      <c r="O1252" s="1197">
        <v>81</v>
      </c>
      <c r="P1252" s="1197">
        <v>88</v>
      </c>
      <c r="Q1252" s="1197">
        <v>91</v>
      </c>
      <c r="R1252" s="1197">
        <v>99</v>
      </c>
    </row>
    <row r="1253" spans="2:18" ht="39" customHeight="1" x14ac:dyDescent="0.2">
      <c r="B1253" s="1722"/>
      <c r="C1253" s="1829"/>
      <c r="D1253" s="1830"/>
      <c r="E1253" s="1831"/>
      <c r="F1253" s="1187">
        <v>703.67848761408084</v>
      </c>
      <c r="G1253" s="1187">
        <v>1221.996875</v>
      </c>
      <c r="H1253" s="1187">
        <v>1038.8</v>
      </c>
      <c r="I1253" s="1187">
        <v>913.71953125000005</v>
      </c>
      <c r="J1253" s="1187">
        <v>921.22929687500005</v>
      </c>
      <c r="K1253" s="1689" t="s">
        <v>2637</v>
      </c>
      <c r="L1253" s="1689"/>
      <c r="M1253" s="1197" t="s">
        <v>31</v>
      </c>
      <c r="N1253" s="1197">
        <v>0</v>
      </c>
      <c r="O1253" s="1197">
        <v>1</v>
      </c>
      <c r="P1253" s="1197">
        <v>1</v>
      </c>
      <c r="Q1253" s="1197">
        <v>0</v>
      </c>
      <c r="R1253" s="1197">
        <v>0</v>
      </c>
    </row>
    <row r="1254" spans="2:18" ht="42.75" customHeight="1" x14ac:dyDescent="0.2">
      <c r="B1254" s="1203"/>
      <c r="C1254" s="1200">
        <v>6</v>
      </c>
      <c r="D1254" s="1204"/>
      <c r="E1254" s="1205" t="s">
        <v>32</v>
      </c>
      <c r="F1254" s="1187">
        <v>46794.619426336372</v>
      </c>
      <c r="G1254" s="1187">
        <v>53767.862500000003</v>
      </c>
      <c r="H1254" s="1187">
        <f>40516.1+1540.1+81.9+12.1+563.3</f>
        <v>42713.5</v>
      </c>
      <c r="I1254" s="1187">
        <v>40203.659375000003</v>
      </c>
      <c r="J1254" s="1187">
        <v>40534.089062500003</v>
      </c>
      <c r="K1254" s="1689" t="s">
        <v>2638</v>
      </c>
      <c r="L1254" s="1689"/>
      <c r="M1254" s="1197" t="s">
        <v>17</v>
      </c>
      <c r="N1254" s="1206">
        <v>0.17</v>
      </c>
      <c r="O1254" s="1206">
        <v>0.17</v>
      </c>
      <c r="P1254" s="1206">
        <v>0.17</v>
      </c>
      <c r="Q1254" s="1206">
        <v>0.17</v>
      </c>
      <c r="R1254" s="1206">
        <v>0.17</v>
      </c>
    </row>
    <row r="1255" spans="2:18" ht="81" customHeight="1" x14ac:dyDescent="0.2">
      <c r="B1255" s="1207"/>
      <c r="C1255" s="1192">
        <v>7</v>
      </c>
      <c r="D1255" s="1208"/>
      <c r="E1255" s="1196" t="s">
        <v>251</v>
      </c>
      <c r="F1255" s="1195">
        <v>5277.5886571056062</v>
      </c>
      <c r="G1255" s="1195">
        <v>6109.984375</v>
      </c>
      <c r="H1255" s="1187">
        <f>4954.6+224.6+7.1+1.1+49</f>
        <v>5236.4000000000015</v>
      </c>
      <c r="I1255" s="1195">
        <v>4568.59765625</v>
      </c>
      <c r="J1255" s="1195">
        <v>4606.146484375</v>
      </c>
      <c r="K1255" s="1689" t="s">
        <v>2639</v>
      </c>
      <c r="L1255" s="1689"/>
      <c r="M1255" s="1188" t="s">
        <v>225</v>
      </c>
      <c r="N1255" s="1188">
        <v>82.6</v>
      </c>
      <c r="O1255" s="1188">
        <v>100</v>
      </c>
      <c r="P1255" s="1188">
        <v>100</v>
      </c>
      <c r="Q1255" s="1188">
        <v>100</v>
      </c>
      <c r="R1255" s="1188">
        <v>100</v>
      </c>
    </row>
    <row r="1256" spans="2:18" ht="58.5" customHeight="1" x14ac:dyDescent="0.2">
      <c r="B1256" s="1209">
        <v>3</v>
      </c>
      <c r="C1256" s="1210"/>
      <c r="D1256" s="1210"/>
      <c r="E1256" s="1211" t="s">
        <v>2806</v>
      </c>
      <c r="F1256" s="1212">
        <v>64738.42086049544</v>
      </c>
      <c r="G1256" s="1212">
        <v>74949.141666666663</v>
      </c>
      <c r="H1256" s="1181">
        <f>H1257+H1261+H1264+H1265</f>
        <v>51935.899999999994</v>
      </c>
      <c r="I1256" s="1212">
        <v>56041.464583333334</v>
      </c>
      <c r="J1256" s="1212">
        <v>56502.063541666663</v>
      </c>
      <c r="K1256" s="1719" t="s">
        <v>1820</v>
      </c>
      <c r="L1256" s="1719"/>
      <c r="M1256" s="1182" t="s">
        <v>736</v>
      </c>
      <c r="N1256" s="1182">
        <v>99</v>
      </c>
      <c r="O1256" s="1182">
        <v>51</v>
      </c>
      <c r="P1256" s="1182">
        <v>51</v>
      </c>
      <c r="Q1256" s="1182">
        <v>40</v>
      </c>
      <c r="R1256" s="1182">
        <v>40</v>
      </c>
    </row>
    <row r="1257" spans="2:18" ht="42.75" customHeight="1" x14ac:dyDescent="0.2">
      <c r="B1257" s="1717"/>
      <c r="C1257" s="1825" t="s">
        <v>123</v>
      </c>
      <c r="D1257" s="1717"/>
      <c r="E1257" s="1826" t="s">
        <v>1821</v>
      </c>
      <c r="F1257" s="1827">
        <v>36591.281355932202</v>
      </c>
      <c r="G1257" s="1827">
        <v>42362.558333333334</v>
      </c>
      <c r="H1257" s="1723">
        <f>27897.7+288.8+102.1+15.1+693.9</f>
        <v>28997.599999999999</v>
      </c>
      <c r="I1257" s="1827">
        <v>31675.61041666667</v>
      </c>
      <c r="J1257" s="1827">
        <v>31935.948958333334</v>
      </c>
      <c r="K1257" s="1714" t="s">
        <v>1822</v>
      </c>
      <c r="L1257" s="1714"/>
      <c r="M1257" s="1188" t="s">
        <v>31</v>
      </c>
      <c r="N1257" s="1188">
        <v>323</v>
      </c>
      <c r="O1257" s="1188">
        <v>350</v>
      </c>
      <c r="P1257" s="1188">
        <v>355</v>
      </c>
      <c r="Q1257" s="1188">
        <v>356</v>
      </c>
      <c r="R1257" s="1188">
        <v>358</v>
      </c>
    </row>
    <row r="1258" spans="2:18" ht="36" customHeight="1" x14ac:dyDescent="0.2">
      <c r="B1258" s="1717"/>
      <c r="C1258" s="1825"/>
      <c r="D1258" s="1717"/>
      <c r="E1258" s="1826"/>
      <c r="F1258" s="1827"/>
      <c r="G1258" s="1827"/>
      <c r="H1258" s="1723"/>
      <c r="I1258" s="1827"/>
      <c r="J1258" s="1827"/>
      <c r="K1258" s="1213" t="s">
        <v>2640</v>
      </c>
      <c r="L1258" s="1146"/>
      <c r="M1258" s="1188" t="s">
        <v>1244</v>
      </c>
      <c r="N1258" s="1214">
        <v>506</v>
      </c>
      <c r="O1258" s="1214">
        <v>500</v>
      </c>
      <c r="P1258" s="1214">
        <v>500</v>
      </c>
      <c r="Q1258" s="1214">
        <v>499</v>
      </c>
      <c r="R1258" s="1214">
        <v>499</v>
      </c>
    </row>
    <row r="1259" spans="2:18" ht="30" customHeight="1" x14ac:dyDescent="0.2">
      <c r="B1259" s="1717"/>
      <c r="C1259" s="1825"/>
      <c r="D1259" s="1717"/>
      <c r="E1259" s="1826"/>
      <c r="F1259" s="1827"/>
      <c r="G1259" s="1827"/>
      <c r="H1259" s="1723"/>
      <c r="I1259" s="1827"/>
      <c r="J1259" s="1827"/>
      <c r="K1259" s="1714" t="s">
        <v>2641</v>
      </c>
      <c r="L1259" s="1714"/>
      <c r="M1259" s="1188" t="s">
        <v>130</v>
      </c>
      <c r="N1259" s="1214">
        <v>56</v>
      </c>
      <c r="O1259" s="1214">
        <v>58</v>
      </c>
      <c r="P1259" s="1214">
        <v>59</v>
      </c>
      <c r="Q1259" s="1214">
        <v>60</v>
      </c>
      <c r="R1259" s="1214">
        <v>61</v>
      </c>
    </row>
    <row r="1260" spans="2:18" ht="39.75" customHeight="1" x14ac:dyDescent="0.2">
      <c r="B1260" s="1717"/>
      <c r="C1260" s="1825"/>
      <c r="D1260" s="1717"/>
      <c r="E1260" s="1826"/>
      <c r="F1260" s="1827"/>
      <c r="G1260" s="1827"/>
      <c r="H1260" s="1723"/>
      <c r="I1260" s="1827"/>
      <c r="J1260" s="1827"/>
      <c r="K1260" s="1714" t="s">
        <v>2642</v>
      </c>
      <c r="L1260" s="1714"/>
      <c r="M1260" s="1188" t="s">
        <v>17</v>
      </c>
      <c r="N1260" s="1189">
        <v>5.6000000000000001E-2</v>
      </c>
      <c r="O1260" s="1189">
        <v>5.6000000000000001E-2</v>
      </c>
      <c r="P1260" s="1189">
        <v>5.7000000000000002E-2</v>
      </c>
      <c r="Q1260" s="1189">
        <v>5.7000000000000002E-2</v>
      </c>
      <c r="R1260" s="1189">
        <v>5.7000000000000002E-2</v>
      </c>
    </row>
    <row r="1261" spans="2:18" ht="33" customHeight="1" x14ac:dyDescent="0.2">
      <c r="B1261" s="1718"/>
      <c r="C1261" s="1828" t="s">
        <v>125</v>
      </c>
      <c r="D1261" s="1718"/>
      <c r="E1261" s="1826" t="s">
        <v>1823</v>
      </c>
      <c r="F1261" s="1827">
        <v>7740.4633637548895</v>
      </c>
      <c r="G1261" s="1827">
        <v>8961.3104166666672</v>
      </c>
      <c r="H1261" s="1723">
        <f>5914+224.6+17.8+2.6+122.4</f>
        <v>6281.4000000000005</v>
      </c>
      <c r="I1261" s="1827">
        <v>6700.6098958333332</v>
      </c>
      <c r="J1261" s="1827">
        <v>6755.6815104166662</v>
      </c>
      <c r="K1261" s="1714" t="s">
        <v>2643</v>
      </c>
      <c r="L1261" s="1714"/>
      <c r="M1261" s="1188" t="s">
        <v>31</v>
      </c>
      <c r="N1261" s="1188">
        <v>517</v>
      </c>
      <c r="O1261" s="1188">
        <v>450</v>
      </c>
      <c r="P1261" s="1188">
        <v>460</v>
      </c>
      <c r="Q1261" s="1188">
        <v>550</v>
      </c>
      <c r="R1261" s="1188">
        <v>500</v>
      </c>
    </row>
    <row r="1262" spans="2:18" ht="37.5" customHeight="1" x14ac:dyDescent="0.2">
      <c r="B1262" s="1718"/>
      <c r="C1262" s="1828"/>
      <c r="D1262" s="1718"/>
      <c r="E1262" s="1826"/>
      <c r="F1262" s="1827"/>
      <c r="G1262" s="1827"/>
      <c r="H1262" s="1723"/>
      <c r="I1262" s="1827"/>
      <c r="J1262" s="1827"/>
      <c r="K1262" s="1714" t="s">
        <v>2644</v>
      </c>
      <c r="L1262" s="1714"/>
      <c r="M1262" s="1188" t="s">
        <v>31</v>
      </c>
      <c r="N1262" s="1188">
        <v>2024</v>
      </c>
      <c r="O1262" s="1188">
        <v>1599</v>
      </c>
      <c r="P1262" s="1188">
        <v>1665</v>
      </c>
      <c r="Q1262" s="1188">
        <v>1980</v>
      </c>
      <c r="R1262" s="1188">
        <v>1800</v>
      </c>
    </row>
    <row r="1263" spans="2:18" ht="55.5" customHeight="1" x14ac:dyDescent="0.2">
      <c r="B1263" s="1718"/>
      <c r="C1263" s="1828"/>
      <c r="D1263" s="1718"/>
      <c r="E1263" s="1826"/>
      <c r="F1263" s="1827"/>
      <c r="G1263" s="1827"/>
      <c r="H1263" s="1723"/>
      <c r="I1263" s="1827"/>
      <c r="J1263" s="1827"/>
      <c r="K1263" s="1714" t="s">
        <v>2645</v>
      </c>
      <c r="L1263" s="1714"/>
      <c r="M1263" s="1188" t="s">
        <v>31</v>
      </c>
      <c r="N1263" s="1215">
        <v>44</v>
      </c>
      <c r="O1263" s="1215">
        <v>52</v>
      </c>
      <c r="P1263" s="1215">
        <v>78</v>
      </c>
      <c r="Q1263" s="1215">
        <v>125</v>
      </c>
      <c r="R1263" s="1215">
        <v>156</v>
      </c>
    </row>
    <row r="1264" spans="2:18" ht="48" customHeight="1" x14ac:dyDescent="0.2">
      <c r="B1264" s="1216"/>
      <c r="C1264" s="1217" t="s">
        <v>127</v>
      </c>
      <c r="D1264" s="1210"/>
      <c r="E1264" s="1213" t="s">
        <v>1824</v>
      </c>
      <c r="F1264" s="1195">
        <v>17591.96219035202</v>
      </c>
      <c r="G1264" s="1195">
        <v>20366.614583333332</v>
      </c>
      <c r="H1264" s="1187">
        <f>13205.6+160.4+49.8+7.4+342.9</f>
        <v>13766.099999999999</v>
      </c>
      <c r="I1264" s="1195">
        <v>15228.658854166668</v>
      </c>
      <c r="J1264" s="1195">
        <v>15353.821614583334</v>
      </c>
      <c r="K1264" s="1714" t="s">
        <v>2646</v>
      </c>
      <c r="L1264" s="1714"/>
      <c r="M1264" s="1188" t="s">
        <v>17</v>
      </c>
      <c r="N1264" s="1189">
        <v>0.18</v>
      </c>
      <c r="O1264" s="1189">
        <v>0.25</v>
      </c>
      <c r="P1264" s="1189">
        <v>0.32</v>
      </c>
      <c r="Q1264" s="1189">
        <v>0.36</v>
      </c>
      <c r="R1264" s="1189">
        <v>0.42</v>
      </c>
    </row>
    <row r="1265" spans="2:18" ht="45" customHeight="1" x14ac:dyDescent="0.2">
      <c r="B1265" s="1218"/>
      <c r="C1265" s="1219" t="s">
        <v>132</v>
      </c>
      <c r="D1265" s="1218"/>
      <c r="E1265" s="1220" t="s">
        <v>1825</v>
      </c>
      <c r="F1265" s="986">
        <v>2814.7139504563233</v>
      </c>
      <c r="G1265" s="986">
        <v>3258.6583333333333</v>
      </c>
      <c r="H1265" s="986">
        <f>2656.6+224.6+1.2+0.2+8.2</f>
        <v>2890.7999999999993</v>
      </c>
      <c r="I1265" s="986">
        <v>2436.5854166666668</v>
      </c>
      <c r="J1265" s="986">
        <v>2456.6114583333333</v>
      </c>
      <c r="K1265" s="1714" t="s">
        <v>2647</v>
      </c>
      <c r="L1265" s="1714"/>
      <c r="M1265" s="1221" t="s">
        <v>17</v>
      </c>
      <c r="N1265" s="1222">
        <v>0.42</v>
      </c>
      <c r="O1265" s="1222">
        <v>0.46</v>
      </c>
      <c r="P1265" s="1222">
        <v>0.5</v>
      </c>
      <c r="Q1265" s="1222">
        <v>0.52</v>
      </c>
      <c r="R1265" s="1222">
        <v>0.56000000000000005</v>
      </c>
    </row>
    <row r="1266" spans="2:18" ht="58.5" customHeight="1" x14ac:dyDescent="0.2">
      <c r="B1266" s="1209">
        <v>4</v>
      </c>
      <c r="C1266" s="1223"/>
      <c r="D1266" s="1224"/>
      <c r="E1266" s="1211" t="s">
        <v>2807</v>
      </c>
      <c r="F1266" s="1225">
        <v>119625.34289439375</v>
      </c>
      <c r="G1266" s="1225">
        <v>138900.31145833334</v>
      </c>
      <c r="H1266" s="1226">
        <f>H1267+H1270+H1271+H1275+H1278+H1280+H1281+H1284</f>
        <v>108329.99999999999</v>
      </c>
      <c r="I1266" s="1225">
        <v>103859.45338541667</v>
      </c>
      <c r="J1266" s="1225">
        <v>104713.06341145834</v>
      </c>
      <c r="K1266" s="1719" t="s">
        <v>1826</v>
      </c>
      <c r="L1266" s="1719"/>
      <c r="M1266" s="1227" t="s">
        <v>124</v>
      </c>
      <c r="N1266" s="1228">
        <v>31</v>
      </c>
      <c r="O1266" s="1229" t="s">
        <v>1827</v>
      </c>
      <c r="P1266" s="1229" t="s">
        <v>1827</v>
      </c>
      <c r="Q1266" s="1229" t="s">
        <v>1827</v>
      </c>
      <c r="R1266" s="1229" t="s">
        <v>1827</v>
      </c>
    </row>
    <row r="1267" spans="2:18" ht="49.5" customHeight="1" x14ac:dyDescent="0.2">
      <c r="B1267" s="1715"/>
      <c r="C1267" s="1822" t="s">
        <v>123</v>
      </c>
      <c r="D1267" s="1715"/>
      <c r="E1267" s="1823" t="s">
        <v>1828</v>
      </c>
      <c r="F1267" s="1756">
        <v>10875.031172217614</v>
      </c>
      <c r="G1267" s="1756">
        <v>12627.301041666666</v>
      </c>
      <c r="H1267" s="1661">
        <f>9454.1+160.4+24.9+3.7+171.4</f>
        <v>9814.5</v>
      </c>
      <c r="I1267" s="1756">
        <v>9441.7684895833336</v>
      </c>
      <c r="J1267" s="1756">
        <v>9519.3694010416657</v>
      </c>
      <c r="K1267" s="1714" t="s">
        <v>2648</v>
      </c>
      <c r="L1267" s="1714"/>
      <c r="M1267" s="1230" t="s">
        <v>124</v>
      </c>
      <c r="N1267" s="1230">
        <v>77</v>
      </c>
      <c r="O1267" s="1230" t="s">
        <v>1827</v>
      </c>
      <c r="P1267" s="1230" t="s">
        <v>1827</v>
      </c>
      <c r="Q1267" s="1230" t="s">
        <v>1827</v>
      </c>
      <c r="R1267" s="1230" t="s">
        <v>1827</v>
      </c>
    </row>
    <row r="1268" spans="2:18" ht="56.25" customHeight="1" x14ac:dyDescent="0.2">
      <c r="B1268" s="1715"/>
      <c r="C1268" s="1822"/>
      <c r="D1268" s="1715"/>
      <c r="E1268" s="1823"/>
      <c r="F1268" s="1756"/>
      <c r="G1268" s="1756"/>
      <c r="H1268" s="1661"/>
      <c r="I1268" s="1756"/>
      <c r="J1268" s="1756"/>
      <c r="K1268" s="1714" t="s">
        <v>2649</v>
      </c>
      <c r="L1268" s="1714"/>
      <c r="M1268" s="1230" t="s">
        <v>124</v>
      </c>
      <c r="N1268" s="1230">
        <v>169</v>
      </c>
      <c r="O1268" s="1230" t="s">
        <v>1827</v>
      </c>
      <c r="P1268" s="1230" t="s">
        <v>1827</v>
      </c>
      <c r="Q1268" s="1230" t="s">
        <v>1827</v>
      </c>
      <c r="R1268" s="1230" t="s">
        <v>1827</v>
      </c>
    </row>
    <row r="1269" spans="2:18" ht="36.75" customHeight="1" x14ac:dyDescent="0.2">
      <c r="B1269" s="1715"/>
      <c r="C1269" s="1822"/>
      <c r="D1269" s="1715"/>
      <c r="E1269" s="1823"/>
      <c r="F1269" s="1756"/>
      <c r="G1269" s="1756"/>
      <c r="H1269" s="1661"/>
      <c r="I1269" s="1756"/>
      <c r="J1269" s="1756"/>
      <c r="K1269" s="1714" t="s">
        <v>2650</v>
      </c>
      <c r="L1269" s="1714"/>
      <c r="M1269" s="1188" t="s">
        <v>124</v>
      </c>
      <c r="N1269" s="1230">
        <v>82</v>
      </c>
      <c r="O1269" s="1230" t="s">
        <v>1827</v>
      </c>
      <c r="P1269" s="1230" t="s">
        <v>1829</v>
      </c>
      <c r="Q1269" s="1230" t="s">
        <v>1829</v>
      </c>
      <c r="R1269" s="1230" t="s">
        <v>1829</v>
      </c>
    </row>
    <row r="1270" spans="2:18" ht="36.75" customHeight="1" x14ac:dyDescent="0.2">
      <c r="B1270" s="1201"/>
      <c r="C1270" s="1231" t="s">
        <v>125</v>
      </c>
      <c r="D1270" s="1201"/>
      <c r="E1270" s="1232" t="s">
        <v>1830</v>
      </c>
      <c r="F1270" s="901">
        <v>5612.919314692962</v>
      </c>
      <c r="G1270" s="901">
        <v>6109.984375</v>
      </c>
      <c r="H1270" s="901">
        <f>4948.4+417.1+33.2+4.9+220.4</f>
        <v>5623.9999999999991</v>
      </c>
      <c r="I1270" s="901">
        <v>4568.59765625</v>
      </c>
      <c r="J1270" s="901">
        <v>4606.146484375</v>
      </c>
      <c r="K1270" s="1714" t="s">
        <v>2651</v>
      </c>
      <c r="L1270" s="1714"/>
      <c r="M1270" s="1197" t="s">
        <v>17</v>
      </c>
      <c r="N1270" s="1233">
        <v>0.05</v>
      </c>
      <c r="O1270" s="1233">
        <v>0.05</v>
      </c>
      <c r="P1270" s="1233">
        <v>0.1</v>
      </c>
      <c r="Q1270" s="1233">
        <v>0.15</v>
      </c>
      <c r="R1270" s="1233">
        <v>0.2</v>
      </c>
    </row>
    <row r="1271" spans="2:18" ht="43.5" customHeight="1" x14ac:dyDescent="0.2">
      <c r="B1271" s="1713"/>
      <c r="C1271" s="1824" t="s">
        <v>127</v>
      </c>
      <c r="D1271" s="1713"/>
      <c r="E1271" s="1720" t="s">
        <v>1831</v>
      </c>
      <c r="F1271" s="1661">
        <v>10173.416257880994</v>
      </c>
      <c r="G1271" s="1661">
        <v>12219.96875</v>
      </c>
      <c r="H1271" s="1661">
        <f>8337.2</f>
        <v>8337.2000000000007</v>
      </c>
      <c r="I1271" s="1661">
        <v>9137.1953125</v>
      </c>
      <c r="J1271" s="1661">
        <v>9212.29296875</v>
      </c>
      <c r="K1271" s="1714" t="s">
        <v>2652</v>
      </c>
      <c r="L1271" s="1714"/>
      <c r="M1271" s="1234" t="s">
        <v>130</v>
      </c>
      <c r="N1271" s="1235">
        <v>17</v>
      </c>
      <c r="O1271" s="1235">
        <v>16</v>
      </c>
      <c r="P1271" s="1235">
        <v>15</v>
      </c>
      <c r="Q1271" s="1235">
        <v>14</v>
      </c>
      <c r="R1271" s="1235">
        <v>13</v>
      </c>
    </row>
    <row r="1272" spans="2:18" ht="38.25" customHeight="1" x14ac:dyDescent="0.2">
      <c r="B1272" s="1713"/>
      <c r="C1272" s="1824"/>
      <c r="D1272" s="1713"/>
      <c r="E1272" s="1720"/>
      <c r="F1272" s="1661"/>
      <c r="G1272" s="1661"/>
      <c r="H1272" s="1661"/>
      <c r="I1272" s="1661"/>
      <c r="J1272" s="1661"/>
      <c r="K1272" s="1714" t="s">
        <v>2653</v>
      </c>
      <c r="L1272" s="1714"/>
      <c r="M1272" s="1197" t="s">
        <v>130</v>
      </c>
      <c r="N1272" s="1234">
        <v>2659</v>
      </c>
      <c r="O1272" s="1234">
        <v>2400</v>
      </c>
      <c r="P1272" s="1234">
        <v>2200</v>
      </c>
      <c r="Q1272" s="1234">
        <v>2000</v>
      </c>
      <c r="R1272" s="1234">
        <v>1800</v>
      </c>
    </row>
    <row r="1273" spans="2:18" ht="36.75" customHeight="1" x14ac:dyDescent="0.2">
      <c r="B1273" s="1713"/>
      <c r="C1273" s="1824"/>
      <c r="D1273" s="1713"/>
      <c r="E1273" s="1720" t="s">
        <v>1832</v>
      </c>
      <c r="F1273" s="1661"/>
      <c r="G1273" s="1661"/>
      <c r="H1273" s="1661"/>
      <c r="I1273" s="1661"/>
      <c r="J1273" s="1661"/>
      <c r="K1273" s="1714" t="s">
        <v>2654</v>
      </c>
      <c r="L1273" s="1714"/>
      <c r="M1273" s="1197" t="s">
        <v>130</v>
      </c>
      <c r="N1273" s="1234">
        <v>75</v>
      </c>
      <c r="O1273" s="1234">
        <v>70</v>
      </c>
      <c r="P1273" s="1234">
        <v>65</v>
      </c>
      <c r="Q1273" s="1234">
        <v>60</v>
      </c>
      <c r="R1273" s="1234">
        <v>55</v>
      </c>
    </row>
    <row r="1274" spans="2:18" ht="33" customHeight="1" x14ac:dyDescent="0.2">
      <c r="B1274" s="1713"/>
      <c r="C1274" s="1824"/>
      <c r="D1274" s="1713"/>
      <c r="E1274" s="1720"/>
      <c r="F1274" s="1661"/>
      <c r="G1274" s="1661"/>
      <c r="H1274" s="1661"/>
      <c r="I1274" s="1661"/>
      <c r="J1274" s="1661"/>
      <c r="K1274" s="1714" t="s">
        <v>2655</v>
      </c>
      <c r="L1274" s="1714"/>
      <c r="M1274" s="1197" t="s">
        <v>130</v>
      </c>
      <c r="N1274" s="1234">
        <v>61</v>
      </c>
      <c r="O1274" s="1234">
        <v>60</v>
      </c>
      <c r="P1274" s="1234">
        <v>58</v>
      </c>
      <c r="Q1274" s="1234">
        <v>55</v>
      </c>
      <c r="R1274" s="1234">
        <v>53</v>
      </c>
    </row>
    <row r="1275" spans="2:18" ht="45" customHeight="1" x14ac:dyDescent="0.2">
      <c r="B1275" s="1713"/>
      <c r="C1275" s="1824" t="s">
        <v>127</v>
      </c>
      <c r="D1275" s="1713"/>
      <c r="E1275" s="1720" t="s">
        <v>1833</v>
      </c>
      <c r="F1275" s="1661">
        <v>32625.09351665284</v>
      </c>
      <c r="G1275" s="1661">
        <v>38289.235416666663</v>
      </c>
      <c r="H1275" s="1661">
        <f>29921.3+288.8+76+11.2+506.1</f>
        <v>30803.399999999998</v>
      </c>
      <c r="I1275" s="1661">
        <v>28629.878645833334</v>
      </c>
      <c r="J1275" s="1661">
        <v>28865.184635416666</v>
      </c>
      <c r="K1275" s="1714" t="s">
        <v>2656</v>
      </c>
      <c r="L1275" s="1714"/>
      <c r="M1275" s="1234" t="s">
        <v>17</v>
      </c>
      <c r="N1275" s="1236">
        <v>0.05</v>
      </c>
      <c r="O1275" s="1237">
        <v>4.4999999999999998E-2</v>
      </c>
      <c r="P1275" s="1236">
        <v>0.04</v>
      </c>
      <c r="Q1275" s="1237">
        <v>3.5000000000000003E-2</v>
      </c>
      <c r="R1275" s="1236">
        <v>0.03</v>
      </c>
    </row>
    <row r="1276" spans="2:18" ht="51.75" customHeight="1" x14ac:dyDescent="0.2">
      <c r="B1276" s="1713"/>
      <c r="C1276" s="1824"/>
      <c r="D1276" s="1713"/>
      <c r="E1276" s="1720"/>
      <c r="F1276" s="1661"/>
      <c r="G1276" s="1661"/>
      <c r="H1276" s="1661"/>
      <c r="I1276" s="1661"/>
      <c r="J1276" s="1661"/>
      <c r="K1276" s="1714" t="s">
        <v>2657</v>
      </c>
      <c r="L1276" s="1714"/>
      <c r="M1276" s="1234" t="s">
        <v>17</v>
      </c>
      <c r="N1276" s="1236">
        <v>0.9</v>
      </c>
      <c r="O1276" s="1236">
        <v>0.91</v>
      </c>
      <c r="P1276" s="1236">
        <v>0.93</v>
      </c>
      <c r="Q1276" s="1236">
        <v>0.95</v>
      </c>
      <c r="R1276" s="1236">
        <v>0.98</v>
      </c>
    </row>
    <row r="1277" spans="2:18" ht="42" customHeight="1" x14ac:dyDescent="0.2">
      <c r="B1277" s="1713"/>
      <c r="C1277" s="1824"/>
      <c r="D1277" s="1713"/>
      <c r="E1277" s="1720"/>
      <c r="F1277" s="1661"/>
      <c r="G1277" s="1661"/>
      <c r="H1277" s="1661"/>
      <c r="I1277" s="1661"/>
      <c r="J1277" s="1661"/>
      <c r="K1277" s="1714" t="s">
        <v>2658</v>
      </c>
      <c r="L1277" s="1714"/>
      <c r="M1277" s="1234" t="s">
        <v>17</v>
      </c>
      <c r="N1277" s="1236">
        <v>0.5</v>
      </c>
      <c r="O1277" s="1236">
        <v>0.6</v>
      </c>
      <c r="P1277" s="1236">
        <v>0.7</v>
      </c>
      <c r="Q1277" s="1236">
        <v>0.75</v>
      </c>
      <c r="R1277" s="1236">
        <v>0.8</v>
      </c>
    </row>
    <row r="1278" spans="2:18" ht="42.75" customHeight="1" x14ac:dyDescent="0.2">
      <c r="B1278" s="1713"/>
      <c r="C1278" s="1824" t="s">
        <v>132</v>
      </c>
      <c r="D1278" s="1713"/>
      <c r="E1278" s="1720" t="s">
        <v>1834</v>
      </c>
      <c r="F1278" s="1661">
        <v>28415.404030633119</v>
      </c>
      <c r="G1278" s="1661">
        <v>32993.915625000001</v>
      </c>
      <c r="H1278" s="1661">
        <f>22659.8+320.9+74.8+11.1+506.1</f>
        <v>23572.699999999997</v>
      </c>
      <c r="I1278" s="1661">
        <v>24670.427343750001</v>
      </c>
      <c r="J1278" s="1661">
        <v>24873.191015625001</v>
      </c>
      <c r="K1278" s="1714" t="s">
        <v>2659</v>
      </c>
      <c r="L1278" s="1714"/>
      <c r="M1278" s="1234" t="s">
        <v>130</v>
      </c>
      <c r="N1278" s="1238">
        <v>3866</v>
      </c>
      <c r="O1278" s="1238">
        <v>3845</v>
      </c>
      <c r="P1278" s="1238">
        <v>3821</v>
      </c>
      <c r="Q1278" s="1238">
        <v>3795</v>
      </c>
      <c r="R1278" s="1238">
        <v>3768</v>
      </c>
    </row>
    <row r="1279" spans="2:18" ht="44.25" customHeight="1" x14ac:dyDescent="0.2">
      <c r="B1279" s="1713"/>
      <c r="C1279" s="1824"/>
      <c r="D1279" s="1713"/>
      <c r="E1279" s="1720"/>
      <c r="F1279" s="1661"/>
      <c r="G1279" s="1661"/>
      <c r="H1279" s="1661"/>
      <c r="I1279" s="1661"/>
      <c r="J1279" s="1661"/>
      <c r="K1279" s="1714" t="s">
        <v>2660</v>
      </c>
      <c r="L1279" s="1714"/>
      <c r="M1279" s="1234" t="s">
        <v>31</v>
      </c>
      <c r="N1279" s="1234">
        <v>6</v>
      </c>
      <c r="O1279" s="1234">
        <v>6</v>
      </c>
      <c r="P1279" s="1234">
        <v>5</v>
      </c>
      <c r="Q1279" s="1234">
        <v>5</v>
      </c>
      <c r="R1279" s="1234">
        <v>4</v>
      </c>
    </row>
    <row r="1280" spans="2:18" ht="30" customHeight="1" x14ac:dyDescent="0.2">
      <c r="B1280" s="1224"/>
      <c r="C1280" s="1239" t="s">
        <v>74</v>
      </c>
      <c r="D1280" s="1224"/>
      <c r="E1280" s="1213" t="s">
        <v>1835</v>
      </c>
      <c r="F1280" s="914">
        <v>17540.372858415507</v>
      </c>
      <c r="G1280" s="914">
        <v>20366.614583333332</v>
      </c>
      <c r="H1280" s="901">
        <f>15889+256.7+38+5.6+261.2</f>
        <v>16450.5</v>
      </c>
      <c r="I1280" s="914">
        <v>15228.658854166668</v>
      </c>
      <c r="J1280" s="914">
        <v>15353.821614583334</v>
      </c>
      <c r="K1280" s="1714" t="s">
        <v>2661</v>
      </c>
      <c r="L1280" s="1714"/>
      <c r="M1280" s="1230" t="s">
        <v>17</v>
      </c>
      <c r="N1280" s="1240">
        <v>0.11</v>
      </c>
      <c r="O1280" s="1240">
        <v>0.1</v>
      </c>
      <c r="P1280" s="1240">
        <v>0.15</v>
      </c>
      <c r="Q1280" s="1240">
        <v>0.16</v>
      </c>
      <c r="R1280" s="1240">
        <v>0.18</v>
      </c>
    </row>
    <row r="1281" spans="2:18" ht="59.25" customHeight="1" x14ac:dyDescent="0.2">
      <c r="B1281" s="1715"/>
      <c r="C1281" s="1822" t="s">
        <v>197</v>
      </c>
      <c r="D1281" s="1715"/>
      <c r="E1281" s="1823" t="s">
        <v>1836</v>
      </c>
      <c r="F1281" s="1756">
        <v>8068.5715148711324</v>
      </c>
      <c r="G1281" s="1756">
        <v>9368.6427083333328</v>
      </c>
      <c r="H1281" s="1661">
        <f>7371.7+192.5+15.4+2.3+114.3</f>
        <v>7696.2</v>
      </c>
      <c r="I1281" s="1756">
        <v>7005.1830729166668</v>
      </c>
      <c r="J1281" s="1756">
        <v>7062.7579427083328</v>
      </c>
      <c r="K1281" s="1714" t="s">
        <v>2662</v>
      </c>
      <c r="L1281" s="1714"/>
      <c r="M1281" s="1230" t="s">
        <v>17</v>
      </c>
      <c r="N1281" s="1240">
        <v>0</v>
      </c>
      <c r="O1281" s="1240">
        <v>0</v>
      </c>
      <c r="P1281" s="1240">
        <v>0</v>
      </c>
      <c r="Q1281" s="1240">
        <v>0.2</v>
      </c>
      <c r="R1281" s="1240">
        <v>0.3</v>
      </c>
    </row>
    <row r="1282" spans="2:18" ht="45.75" customHeight="1" x14ac:dyDescent="0.2">
      <c r="B1282" s="1715"/>
      <c r="C1282" s="1822"/>
      <c r="D1282" s="1715"/>
      <c r="E1282" s="1823"/>
      <c r="F1282" s="1756"/>
      <c r="G1282" s="1756"/>
      <c r="H1282" s="1661"/>
      <c r="I1282" s="1756"/>
      <c r="J1282" s="1756"/>
      <c r="K1282" s="1714" t="s">
        <v>2663</v>
      </c>
      <c r="L1282" s="1714"/>
      <c r="M1282" s="1230" t="s">
        <v>17</v>
      </c>
      <c r="N1282" s="1240">
        <v>0.01</v>
      </c>
      <c r="O1282" s="1240">
        <v>0.05</v>
      </c>
      <c r="P1282" s="1240">
        <v>0.1</v>
      </c>
      <c r="Q1282" s="1240">
        <v>0.2</v>
      </c>
      <c r="R1282" s="1240">
        <v>0.4</v>
      </c>
    </row>
    <row r="1283" spans="2:18" ht="30.75" customHeight="1" x14ac:dyDescent="0.2">
      <c r="B1283" s="1715"/>
      <c r="C1283" s="1822"/>
      <c r="D1283" s="1715"/>
      <c r="E1283" s="1823"/>
      <c r="F1283" s="1756"/>
      <c r="G1283" s="1756"/>
      <c r="H1283" s="1661"/>
      <c r="I1283" s="1756"/>
      <c r="J1283" s="1756"/>
      <c r="K1283" s="1714" t="s">
        <v>2664</v>
      </c>
      <c r="L1283" s="1714"/>
      <c r="M1283" s="1230" t="s">
        <v>17</v>
      </c>
      <c r="N1283" s="1241">
        <v>0.1</v>
      </c>
      <c r="O1283" s="1241">
        <v>0.1</v>
      </c>
      <c r="P1283" s="1241">
        <v>0.15</v>
      </c>
      <c r="Q1283" s="1241">
        <v>0.35</v>
      </c>
      <c r="R1283" s="1241">
        <v>0.6</v>
      </c>
    </row>
    <row r="1284" spans="2:18" ht="25.5" customHeight="1" x14ac:dyDescent="0.2">
      <c r="B1284" s="1713"/>
      <c r="C1284" s="1824" t="s">
        <v>155</v>
      </c>
      <c r="D1284" s="1713"/>
      <c r="E1284" s="1720" t="s">
        <v>2665</v>
      </c>
      <c r="F1284" s="1661">
        <v>5963.726771861272</v>
      </c>
      <c r="G1284" s="1661">
        <v>6924.6489583333332</v>
      </c>
      <c r="H1284" s="1661">
        <f>5545.8+449.1+3.6+0.4+32.6</f>
        <v>6031.5000000000009</v>
      </c>
      <c r="I1284" s="1661">
        <v>5177.7440104166672</v>
      </c>
      <c r="J1284" s="1661">
        <v>5220.2993489583332</v>
      </c>
      <c r="K1284" s="1714" t="s">
        <v>2666</v>
      </c>
      <c r="L1284" s="1714"/>
      <c r="M1284" s="1230" t="s">
        <v>17</v>
      </c>
      <c r="N1284" s="1236">
        <v>2.5</v>
      </c>
      <c r="O1284" s="1236">
        <v>2.0699999999999998</v>
      </c>
      <c r="P1284" s="1236">
        <v>2.17</v>
      </c>
      <c r="Q1284" s="1236">
        <v>4</v>
      </c>
      <c r="R1284" s="1236">
        <v>5.5</v>
      </c>
    </row>
    <row r="1285" spans="2:18" ht="33" customHeight="1" x14ac:dyDescent="0.2">
      <c r="B1285" s="1713"/>
      <c r="C1285" s="1824"/>
      <c r="D1285" s="1713"/>
      <c r="E1285" s="1720"/>
      <c r="F1285" s="1661"/>
      <c r="G1285" s="1661"/>
      <c r="H1285" s="1661"/>
      <c r="I1285" s="1661"/>
      <c r="J1285" s="1661"/>
      <c r="K1285" s="1714" t="s">
        <v>2667</v>
      </c>
      <c r="L1285" s="1714"/>
      <c r="M1285" s="1230" t="s">
        <v>17</v>
      </c>
      <c r="N1285" s="1236">
        <v>0.35</v>
      </c>
      <c r="O1285" s="1236">
        <v>0.35</v>
      </c>
      <c r="P1285" s="1236">
        <v>0.35</v>
      </c>
      <c r="Q1285" s="1236">
        <v>0.35</v>
      </c>
      <c r="R1285" s="1236">
        <v>0.35</v>
      </c>
    </row>
    <row r="1286" spans="2:18" ht="35.25" customHeight="1" x14ac:dyDescent="0.2">
      <c r="B1286" s="1713"/>
      <c r="C1286" s="1824"/>
      <c r="D1286" s="1713"/>
      <c r="E1286" s="1720"/>
      <c r="F1286" s="1661"/>
      <c r="G1286" s="1661"/>
      <c r="H1286" s="1661"/>
      <c r="I1286" s="1661"/>
      <c r="J1286" s="1661"/>
      <c r="K1286" s="1714" t="s">
        <v>2668</v>
      </c>
      <c r="L1286" s="1714"/>
      <c r="M1286" s="1230" t="s">
        <v>17</v>
      </c>
      <c r="N1286" s="1236">
        <v>0.75</v>
      </c>
      <c r="O1286" s="1236">
        <v>0.7</v>
      </c>
      <c r="P1286" s="1236">
        <v>0.65</v>
      </c>
      <c r="Q1286" s="1236">
        <v>0.6</v>
      </c>
      <c r="R1286" s="1236">
        <v>0.55000000000000004</v>
      </c>
    </row>
    <row r="1287" spans="2:18" ht="24.75" customHeight="1" x14ac:dyDescent="0.2">
      <c r="B1287" s="1716" t="s">
        <v>64</v>
      </c>
      <c r="C1287" s="1716"/>
      <c r="D1287" s="1716"/>
      <c r="E1287" s="1716"/>
      <c r="F1287" s="937">
        <v>269860.7</v>
      </c>
      <c r="G1287" s="937">
        <v>312831.2</v>
      </c>
      <c r="H1287" s="937">
        <f>H1243+H1256+H1266</f>
        <v>240052.89999999997</v>
      </c>
      <c r="I1287" s="937">
        <v>233912.2</v>
      </c>
      <c r="J1287" s="937">
        <v>235834.7</v>
      </c>
      <c r="K1287" s="1690"/>
      <c r="L1287" s="1690"/>
      <c r="M1287" s="1728"/>
      <c r="N1287" s="1728"/>
      <c r="O1287" s="1728"/>
      <c r="P1287" s="1728"/>
      <c r="Q1287" s="1728"/>
      <c r="R1287" s="1728"/>
    </row>
    <row r="1288" spans="2:18" ht="20.25" customHeight="1" x14ac:dyDescent="0.2">
      <c r="B1288" s="1725" t="s">
        <v>1837</v>
      </c>
      <c r="C1288" s="1725"/>
      <c r="D1288" s="1725"/>
      <c r="E1288" s="1725"/>
      <c r="F1288" s="1725"/>
      <c r="G1288" s="1725"/>
      <c r="H1288" s="1725"/>
      <c r="I1288" s="1725"/>
      <c r="J1288" s="1725"/>
      <c r="K1288" s="1725"/>
      <c r="L1288" s="1725"/>
      <c r="M1288" s="1725"/>
      <c r="N1288" s="1725"/>
      <c r="O1288" s="1725"/>
      <c r="P1288" s="1725"/>
      <c r="Q1288" s="1242"/>
      <c r="R1288" s="1242"/>
    </row>
    <row r="1289" spans="2:18" ht="20.25" customHeight="1" x14ac:dyDescent="0.2">
      <c r="B1289" s="1243" t="s">
        <v>2669</v>
      </c>
      <c r="C1289" s="417"/>
      <c r="D1289" s="417"/>
      <c r="E1289" s="557" t="s">
        <v>2877</v>
      </c>
      <c r="F1289" s="985">
        <f>F1290+F1291+F1294</f>
        <v>70837.67</v>
      </c>
      <c r="G1289" s="985">
        <f>G1290+G1291+G1294</f>
        <v>84011.1</v>
      </c>
      <c r="H1289" s="985">
        <f>H1290+H1291+H1294</f>
        <v>79542.100000000006</v>
      </c>
      <c r="I1289" s="985">
        <f>I1290+I1291+I1294</f>
        <v>81543.100000000006</v>
      </c>
      <c r="J1289" s="985">
        <f>J1290+J1291+J1294</f>
        <v>82680.600000000006</v>
      </c>
      <c r="K1289" s="693" t="s">
        <v>1838</v>
      </c>
      <c r="L1289" s="418"/>
      <c r="M1289" s="1035"/>
      <c r="N1289" s="1035"/>
      <c r="O1289" s="1035"/>
      <c r="P1289" s="1035"/>
      <c r="Q1289" s="1035"/>
      <c r="R1289" s="1035"/>
    </row>
    <row r="1290" spans="2:18" ht="51" x14ac:dyDescent="0.2">
      <c r="B1290" s="1046"/>
      <c r="C1290" s="1244">
        <v>1</v>
      </c>
      <c r="D1290" s="695"/>
      <c r="E1290" s="1112" t="s">
        <v>2808</v>
      </c>
      <c r="F1290" s="944">
        <v>7360.28</v>
      </c>
      <c r="G1290" s="944">
        <v>8366.1</v>
      </c>
      <c r="H1290" s="901">
        <v>0</v>
      </c>
      <c r="I1290" s="901">
        <v>0</v>
      </c>
      <c r="J1290" s="987"/>
      <c r="K1290" s="557" t="s">
        <v>1839</v>
      </c>
      <c r="L1290" s="418"/>
      <c r="M1290" s="336" t="s">
        <v>1840</v>
      </c>
      <c r="N1290" s="695">
        <v>27.5</v>
      </c>
      <c r="O1290" s="695">
        <v>26</v>
      </c>
      <c r="P1290" s="336">
        <v>26.5</v>
      </c>
      <c r="Q1290" s="336">
        <v>27</v>
      </c>
      <c r="R1290" s="336">
        <v>27</v>
      </c>
    </row>
    <row r="1291" spans="2:18" ht="75" customHeight="1" x14ac:dyDescent="0.2">
      <c r="B1291" s="1757"/>
      <c r="C1291" s="1819">
        <v>2</v>
      </c>
      <c r="D1291" s="1664"/>
      <c r="E1291" s="1821" t="s">
        <v>2809</v>
      </c>
      <c r="F1291" s="1661">
        <v>40972.9</v>
      </c>
      <c r="G1291" s="1661">
        <v>52187.3</v>
      </c>
      <c r="H1291" s="1661">
        <v>79542.100000000006</v>
      </c>
      <c r="I1291" s="1661">
        <v>81543.100000000006</v>
      </c>
      <c r="J1291" s="1661">
        <v>82680.600000000006</v>
      </c>
      <c r="K1291" s="807" t="s">
        <v>1841</v>
      </c>
      <c r="L1291" s="418"/>
      <c r="M1291" s="336" t="s">
        <v>31</v>
      </c>
      <c r="N1291" s="695">
        <v>0</v>
      </c>
      <c r="O1291" s="336">
        <v>1</v>
      </c>
      <c r="P1291" s="336">
        <v>0</v>
      </c>
      <c r="Q1291" s="336">
        <v>0</v>
      </c>
      <c r="R1291" s="336">
        <v>0</v>
      </c>
    </row>
    <row r="1292" spans="2:18" ht="50.25" customHeight="1" x14ac:dyDescent="0.2">
      <c r="B1292" s="1757"/>
      <c r="C1292" s="1819"/>
      <c r="D1292" s="1664"/>
      <c r="E1292" s="1821"/>
      <c r="F1292" s="1661"/>
      <c r="G1292" s="1661"/>
      <c r="H1292" s="1661"/>
      <c r="I1292" s="1661"/>
      <c r="J1292" s="1661"/>
      <c r="K1292" s="807" t="s">
        <v>1842</v>
      </c>
      <c r="L1292" s="418"/>
      <c r="M1292" s="336" t="s">
        <v>130</v>
      </c>
      <c r="N1292" s="695">
        <v>43</v>
      </c>
      <c r="O1292" s="336">
        <v>9</v>
      </c>
      <c r="P1292" s="336">
        <v>8</v>
      </c>
      <c r="Q1292" s="336">
        <v>8</v>
      </c>
      <c r="R1292" s="336">
        <v>8</v>
      </c>
    </row>
    <row r="1293" spans="2:18" ht="32.25" customHeight="1" x14ac:dyDescent="0.2">
      <c r="B1293" s="1757"/>
      <c r="C1293" s="1819"/>
      <c r="D1293" s="1664"/>
      <c r="E1293" s="1821"/>
      <c r="F1293" s="1661"/>
      <c r="G1293" s="1661"/>
      <c r="H1293" s="1661"/>
      <c r="I1293" s="1661"/>
      <c r="J1293" s="1661"/>
      <c r="K1293" s="1245" t="s">
        <v>1843</v>
      </c>
      <c r="L1293" s="418"/>
      <c r="M1293" s="336" t="s">
        <v>17</v>
      </c>
      <c r="N1293" s="695">
        <v>0</v>
      </c>
      <c r="O1293" s="336">
        <v>0</v>
      </c>
      <c r="P1293" s="336">
        <v>100</v>
      </c>
      <c r="Q1293" s="336">
        <v>100</v>
      </c>
      <c r="R1293" s="336">
        <v>100</v>
      </c>
    </row>
    <row r="1294" spans="2:18" ht="63.75" x14ac:dyDescent="0.2">
      <c r="B1294" s="1046"/>
      <c r="C1294" s="1244">
        <v>6</v>
      </c>
      <c r="D1294" s="1246"/>
      <c r="E1294" s="1112" t="s">
        <v>2810</v>
      </c>
      <c r="F1294" s="987">
        <v>22504.49</v>
      </c>
      <c r="G1294" s="901">
        <v>23457.7</v>
      </c>
      <c r="H1294" s="987">
        <v>0</v>
      </c>
      <c r="I1294" s="987">
        <v>0</v>
      </c>
      <c r="J1294" s="987"/>
      <c r="K1294" s="807" t="s">
        <v>2670</v>
      </c>
      <c r="L1294" s="418"/>
      <c r="M1294" s="336" t="s">
        <v>17</v>
      </c>
      <c r="N1294" s="606" t="s">
        <v>121</v>
      </c>
      <c r="O1294" s="336">
        <v>20</v>
      </c>
      <c r="P1294" s="336">
        <v>10</v>
      </c>
      <c r="Q1294" s="336">
        <v>10</v>
      </c>
      <c r="R1294" s="336">
        <v>10</v>
      </c>
    </row>
    <row r="1295" spans="2:18" ht="51" x14ac:dyDescent="0.2">
      <c r="B1295" s="1247" t="s">
        <v>2671</v>
      </c>
      <c r="C1295" s="1248"/>
      <c r="D1295" s="417"/>
      <c r="E1295" s="1111" t="s">
        <v>2811</v>
      </c>
      <c r="F1295" s="985">
        <f>F1296+F1298+F1300</f>
        <v>45735.75</v>
      </c>
      <c r="G1295" s="1103">
        <f t="shared" ref="G1295" si="59">G1296+G1298+G1300</f>
        <v>20431</v>
      </c>
      <c r="H1295" s="1103">
        <f>H1296+H1298+H1300</f>
        <v>28000</v>
      </c>
      <c r="I1295" s="1103">
        <f t="shared" ref="I1295:J1295" si="60">I1296+I1298+I1300</f>
        <v>18000</v>
      </c>
      <c r="J1295" s="1103">
        <f t="shared" si="60"/>
        <v>18000</v>
      </c>
      <c r="K1295" s="807" t="s">
        <v>1844</v>
      </c>
      <c r="L1295" s="418"/>
      <c r="M1295" s="336" t="s">
        <v>17</v>
      </c>
      <c r="N1295" s="1249"/>
      <c r="O1295" s="336">
        <v>44.4</v>
      </c>
      <c r="P1295" s="336"/>
      <c r="Q1295" s="336">
        <v>22.2</v>
      </c>
      <c r="R1295" s="1170">
        <v>33.299999999999997</v>
      </c>
    </row>
    <row r="1296" spans="2:18" ht="75" customHeight="1" x14ac:dyDescent="0.2">
      <c r="B1296" s="1757"/>
      <c r="C1296" s="1819">
        <v>1</v>
      </c>
      <c r="D1296" s="1664"/>
      <c r="E1296" s="1821" t="s">
        <v>2672</v>
      </c>
      <c r="F1296" s="1661">
        <v>18834.7</v>
      </c>
      <c r="G1296" s="1661">
        <v>7635</v>
      </c>
      <c r="H1296" s="1661">
        <v>7000</v>
      </c>
      <c r="I1296" s="1661">
        <v>7000</v>
      </c>
      <c r="J1296" s="1661">
        <v>7000</v>
      </c>
      <c r="K1296" s="557" t="s">
        <v>1845</v>
      </c>
      <c r="L1296" s="418"/>
      <c r="M1296" s="336" t="s">
        <v>784</v>
      </c>
      <c r="N1296" s="336">
        <v>9.1999999999999993</v>
      </c>
      <c r="O1296" s="695">
        <v>309</v>
      </c>
      <c r="P1296" s="695">
        <v>40</v>
      </c>
      <c r="Q1296" s="695">
        <v>202</v>
      </c>
      <c r="R1296" s="695">
        <v>202</v>
      </c>
    </row>
    <row r="1297" spans="2:18" x14ac:dyDescent="0.2">
      <c r="B1297" s="1757"/>
      <c r="C1297" s="1819"/>
      <c r="D1297" s="1664"/>
      <c r="E1297" s="1821"/>
      <c r="F1297" s="1661"/>
      <c r="G1297" s="1661"/>
      <c r="H1297" s="1661"/>
      <c r="I1297" s="1661"/>
      <c r="J1297" s="1661"/>
      <c r="K1297" s="557" t="s">
        <v>1846</v>
      </c>
      <c r="L1297" s="418"/>
      <c r="M1297" s="336" t="s">
        <v>93</v>
      </c>
      <c r="N1297" s="336">
        <v>4</v>
      </c>
      <c r="O1297" s="695">
        <v>0</v>
      </c>
      <c r="P1297" s="695">
        <v>2</v>
      </c>
      <c r="Q1297" s="695">
        <v>3</v>
      </c>
      <c r="R1297" s="695">
        <v>3</v>
      </c>
    </row>
    <row r="1298" spans="2:18" ht="135" customHeight="1" x14ac:dyDescent="0.2">
      <c r="B1298" s="1757"/>
      <c r="C1298" s="1624" t="s">
        <v>125</v>
      </c>
      <c r="D1298" s="1820"/>
      <c r="E1298" s="1672" t="s">
        <v>2673</v>
      </c>
      <c r="F1298" s="1661">
        <v>16901.05</v>
      </c>
      <c r="G1298" s="1661">
        <v>9433.5</v>
      </c>
      <c r="H1298" s="1661">
        <v>12000</v>
      </c>
      <c r="I1298" s="1661">
        <v>7000</v>
      </c>
      <c r="J1298" s="1661">
        <v>7000</v>
      </c>
      <c r="K1298" s="557" t="s">
        <v>1847</v>
      </c>
      <c r="L1298" s="418"/>
      <c r="M1298" s="336" t="s">
        <v>93</v>
      </c>
      <c r="N1298" s="336">
        <v>400</v>
      </c>
      <c r="O1298" s="695">
        <v>400</v>
      </c>
      <c r="P1298" s="695">
        <v>400</v>
      </c>
      <c r="Q1298" s="695">
        <v>400</v>
      </c>
      <c r="R1298" s="695">
        <v>400</v>
      </c>
    </row>
    <row r="1299" spans="2:18" ht="25.5" x14ac:dyDescent="0.2">
      <c r="B1299" s="1757"/>
      <c r="C1299" s="1624"/>
      <c r="D1299" s="1820"/>
      <c r="E1299" s="1672"/>
      <c r="F1299" s="1661"/>
      <c r="G1299" s="1661"/>
      <c r="H1299" s="1661"/>
      <c r="I1299" s="1661"/>
      <c r="J1299" s="1661"/>
      <c r="K1299" s="807" t="s">
        <v>1848</v>
      </c>
      <c r="L1299" s="418"/>
      <c r="M1299" s="336" t="s">
        <v>93</v>
      </c>
      <c r="N1299" s="336">
        <v>10</v>
      </c>
      <c r="O1299" s="695">
        <v>10</v>
      </c>
      <c r="P1299" s="695">
        <v>10</v>
      </c>
      <c r="Q1299" s="695">
        <v>10</v>
      </c>
      <c r="R1299" s="695">
        <v>10</v>
      </c>
    </row>
    <row r="1300" spans="2:18" ht="90" customHeight="1" x14ac:dyDescent="0.2">
      <c r="B1300" s="1758"/>
      <c r="C1300" s="1759" t="s">
        <v>127</v>
      </c>
      <c r="D1300" s="1758"/>
      <c r="E1300" s="1817" t="s">
        <v>2674</v>
      </c>
      <c r="F1300" s="1661">
        <v>10000</v>
      </c>
      <c r="G1300" s="1661">
        <v>3362.5</v>
      </c>
      <c r="H1300" s="1661">
        <v>9000</v>
      </c>
      <c r="I1300" s="1661">
        <v>4000</v>
      </c>
      <c r="J1300" s="1661">
        <v>4000</v>
      </c>
      <c r="K1300" s="807" t="s">
        <v>1850</v>
      </c>
      <c r="L1300" s="418"/>
      <c r="M1300" s="336" t="s">
        <v>777</v>
      </c>
      <c r="N1300" s="336">
        <v>45250</v>
      </c>
      <c r="O1300" s="695">
        <v>45255</v>
      </c>
      <c r="P1300" s="695">
        <v>45260</v>
      </c>
      <c r="Q1300" s="695">
        <v>45265</v>
      </c>
      <c r="R1300" s="695">
        <v>45265</v>
      </c>
    </row>
    <row r="1301" spans="2:18" ht="25.5" x14ac:dyDescent="0.2">
      <c r="B1301" s="1758"/>
      <c r="C1301" s="1759"/>
      <c r="D1301" s="1758"/>
      <c r="E1301" s="1817"/>
      <c r="F1301" s="1661"/>
      <c r="G1301" s="1661"/>
      <c r="H1301" s="1661"/>
      <c r="I1301" s="1661"/>
      <c r="J1301" s="1661"/>
      <c r="K1301" s="807" t="s">
        <v>1851</v>
      </c>
      <c r="L1301" s="418"/>
      <c r="M1301" s="336" t="s">
        <v>1852</v>
      </c>
      <c r="N1301" s="336">
        <v>53.5</v>
      </c>
      <c r="O1301" s="695">
        <v>53.5</v>
      </c>
      <c r="P1301" s="336">
        <v>53.5</v>
      </c>
      <c r="Q1301" s="336">
        <v>53.5</v>
      </c>
      <c r="R1301" s="336">
        <v>53.5</v>
      </c>
    </row>
    <row r="1302" spans="2:18" ht="38.25" x14ac:dyDescent="0.2">
      <c r="B1302" s="1250" t="s">
        <v>314</v>
      </c>
      <c r="C1302" s="1251"/>
      <c r="D1302" s="1250"/>
      <c r="E1302" s="1252" t="s">
        <v>2812</v>
      </c>
      <c r="F1302" s="959">
        <f>F1303+F1304+F1305+F1306+F1307+F1308+F1309+F1311+F1313+F1314+F1315+F1316+F1317+F1318+F1319</f>
        <v>4859504.5999999996</v>
      </c>
      <c r="G1302" s="902">
        <f>G1303+G1304+G1305+G1306+G1307+G1308+G1309+G1311+G1313+G1314+G1315+G1318+G1316</f>
        <v>4292222.26</v>
      </c>
      <c r="H1302" s="902">
        <f>H1303+H1304+H1306+H1307+H1308+H1309+H1313+H1314+H1320+H1318</f>
        <v>10719333.9</v>
      </c>
      <c r="I1302" s="902">
        <f t="shared" ref="I1302:J1302" si="61">I1303+I1304+I1306+I1307+I1308+I1309+I1311+I1313+I1314+I1320</f>
        <v>11102459.370000001</v>
      </c>
      <c r="J1302" s="902">
        <f t="shared" si="61"/>
        <v>11236722.050000001</v>
      </c>
      <c r="K1302" s="807"/>
      <c r="L1302" s="418"/>
      <c r="M1302" s="336"/>
      <c r="N1302" s="336"/>
      <c r="O1302" s="695"/>
      <c r="P1302" s="695"/>
      <c r="Q1302" s="695"/>
      <c r="R1302" s="695"/>
    </row>
    <row r="1303" spans="2:18" x14ac:dyDescent="0.2">
      <c r="B1303" s="1251"/>
      <c r="C1303" s="606" t="s">
        <v>132</v>
      </c>
      <c r="D1303" s="1250"/>
      <c r="E1303" s="1252" t="s">
        <v>1853</v>
      </c>
      <c r="F1303" s="901">
        <v>48494.2</v>
      </c>
      <c r="G1303" s="901" t="s">
        <v>1854</v>
      </c>
      <c r="H1303" s="901">
        <v>309655</v>
      </c>
      <c r="I1303" s="901">
        <v>335248.5</v>
      </c>
      <c r="J1303" s="901">
        <v>0</v>
      </c>
      <c r="K1303" s="807" t="s">
        <v>1855</v>
      </c>
      <c r="L1303" s="418"/>
      <c r="M1303" s="336" t="s">
        <v>560</v>
      </c>
      <c r="N1303" s="336"/>
      <c r="O1303" s="695"/>
      <c r="P1303" s="336" t="s">
        <v>1856</v>
      </c>
      <c r="Q1303" s="336"/>
      <c r="R1303" s="695"/>
    </row>
    <row r="1304" spans="2:18" x14ac:dyDescent="0.2">
      <c r="B1304" s="1251"/>
      <c r="C1304" s="606" t="s">
        <v>197</v>
      </c>
      <c r="D1304" s="1250"/>
      <c r="E1304" s="1252" t="s">
        <v>1857</v>
      </c>
      <c r="F1304" s="901">
        <v>1849187.4</v>
      </c>
      <c r="G1304" s="901" t="s">
        <v>1858</v>
      </c>
      <c r="H1304" s="901">
        <v>4505000</v>
      </c>
      <c r="I1304" s="901">
        <v>2612159.9900000002</v>
      </c>
      <c r="J1304" s="901">
        <v>1445000</v>
      </c>
      <c r="K1304" s="807" t="s">
        <v>1859</v>
      </c>
      <c r="L1304" s="418"/>
      <c r="M1304" s="336" t="s">
        <v>560</v>
      </c>
      <c r="N1304" s="336"/>
      <c r="O1304" s="695" t="s">
        <v>1860</v>
      </c>
      <c r="P1304" s="558"/>
      <c r="Q1304" s="695"/>
      <c r="R1304" s="695"/>
    </row>
    <row r="1305" spans="2:18" ht="25.5" x14ac:dyDescent="0.2">
      <c r="B1305" s="1251"/>
      <c r="C1305" s="606" t="s">
        <v>155</v>
      </c>
      <c r="D1305" s="1250"/>
      <c r="E1305" s="1252" t="s">
        <v>1861</v>
      </c>
      <c r="F1305" s="901">
        <v>60096.4</v>
      </c>
      <c r="G1305" s="901" t="s">
        <v>1862</v>
      </c>
      <c r="H1305" s="901"/>
      <c r="I1305" s="901"/>
      <c r="J1305" s="987"/>
      <c r="K1305" s="807" t="s">
        <v>1863</v>
      </c>
      <c r="L1305" s="418"/>
      <c r="M1305" s="336" t="s">
        <v>560</v>
      </c>
      <c r="N1305" s="336">
        <v>0</v>
      </c>
      <c r="O1305" s="695">
        <v>0</v>
      </c>
      <c r="P1305" s="695">
        <v>0</v>
      </c>
      <c r="Q1305" s="695">
        <v>0</v>
      </c>
      <c r="R1305" s="695">
        <v>0</v>
      </c>
    </row>
    <row r="1306" spans="2:18" ht="25.5" x14ac:dyDescent="0.2">
      <c r="B1306" s="1251"/>
      <c r="C1306" s="606" t="s">
        <v>158</v>
      </c>
      <c r="D1306" s="1250"/>
      <c r="E1306" s="1252" t="s">
        <v>1864</v>
      </c>
      <c r="F1306" s="901">
        <v>130850.1</v>
      </c>
      <c r="G1306" s="901" t="s">
        <v>1865</v>
      </c>
      <c r="H1306" s="901">
        <v>189380</v>
      </c>
      <c r="I1306" s="901"/>
      <c r="J1306" s="987"/>
      <c r="K1306" s="807" t="s">
        <v>1866</v>
      </c>
      <c r="L1306" s="418"/>
      <c r="M1306" s="336" t="s">
        <v>560</v>
      </c>
      <c r="N1306" s="336">
        <v>0</v>
      </c>
      <c r="O1306" s="336">
        <v>0</v>
      </c>
      <c r="P1306" s="336" t="s">
        <v>1867</v>
      </c>
      <c r="Q1306" s="695">
        <v>0</v>
      </c>
      <c r="R1306" s="695">
        <v>0</v>
      </c>
    </row>
    <row r="1307" spans="2:18" ht="25.5" x14ac:dyDescent="0.2">
      <c r="B1307" s="1251"/>
      <c r="C1307" s="606" t="s">
        <v>264</v>
      </c>
      <c r="D1307" s="1250"/>
      <c r="E1307" s="1252" t="s">
        <v>1868</v>
      </c>
      <c r="F1307" s="901"/>
      <c r="G1307" s="901" t="s">
        <v>1869</v>
      </c>
      <c r="H1307" s="901">
        <v>40800</v>
      </c>
      <c r="I1307" s="901">
        <v>2635000</v>
      </c>
      <c r="J1307" s="901">
        <v>3485000</v>
      </c>
      <c r="K1307" s="807" t="s">
        <v>1870</v>
      </c>
      <c r="L1307" s="418"/>
      <c r="M1307" s="336" t="s">
        <v>560</v>
      </c>
      <c r="N1307" s="336">
        <v>0</v>
      </c>
      <c r="O1307" s="558">
        <v>0</v>
      </c>
      <c r="P1307" s="695">
        <v>0</v>
      </c>
      <c r="Q1307" s="336" t="s">
        <v>1871</v>
      </c>
      <c r="R1307" s="695">
        <v>0</v>
      </c>
    </row>
    <row r="1308" spans="2:18" ht="25.5" x14ac:dyDescent="0.2">
      <c r="B1308" s="1251"/>
      <c r="C1308" s="606" t="s">
        <v>269</v>
      </c>
      <c r="D1308" s="1250"/>
      <c r="E1308" s="1252" t="s">
        <v>1872</v>
      </c>
      <c r="F1308" s="901">
        <v>395170.6</v>
      </c>
      <c r="G1308" s="901" t="s">
        <v>1873</v>
      </c>
      <c r="H1308" s="901">
        <v>2094391.5</v>
      </c>
      <c r="I1308" s="901">
        <v>3259050.88</v>
      </c>
      <c r="J1308" s="901">
        <v>4398047.05</v>
      </c>
      <c r="K1308" s="807" t="s">
        <v>1874</v>
      </c>
      <c r="L1308" s="418"/>
      <c r="M1308" s="336" t="s">
        <v>560</v>
      </c>
      <c r="N1308" s="336">
        <v>0</v>
      </c>
      <c r="O1308" s="336" t="s">
        <v>1875</v>
      </c>
      <c r="P1308" s="336" t="s">
        <v>1875</v>
      </c>
      <c r="Q1308" s="336" t="s">
        <v>1875</v>
      </c>
      <c r="R1308" s="336">
        <v>0</v>
      </c>
    </row>
    <row r="1309" spans="2:18" ht="15" customHeight="1" x14ac:dyDescent="0.2">
      <c r="B1309" s="1759"/>
      <c r="C1309" s="1759" t="s">
        <v>281</v>
      </c>
      <c r="D1309" s="1758"/>
      <c r="E1309" s="1817" t="s">
        <v>1876</v>
      </c>
      <c r="F1309" s="1661"/>
      <c r="G1309" s="1661" t="s">
        <v>1877</v>
      </c>
      <c r="H1309" s="1661">
        <v>675750</v>
      </c>
      <c r="I1309" s="1661">
        <v>935000</v>
      </c>
      <c r="J1309" s="1661">
        <v>582675</v>
      </c>
      <c r="K1309" s="1625" t="s">
        <v>1878</v>
      </c>
      <c r="L1309" s="418"/>
      <c r="M1309" s="336" t="s">
        <v>1879</v>
      </c>
      <c r="N1309" s="336">
        <v>0</v>
      </c>
      <c r="O1309" s="1760" t="s">
        <v>1880</v>
      </c>
      <c r="P1309" s="1760"/>
      <c r="Q1309" s="557">
        <v>0</v>
      </c>
      <c r="R1309" s="695">
        <v>0</v>
      </c>
    </row>
    <row r="1310" spans="2:18" ht="38.25" x14ac:dyDescent="0.2">
      <c r="B1310" s="1759"/>
      <c r="C1310" s="1759"/>
      <c r="D1310" s="1758"/>
      <c r="E1310" s="1817"/>
      <c r="F1310" s="1661"/>
      <c r="G1310" s="1661"/>
      <c r="H1310" s="1661"/>
      <c r="I1310" s="1661"/>
      <c r="J1310" s="1661"/>
      <c r="K1310" s="1625"/>
      <c r="L1310" s="418"/>
      <c r="M1310" s="336" t="s">
        <v>1881</v>
      </c>
      <c r="N1310" s="336">
        <v>0</v>
      </c>
      <c r="O1310" s="1760" t="s">
        <v>1882</v>
      </c>
      <c r="P1310" s="1760"/>
      <c r="Q1310" s="557">
        <v>0</v>
      </c>
      <c r="R1310" s="695">
        <v>0</v>
      </c>
    </row>
    <row r="1311" spans="2:18" ht="42" customHeight="1" x14ac:dyDescent="0.2">
      <c r="B1311" s="1759"/>
      <c r="C1311" s="1759" t="s">
        <v>88</v>
      </c>
      <c r="D1311" s="1758"/>
      <c r="E1311" s="1817" t="s">
        <v>1883</v>
      </c>
      <c r="F1311" s="1661"/>
      <c r="G1311" s="1661" t="s">
        <v>121</v>
      </c>
      <c r="H1311" s="1661">
        <v>0</v>
      </c>
      <c r="I1311" s="1661">
        <v>0</v>
      </c>
      <c r="J1311" s="1661">
        <v>0</v>
      </c>
      <c r="K1311" s="1625" t="s">
        <v>1884</v>
      </c>
      <c r="L1311" s="418"/>
      <c r="M1311" s="336" t="s">
        <v>1885</v>
      </c>
      <c r="N1311" s="336">
        <v>0</v>
      </c>
      <c r="O1311" s="1760" t="s">
        <v>1886</v>
      </c>
      <c r="P1311" s="1760"/>
      <c r="Q1311" s="1760"/>
      <c r="R1311" s="695">
        <v>0</v>
      </c>
    </row>
    <row r="1312" spans="2:18" ht="45" customHeight="1" x14ac:dyDescent="0.2">
      <c r="B1312" s="1759"/>
      <c r="C1312" s="1759"/>
      <c r="D1312" s="1758"/>
      <c r="E1312" s="1817"/>
      <c r="F1312" s="1661"/>
      <c r="G1312" s="1661"/>
      <c r="H1312" s="1661"/>
      <c r="I1312" s="1661"/>
      <c r="J1312" s="1661"/>
      <c r="K1312" s="1625"/>
      <c r="L1312" s="418"/>
      <c r="M1312" s="336" t="s">
        <v>1887</v>
      </c>
      <c r="N1312" s="336">
        <v>0</v>
      </c>
      <c r="O1312" s="1625" t="s">
        <v>1888</v>
      </c>
      <c r="P1312" s="1625"/>
      <c r="Q1312" s="1625"/>
      <c r="R1312" s="695">
        <v>0</v>
      </c>
    </row>
    <row r="1313" spans="2:18" ht="38.25" x14ac:dyDescent="0.2">
      <c r="B1313" s="1251"/>
      <c r="C1313" s="606" t="s">
        <v>285</v>
      </c>
      <c r="D1313" s="1250"/>
      <c r="E1313" s="1252" t="s">
        <v>1889</v>
      </c>
      <c r="F1313" s="901"/>
      <c r="G1313" s="901" t="s">
        <v>121</v>
      </c>
      <c r="H1313" s="901">
        <v>516970</v>
      </c>
      <c r="I1313" s="901">
        <v>0</v>
      </c>
      <c r="J1313" s="901">
        <v>0</v>
      </c>
      <c r="K1313" s="557" t="s">
        <v>1890</v>
      </c>
      <c r="L1313" s="418"/>
      <c r="M1313" s="336" t="s">
        <v>1891</v>
      </c>
      <c r="N1313" s="336">
        <v>0</v>
      </c>
      <c r="O1313" s="1761" t="s">
        <v>1892</v>
      </c>
      <c r="P1313" s="1761"/>
      <c r="Q1313" s="1761"/>
      <c r="R1313" s="695">
        <v>0</v>
      </c>
    </row>
    <row r="1314" spans="2:18" ht="38.25" x14ac:dyDescent="0.2">
      <c r="B1314" s="1251"/>
      <c r="C1314" s="606" t="s">
        <v>2675</v>
      </c>
      <c r="D1314" s="1250"/>
      <c r="E1314" s="1252" t="s">
        <v>1893</v>
      </c>
      <c r="F1314" s="901"/>
      <c r="G1314" s="901" t="s">
        <v>1894</v>
      </c>
      <c r="H1314" s="901">
        <v>450832.35</v>
      </c>
      <c r="I1314" s="901"/>
      <c r="J1314" s="987"/>
      <c r="K1314" s="557" t="s">
        <v>1895</v>
      </c>
      <c r="L1314" s="418"/>
      <c r="M1314" s="336" t="s">
        <v>1896</v>
      </c>
      <c r="N1314" s="336">
        <v>0</v>
      </c>
      <c r="O1314" s="1760" t="s">
        <v>1897</v>
      </c>
      <c r="P1314" s="1760"/>
      <c r="Q1314" s="1760"/>
      <c r="R1314" s="695">
        <v>0</v>
      </c>
    </row>
    <row r="1315" spans="2:18" x14ac:dyDescent="0.2">
      <c r="B1315" s="1251"/>
      <c r="C1315" s="606" t="s">
        <v>127</v>
      </c>
      <c r="D1315" s="1250"/>
      <c r="E1315" s="1252" t="s">
        <v>1898</v>
      </c>
      <c r="F1315" s="901" t="s">
        <v>1899</v>
      </c>
      <c r="G1315" s="901" t="s">
        <v>1900</v>
      </c>
      <c r="H1315" s="901">
        <v>0</v>
      </c>
      <c r="I1315" s="901">
        <v>0</v>
      </c>
      <c r="J1315" s="987">
        <v>0</v>
      </c>
      <c r="K1315" s="557" t="s">
        <v>1901</v>
      </c>
      <c r="L1315" s="418"/>
      <c r="M1315" s="336" t="s">
        <v>17</v>
      </c>
      <c r="N1315" s="336">
        <v>0</v>
      </c>
      <c r="O1315" s="336">
        <v>0</v>
      </c>
      <c r="P1315" s="336">
        <v>0</v>
      </c>
      <c r="Q1315" s="336">
        <v>0</v>
      </c>
      <c r="R1315" s="695">
        <v>0</v>
      </c>
    </row>
    <row r="1316" spans="2:18" x14ac:dyDescent="0.2">
      <c r="B1316" s="1251"/>
      <c r="C1316" s="606" t="s">
        <v>125</v>
      </c>
      <c r="D1316" s="1250"/>
      <c r="E1316" s="1252" t="s">
        <v>1902</v>
      </c>
      <c r="F1316" s="901" t="s">
        <v>1903</v>
      </c>
      <c r="G1316" s="901" t="s">
        <v>1904</v>
      </c>
      <c r="H1316" s="901">
        <v>0</v>
      </c>
      <c r="I1316" s="901">
        <v>0</v>
      </c>
      <c r="J1316" s="987">
        <v>0</v>
      </c>
      <c r="K1316" s="557" t="s">
        <v>1855</v>
      </c>
      <c r="L1316" s="418"/>
      <c r="M1316" s="336" t="s">
        <v>130</v>
      </c>
      <c r="N1316" s="336">
        <v>0</v>
      </c>
      <c r="O1316" s="336">
        <v>0</v>
      </c>
      <c r="P1316" s="336">
        <v>0</v>
      </c>
      <c r="Q1316" s="336">
        <v>0</v>
      </c>
      <c r="R1316" s="695">
        <v>0</v>
      </c>
    </row>
    <row r="1317" spans="2:18" x14ac:dyDescent="0.2">
      <c r="B1317" s="1251"/>
      <c r="C1317" s="606" t="s">
        <v>74</v>
      </c>
      <c r="D1317" s="1250"/>
      <c r="E1317" s="1252" t="s">
        <v>1905</v>
      </c>
      <c r="F1317" s="901" t="s">
        <v>1906</v>
      </c>
      <c r="G1317" s="901" t="s">
        <v>121</v>
      </c>
      <c r="H1317" s="901">
        <v>0</v>
      </c>
      <c r="I1317" s="901">
        <v>0</v>
      </c>
      <c r="J1317" s="987">
        <v>0</v>
      </c>
      <c r="K1317" s="557" t="s">
        <v>1907</v>
      </c>
      <c r="L1317" s="418"/>
      <c r="M1317" s="336" t="s">
        <v>130</v>
      </c>
      <c r="N1317" s="336">
        <v>0</v>
      </c>
      <c r="O1317" s="336">
        <v>0</v>
      </c>
      <c r="P1317" s="336">
        <v>0</v>
      </c>
      <c r="Q1317" s="336">
        <v>0</v>
      </c>
      <c r="R1317" s="695">
        <v>0</v>
      </c>
    </row>
    <row r="1318" spans="2:18" ht="25.5" x14ac:dyDescent="0.2">
      <c r="B1318" s="1251"/>
      <c r="C1318" s="606" t="s">
        <v>278</v>
      </c>
      <c r="D1318" s="1250"/>
      <c r="E1318" s="1252" t="s">
        <v>1908</v>
      </c>
      <c r="F1318" s="987"/>
      <c r="G1318" s="987"/>
      <c r="H1318" s="987">
        <v>297500.05</v>
      </c>
      <c r="I1318" s="987">
        <v>0</v>
      </c>
      <c r="J1318" s="987">
        <v>0</v>
      </c>
      <c r="K1318" s="557" t="s">
        <v>1909</v>
      </c>
      <c r="L1318" s="418"/>
      <c r="M1318" s="336" t="s">
        <v>130</v>
      </c>
      <c r="N1318" s="336">
        <v>0</v>
      </c>
      <c r="O1318" s="336">
        <v>0</v>
      </c>
      <c r="P1318" s="336">
        <v>0</v>
      </c>
      <c r="Q1318" s="336">
        <v>0</v>
      </c>
      <c r="R1318" s="695">
        <v>0</v>
      </c>
    </row>
    <row r="1319" spans="2:18" x14ac:dyDescent="0.2">
      <c r="B1319" s="1251"/>
      <c r="C1319" s="606" t="s">
        <v>275</v>
      </c>
      <c r="D1319" s="1250"/>
      <c r="E1319" s="1252" t="s">
        <v>1910</v>
      </c>
      <c r="F1319" s="987" t="s">
        <v>1911</v>
      </c>
      <c r="G1319" s="987" t="s">
        <v>121</v>
      </c>
      <c r="H1319" s="987">
        <v>0</v>
      </c>
      <c r="I1319" s="987">
        <v>0</v>
      </c>
      <c r="J1319" s="987">
        <v>0</v>
      </c>
      <c r="K1319" s="557" t="s">
        <v>1912</v>
      </c>
      <c r="L1319" s="418"/>
      <c r="M1319" s="336" t="s">
        <v>130</v>
      </c>
      <c r="N1319" s="336">
        <v>0</v>
      </c>
      <c r="O1319" s="336">
        <v>0</v>
      </c>
      <c r="P1319" s="336">
        <v>0</v>
      </c>
      <c r="Q1319" s="336">
        <v>0</v>
      </c>
      <c r="R1319" s="695">
        <v>0</v>
      </c>
    </row>
    <row r="1320" spans="2:18" x14ac:dyDescent="0.2">
      <c r="B1320" s="1251"/>
      <c r="C1320" s="606" t="s">
        <v>1193</v>
      </c>
      <c r="D1320" s="1250"/>
      <c r="E1320" s="1252" t="s">
        <v>1913</v>
      </c>
      <c r="F1320" s="987"/>
      <c r="G1320" s="987"/>
      <c r="H1320" s="987">
        <v>1639055</v>
      </c>
      <c r="I1320" s="987">
        <v>1326000</v>
      </c>
      <c r="J1320" s="987">
        <v>1326000</v>
      </c>
      <c r="K1320" s="557"/>
      <c r="L1320" s="418"/>
      <c r="M1320" s="336"/>
      <c r="N1320" s="336"/>
      <c r="O1320" s="336"/>
      <c r="P1320" s="336"/>
      <c r="Q1320" s="336"/>
      <c r="R1320" s="695"/>
    </row>
    <row r="1321" spans="2:18" ht="63.75" x14ac:dyDescent="0.2">
      <c r="B1321" s="1253" t="s">
        <v>152</v>
      </c>
      <c r="C1321" s="1251"/>
      <c r="D1321" s="1250"/>
      <c r="E1321" s="693" t="s">
        <v>2813</v>
      </c>
      <c r="F1321" s="985">
        <f>F1322+F1323</f>
        <v>5110.8</v>
      </c>
      <c r="G1321" s="985">
        <f>G1322+G1323+G1324+G1325</f>
        <v>5810.2</v>
      </c>
      <c r="H1321" s="985">
        <f>H1322+H1323</f>
        <v>5768.8</v>
      </c>
      <c r="I1321" s="985">
        <f>I1322+I1323+I1324+I1325</f>
        <v>5878.9</v>
      </c>
      <c r="J1321" s="985">
        <f>J1322+J1323+J1324+J1325</f>
        <v>5934.8</v>
      </c>
      <c r="K1321" s="1090"/>
      <c r="L1321" s="418"/>
      <c r="M1321" s="336"/>
      <c r="N1321" s="336"/>
      <c r="O1321" s="336"/>
      <c r="P1321" s="336"/>
      <c r="Q1321" s="336"/>
      <c r="R1321" s="695"/>
    </row>
    <row r="1322" spans="2:18" ht="38.25" x14ac:dyDescent="0.2">
      <c r="B1322" s="1251"/>
      <c r="C1322" s="606" t="s">
        <v>123</v>
      </c>
      <c r="D1322" s="1250"/>
      <c r="E1322" s="807" t="s">
        <v>1916</v>
      </c>
      <c r="F1322" s="986">
        <v>3576.9</v>
      </c>
      <c r="G1322" s="944">
        <v>3810.2</v>
      </c>
      <c r="H1322" s="944">
        <v>3768.8</v>
      </c>
      <c r="I1322" s="944">
        <v>3878.9</v>
      </c>
      <c r="J1322" s="944">
        <v>3934.8</v>
      </c>
      <c r="K1322" s="328" t="s">
        <v>1917</v>
      </c>
      <c r="L1322" s="418"/>
      <c r="M1322" s="336" t="s">
        <v>1918</v>
      </c>
      <c r="N1322" s="336">
        <v>1</v>
      </c>
      <c r="O1322" s="336" t="s">
        <v>1919</v>
      </c>
      <c r="P1322" s="695">
        <v>1</v>
      </c>
      <c r="Q1322" s="695">
        <v>1</v>
      </c>
      <c r="R1322" s="695">
        <v>1</v>
      </c>
    </row>
    <row r="1323" spans="2:18" ht="51" x14ac:dyDescent="0.2">
      <c r="B1323" s="1759"/>
      <c r="C1323" s="1759" t="s">
        <v>125</v>
      </c>
      <c r="D1323" s="1758"/>
      <c r="E1323" s="1625" t="s">
        <v>1920</v>
      </c>
      <c r="F1323" s="1813">
        <v>1533.9</v>
      </c>
      <c r="G1323" s="1818">
        <v>2000</v>
      </c>
      <c r="H1323" s="1818">
        <v>2000</v>
      </c>
      <c r="I1323" s="1818">
        <v>2000</v>
      </c>
      <c r="J1323" s="1818">
        <v>2000</v>
      </c>
      <c r="K1323" s="328" t="s">
        <v>1921</v>
      </c>
      <c r="L1323" s="418"/>
      <c r="M1323" s="336" t="s">
        <v>1922</v>
      </c>
      <c r="N1323" s="336">
        <v>150</v>
      </c>
      <c r="O1323" s="336" t="s">
        <v>1923</v>
      </c>
      <c r="P1323" s="336">
        <v>0</v>
      </c>
      <c r="Q1323" s="336">
        <v>0</v>
      </c>
      <c r="R1323" s="336">
        <v>0</v>
      </c>
    </row>
    <row r="1324" spans="2:18" ht="25.5" x14ac:dyDescent="0.2">
      <c r="B1324" s="1759"/>
      <c r="C1324" s="1759"/>
      <c r="D1324" s="1758"/>
      <c r="E1324" s="1625"/>
      <c r="F1324" s="1813"/>
      <c r="G1324" s="1818"/>
      <c r="H1324" s="1818"/>
      <c r="I1324" s="1818"/>
      <c r="J1324" s="1818"/>
      <c r="K1324" s="328" t="s">
        <v>1924</v>
      </c>
      <c r="L1324" s="418"/>
      <c r="M1324" s="336" t="s">
        <v>1925</v>
      </c>
      <c r="N1324" s="336">
        <v>0</v>
      </c>
      <c r="O1324" s="336">
        <v>0</v>
      </c>
      <c r="P1324" s="695">
        <v>1</v>
      </c>
      <c r="Q1324" s="695">
        <v>1</v>
      </c>
      <c r="R1324" s="695">
        <v>1</v>
      </c>
    </row>
    <row r="1325" spans="2:18" x14ac:dyDescent="0.2">
      <c r="B1325" s="1251"/>
      <c r="C1325" s="1251"/>
      <c r="D1325" s="1250"/>
      <c r="E1325" s="807"/>
      <c r="F1325" s="986"/>
      <c r="G1325" s="986"/>
      <c r="H1325" s="986"/>
      <c r="I1325" s="986"/>
      <c r="J1325" s="986"/>
      <c r="K1325" s="328"/>
      <c r="L1325" s="418"/>
      <c r="M1325" s="336"/>
      <c r="N1325" s="336"/>
      <c r="O1325" s="336"/>
      <c r="P1325" s="695"/>
      <c r="Q1325" s="336"/>
      <c r="R1325" s="336"/>
    </row>
    <row r="1326" spans="2:18" ht="63.75" x14ac:dyDescent="0.2">
      <c r="B1326" s="1253" t="s">
        <v>132</v>
      </c>
      <c r="C1326" s="1250"/>
      <c r="D1326" s="1250"/>
      <c r="E1326" s="557" t="s">
        <v>2814</v>
      </c>
      <c r="F1326" s="959" t="s">
        <v>1914</v>
      </c>
      <c r="G1326" s="986">
        <v>0</v>
      </c>
      <c r="H1326" s="986">
        <v>0</v>
      </c>
      <c r="I1326" s="986">
        <v>0</v>
      </c>
      <c r="J1326" s="986">
        <v>0</v>
      </c>
      <c r="K1326" s="328"/>
      <c r="L1326" s="418"/>
      <c r="M1326" s="336"/>
      <c r="N1326" s="336"/>
      <c r="O1326" s="336"/>
      <c r="P1326" s="695"/>
      <c r="Q1326" s="336"/>
      <c r="R1326" s="336"/>
    </row>
    <row r="1327" spans="2:18" ht="63.75" x14ac:dyDescent="0.2">
      <c r="B1327" s="1253" t="s">
        <v>74</v>
      </c>
      <c r="C1327" s="1251"/>
      <c r="D1327" s="1250"/>
      <c r="E1327" s="557" t="s">
        <v>2815</v>
      </c>
      <c r="F1327" s="959" t="s">
        <v>1915</v>
      </c>
      <c r="G1327" s="986">
        <v>0</v>
      </c>
      <c r="H1327" s="986">
        <v>0</v>
      </c>
      <c r="I1327" s="986">
        <v>0</v>
      </c>
      <c r="J1327" s="986">
        <v>0</v>
      </c>
      <c r="K1327" s="328"/>
      <c r="L1327" s="418"/>
      <c r="M1327" s="336"/>
      <c r="N1327" s="336"/>
      <c r="O1327" s="336"/>
      <c r="P1327" s="695"/>
      <c r="Q1327" s="336"/>
      <c r="R1327" s="336"/>
    </row>
    <row r="1328" spans="2:18" ht="23.25" customHeight="1" x14ac:dyDescent="0.2">
      <c r="B1328" s="679" t="s">
        <v>64</v>
      </c>
      <c r="C1328" s="679"/>
      <c r="D1328" s="679"/>
      <c r="E1328" s="679"/>
      <c r="F1328" s="937">
        <f>F1289+F1295+F1302+F1321+F1326+F1327</f>
        <v>5029485.919999999</v>
      </c>
      <c r="G1328" s="937">
        <f>G1289+G1295+G1302+G1321</f>
        <v>4402474.5599999996</v>
      </c>
      <c r="H1328" s="937">
        <f>H1289+H1295+H1302+H1321</f>
        <v>10832644.800000001</v>
      </c>
      <c r="I1328" s="937">
        <f>I1289+I1295+I1302+I1321</f>
        <v>11207881.370000001</v>
      </c>
      <c r="J1328" s="937">
        <f>J1289+J1295+J1302+J1321</f>
        <v>11343337.450000001</v>
      </c>
      <c r="K1328" s="1158"/>
      <c r="L1328" s="1254"/>
      <c r="M1328" s="1604"/>
      <c r="N1328" s="1604"/>
      <c r="O1328" s="1604"/>
      <c r="P1328" s="1604"/>
      <c r="Q1328" s="1604"/>
      <c r="R1328" s="1604"/>
    </row>
    <row r="1329" spans="2:18" ht="22.5" customHeight="1" x14ac:dyDescent="0.2">
      <c r="B1329" s="1725" t="s">
        <v>1926</v>
      </c>
      <c r="C1329" s="1725"/>
      <c r="D1329" s="1725"/>
      <c r="E1329" s="1725"/>
      <c r="F1329" s="1725"/>
      <c r="G1329" s="1725"/>
      <c r="H1329" s="1725"/>
      <c r="I1329" s="1725"/>
      <c r="J1329" s="1725"/>
      <c r="K1329" s="1725"/>
      <c r="L1329" s="1725"/>
      <c r="M1329" s="1725"/>
      <c r="N1329" s="1725"/>
      <c r="O1329" s="1725"/>
      <c r="P1329" s="1725"/>
      <c r="Q1329" s="1725"/>
      <c r="R1329" s="1725"/>
    </row>
    <row r="1330" spans="2:18" ht="15" customHeight="1" x14ac:dyDescent="0.2">
      <c r="B1330" s="1087">
        <v>982</v>
      </c>
      <c r="C1330" s="1089"/>
      <c r="D1330" s="1089"/>
      <c r="E1330" s="1090" t="s">
        <v>2676</v>
      </c>
      <c r="F1330" s="1255">
        <f>F1331</f>
        <v>1218193.6000000001</v>
      </c>
      <c r="G1330" s="1255">
        <f t="shared" ref="G1330:J1330" si="62">G1331</f>
        <v>1181748.7</v>
      </c>
      <c r="H1330" s="1255">
        <f t="shared" si="62"/>
        <v>1181575.2</v>
      </c>
      <c r="I1330" s="1255">
        <f t="shared" si="62"/>
        <v>1204412.5</v>
      </c>
      <c r="J1330" s="1255">
        <f t="shared" si="62"/>
        <v>1216011.2</v>
      </c>
      <c r="K1330" s="1625" t="s">
        <v>1927</v>
      </c>
      <c r="L1330" s="1625"/>
      <c r="M1330" s="695" t="s">
        <v>31</v>
      </c>
      <c r="N1330" s="417">
        <v>45389</v>
      </c>
      <c r="O1330" s="417">
        <v>45739</v>
      </c>
      <c r="P1330" s="595">
        <v>45739</v>
      </c>
      <c r="Q1330" s="595">
        <v>45889</v>
      </c>
      <c r="R1330" s="595">
        <v>45889</v>
      </c>
    </row>
    <row r="1331" spans="2:18" ht="15" customHeight="1" x14ac:dyDescent="0.2">
      <c r="B1331" s="1816"/>
      <c r="C1331" s="1663">
        <v>1</v>
      </c>
      <c r="D1331" s="1664"/>
      <c r="E1331" s="1815" t="s">
        <v>1928</v>
      </c>
      <c r="F1331" s="1813">
        <v>1218193.6000000001</v>
      </c>
      <c r="G1331" s="1813">
        <v>1181748.7</v>
      </c>
      <c r="H1331" s="1813">
        <v>1181575.2</v>
      </c>
      <c r="I1331" s="1813">
        <v>1204412.5</v>
      </c>
      <c r="J1331" s="1813">
        <v>1216011.2</v>
      </c>
      <c r="K1331" s="1625" t="s">
        <v>1929</v>
      </c>
      <c r="L1331" s="807" t="s">
        <v>1930</v>
      </c>
      <c r="M1331" s="695" t="s">
        <v>1931</v>
      </c>
      <c r="N1331" s="417">
        <v>413</v>
      </c>
      <c r="O1331" s="417">
        <v>417</v>
      </c>
      <c r="P1331" s="417">
        <v>415</v>
      </c>
      <c r="Q1331" s="417">
        <v>415</v>
      </c>
      <c r="R1331" s="417">
        <v>415</v>
      </c>
    </row>
    <row r="1332" spans="2:18" x14ac:dyDescent="0.2">
      <c r="B1332" s="1816"/>
      <c r="C1332" s="1663"/>
      <c r="D1332" s="1664"/>
      <c r="E1332" s="1815"/>
      <c r="F1332" s="1813"/>
      <c r="G1332" s="1813"/>
      <c r="H1332" s="1813"/>
      <c r="I1332" s="1813"/>
      <c r="J1332" s="1813"/>
      <c r="K1332" s="1625"/>
      <c r="L1332" s="807" t="s">
        <v>1932</v>
      </c>
      <c r="M1332" s="695" t="s">
        <v>1933</v>
      </c>
      <c r="N1332" s="417">
        <v>161</v>
      </c>
      <c r="O1332" s="417">
        <v>163</v>
      </c>
      <c r="P1332" s="417">
        <v>161</v>
      </c>
      <c r="Q1332" s="417">
        <v>161</v>
      </c>
      <c r="R1332" s="417">
        <v>161</v>
      </c>
    </row>
    <row r="1333" spans="2:18" x14ac:dyDescent="0.2">
      <c r="B1333" s="1816"/>
      <c r="C1333" s="1663"/>
      <c r="D1333" s="1664"/>
      <c r="E1333" s="1815"/>
      <c r="F1333" s="1813"/>
      <c r="G1333" s="1813"/>
      <c r="H1333" s="1813"/>
      <c r="I1333" s="1813"/>
      <c r="J1333" s="1813"/>
      <c r="K1333" s="1625"/>
      <c r="L1333" s="807" t="s">
        <v>1934</v>
      </c>
      <c r="M1333" s="695" t="s">
        <v>1935</v>
      </c>
      <c r="N1333" s="417">
        <v>145</v>
      </c>
      <c r="O1333" s="417">
        <v>150</v>
      </c>
      <c r="P1333" s="417">
        <v>149</v>
      </c>
      <c r="Q1333" s="417">
        <v>149</v>
      </c>
      <c r="R1333" s="417">
        <v>149</v>
      </c>
    </row>
    <row r="1334" spans="2:18" x14ac:dyDescent="0.2">
      <c r="B1334" s="1816"/>
      <c r="C1334" s="1663"/>
      <c r="D1334" s="1664"/>
      <c r="E1334" s="1815"/>
      <c r="F1334" s="1813"/>
      <c r="G1334" s="1813"/>
      <c r="H1334" s="1813"/>
      <c r="I1334" s="1813"/>
      <c r="J1334" s="1813"/>
      <c r="K1334" s="1625"/>
      <c r="L1334" s="807" t="s">
        <v>1936</v>
      </c>
      <c r="M1334" s="695" t="s">
        <v>1937</v>
      </c>
      <c r="N1334" s="417">
        <v>1195</v>
      </c>
      <c r="O1334" s="417">
        <v>1195</v>
      </c>
      <c r="P1334" s="417">
        <v>1195</v>
      </c>
      <c r="Q1334" s="417">
        <v>1195</v>
      </c>
      <c r="R1334" s="417">
        <v>1195</v>
      </c>
    </row>
    <row r="1335" spans="2:18" ht="15" customHeight="1" x14ac:dyDescent="0.2">
      <c r="B1335" s="1816"/>
      <c r="C1335" s="1663"/>
      <c r="D1335" s="1664"/>
      <c r="E1335" s="1815"/>
      <c r="F1335" s="1813"/>
      <c r="G1335" s="1813"/>
      <c r="H1335" s="1813"/>
      <c r="I1335" s="1813"/>
      <c r="J1335" s="1813"/>
      <c r="K1335" s="1625" t="s">
        <v>1938</v>
      </c>
      <c r="L1335" s="1625"/>
      <c r="M1335" s="695" t="s">
        <v>1939</v>
      </c>
      <c r="N1335" s="417">
        <v>320.2</v>
      </c>
      <c r="O1335" s="417">
        <v>320.2</v>
      </c>
      <c r="P1335" s="417">
        <v>320.2</v>
      </c>
      <c r="Q1335" s="417">
        <v>320.2</v>
      </c>
      <c r="R1335" s="417">
        <v>320.2</v>
      </c>
    </row>
    <row r="1336" spans="2:18" ht="15" customHeight="1" x14ac:dyDescent="0.2">
      <c r="B1336" s="1816"/>
      <c r="C1336" s="1663"/>
      <c r="D1336" s="1664"/>
      <c r="E1336" s="1815"/>
      <c r="F1336" s="1813"/>
      <c r="G1336" s="1813"/>
      <c r="H1336" s="1813"/>
      <c r="I1336" s="1813"/>
      <c r="J1336" s="1813"/>
      <c r="K1336" s="1625" t="s">
        <v>1940</v>
      </c>
      <c r="L1336" s="1625"/>
      <c r="M1336" s="695" t="s">
        <v>517</v>
      </c>
      <c r="N1336" s="417">
        <v>134</v>
      </c>
      <c r="O1336" s="417">
        <v>134</v>
      </c>
      <c r="P1336" s="417">
        <v>134</v>
      </c>
      <c r="Q1336" s="417">
        <v>134</v>
      </c>
      <c r="R1336" s="417">
        <v>134</v>
      </c>
    </row>
    <row r="1337" spans="2:18" ht="15" customHeight="1" x14ac:dyDescent="0.2">
      <c r="B1337" s="1816"/>
      <c r="C1337" s="1663"/>
      <c r="D1337" s="1664"/>
      <c r="E1337" s="1815"/>
      <c r="F1337" s="1813"/>
      <c r="G1337" s="1813"/>
      <c r="H1337" s="1813"/>
      <c r="I1337" s="1813"/>
      <c r="J1337" s="1813"/>
      <c r="K1337" s="1625" t="s">
        <v>1941</v>
      </c>
      <c r="L1337" s="1625"/>
      <c r="M1337" s="695" t="s">
        <v>17</v>
      </c>
      <c r="N1337" s="417">
        <v>70</v>
      </c>
      <c r="O1337" s="417">
        <v>70</v>
      </c>
      <c r="P1337" s="417">
        <v>70</v>
      </c>
      <c r="Q1337" s="417">
        <v>70</v>
      </c>
      <c r="R1337" s="1256">
        <v>70</v>
      </c>
    </row>
    <row r="1338" spans="2:18" ht="15" customHeight="1" x14ac:dyDescent="0.2">
      <c r="B1338" s="1113" t="s">
        <v>2677</v>
      </c>
      <c r="C1338" s="1113"/>
      <c r="D1338" s="1257"/>
      <c r="E1338" s="1090" t="s">
        <v>2678</v>
      </c>
      <c r="F1338" s="1255">
        <f>F1339</f>
        <v>14040.2</v>
      </c>
      <c r="G1338" s="1255">
        <f t="shared" ref="G1338:J1338" si="63">G1339</f>
        <v>13938.1</v>
      </c>
      <c r="H1338" s="1255">
        <f t="shared" si="63"/>
        <v>13938.1</v>
      </c>
      <c r="I1338" s="1255">
        <f t="shared" si="63"/>
        <v>13938.1</v>
      </c>
      <c r="J1338" s="1255">
        <f t="shared" si="63"/>
        <v>13938.1</v>
      </c>
      <c r="K1338" s="1625" t="s">
        <v>1942</v>
      </c>
      <c r="L1338" s="1625"/>
      <c r="M1338" s="695" t="s">
        <v>1943</v>
      </c>
      <c r="N1338" s="417">
        <v>162</v>
      </c>
      <c r="O1338" s="417">
        <v>180</v>
      </c>
      <c r="P1338" s="417">
        <v>180</v>
      </c>
      <c r="Q1338" s="417">
        <v>180</v>
      </c>
      <c r="R1338" s="417">
        <v>180</v>
      </c>
    </row>
    <row r="1339" spans="2:18" ht="38.25" x14ac:dyDescent="0.2">
      <c r="B1339" s="1124"/>
      <c r="C1339" s="1124" t="s">
        <v>125</v>
      </c>
      <c r="D1339" s="1257"/>
      <c r="E1339" s="557" t="s">
        <v>1944</v>
      </c>
      <c r="F1339" s="986">
        <v>14040.2</v>
      </c>
      <c r="G1339" s="986">
        <v>13938.1</v>
      </c>
      <c r="H1339" s="986">
        <v>13938.1</v>
      </c>
      <c r="I1339" s="986">
        <v>13938.1</v>
      </c>
      <c r="J1339" s="986">
        <v>13938.1</v>
      </c>
      <c r="K1339" s="1625" t="s">
        <v>2679</v>
      </c>
      <c r="L1339" s="1625"/>
      <c r="M1339" s="695" t="s">
        <v>1134</v>
      </c>
      <c r="N1339" s="417">
        <v>28.3</v>
      </c>
      <c r="O1339" s="417">
        <v>40</v>
      </c>
      <c r="P1339" s="417">
        <v>40</v>
      </c>
      <c r="Q1339" s="417">
        <v>40</v>
      </c>
      <c r="R1339" s="1256">
        <v>40</v>
      </c>
    </row>
    <row r="1340" spans="2:18" ht="15" customHeight="1" x14ac:dyDescent="0.2">
      <c r="B1340" s="1113" t="s">
        <v>2680</v>
      </c>
      <c r="C1340" s="1124"/>
      <c r="D1340" s="1113"/>
      <c r="E1340" s="693" t="s">
        <v>2681</v>
      </c>
      <c r="F1340" s="1255">
        <f>F1341</f>
        <v>13332.9</v>
      </c>
      <c r="G1340" s="1255">
        <f t="shared" ref="G1340:J1340" si="64">G1341</f>
        <v>12627.2</v>
      </c>
      <c r="H1340" s="1255">
        <f t="shared" si="64"/>
        <v>12627.2</v>
      </c>
      <c r="I1340" s="1255">
        <f t="shared" si="64"/>
        <v>12868.4</v>
      </c>
      <c r="J1340" s="1255">
        <f t="shared" si="64"/>
        <v>12990.9</v>
      </c>
      <c r="K1340" s="1625" t="s">
        <v>2681</v>
      </c>
      <c r="L1340" s="1625"/>
      <c r="M1340" s="695" t="s">
        <v>517</v>
      </c>
      <c r="N1340" s="417">
        <v>5</v>
      </c>
      <c r="O1340" s="417">
        <v>100</v>
      </c>
      <c r="P1340" s="417">
        <v>50</v>
      </c>
      <c r="Q1340" s="417">
        <v>100</v>
      </c>
      <c r="R1340" s="1256">
        <v>50</v>
      </c>
    </row>
    <row r="1341" spans="2:18" ht="15" customHeight="1" x14ac:dyDescent="0.2">
      <c r="B1341" s="1624"/>
      <c r="C1341" s="1624" t="s">
        <v>123</v>
      </c>
      <c r="D1341" s="1733"/>
      <c r="E1341" s="1625" t="s">
        <v>2682</v>
      </c>
      <c r="F1341" s="1813">
        <v>13332.9</v>
      </c>
      <c r="G1341" s="1813">
        <v>12627.2</v>
      </c>
      <c r="H1341" s="1813">
        <v>12627.2</v>
      </c>
      <c r="I1341" s="1813">
        <v>12868.4</v>
      </c>
      <c r="J1341" s="1813">
        <v>12990.9</v>
      </c>
      <c r="K1341" s="1625" t="s">
        <v>2683</v>
      </c>
      <c r="L1341" s="1625"/>
      <c r="M1341" s="1664" t="s">
        <v>1631</v>
      </c>
      <c r="N1341" s="1814">
        <v>34300</v>
      </c>
      <c r="O1341" s="1814">
        <v>30000</v>
      </c>
      <c r="P1341" s="1814">
        <v>35000</v>
      </c>
      <c r="Q1341" s="1814">
        <v>30000</v>
      </c>
      <c r="R1341" s="1814">
        <v>35000</v>
      </c>
    </row>
    <row r="1342" spans="2:18" x14ac:dyDescent="0.2">
      <c r="B1342" s="1624"/>
      <c r="C1342" s="1624"/>
      <c r="D1342" s="1733"/>
      <c r="E1342" s="1625"/>
      <c r="F1342" s="1813"/>
      <c r="G1342" s="1813"/>
      <c r="H1342" s="1813"/>
      <c r="I1342" s="1813"/>
      <c r="J1342" s="1813"/>
      <c r="K1342" s="1625"/>
      <c r="L1342" s="1625"/>
      <c r="M1342" s="1664"/>
      <c r="N1342" s="1814"/>
      <c r="O1342" s="1814"/>
      <c r="P1342" s="1814"/>
      <c r="Q1342" s="1814"/>
      <c r="R1342" s="1814"/>
    </row>
    <row r="1343" spans="2:18" ht="19.5" customHeight="1" x14ac:dyDescent="0.2">
      <c r="B1343" s="679" t="s">
        <v>1945</v>
      </c>
      <c r="C1343" s="679"/>
      <c r="D1343" s="679"/>
      <c r="E1343" s="1106"/>
      <c r="F1343" s="937">
        <f>F1331+F1339+F1341</f>
        <v>1245566.7</v>
      </c>
      <c r="G1343" s="937">
        <f>G1331+G1339+G1341</f>
        <v>1208314</v>
      </c>
      <c r="H1343" s="937">
        <f>H1330+H1338+H1340</f>
        <v>1208140.5</v>
      </c>
      <c r="I1343" s="937">
        <f>I1331+I1339+I1341</f>
        <v>1231219</v>
      </c>
      <c r="J1343" s="937">
        <f>J1331+J1339+J1341</f>
        <v>1242940.2</v>
      </c>
      <c r="K1343" s="1690"/>
      <c r="L1343" s="1690"/>
      <c r="M1343" s="1604"/>
      <c r="N1343" s="1604"/>
      <c r="O1343" s="1604"/>
      <c r="P1343" s="1604"/>
      <c r="Q1343" s="1604"/>
      <c r="R1343" s="1604"/>
    </row>
    <row r="1344" spans="2:18" ht="24.75" customHeight="1" x14ac:dyDescent="0.2">
      <c r="B1344" s="1542" t="s">
        <v>1946</v>
      </c>
      <c r="C1344" s="1542"/>
      <c r="D1344" s="1542"/>
      <c r="E1344" s="1542"/>
      <c r="F1344" s="1542"/>
      <c r="G1344" s="1542"/>
      <c r="H1344" s="1542"/>
      <c r="I1344" s="1542"/>
      <c r="J1344" s="1542"/>
      <c r="K1344" s="1542"/>
      <c r="L1344" s="1542"/>
      <c r="M1344" s="1542"/>
      <c r="N1344" s="1542"/>
      <c r="O1344" s="1542"/>
      <c r="P1344" s="1542"/>
      <c r="Q1344" s="1542"/>
      <c r="R1344" s="1542"/>
    </row>
    <row r="1345" spans="2:18" ht="73.5" customHeight="1" x14ac:dyDescent="0.2">
      <c r="B1345" s="1258">
        <v>1</v>
      </c>
      <c r="C1345" s="1259"/>
      <c r="D1345" s="1259"/>
      <c r="E1345" s="1090" t="s">
        <v>2792</v>
      </c>
      <c r="F1345" s="959">
        <f>F1346+F1347+F1348+F1349</f>
        <v>25086.1</v>
      </c>
      <c r="G1345" s="959">
        <f>G1346+G1347+G1348+G1349</f>
        <v>34834.5</v>
      </c>
      <c r="H1345" s="959">
        <f>H1346+H1347+H1348+H1349</f>
        <v>495570.4</v>
      </c>
      <c r="I1345" s="959">
        <f>I1346+I1347+I1348+I1349</f>
        <v>498543.8224</v>
      </c>
      <c r="J1345" s="959">
        <f>J1346+J1347+J1348+J1349</f>
        <v>501535.08533440001</v>
      </c>
      <c r="K1345" s="1682" t="s">
        <v>16</v>
      </c>
      <c r="L1345" s="1682"/>
      <c r="M1345" s="1035" t="s">
        <v>17</v>
      </c>
      <c r="N1345" s="1260">
        <v>5.4</v>
      </c>
      <c r="O1345" s="1260">
        <v>3.4</v>
      </c>
      <c r="P1345" s="1260">
        <v>3.4</v>
      </c>
      <c r="Q1345" s="1260">
        <v>3.4</v>
      </c>
      <c r="R1345" s="1260">
        <v>3.4</v>
      </c>
    </row>
    <row r="1346" spans="2:18" ht="15" customHeight="1" x14ac:dyDescent="0.2">
      <c r="B1346" s="1258"/>
      <c r="C1346" s="1124" t="s">
        <v>123</v>
      </c>
      <c r="D1346" s="417"/>
      <c r="E1346" s="557" t="s">
        <v>1389</v>
      </c>
      <c r="F1346" s="987">
        <f>21565+3229.1</f>
        <v>24794.1</v>
      </c>
      <c r="G1346" s="987">
        <f>25000+4312.5</f>
        <v>29312.5</v>
      </c>
      <c r="H1346" s="987">
        <f>25000+4312.5+50+1680+1180</f>
        <v>32222.5</v>
      </c>
      <c r="I1346" s="987">
        <f>H1346*0.6%+H1346</f>
        <v>32415.834999999999</v>
      </c>
      <c r="J1346" s="987">
        <f>I1346*0.6%+I1346</f>
        <v>32610.330009999998</v>
      </c>
      <c r="K1346" s="1625" t="s">
        <v>1947</v>
      </c>
      <c r="L1346" s="1625"/>
      <c r="M1346" s="336" t="s">
        <v>93</v>
      </c>
      <c r="N1346" s="1143">
        <v>1</v>
      </c>
      <c r="O1346" s="1143">
        <v>1</v>
      </c>
      <c r="P1346" s="1143">
        <v>1</v>
      </c>
      <c r="Q1346" s="1143">
        <v>1</v>
      </c>
      <c r="R1346" s="1143">
        <v>1</v>
      </c>
    </row>
    <row r="1347" spans="2:18" ht="30" customHeight="1" x14ac:dyDescent="0.2">
      <c r="B1347" s="1258"/>
      <c r="C1347" s="1124" t="s">
        <v>2684</v>
      </c>
      <c r="D1347" s="417"/>
      <c r="E1347" s="557" t="s">
        <v>1948</v>
      </c>
      <c r="F1347" s="987">
        <v>0</v>
      </c>
      <c r="G1347" s="987"/>
      <c r="H1347" s="987">
        <f>1181.7+26176+4515.1+203.8+11437.7+1972.9+1339.5</f>
        <v>46826.700000000004</v>
      </c>
      <c r="I1347" s="987">
        <f t="shared" ref="I1347:J1349" si="65">H1347*0.6%+H1347</f>
        <v>47107.660200000006</v>
      </c>
      <c r="J1347" s="987">
        <f t="shared" si="65"/>
        <v>47390.306161200009</v>
      </c>
      <c r="K1347" s="1625" t="s">
        <v>1947</v>
      </c>
      <c r="L1347" s="1625"/>
      <c r="M1347" s="336" t="s">
        <v>93</v>
      </c>
      <c r="N1347" s="1143">
        <v>1</v>
      </c>
      <c r="O1347" s="1143">
        <v>1</v>
      </c>
      <c r="P1347" s="1143">
        <v>1</v>
      </c>
      <c r="Q1347" s="1143">
        <v>1</v>
      </c>
      <c r="R1347" s="1143">
        <v>1</v>
      </c>
    </row>
    <row r="1348" spans="2:18" ht="15" customHeight="1" x14ac:dyDescent="0.2">
      <c r="B1348" s="1258"/>
      <c r="C1348" s="1124">
        <v>7</v>
      </c>
      <c r="D1348" s="417"/>
      <c r="E1348" s="557" t="s">
        <v>1949</v>
      </c>
      <c r="F1348" s="987"/>
      <c r="G1348" s="987"/>
      <c r="H1348" s="987">
        <f>23560.6+4064.2+331683.9+57212.5</f>
        <v>416521.2</v>
      </c>
      <c r="I1348" s="987">
        <f>H1348*0.6%+H1348</f>
        <v>419020.3272</v>
      </c>
      <c r="J1348" s="987">
        <f t="shared" si="65"/>
        <v>421534.44916319998</v>
      </c>
      <c r="K1348" s="1625" t="s">
        <v>1947</v>
      </c>
      <c r="L1348" s="1625"/>
      <c r="M1348" s="336" t="s">
        <v>93</v>
      </c>
      <c r="N1348" s="1143">
        <v>1</v>
      </c>
      <c r="O1348" s="1143">
        <v>1</v>
      </c>
      <c r="P1348" s="1143">
        <v>1</v>
      </c>
      <c r="Q1348" s="1143">
        <v>1</v>
      </c>
      <c r="R1348" s="1143">
        <v>1</v>
      </c>
    </row>
    <row r="1349" spans="2:18" x14ac:dyDescent="0.2">
      <c r="B1349" s="1046"/>
      <c r="C1349" s="1124">
        <v>4</v>
      </c>
      <c r="D1349" s="417"/>
      <c r="E1349" s="557" t="s">
        <v>32</v>
      </c>
      <c r="F1349" s="987">
        <v>292</v>
      </c>
      <c r="G1349" s="987">
        <v>5522</v>
      </c>
      <c r="H1349" s="987"/>
      <c r="I1349" s="987">
        <f t="shared" si="65"/>
        <v>0</v>
      </c>
      <c r="J1349" s="987">
        <f t="shared" si="65"/>
        <v>0</v>
      </c>
      <c r="K1349" s="1625"/>
      <c r="L1349" s="1625"/>
      <c r="M1349" s="336"/>
      <c r="N1349" s="336"/>
      <c r="O1349" s="336"/>
      <c r="P1349" s="336"/>
      <c r="Q1349" s="336"/>
      <c r="R1349" s="336"/>
    </row>
    <row r="1350" spans="2:18" ht="59.25" customHeight="1" x14ac:dyDescent="0.2">
      <c r="B1350" s="1258">
        <v>2</v>
      </c>
      <c r="C1350" s="1257"/>
      <c r="D1350" s="1259"/>
      <c r="E1350" s="311" t="s">
        <v>2816</v>
      </c>
      <c r="F1350" s="959">
        <f>SUM(F1351:F1354)</f>
        <v>204761.60000000001</v>
      </c>
      <c r="G1350" s="959">
        <f>SUM(G1351:G1354)</f>
        <v>212130.8</v>
      </c>
      <c r="H1350" s="959">
        <f>SUM(H1351:H1354)</f>
        <v>181815.69999999998</v>
      </c>
      <c r="I1350" s="959">
        <f>SUM(I1351:I1354)</f>
        <v>182906.59419999999</v>
      </c>
      <c r="J1350" s="959">
        <f>J1351+J1352+J1353+J1354</f>
        <v>184004.03376520003</v>
      </c>
      <c r="K1350" s="1682" t="s">
        <v>2685</v>
      </c>
      <c r="L1350" s="1682"/>
      <c r="M1350" s="1261" t="s">
        <v>17</v>
      </c>
      <c r="N1350" s="1143">
        <v>0.2</v>
      </c>
      <c r="O1350" s="1143">
        <v>0.2</v>
      </c>
      <c r="P1350" s="1143">
        <v>0.22</v>
      </c>
      <c r="Q1350" s="1143">
        <v>0.22</v>
      </c>
      <c r="R1350" s="1143">
        <v>0.3</v>
      </c>
    </row>
    <row r="1351" spans="2:18" ht="30" customHeight="1" x14ac:dyDescent="0.2">
      <c r="B1351" s="1046"/>
      <c r="C1351" s="1124" t="s">
        <v>123</v>
      </c>
      <c r="D1351" s="417"/>
      <c r="E1351" s="1125" t="s">
        <v>1950</v>
      </c>
      <c r="F1351" s="901">
        <f>80147.7-25450-4829.4+13175.9+14209.7-5005.5-852.4+30279.4</f>
        <v>101675.4</v>
      </c>
      <c r="G1351" s="987">
        <f>69948.4+13721.3+29849.6</f>
        <v>113519.29999999999</v>
      </c>
      <c r="H1351" s="987">
        <f>23900+1983.8+33080.8+2860.1+466.1+3000+249.7+1000</f>
        <v>66540.5</v>
      </c>
      <c r="I1351" s="987">
        <f>H1351*0.6%+H1351</f>
        <v>66939.743000000002</v>
      </c>
      <c r="J1351" s="987">
        <f>I1351*0.6%+I1351</f>
        <v>67341.381458000003</v>
      </c>
      <c r="K1351" s="1702" t="s">
        <v>2686</v>
      </c>
      <c r="L1351" s="1702"/>
      <c r="M1351" s="1261" t="s">
        <v>93</v>
      </c>
      <c r="N1351" s="580">
        <v>1400</v>
      </c>
      <c r="O1351" s="580">
        <v>1400</v>
      </c>
      <c r="P1351" s="580">
        <v>1400</v>
      </c>
      <c r="Q1351" s="580">
        <v>1400</v>
      </c>
      <c r="R1351" s="580">
        <v>1400</v>
      </c>
    </row>
    <row r="1352" spans="2:18" ht="44.25" customHeight="1" x14ac:dyDescent="0.2">
      <c r="B1352" s="1046"/>
      <c r="C1352" s="1124" t="s">
        <v>125</v>
      </c>
      <c r="D1352" s="417"/>
      <c r="E1352" s="1125" t="s">
        <v>1951</v>
      </c>
      <c r="F1352" s="901">
        <f>44069.6+3823</f>
        <v>47892.6</v>
      </c>
      <c r="G1352" s="901">
        <v>16376.8</v>
      </c>
      <c r="H1352" s="901">
        <v>40757.4</v>
      </c>
      <c r="I1352" s="987">
        <f t="shared" ref="I1352:J1354" si="66">H1352*0.6%+H1352</f>
        <v>41001.9444</v>
      </c>
      <c r="J1352" s="987">
        <f t="shared" si="66"/>
        <v>41247.956066400002</v>
      </c>
      <c r="K1352" s="1702" t="s">
        <v>2687</v>
      </c>
      <c r="L1352" s="1702"/>
      <c r="M1352" s="1261" t="s">
        <v>93</v>
      </c>
      <c r="N1352" s="580">
        <v>24</v>
      </c>
      <c r="O1352" s="580">
        <v>25</v>
      </c>
      <c r="P1352" s="580">
        <v>25</v>
      </c>
      <c r="Q1352" s="580">
        <v>25</v>
      </c>
      <c r="R1352" s="580">
        <v>25</v>
      </c>
    </row>
    <row r="1353" spans="2:18" x14ac:dyDescent="0.2">
      <c r="B1353" s="1046"/>
      <c r="C1353" s="1124" t="s">
        <v>127</v>
      </c>
      <c r="D1353" s="417"/>
      <c r="E1353" s="1125" t="s">
        <v>2688</v>
      </c>
      <c r="F1353" s="901">
        <v>0</v>
      </c>
      <c r="G1353" s="987">
        <v>0</v>
      </c>
      <c r="H1353" s="987">
        <v>50000</v>
      </c>
      <c r="I1353" s="987">
        <f t="shared" si="66"/>
        <v>50300</v>
      </c>
      <c r="J1353" s="987">
        <f t="shared" si="66"/>
        <v>50601.8</v>
      </c>
      <c r="K1353" s="1702"/>
      <c r="L1353" s="1702"/>
      <c r="M1353" s="1261"/>
      <c r="N1353" s="1170"/>
      <c r="O1353" s="1170"/>
      <c r="P1353" s="1170"/>
      <c r="Q1353" s="695"/>
      <c r="R1353" s="695"/>
    </row>
    <row r="1354" spans="2:18" ht="30" customHeight="1" x14ac:dyDescent="0.2">
      <c r="B1354" s="1046"/>
      <c r="C1354" s="1124" t="s">
        <v>132</v>
      </c>
      <c r="D1354" s="417"/>
      <c r="E1354" s="1125" t="s">
        <v>1952</v>
      </c>
      <c r="F1354" s="987">
        <f>60641.7+3042.4-6106.3-985.9-1175.6-222.7</f>
        <v>55193.599999999999</v>
      </c>
      <c r="G1354" s="987">
        <f>80608.3+1626.4</f>
        <v>82234.7</v>
      </c>
      <c r="H1354" s="987">
        <f>230+50+37.8+23000+1200</f>
        <v>24517.8</v>
      </c>
      <c r="I1354" s="987">
        <f t="shared" si="66"/>
        <v>24664.906800000001</v>
      </c>
      <c r="J1354" s="987">
        <f t="shared" si="66"/>
        <v>24812.896240800001</v>
      </c>
      <c r="K1354" s="1702" t="s">
        <v>2689</v>
      </c>
      <c r="L1354" s="1702"/>
      <c r="M1354" s="1261" t="s">
        <v>93</v>
      </c>
      <c r="N1354" s="581">
        <v>50000</v>
      </c>
      <c r="O1354" s="581">
        <v>53000</v>
      </c>
      <c r="P1354" s="581">
        <v>56000</v>
      </c>
      <c r="Q1354" s="581">
        <v>59000</v>
      </c>
      <c r="R1354" s="581">
        <v>60000</v>
      </c>
    </row>
    <row r="1355" spans="2:18" ht="59.25" customHeight="1" x14ac:dyDescent="0.2">
      <c r="B1355" s="868">
        <v>3</v>
      </c>
      <c r="C1355" s="1262"/>
      <c r="D1355" s="1019"/>
      <c r="E1355" s="311" t="s">
        <v>2817</v>
      </c>
      <c r="F1355" s="902">
        <f>SUM(F1356:F1360)</f>
        <v>778224.6</v>
      </c>
      <c r="G1355" s="902">
        <f>SUM(G1356:G1360)</f>
        <v>872951.7</v>
      </c>
      <c r="H1355" s="902">
        <f>SUM(H1356:H1360)</f>
        <v>251997.9</v>
      </c>
      <c r="I1355" s="902">
        <f>SUM(I1356:I1360)</f>
        <v>253509.88740000001</v>
      </c>
      <c r="J1355" s="902">
        <f>J1356+J1357+J1358+J1359+J1360</f>
        <v>255030.94672439998</v>
      </c>
      <c r="K1355" s="1731" t="s">
        <v>1953</v>
      </c>
      <c r="L1355" s="1731"/>
      <c r="M1355" s="1263" t="s">
        <v>17</v>
      </c>
      <c r="N1355" s="733">
        <v>40</v>
      </c>
      <c r="O1355" s="733">
        <v>50</v>
      </c>
      <c r="P1355" s="733">
        <v>60</v>
      </c>
      <c r="Q1355" s="733">
        <v>60</v>
      </c>
      <c r="R1355" s="733">
        <v>60</v>
      </c>
    </row>
    <row r="1356" spans="2:18" ht="30" customHeight="1" x14ac:dyDescent="0.2">
      <c r="B1356" s="1046"/>
      <c r="C1356" s="1124" t="s">
        <v>123</v>
      </c>
      <c r="D1356" s="417"/>
      <c r="E1356" s="1125" t="s">
        <v>1954</v>
      </c>
      <c r="F1356" s="987">
        <f>123550.5-22695.1-3928.4</f>
        <v>96927</v>
      </c>
      <c r="G1356" s="987">
        <f>73747.5+3000</f>
        <v>76747.5</v>
      </c>
      <c r="H1356" s="987">
        <f>30000+4500+6281.1</f>
        <v>40781.1</v>
      </c>
      <c r="I1356" s="987">
        <f>H1356*0.6%+H1356</f>
        <v>41025.786599999999</v>
      </c>
      <c r="J1356" s="987">
        <f>I1356*0.6%+I1356</f>
        <v>41271.941319600002</v>
      </c>
      <c r="K1356" s="1625" t="s">
        <v>2690</v>
      </c>
      <c r="L1356" s="1625"/>
      <c r="M1356" s="1264" t="s">
        <v>93</v>
      </c>
      <c r="N1356" s="1037">
        <v>395</v>
      </c>
      <c r="O1356" s="1037">
        <v>395</v>
      </c>
      <c r="P1356" s="1037">
        <v>395</v>
      </c>
      <c r="Q1356" s="1037">
        <v>395</v>
      </c>
      <c r="R1356" s="1037">
        <v>395</v>
      </c>
    </row>
    <row r="1357" spans="2:18" ht="15" customHeight="1" x14ac:dyDescent="0.2">
      <c r="B1357" s="1046"/>
      <c r="C1357" s="1124" t="s">
        <v>125</v>
      </c>
      <c r="D1357" s="417"/>
      <c r="E1357" s="1125" t="s">
        <v>1955</v>
      </c>
      <c r="F1357" s="987">
        <f>394918-34.1-311622.2-54505.9+392751.6-14209.7+2350.8</f>
        <v>409648.49999999994</v>
      </c>
      <c r="G1357" s="987">
        <f>554029</f>
        <v>554029</v>
      </c>
      <c r="H1357" s="987">
        <f>29120+5917+8101.7</f>
        <v>43138.7</v>
      </c>
      <c r="I1357" s="987">
        <f>H1357*0.6%+H1357</f>
        <v>43397.532199999994</v>
      </c>
      <c r="J1357" s="987">
        <f t="shared" ref="J1357:J1360" si="67">I1357*0.6%+I1357</f>
        <v>43657.917393199998</v>
      </c>
      <c r="K1357" s="1625" t="s">
        <v>2691</v>
      </c>
      <c r="L1357" s="1625"/>
      <c r="M1357" s="1261" t="s">
        <v>93</v>
      </c>
      <c r="N1357" s="1170">
        <v>45000</v>
      </c>
      <c r="O1357" s="1170">
        <v>45500</v>
      </c>
      <c r="P1357" s="1170">
        <v>46000</v>
      </c>
      <c r="Q1357" s="1170">
        <v>46500</v>
      </c>
      <c r="R1357" s="1170">
        <v>47500</v>
      </c>
    </row>
    <row r="1358" spans="2:18" ht="30" customHeight="1" x14ac:dyDescent="0.2">
      <c r="B1358" s="1046"/>
      <c r="C1358" s="1124" t="s">
        <v>127</v>
      </c>
      <c r="D1358" s="417"/>
      <c r="E1358" s="1125" t="s">
        <v>1956</v>
      </c>
      <c r="F1358" s="987">
        <f>210512.9+25436.2</f>
        <v>235949.1</v>
      </c>
      <c r="G1358" s="987">
        <f>207086.1+35089.1</f>
        <v>242175.2</v>
      </c>
      <c r="H1358" s="987">
        <f>4078.1+77000+50000+5000</f>
        <v>136078.1</v>
      </c>
      <c r="I1358" s="987">
        <f>H1358*0.6%+H1358</f>
        <v>136894.5686</v>
      </c>
      <c r="J1358" s="987">
        <f t="shared" si="67"/>
        <v>137715.93601159999</v>
      </c>
      <c r="K1358" s="1702" t="s">
        <v>2692</v>
      </c>
      <c r="L1358" s="1702"/>
      <c r="M1358" s="1261" t="s">
        <v>93</v>
      </c>
      <c r="N1358" s="580">
        <v>290</v>
      </c>
      <c r="O1358" s="580">
        <v>520</v>
      </c>
      <c r="P1358" s="580">
        <v>400</v>
      </c>
      <c r="Q1358" s="580">
        <v>450</v>
      </c>
      <c r="R1358" s="580">
        <v>500</v>
      </c>
    </row>
    <row r="1359" spans="2:18" ht="15" customHeight="1" x14ac:dyDescent="0.2">
      <c r="B1359" s="1046"/>
      <c r="C1359" s="1124" t="s">
        <v>132</v>
      </c>
      <c r="D1359" s="417"/>
      <c r="E1359" s="1125" t="s">
        <v>1957</v>
      </c>
      <c r="F1359" s="987">
        <v>700</v>
      </c>
      <c r="G1359" s="987"/>
      <c r="H1359" s="987">
        <v>0</v>
      </c>
      <c r="I1359" s="987">
        <f t="shared" ref="I1359:I1360" si="68">H1359*0.6%+H1359</f>
        <v>0</v>
      </c>
      <c r="J1359" s="987">
        <f t="shared" si="67"/>
        <v>0</v>
      </c>
      <c r="K1359" s="1702" t="s">
        <v>2693</v>
      </c>
      <c r="L1359" s="1702"/>
      <c r="M1359" s="1261" t="s">
        <v>93</v>
      </c>
      <c r="N1359" s="580">
        <v>2</v>
      </c>
      <c r="O1359" s="580">
        <v>1</v>
      </c>
      <c r="P1359" s="580">
        <v>1</v>
      </c>
      <c r="Q1359" s="580">
        <v>1</v>
      </c>
      <c r="R1359" s="580">
        <v>1</v>
      </c>
    </row>
    <row r="1360" spans="2:18" ht="54.75" customHeight="1" x14ac:dyDescent="0.2">
      <c r="B1360" s="1046"/>
      <c r="C1360" s="1124" t="s">
        <v>74</v>
      </c>
      <c r="D1360" s="417"/>
      <c r="E1360" s="1125" t="s">
        <v>1958</v>
      </c>
      <c r="F1360" s="987">
        <v>35000</v>
      </c>
      <c r="G1360" s="987"/>
      <c r="H1360" s="987">
        <v>32000</v>
      </c>
      <c r="I1360" s="987">
        <f t="shared" si="68"/>
        <v>32192</v>
      </c>
      <c r="J1360" s="987">
        <f t="shared" si="67"/>
        <v>32385.151999999998</v>
      </c>
      <c r="K1360" s="1702" t="s">
        <v>2694</v>
      </c>
      <c r="L1360" s="1702"/>
      <c r="M1360" s="1261" t="s">
        <v>93</v>
      </c>
      <c r="N1360" s="580">
        <v>200</v>
      </c>
      <c r="O1360" s="580">
        <v>200</v>
      </c>
      <c r="P1360" s="580">
        <v>150</v>
      </c>
      <c r="Q1360" s="580">
        <v>150</v>
      </c>
      <c r="R1360" s="580">
        <v>150</v>
      </c>
    </row>
    <row r="1361" spans="2:18" ht="61.5" customHeight="1" x14ac:dyDescent="0.2">
      <c r="B1361" s="1258">
        <v>4</v>
      </c>
      <c r="C1361" s="1257"/>
      <c r="D1361" s="1259"/>
      <c r="E1361" s="1265" t="s">
        <v>2818</v>
      </c>
      <c r="F1361" s="959">
        <f>SUM(F1362:F1364)</f>
        <v>11000</v>
      </c>
      <c r="G1361" s="959">
        <f>SUM(G1362:G1364)</f>
        <v>11000</v>
      </c>
      <c r="H1361" s="959">
        <f>SUM(H1362:H1364)</f>
        <v>4378</v>
      </c>
      <c r="I1361" s="959">
        <f>SUM(I1362:I1364)</f>
        <v>4404.268</v>
      </c>
      <c r="J1361" s="959">
        <f>SUM(J1362:J1364)</f>
        <v>4430.6936080000005</v>
      </c>
      <c r="K1361" s="1705" t="s">
        <v>1959</v>
      </c>
      <c r="L1361" s="1705"/>
      <c r="M1361" s="1266" t="s">
        <v>130</v>
      </c>
      <c r="N1361" s="1267">
        <v>3</v>
      </c>
      <c r="O1361" s="1267">
        <v>4</v>
      </c>
      <c r="P1361" s="1267">
        <v>5</v>
      </c>
      <c r="Q1361" s="1267">
        <v>6</v>
      </c>
      <c r="R1361" s="1267">
        <v>6</v>
      </c>
    </row>
    <row r="1362" spans="2:18" ht="45" customHeight="1" x14ac:dyDescent="0.2">
      <c r="B1362" s="1046"/>
      <c r="C1362" s="1124" t="s">
        <v>123</v>
      </c>
      <c r="D1362" s="695"/>
      <c r="E1362" s="557" t="s">
        <v>1960</v>
      </c>
      <c r="F1362" s="987">
        <v>1000</v>
      </c>
      <c r="G1362" s="987">
        <v>1000</v>
      </c>
      <c r="H1362" s="987">
        <v>0</v>
      </c>
      <c r="I1362" s="987">
        <f>H1362*0.6%+H1362</f>
        <v>0</v>
      </c>
      <c r="J1362" s="987">
        <f>I1362*0.6%+I1362</f>
        <v>0</v>
      </c>
      <c r="K1362" s="1706" t="s">
        <v>1961</v>
      </c>
      <c r="L1362" s="1706"/>
      <c r="M1362" s="1261" t="s">
        <v>93</v>
      </c>
      <c r="N1362" s="1268">
        <v>10</v>
      </c>
      <c r="O1362" s="1268">
        <v>13</v>
      </c>
      <c r="P1362" s="1268">
        <v>8</v>
      </c>
      <c r="Q1362" s="1268">
        <v>9</v>
      </c>
      <c r="R1362" s="1268">
        <v>10</v>
      </c>
    </row>
    <row r="1363" spans="2:18" ht="57.75" customHeight="1" x14ac:dyDescent="0.2">
      <c r="B1363" s="1046"/>
      <c r="C1363" s="1124" t="s">
        <v>125</v>
      </c>
      <c r="D1363" s="695"/>
      <c r="E1363" s="557" t="s">
        <v>2695</v>
      </c>
      <c r="F1363" s="987">
        <v>7000</v>
      </c>
      <c r="G1363" s="987">
        <v>7000</v>
      </c>
      <c r="H1363" s="987">
        <v>1378</v>
      </c>
      <c r="I1363" s="987">
        <f t="shared" ref="I1363:J1364" si="69">H1363*0.6%+H1363</f>
        <v>1386.268</v>
      </c>
      <c r="J1363" s="987">
        <f t="shared" si="69"/>
        <v>1394.5856080000001</v>
      </c>
      <c r="K1363" s="1707" t="s">
        <v>1962</v>
      </c>
      <c r="L1363" s="1707"/>
      <c r="M1363" s="1261" t="s">
        <v>93</v>
      </c>
      <c r="N1363" s="1268">
        <v>10</v>
      </c>
      <c r="O1363" s="1268">
        <v>10</v>
      </c>
      <c r="P1363" s="1268">
        <v>10</v>
      </c>
      <c r="Q1363" s="1268">
        <v>11</v>
      </c>
      <c r="R1363" s="1268">
        <v>12</v>
      </c>
    </row>
    <row r="1364" spans="2:18" ht="30" customHeight="1" x14ac:dyDescent="0.2">
      <c r="B1364" s="1046"/>
      <c r="C1364" s="1124" t="s">
        <v>127</v>
      </c>
      <c r="D1364" s="695"/>
      <c r="E1364" s="1125" t="s">
        <v>1963</v>
      </c>
      <c r="F1364" s="987">
        <v>3000</v>
      </c>
      <c r="G1364" s="987">
        <v>3000</v>
      </c>
      <c r="H1364" s="987">
        <v>3000</v>
      </c>
      <c r="I1364" s="987">
        <f t="shared" si="69"/>
        <v>3018</v>
      </c>
      <c r="J1364" s="987">
        <f t="shared" si="69"/>
        <v>3036.1080000000002</v>
      </c>
      <c r="K1364" s="1702" t="s">
        <v>1964</v>
      </c>
      <c r="L1364" s="1702"/>
      <c r="M1364" s="1261" t="s">
        <v>93</v>
      </c>
      <c r="N1364" s="1268">
        <v>14</v>
      </c>
      <c r="O1364" s="1268">
        <v>14</v>
      </c>
      <c r="P1364" s="1268">
        <v>14</v>
      </c>
      <c r="Q1364" s="1268">
        <v>21</v>
      </c>
      <c r="R1364" s="1268">
        <v>28</v>
      </c>
    </row>
    <row r="1365" spans="2:18" ht="21" customHeight="1" x14ac:dyDescent="0.2">
      <c r="B1365" s="679" t="s">
        <v>64</v>
      </c>
      <c r="C1365" s="679"/>
      <c r="D1365" s="679"/>
      <c r="E1365" s="1106"/>
      <c r="F1365" s="937">
        <f>F1361+F1355+F1350+F1345</f>
        <v>1019072.2999999999</v>
      </c>
      <c r="G1365" s="937">
        <f>G1361+G1355+G1350+G1345</f>
        <v>1130917</v>
      </c>
      <c r="H1365" s="937">
        <f>H1361+H1355+H1350+H1345</f>
        <v>933762</v>
      </c>
      <c r="I1365" s="937">
        <f>I1361+I1355+I1350+I1345</f>
        <v>939364.57199999993</v>
      </c>
      <c r="J1365" s="937">
        <f>J1361+J1355+J1350+J1345</f>
        <v>945000.75943200011</v>
      </c>
      <c r="K1365" s="1690"/>
      <c r="L1365" s="1690"/>
      <c r="M1365" s="1604"/>
      <c r="N1365" s="1604"/>
      <c r="O1365" s="1604"/>
      <c r="P1365" s="1604"/>
      <c r="Q1365" s="1604"/>
      <c r="R1365" s="1604"/>
    </row>
    <row r="1366" spans="2:18" ht="21.75" customHeight="1" x14ac:dyDescent="0.2">
      <c r="B1366" s="1542" t="s">
        <v>1965</v>
      </c>
      <c r="C1366" s="1542"/>
      <c r="D1366" s="1542"/>
      <c r="E1366" s="1700"/>
      <c r="F1366" s="1542"/>
      <c r="G1366" s="1542"/>
      <c r="H1366" s="1542"/>
      <c r="I1366" s="1542"/>
      <c r="J1366" s="1542"/>
      <c r="K1366" s="1542"/>
      <c r="L1366" s="1542"/>
      <c r="M1366" s="1542"/>
      <c r="N1366" s="1542"/>
      <c r="O1366" s="1542"/>
      <c r="P1366" s="1542"/>
      <c r="Q1366" s="1542"/>
      <c r="R1366" s="1542"/>
    </row>
    <row r="1367" spans="2:18" x14ac:dyDescent="0.2">
      <c r="B1367" s="1708">
        <v>1</v>
      </c>
      <c r="C1367" s="1809"/>
      <c r="D1367" s="1811"/>
      <c r="E1367" s="1269" t="s">
        <v>1771</v>
      </c>
      <c r="F1367" s="1755">
        <f>F1369+F1370+F1371+F1372</f>
        <v>7065.7</v>
      </c>
      <c r="G1367" s="1755">
        <f t="shared" ref="G1367:J1367" si="70">G1369+G1370+G1371+G1372</f>
        <v>4524.2</v>
      </c>
      <c r="H1367" s="1755">
        <f t="shared" si="70"/>
        <v>4524.2</v>
      </c>
      <c r="I1367" s="1755">
        <f t="shared" si="70"/>
        <v>4629.2</v>
      </c>
      <c r="J1367" s="1755">
        <f t="shared" si="70"/>
        <v>4682.2</v>
      </c>
      <c r="K1367" s="1560"/>
      <c r="L1367" s="1561"/>
      <c r="M1367" s="1710"/>
      <c r="N1367" s="1710"/>
      <c r="O1367" s="1710"/>
      <c r="P1367" s="1710"/>
      <c r="Q1367" s="1710"/>
      <c r="R1367" s="1709"/>
    </row>
    <row r="1368" spans="2:18" ht="25.5" x14ac:dyDescent="0.2">
      <c r="B1368" s="1709"/>
      <c r="C1368" s="1809"/>
      <c r="D1368" s="1812"/>
      <c r="E1368" s="1270" t="s">
        <v>2696</v>
      </c>
      <c r="F1368" s="1756"/>
      <c r="G1368" s="1756"/>
      <c r="H1368" s="1756"/>
      <c r="I1368" s="1756"/>
      <c r="J1368" s="1756"/>
      <c r="K1368" s="1562"/>
      <c r="L1368" s="1563"/>
      <c r="M1368" s="1710"/>
      <c r="N1368" s="1710"/>
      <c r="O1368" s="1710"/>
      <c r="P1368" s="1710"/>
      <c r="Q1368" s="1710"/>
      <c r="R1368" s="1709"/>
    </row>
    <row r="1369" spans="2:18" ht="15" customHeight="1" x14ac:dyDescent="0.2">
      <c r="B1369" s="818"/>
      <c r="C1369" s="451" t="s">
        <v>123</v>
      </c>
      <c r="D1369" s="818"/>
      <c r="E1369" s="702" t="s">
        <v>2697</v>
      </c>
      <c r="F1369" s="914">
        <v>1414.8</v>
      </c>
      <c r="G1369" s="914">
        <v>1241.7</v>
      </c>
      <c r="H1369" s="914">
        <v>1241.7</v>
      </c>
      <c r="I1369" s="914">
        <v>1346.7</v>
      </c>
      <c r="J1369" s="914">
        <v>1399.7</v>
      </c>
      <c r="K1369" s="1702" t="s">
        <v>19</v>
      </c>
      <c r="L1369" s="1702"/>
      <c r="M1369" s="688" t="s">
        <v>17</v>
      </c>
      <c r="N1369" s="688">
        <v>45</v>
      </c>
      <c r="O1369" s="688">
        <v>50</v>
      </c>
      <c r="P1369" s="688">
        <v>60</v>
      </c>
      <c r="Q1369" s="688">
        <v>80</v>
      </c>
      <c r="R1369" s="688">
        <v>80</v>
      </c>
    </row>
    <row r="1370" spans="2:18" ht="15" customHeight="1" x14ac:dyDescent="0.2">
      <c r="B1370" s="1709"/>
      <c r="C1370" s="1752" t="s">
        <v>125</v>
      </c>
      <c r="D1370" s="1709"/>
      <c r="E1370" s="1807" t="s">
        <v>2698</v>
      </c>
      <c r="F1370" s="914">
        <v>699.1</v>
      </c>
      <c r="G1370" s="914">
        <v>885.5</v>
      </c>
      <c r="H1370" s="914">
        <v>885.5</v>
      </c>
      <c r="I1370" s="914">
        <v>885.5</v>
      </c>
      <c r="J1370" s="914">
        <v>885.5</v>
      </c>
      <c r="K1370" s="1702" t="s">
        <v>23</v>
      </c>
      <c r="L1370" s="1702"/>
      <c r="M1370" s="688" t="s">
        <v>17</v>
      </c>
      <c r="N1370" s="688">
        <v>100</v>
      </c>
      <c r="O1370" s="688">
        <v>100</v>
      </c>
      <c r="P1370" s="688">
        <v>100</v>
      </c>
      <c r="Q1370" s="688">
        <v>100</v>
      </c>
      <c r="R1370" s="688">
        <v>100</v>
      </c>
    </row>
    <row r="1371" spans="2:18" ht="15" customHeight="1" x14ac:dyDescent="0.2">
      <c r="B1371" s="1709"/>
      <c r="C1371" s="1752"/>
      <c r="D1371" s="1709"/>
      <c r="E1371" s="1807"/>
      <c r="F1371" s="914">
        <v>707.4</v>
      </c>
      <c r="G1371" s="914">
        <v>901.3</v>
      </c>
      <c r="H1371" s="914">
        <v>901.3</v>
      </c>
      <c r="I1371" s="914">
        <v>901.3</v>
      </c>
      <c r="J1371" s="914">
        <v>901.3</v>
      </c>
      <c r="K1371" s="1702" t="s">
        <v>1966</v>
      </c>
      <c r="L1371" s="1702"/>
      <c r="M1371" s="688" t="s">
        <v>17</v>
      </c>
      <c r="N1371" s="688">
        <v>100</v>
      </c>
      <c r="O1371" s="688">
        <v>100</v>
      </c>
      <c r="P1371" s="816">
        <v>100</v>
      </c>
      <c r="Q1371" s="115">
        <v>100</v>
      </c>
      <c r="R1371" s="115">
        <v>100</v>
      </c>
    </row>
    <row r="1372" spans="2:18" ht="45" customHeight="1" x14ac:dyDescent="0.2">
      <c r="B1372" s="1709"/>
      <c r="C1372" s="1752"/>
      <c r="D1372" s="1709"/>
      <c r="E1372" s="1808"/>
      <c r="F1372" s="958">
        <v>4244.3999999999996</v>
      </c>
      <c r="G1372" s="958">
        <v>1495.7</v>
      </c>
      <c r="H1372" s="958">
        <v>1495.7</v>
      </c>
      <c r="I1372" s="958">
        <v>1495.7</v>
      </c>
      <c r="J1372" s="958">
        <v>1495.7</v>
      </c>
      <c r="K1372" s="1702" t="s">
        <v>1967</v>
      </c>
      <c r="L1372" s="1702"/>
      <c r="M1372" s="688" t="s">
        <v>17</v>
      </c>
      <c r="N1372" s="688">
        <v>100</v>
      </c>
      <c r="O1372" s="688">
        <v>100</v>
      </c>
      <c r="P1372" s="816">
        <v>100</v>
      </c>
      <c r="Q1372" s="115">
        <v>100</v>
      </c>
      <c r="R1372" s="115">
        <v>100</v>
      </c>
    </row>
    <row r="1373" spans="2:18" x14ac:dyDescent="0.2">
      <c r="B1373" s="1711" t="s">
        <v>138</v>
      </c>
      <c r="C1373" s="1809"/>
      <c r="D1373" s="1810"/>
      <c r="E1373" s="1271" t="s">
        <v>2699</v>
      </c>
      <c r="F1373" s="1755">
        <f>F1375+F1376</f>
        <v>13080.900000000001</v>
      </c>
      <c r="G1373" s="1755">
        <f t="shared" ref="G1373:J1373" si="71">G1375+G1376</f>
        <v>11876.2</v>
      </c>
      <c r="H1373" s="1755">
        <f t="shared" si="71"/>
        <v>11876.2</v>
      </c>
      <c r="I1373" s="1755">
        <f t="shared" si="71"/>
        <v>12085.1</v>
      </c>
      <c r="J1373" s="1755">
        <f t="shared" si="71"/>
        <v>12191.6</v>
      </c>
      <c r="K1373" s="1560"/>
      <c r="L1373" s="1561"/>
      <c r="M1373" s="1712"/>
      <c r="N1373" s="1796"/>
      <c r="O1373" s="1796"/>
      <c r="P1373" s="1796"/>
      <c r="Q1373" s="1709"/>
      <c r="R1373" s="1709"/>
    </row>
    <row r="1374" spans="2:18" ht="25.5" x14ac:dyDescent="0.2">
      <c r="B1374" s="1711"/>
      <c r="C1374" s="1809"/>
      <c r="D1374" s="1810"/>
      <c r="E1374" s="1270" t="s">
        <v>1968</v>
      </c>
      <c r="F1374" s="1755"/>
      <c r="G1374" s="1755"/>
      <c r="H1374" s="1755"/>
      <c r="I1374" s="1755"/>
      <c r="J1374" s="1755"/>
      <c r="K1374" s="1562"/>
      <c r="L1374" s="1563"/>
      <c r="M1374" s="1712"/>
      <c r="N1374" s="1797"/>
      <c r="O1374" s="1797"/>
      <c r="P1374" s="1797"/>
      <c r="Q1374" s="1709"/>
      <c r="R1374" s="1709"/>
    </row>
    <row r="1375" spans="2:18" ht="59.25" customHeight="1" x14ac:dyDescent="0.2">
      <c r="B1375" s="735"/>
      <c r="C1375" s="725" t="s">
        <v>123</v>
      </c>
      <c r="D1375" s="725"/>
      <c r="E1375" s="712" t="s">
        <v>2700</v>
      </c>
      <c r="F1375" s="987">
        <v>9370.2000000000007</v>
      </c>
      <c r="G1375" s="987">
        <v>8426</v>
      </c>
      <c r="H1375" s="987">
        <v>8426</v>
      </c>
      <c r="I1375" s="987">
        <v>8531</v>
      </c>
      <c r="J1375" s="987">
        <v>8584</v>
      </c>
      <c r="K1375" s="1702" t="s">
        <v>1969</v>
      </c>
      <c r="L1375" s="1702"/>
      <c r="M1375" s="688" t="s">
        <v>17</v>
      </c>
      <c r="N1375" s="688">
        <v>90</v>
      </c>
      <c r="O1375" s="688">
        <v>100</v>
      </c>
      <c r="P1375" s="816">
        <v>100</v>
      </c>
      <c r="Q1375" s="688">
        <v>100</v>
      </c>
      <c r="R1375" s="688">
        <v>100</v>
      </c>
    </row>
    <row r="1376" spans="2:18" ht="15" customHeight="1" x14ac:dyDescent="0.2">
      <c r="B1376" s="1999"/>
      <c r="C1376" s="1984" t="s">
        <v>127</v>
      </c>
      <c r="D1376" s="1984"/>
      <c r="E1376" s="2176" t="s">
        <v>2701</v>
      </c>
      <c r="F1376" s="1661">
        <v>3710.7</v>
      </c>
      <c r="G1376" s="1661">
        <v>3450.2</v>
      </c>
      <c r="H1376" s="1661">
        <v>3450.2</v>
      </c>
      <c r="I1376" s="1661">
        <v>3554.1</v>
      </c>
      <c r="J1376" s="1661">
        <v>3607.6</v>
      </c>
      <c r="K1376" s="1801" t="s">
        <v>1970</v>
      </c>
      <c r="L1376" s="1802"/>
      <c r="M1376" s="1805" t="s">
        <v>17</v>
      </c>
      <c r="N1376" s="1798">
        <v>80</v>
      </c>
      <c r="O1376" s="1798">
        <v>90</v>
      </c>
      <c r="P1376" s="1798">
        <v>100</v>
      </c>
      <c r="Q1376" s="1800">
        <v>100</v>
      </c>
      <c r="R1376" s="1800">
        <v>100</v>
      </c>
    </row>
    <row r="1377" spans="2:18" x14ac:dyDescent="0.2">
      <c r="B1377" s="1999"/>
      <c r="C1377" s="1984"/>
      <c r="D1377" s="1984"/>
      <c r="E1377" s="2176"/>
      <c r="F1377" s="1661"/>
      <c r="G1377" s="1661"/>
      <c r="H1377" s="1661"/>
      <c r="I1377" s="1661"/>
      <c r="J1377" s="1661"/>
      <c r="K1377" s="1803"/>
      <c r="L1377" s="1804"/>
      <c r="M1377" s="1806"/>
      <c r="N1377" s="1799"/>
      <c r="O1377" s="1799"/>
      <c r="P1377" s="1799"/>
      <c r="Q1377" s="1800"/>
      <c r="R1377" s="1800"/>
    </row>
    <row r="1378" spans="2:18" ht="18" customHeight="1" x14ac:dyDescent="0.2">
      <c r="B1378" s="679" t="s">
        <v>766</v>
      </c>
      <c r="C1378" s="679"/>
      <c r="D1378" s="679"/>
      <c r="E1378" s="1106"/>
      <c r="F1378" s="937">
        <f>F1369+F1370+F1371+F1372+F1375+F1376</f>
        <v>20146.600000000002</v>
      </c>
      <c r="G1378" s="937">
        <f>G1369+G1370+G1371+G1372+G1375+G1376</f>
        <v>16400.400000000001</v>
      </c>
      <c r="H1378" s="937">
        <f>H1367+H1373</f>
        <v>16400.400000000001</v>
      </c>
      <c r="I1378" s="937">
        <f>I1369+I1370+I1371+I1372+I1375+I1376</f>
        <v>16714.3</v>
      </c>
      <c r="J1378" s="937">
        <f>J1369+J1370+J1371+J1372+J1375+J1376</f>
        <v>16873.8</v>
      </c>
      <c r="K1378" s="1690"/>
      <c r="L1378" s="1690"/>
      <c r="M1378" s="1604"/>
      <c r="N1378" s="1604"/>
      <c r="O1378" s="1604"/>
      <c r="P1378" s="1604"/>
      <c r="Q1378" s="1604"/>
      <c r="R1378" s="1604"/>
    </row>
    <row r="1379" spans="2:18" ht="27" customHeight="1" x14ac:dyDescent="0.2">
      <c r="B1379" s="1542" t="s">
        <v>1971</v>
      </c>
      <c r="C1379" s="1542"/>
      <c r="D1379" s="1542"/>
      <c r="E1379" s="1542"/>
      <c r="F1379" s="1542"/>
      <c r="G1379" s="1542"/>
      <c r="H1379" s="1542"/>
      <c r="I1379" s="1542"/>
      <c r="J1379" s="1542"/>
      <c r="K1379" s="1542"/>
      <c r="L1379" s="1542"/>
      <c r="M1379" s="1542"/>
      <c r="N1379" s="1542"/>
      <c r="O1379" s="1542"/>
      <c r="P1379" s="1542"/>
      <c r="Q1379" s="1542"/>
      <c r="R1379" s="1542"/>
    </row>
    <row r="1380" spans="2:18" ht="73.5" customHeight="1" x14ac:dyDescent="0.2">
      <c r="B1380" s="1272">
        <v>1</v>
      </c>
      <c r="C1380" s="1088"/>
      <c r="D1380" s="1089"/>
      <c r="E1380" s="693" t="s">
        <v>2792</v>
      </c>
      <c r="F1380" s="959">
        <f>F1381+F1386+F1382+F1384+F1385</f>
        <v>10024.5</v>
      </c>
      <c r="G1380" s="959">
        <f>G1381+G1386+G1382+G1384+G1385</f>
        <v>9640.5999999999985</v>
      </c>
      <c r="H1380" s="959">
        <f>H1381+H1386+H1382+H1384+H1385</f>
        <v>9618.9000000000015</v>
      </c>
      <c r="I1380" s="959">
        <f>I1381+I1386+I1382+I1384+I1385</f>
        <v>9676.6134000000002</v>
      </c>
      <c r="J1380" s="959">
        <f>J1381+J1386+J1382+J1384+J1385</f>
        <v>9744.3496938000008</v>
      </c>
      <c r="K1380" s="1682" t="s">
        <v>16</v>
      </c>
      <c r="L1380" s="1682"/>
      <c r="M1380" s="1035" t="s">
        <v>17</v>
      </c>
      <c r="N1380" s="1090"/>
      <c r="O1380" s="1090"/>
      <c r="P1380" s="1090"/>
      <c r="Q1380" s="1090"/>
      <c r="R1380" s="1090"/>
    </row>
    <row r="1381" spans="2:18" ht="15" customHeight="1" x14ac:dyDescent="0.2">
      <c r="B1381" s="1273"/>
      <c r="C1381" s="1110">
        <v>1</v>
      </c>
      <c r="D1381" s="1088"/>
      <c r="E1381" s="1112" t="s">
        <v>18</v>
      </c>
      <c r="F1381" s="987">
        <v>3359.7</v>
      </c>
      <c r="G1381" s="987">
        <v>3236</v>
      </c>
      <c r="H1381" s="987">
        <v>3350</v>
      </c>
      <c r="I1381" s="987">
        <f>H1381*100.6/100</f>
        <v>3370.1</v>
      </c>
      <c r="J1381" s="987">
        <f>I1381*100.7/100</f>
        <v>3393.6907000000001</v>
      </c>
      <c r="K1381" s="1702" t="s">
        <v>19</v>
      </c>
      <c r="L1381" s="1702"/>
      <c r="M1381" s="336" t="s">
        <v>20</v>
      </c>
      <c r="N1381" s="1035">
        <v>0.5</v>
      </c>
      <c r="O1381" s="1035">
        <v>0.5</v>
      </c>
      <c r="P1381" s="1035">
        <v>0.5</v>
      </c>
      <c r="Q1381" s="1035">
        <v>0.5</v>
      </c>
      <c r="R1381" s="1035">
        <v>0.5</v>
      </c>
    </row>
    <row r="1382" spans="2:18" ht="15" customHeight="1" x14ac:dyDescent="0.2">
      <c r="B1382" s="1273"/>
      <c r="C1382" s="1110">
        <v>2</v>
      </c>
      <c r="D1382" s="1088"/>
      <c r="E1382" s="1112" t="s">
        <v>22</v>
      </c>
      <c r="F1382" s="987">
        <v>983.6</v>
      </c>
      <c r="G1382" s="987">
        <v>921.5</v>
      </c>
      <c r="H1382" s="987">
        <v>1112.9000000000001</v>
      </c>
      <c r="I1382" s="987">
        <f>H1382*100.6/100</f>
        <v>1119.5774000000001</v>
      </c>
      <c r="J1382" s="987">
        <f>I1382*100.7/100</f>
        <v>1127.4144418000003</v>
      </c>
      <c r="K1382" s="1702" t="s">
        <v>23</v>
      </c>
      <c r="L1382" s="1702"/>
      <c r="M1382" s="336" t="s">
        <v>17</v>
      </c>
      <c r="N1382" s="1035">
        <v>100</v>
      </c>
      <c r="O1382" s="1035">
        <v>100</v>
      </c>
      <c r="P1382" s="1035">
        <v>100</v>
      </c>
      <c r="Q1382" s="1035">
        <v>100</v>
      </c>
      <c r="R1382" s="1035">
        <v>100</v>
      </c>
    </row>
    <row r="1383" spans="2:18" ht="15" customHeight="1" x14ac:dyDescent="0.2">
      <c r="B1383" s="1703"/>
      <c r="C1383" s="1663">
        <v>3</v>
      </c>
      <c r="D1383" s="2177"/>
      <c r="E1383" s="1821" t="s">
        <v>1972</v>
      </c>
      <c r="F1383" s="986"/>
      <c r="G1383" s="986"/>
      <c r="H1383" s="986"/>
      <c r="I1383" s="986"/>
      <c r="J1383" s="986"/>
      <c r="K1383" s="1702" t="s">
        <v>1973</v>
      </c>
      <c r="L1383" s="1702"/>
      <c r="M1383" s="336" t="s">
        <v>17</v>
      </c>
      <c r="N1383" s="1035">
        <v>0</v>
      </c>
      <c r="O1383" s="1035">
        <v>0</v>
      </c>
      <c r="P1383" s="1035">
        <v>0</v>
      </c>
      <c r="Q1383" s="1035">
        <v>0</v>
      </c>
      <c r="R1383" s="1035">
        <v>0</v>
      </c>
    </row>
    <row r="1384" spans="2:18" ht="15" customHeight="1" x14ac:dyDescent="0.2">
      <c r="B1384" s="1704"/>
      <c r="C1384" s="1663"/>
      <c r="D1384" s="2177"/>
      <c r="E1384" s="1821"/>
      <c r="F1384" s="986">
        <v>2861.7</v>
      </c>
      <c r="G1384" s="986">
        <v>2694.1</v>
      </c>
      <c r="H1384" s="986">
        <v>2708.3</v>
      </c>
      <c r="I1384" s="987">
        <f>H1384*100.6/100</f>
        <v>2724.5497999999998</v>
      </c>
      <c r="J1384" s="987">
        <f>I1384*100.7/100</f>
        <v>2743.6216485999994</v>
      </c>
      <c r="K1384" s="1702" t="s">
        <v>1974</v>
      </c>
      <c r="L1384" s="1702"/>
      <c r="M1384" s="336" t="s">
        <v>31</v>
      </c>
      <c r="N1384" s="1035">
        <v>40</v>
      </c>
      <c r="O1384" s="1035">
        <v>40</v>
      </c>
      <c r="P1384" s="1035">
        <v>41</v>
      </c>
      <c r="Q1384" s="1035">
        <v>42</v>
      </c>
      <c r="R1384" s="1035">
        <v>43</v>
      </c>
    </row>
    <row r="1385" spans="2:18" ht="15" customHeight="1" x14ac:dyDescent="0.2">
      <c r="B1385" s="1274"/>
      <c r="C1385" s="1244">
        <v>4</v>
      </c>
      <c r="D1385" s="1088"/>
      <c r="E1385" s="1112" t="s">
        <v>1411</v>
      </c>
      <c r="F1385" s="987">
        <v>1324.8</v>
      </c>
      <c r="G1385" s="987">
        <v>1294.3</v>
      </c>
      <c r="H1385" s="987">
        <v>1241.5</v>
      </c>
      <c r="I1385" s="987">
        <f>H1385*100.6/100</f>
        <v>1248.9489999999998</v>
      </c>
      <c r="J1385" s="987">
        <f>I1385*100.7/100</f>
        <v>1257.6916429999999</v>
      </c>
      <c r="K1385" s="1702" t="s">
        <v>27</v>
      </c>
      <c r="L1385" s="1702"/>
      <c r="M1385" s="336" t="s">
        <v>28</v>
      </c>
      <c r="N1385" s="1253" t="s">
        <v>1975</v>
      </c>
      <c r="O1385" s="1253" t="s">
        <v>1975</v>
      </c>
      <c r="P1385" s="1253" t="s">
        <v>1975</v>
      </c>
      <c r="Q1385" s="1253" t="s">
        <v>1976</v>
      </c>
      <c r="R1385" s="1253" t="s">
        <v>1977</v>
      </c>
    </row>
    <row r="1386" spans="2:18" ht="47.25" customHeight="1" x14ac:dyDescent="0.2">
      <c r="B1386" s="1273"/>
      <c r="C1386" s="1110">
        <v>6</v>
      </c>
      <c r="D1386" s="1088"/>
      <c r="E1386" s="807" t="s">
        <v>32</v>
      </c>
      <c r="F1386" s="987">
        <v>1494.7</v>
      </c>
      <c r="G1386" s="987">
        <v>1494.7</v>
      </c>
      <c r="H1386" s="987">
        <f>1151+55.2</f>
        <v>1206.2</v>
      </c>
      <c r="I1386" s="987">
        <f>H1386*100.6/100</f>
        <v>1213.4372000000001</v>
      </c>
      <c r="J1386" s="987">
        <f>I1386*100.7/100</f>
        <v>1221.9312604000002</v>
      </c>
      <c r="K1386" s="1702" t="s">
        <v>33</v>
      </c>
      <c r="L1386" s="1702"/>
      <c r="M1386" s="336" t="s">
        <v>17</v>
      </c>
      <c r="N1386" s="1035">
        <v>18</v>
      </c>
      <c r="O1386" s="1035">
        <v>18</v>
      </c>
      <c r="P1386" s="1035">
        <v>18</v>
      </c>
      <c r="Q1386" s="1035">
        <v>18</v>
      </c>
      <c r="R1386" s="1035">
        <v>19</v>
      </c>
    </row>
    <row r="1387" spans="2:18" x14ac:dyDescent="0.2">
      <c r="B1387" s="1275">
        <v>2</v>
      </c>
      <c r="C1387" s="336"/>
      <c r="D1387" s="557"/>
      <c r="E1387" s="693" t="s">
        <v>1978</v>
      </c>
      <c r="F1387" s="959">
        <f>F1388+F1389+F1390</f>
        <v>5892.7</v>
      </c>
      <c r="G1387" s="959">
        <f>G1388+G1389+G1390</f>
        <v>5406.1</v>
      </c>
      <c r="H1387" s="959">
        <f>H1388+H1389+H1390</f>
        <v>5543.3</v>
      </c>
      <c r="I1387" s="959">
        <f>I1388+I1389+I1390</f>
        <v>5576.5597999999991</v>
      </c>
      <c r="J1387" s="959">
        <f>J1388+J1389+J1390</f>
        <v>5615.5957185999996</v>
      </c>
      <c r="K1387" s="1702"/>
      <c r="L1387" s="1702"/>
      <c r="M1387" s="1276"/>
      <c r="N1387" s="1276"/>
      <c r="O1387" s="1277"/>
      <c r="P1387" s="1277"/>
      <c r="Q1387" s="1277"/>
      <c r="R1387" s="1277"/>
    </row>
    <row r="1388" spans="2:18" ht="15" customHeight="1" x14ac:dyDescent="0.2">
      <c r="B1388" s="1124"/>
      <c r="C1388" s="1124" t="s">
        <v>123</v>
      </c>
      <c r="D1388" s="1114"/>
      <c r="E1388" s="807" t="s">
        <v>1979</v>
      </c>
      <c r="F1388" s="986">
        <v>2160.1</v>
      </c>
      <c r="G1388" s="986">
        <v>1992.2</v>
      </c>
      <c r="H1388" s="986">
        <v>2033.7</v>
      </c>
      <c r="I1388" s="987">
        <f>H1388*100.6/100</f>
        <v>2045.9022</v>
      </c>
      <c r="J1388" s="987">
        <f>I1388*100.7/100</f>
        <v>2060.2235154</v>
      </c>
      <c r="K1388" s="1702" t="s">
        <v>1980</v>
      </c>
      <c r="L1388" s="1702"/>
      <c r="M1388" s="336" t="s">
        <v>1981</v>
      </c>
      <c r="N1388" s="695">
        <v>6</v>
      </c>
      <c r="O1388" s="685">
        <v>6.5</v>
      </c>
      <c r="P1388" s="685">
        <v>7</v>
      </c>
      <c r="Q1388" s="685">
        <v>7.5</v>
      </c>
      <c r="R1388" s="685">
        <v>8.5</v>
      </c>
    </row>
    <row r="1389" spans="2:18" ht="15" customHeight="1" x14ac:dyDescent="0.2">
      <c r="B1389" s="1124"/>
      <c r="C1389" s="1124" t="s">
        <v>125</v>
      </c>
      <c r="D1389" s="1114"/>
      <c r="E1389" s="807" t="s">
        <v>1982</v>
      </c>
      <c r="F1389" s="987">
        <v>2131.1</v>
      </c>
      <c r="G1389" s="987">
        <v>1952.6</v>
      </c>
      <c r="H1389" s="987">
        <v>1945.8</v>
      </c>
      <c r="I1389" s="987">
        <f>H1389*100.6/100</f>
        <v>1957.4747999999997</v>
      </c>
      <c r="J1389" s="987">
        <f>I1389*100.7/100</f>
        <v>1971.1771235999997</v>
      </c>
      <c r="K1389" s="1702" t="s">
        <v>1983</v>
      </c>
      <c r="L1389" s="1702"/>
      <c r="M1389" s="336" t="s">
        <v>1981</v>
      </c>
      <c r="N1389" s="580">
        <v>2.7</v>
      </c>
      <c r="O1389" s="580">
        <v>1.5</v>
      </c>
      <c r="P1389" s="580">
        <v>2</v>
      </c>
      <c r="Q1389" s="580">
        <v>2.1</v>
      </c>
      <c r="R1389" s="580">
        <v>3</v>
      </c>
    </row>
    <row r="1390" spans="2:18" ht="30" customHeight="1" x14ac:dyDescent="0.2">
      <c r="B1390" s="1124"/>
      <c r="C1390" s="1124" t="s">
        <v>127</v>
      </c>
      <c r="D1390" s="1114"/>
      <c r="E1390" s="807" t="s">
        <v>1984</v>
      </c>
      <c r="F1390" s="987">
        <v>1601.5</v>
      </c>
      <c r="G1390" s="987">
        <v>1461.3</v>
      </c>
      <c r="H1390" s="987">
        <v>1563.8</v>
      </c>
      <c r="I1390" s="987">
        <f>H1390*100.6/100</f>
        <v>1573.1828</v>
      </c>
      <c r="J1390" s="987">
        <f>I1390*100.7/100</f>
        <v>1584.1950796000001</v>
      </c>
      <c r="K1390" s="1702" t="s">
        <v>1985</v>
      </c>
      <c r="L1390" s="1702"/>
      <c r="M1390" s="336" t="s">
        <v>1981</v>
      </c>
      <c r="N1390" s="580">
        <v>6</v>
      </c>
      <c r="O1390" s="580">
        <v>6.4</v>
      </c>
      <c r="P1390" s="580">
        <v>7.6</v>
      </c>
      <c r="Q1390" s="580">
        <v>10</v>
      </c>
      <c r="R1390" s="580">
        <v>10</v>
      </c>
    </row>
    <row r="1391" spans="2:18" ht="25.5" x14ac:dyDescent="0.2">
      <c r="B1391" s="1113" t="s">
        <v>161</v>
      </c>
      <c r="C1391" s="336"/>
      <c r="D1391" s="557"/>
      <c r="E1391" s="693" t="s">
        <v>1986</v>
      </c>
      <c r="F1391" s="959">
        <f>F1392+F1393+F1394</f>
        <v>4649.5</v>
      </c>
      <c r="G1391" s="959">
        <f>G1392+G1393+G1394</f>
        <v>4084.3999999999996</v>
      </c>
      <c r="H1391" s="959">
        <f>H1392+H1393+H1394</f>
        <v>4272.1000000000004</v>
      </c>
      <c r="I1391" s="959">
        <f>I1392+I1393+I1394</f>
        <v>4297.7325999999994</v>
      </c>
      <c r="J1391" s="959">
        <f>J1392+J1393+J1394</f>
        <v>4327.8167281999995</v>
      </c>
      <c r="K1391" s="1702"/>
      <c r="L1391" s="1702"/>
      <c r="M1391" s="1035"/>
      <c r="N1391" s="1035"/>
      <c r="O1391" s="1278"/>
      <c r="P1391" s="1278"/>
      <c r="Q1391" s="1278"/>
      <c r="R1391" s="1278"/>
    </row>
    <row r="1392" spans="2:18" ht="30" customHeight="1" x14ac:dyDescent="0.2">
      <c r="B1392" s="1124"/>
      <c r="C1392" s="1124" t="s">
        <v>123</v>
      </c>
      <c r="D1392" s="1114"/>
      <c r="E1392" s="807" t="s">
        <v>1987</v>
      </c>
      <c r="F1392" s="987">
        <v>1556.9</v>
      </c>
      <c r="G1392" s="987">
        <v>1375.4</v>
      </c>
      <c r="H1392" s="987">
        <v>1447.9</v>
      </c>
      <c r="I1392" s="987">
        <f>H1392*100.6/100</f>
        <v>1456.5873999999999</v>
      </c>
      <c r="J1392" s="987">
        <f>I1392*100.7/100</f>
        <v>1466.7835118</v>
      </c>
      <c r="K1392" s="1702" t="s">
        <v>1988</v>
      </c>
      <c r="L1392" s="1702"/>
      <c r="M1392" s="336" t="s">
        <v>1981</v>
      </c>
      <c r="N1392" s="336">
        <v>1.3</v>
      </c>
      <c r="O1392" s="580">
        <v>1.6</v>
      </c>
      <c r="P1392" s="580">
        <v>2.7</v>
      </c>
      <c r="Q1392" s="580">
        <v>4.2</v>
      </c>
      <c r="R1392" s="580">
        <v>4.4000000000000004</v>
      </c>
    </row>
    <row r="1393" spans="2:18" ht="15" customHeight="1" x14ac:dyDescent="0.2">
      <c r="B1393" s="1124"/>
      <c r="C1393" s="1124" t="s">
        <v>125</v>
      </c>
      <c r="D1393" s="1114"/>
      <c r="E1393" s="807" t="s">
        <v>1989</v>
      </c>
      <c r="F1393" s="987">
        <v>1561.9</v>
      </c>
      <c r="G1393" s="987">
        <v>1371.8</v>
      </c>
      <c r="H1393" s="987">
        <v>1286</v>
      </c>
      <c r="I1393" s="987">
        <f>H1393*100.6/100</f>
        <v>1293.7159999999999</v>
      </c>
      <c r="J1393" s="987">
        <f>I1393*100.7/100</f>
        <v>1302.7720119999999</v>
      </c>
      <c r="K1393" s="1702" t="s">
        <v>1990</v>
      </c>
      <c r="L1393" s="1702"/>
      <c r="M1393" s="336" t="s">
        <v>17</v>
      </c>
      <c r="N1393" s="573">
        <v>4.8</v>
      </c>
      <c r="O1393" s="573">
        <v>4.9000000000000004</v>
      </c>
      <c r="P1393" s="573">
        <v>5</v>
      </c>
      <c r="Q1393" s="573">
        <v>5.0999999999999996</v>
      </c>
      <c r="R1393" s="580">
        <v>5.2</v>
      </c>
    </row>
    <row r="1394" spans="2:18" ht="15" customHeight="1" x14ac:dyDescent="0.2">
      <c r="B1394" s="1624"/>
      <c r="C1394" s="1624" t="s">
        <v>127</v>
      </c>
      <c r="D1394" s="1745"/>
      <c r="E1394" s="1625" t="s">
        <v>2702</v>
      </c>
      <c r="F1394" s="1592">
        <v>1530.7</v>
      </c>
      <c r="G1394" s="1592">
        <v>1337.2</v>
      </c>
      <c r="H1394" s="1592">
        <v>1538.2</v>
      </c>
      <c r="I1394" s="1592">
        <f>H1394*100.6/100</f>
        <v>1547.4291999999998</v>
      </c>
      <c r="J1394" s="1592">
        <f>I1394*100.7/100</f>
        <v>1558.2612044</v>
      </c>
      <c r="K1394" s="1702" t="s">
        <v>1991</v>
      </c>
      <c r="L1394" s="1702"/>
      <c r="M1394" s="336" t="s">
        <v>1992</v>
      </c>
      <c r="N1394" s="336">
        <v>15</v>
      </c>
      <c r="O1394" s="336">
        <v>38</v>
      </c>
      <c r="P1394" s="336">
        <v>120</v>
      </c>
      <c r="Q1394" s="336">
        <v>220</v>
      </c>
      <c r="R1394" s="336">
        <v>320</v>
      </c>
    </row>
    <row r="1395" spans="2:18" ht="57.75" customHeight="1" x14ac:dyDescent="0.2">
      <c r="B1395" s="1624"/>
      <c r="C1395" s="1624"/>
      <c r="D1395" s="1745"/>
      <c r="E1395" s="1625"/>
      <c r="F1395" s="1592"/>
      <c r="G1395" s="1592"/>
      <c r="H1395" s="1592"/>
      <c r="I1395" s="1592"/>
      <c r="J1395" s="1592"/>
      <c r="K1395" s="1702" t="s">
        <v>1993</v>
      </c>
      <c r="L1395" s="1702"/>
      <c r="M1395" s="553" t="s">
        <v>1992</v>
      </c>
      <c r="N1395" s="553">
        <v>0.5</v>
      </c>
      <c r="O1395" s="553">
        <v>0.5</v>
      </c>
      <c r="P1395" s="553">
        <v>1</v>
      </c>
      <c r="Q1395" s="553">
        <v>2</v>
      </c>
      <c r="R1395" s="553">
        <v>3</v>
      </c>
    </row>
    <row r="1396" spans="2:18" x14ac:dyDescent="0.2">
      <c r="B1396" s="1113" t="s">
        <v>169</v>
      </c>
      <c r="C1396" s="336"/>
      <c r="D1396" s="807"/>
      <c r="E1396" s="807" t="s">
        <v>2819</v>
      </c>
      <c r="F1396" s="959">
        <f>F1397+F1398</f>
        <v>3597.6000000000004</v>
      </c>
      <c r="G1396" s="959">
        <f>G1397+G1398</f>
        <v>3449.7</v>
      </c>
      <c r="H1396" s="959">
        <f>H1397+H1398</f>
        <v>3201.7</v>
      </c>
      <c r="I1396" s="959">
        <f>I1397+I1398</f>
        <v>3218.4015999999997</v>
      </c>
      <c r="J1396" s="959">
        <f>J1397+J1398</f>
        <v>3248.7533112000001</v>
      </c>
      <c r="K1396" s="1702"/>
      <c r="L1396" s="1702"/>
      <c r="M1396" s="336"/>
      <c r="N1396" s="336"/>
      <c r="O1396" s="580"/>
      <c r="P1396" s="580"/>
      <c r="Q1396" s="580"/>
      <c r="R1396" s="580"/>
    </row>
    <row r="1397" spans="2:18" ht="30" customHeight="1" x14ac:dyDescent="0.2">
      <c r="B1397" s="1124"/>
      <c r="C1397" s="1124" t="s">
        <v>123</v>
      </c>
      <c r="D1397" s="606"/>
      <c r="E1397" s="807" t="s">
        <v>1994</v>
      </c>
      <c r="F1397" s="987">
        <v>1782.7</v>
      </c>
      <c r="G1397" s="987">
        <v>1712.6</v>
      </c>
      <c r="H1397" s="987">
        <v>1583.6</v>
      </c>
      <c r="I1397" s="987">
        <f>H1397*100.6/100</f>
        <v>1593.1015999999997</v>
      </c>
      <c r="J1397" s="987">
        <f>I1397*100.7/100</f>
        <v>1604.2533111999999</v>
      </c>
      <c r="K1397" s="1702" t="s">
        <v>1995</v>
      </c>
      <c r="L1397" s="1702"/>
      <c r="M1397" s="336" t="s">
        <v>31</v>
      </c>
      <c r="N1397" s="336">
        <v>32</v>
      </c>
      <c r="O1397" s="580">
        <v>35</v>
      </c>
      <c r="P1397" s="580">
        <v>40</v>
      </c>
      <c r="Q1397" s="580">
        <v>41</v>
      </c>
      <c r="R1397" s="580">
        <v>42</v>
      </c>
    </row>
    <row r="1398" spans="2:18" ht="30" customHeight="1" x14ac:dyDescent="0.2">
      <c r="B1398" s="1124"/>
      <c r="C1398" s="1124" t="s">
        <v>125</v>
      </c>
      <c r="D1398" s="1114"/>
      <c r="E1398" s="807" t="s">
        <v>1996</v>
      </c>
      <c r="F1398" s="987">
        <v>1814.9</v>
      </c>
      <c r="G1398" s="987">
        <v>1737.1</v>
      </c>
      <c r="H1398" s="987">
        <v>1618.1</v>
      </c>
      <c r="I1398" s="987">
        <v>1625.3</v>
      </c>
      <c r="J1398" s="987">
        <v>1644.5</v>
      </c>
      <c r="K1398" s="1702" t="s">
        <v>1997</v>
      </c>
      <c r="L1398" s="1702"/>
      <c r="M1398" s="336" t="s">
        <v>17</v>
      </c>
      <c r="N1398" s="336">
        <v>87.5</v>
      </c>
      <c r="O1398" s="580">
        <v>90</v>
      </c>
      <c r="P1398" s="580">
        <v>92</v>
      </c>
      <c r="Q1398" s="580">
        <v>93</v>
      </c>
      <c r="R1398" s="580">
        <v>95</v>
      </c>
    </row>
    <row r="1399" spans="2:18" ht="23.25" customHeight="1" x14ac:dyDescent="0.2">
      <c r="B1399" s="679" t="s">
        <v>64</v>
      </c>
      <c r="C1399" s="679"/>
      <c r="D1399" s="679"/>
      <c r="E1399" s="1106"/>
      <c r="F1399" s="937">
        <f>F1380+F1387+F1391+F1396</f>
        <v>24164.300000000003</v>
      </c>
      <c r="G1399" s="937">
        <f>G1380+G1387+G1391+G1396</f>
        <v>22580.799999999999</v>
      </c>
      <c r="H1399" s="937">
        <f>H1380+H1387+H1391+H1396</f>
        <v>22636.000000000004</v>
      </c>
      <c r="I1399" s="937">
        <f>I1380+I1387+I1391+I1396</f>
        <v>22769.307400000002</v>
      </c>
      <c r="J1399" s="937">
        <f>J1380+J1387+J1391+J1396</f>
        <v>22936.515451799998</v>
      </c>
      <c r="K1399" s="1690"/>
      <c r="L1399" s="1690"/>
      <c r="M1399" s="1604"/>
      <c r="N1399" s="1604"/>
      <c r="O1399" s="1604"/>
      <c r="P1399" s="1604"/>
      <c r="Q1399" s="1604"/>
      <c r="R1399" s="1604"/>
    </row>
    <row r="1400" spans="2:18" ht="22.5" customHeight="1" x14ac:dyDescent="0.2">
      <c r="B1400" s="1542" t="s">
        <v>1998</v>
      </c>
      <c r="C1400" s="1542"/>
      <c r="D1400" s="1542"/>
      <c r="E1400" s="1542"/>
      <c r="F1400" s="1542"/>
      <c r="G1400" s="1542"/>
      <c r="H1400" s="1542"/>
      <c r="I1400" s="1542"/>
      <c r="J1400" s="1542"/>
      <c r="K1400" s="1542"/>
      <c r="L1400" s="1542"/>
      <c r="M1400" s="1542"/>
      <c r="N1400" s="1542"/>
      <c r="O1400" s="1542"/>
      <c r="P1400" s="1542"/>
      <c r="Q1400" s="1542"/>
      <c r="R1400" s="1542"/>
    </row>
    <row r="1401" spans="2:18" ht="38.25" x14ac:dyDescent="0.2">
      <c r="B1401" s="1279">
        <v>1</v>
      </c>
      <c r="C1401" s="1280"/>
      <c r="D1401" s="652"/>
      <c r="E1401" s="647" t="s">
        <v>2792</v>
      </c>
      <c r="F1401" s="1119">
        <f>F1402+F1403+F1404+F1407</f>
        <v>12353.099999999999</v>
      </c>
      <c r="G1401" s="1119">
        <f>G1402+G1403+G1404+G1407</f>
        <v>13264</v>
      </c>
      <c r="H1401" s="1119">
        <f>H1402+H1403+H1404+H1407</f>
        <v>17198.2</v>
      </c>
      <c r="I1401" s="1119">
        <f>I1402+I1403+I1404+I1407</f>
        <v>17527.373548000003</v>
      </c>
      <c r="J1401" s="1119">
        <f>J1402+J1403+J1404+J1407</f>
        <v>17694.58469164792</v>
      </c>
      <c r="K1401" s="647" t="s">
        <v>16</v>
      </c>
      <c r="L1401" s="1281"/>
      <c r="M1401" s="649" t="s">
        <v>17</v>
      </c>
      <c r="N1401" s="649">
        <v>38.299999999999997</v>
      </c>
      <c r="O1401" s="648">
        <v>39</v>
      </c>
      <c r="P1401" s="649">
        <v>4.7</v>
      </c>
      <c r="Q1401" s="649">
        <v>4.8</v>
      </c>
      <c r="R1401" s="649">
        <v>4.9000000000000004</v>
      </c>
    </row>
    <row r="1402" spans="2:18" x14ac:dyDescent="0.2">
      <c r="B1402" s="1279"/>
      <c r="C1402" s="1282">
        <v>1</v>
      </c>
      <c r="D1402" s="654"/>
      <c r="E1402" s="805" t="s">
        <v>18</v>
      </c>
      <c r="F1402" s="958">
        <v>5817.8</v>
      </c>
      <c r="G1402" s="958">
        <v>5517.1</v>
      </c>
      <c r="H1402" s="958">
        <f>5517.1+264.2+200</f>
        <v>5981.3</v>
      </c>
      <c r="I1402" s="958">
        <f>H1402*101.914/100</f>
        <v>6095.7820819999997</v>
      </c>
      <c r="J1402" s="958">
        <f>I1402*100.954/100</f>
        <v>6153.9358430622797</v>
      </c>
      <c r="K1402" s="805" t="s">
        <v>1999</v>
      </c>
      <c r="L1402" s="1281"/>
      <c r="M1402" s="651" t="s">
        <v>17</v>
      </c>
      <c r="N1402" s="651">
        <v>100</v>
      </c>
      <c r="O1402" s="651">
        <v>100</v>
      </c>
      <c r="P1402" s="651">
        <v>100</v>
      </c>
      <c r="Q1402" s="651">
        <v>100</v>
      </c>
      <c r="R1402" s="651">
        <v>100</v>
      </c>
    </row>
    <row r="1403" spans="2:18" x14ac:dyDescent="0.2">
      <c r="B1403" s="1279"/>
      <c r="C1403" s="1282">
        <v>2</v>
      </c>
      <c r="D1403" s="654"/>
      <c r="E1403" s="805" t="s">
        <v>22</v>
      </c>
      <c r="F1403" s="958">
        <v>2481</v>
      </c>
      <c r="G1403" s="958">
        <v>2620.3000000000002</v>
      </c>
      <c r="H1403" s="958">
        <f>2620.3+252+200+2514</f>
        <v>5586.3</v>
      </c>
      <c r="I1403" s="958">
        <f>H1403*101.914/100</f>
        <v>5693.2217820000005</v>
      </c>
      <c r="J1403" s="958">
        <f>I1403*100.954/100</f>
        <v>5747.5351178002802</v>
      </c>
      <c r="K1403" s="805" t="s">
        <v>23</v>
      </c>
      <c r="L1403" s="1281"/>
      <c r="M1403" s="651" t="s">
        <v>17</v>
      </c>
      <c r="N1403" s="651">
        <v>100</v>
      </c>
      <c r="O1403" s="651">
        <v>100</v>
      </c>
      <c r="P1403" s="651">
        <v>100</v>
      </c>
      <c r="Q1403" s="651">
        <v>100</v>
      </c>
      <c r="R1403" s="651">
        <v>100</v>
      </c>
    </row>
    <row r="1404" spans="2:18" ht="25.5" x14ac:dyDescent="0.2">
      <c r="B1404" s="1766"/>
      <c r="C1404" s="1794">
        <v>3</v>
      </c>
      <c r="D1404" s="1795"/>
      <c r="E1404" s="1660" t="s">
        <v>24</v>
      </c>
      <c r="F1404" s="1598">
        <v>2357.8000000000002</v>
      </c>
      <c r="G1404" s="1598">
        <v>2646.8</v>
      </c>
      <c r="H1404" s="1598">
        <f>2646.8+252</f>
        <v>2898.8</v>
      </c>
      <c r="I1404" s="1598">
        <f>H1404*101.914/100</f>
        <v>2954.2830320000003</v>
      </c>
      <c r="J1404" s="1598">
        <f>I1404*100.954/100</f>
        <v>2982.4668921252801</v>
      </c>
      <c r="K1404" s="805" t="s">
        <v>2000</v>
      </c>
      <c r="L1404" s="1281"/>
      <c r="M1404" s="651" t="s">
        <v>17</v>
      </c>
      <c r="N1404" s="651">
        <v>29.8</v>
      </c>
      <c r="O1404" s="651">
        <v>30</v>
      </c>
      <c r="P1404" s="651">
        <v>30</v>
      </c>
      <c r="Q1404" s="651">
        <v>30</v>
      </c>
      <c r="R1404" s="651">
        <v>30</v>
      </c>
    </row>
    <row r="1405" spans="2:18" ht="25.5" x14ac:dyDescent="0.2">
      <c r="B1405" s="1766"/>
      <c r="C1405" s="1794"/>
      <c r="D1405" s="1795"/>
      <c r="E1405" s="1660"/>
      <c r="F1405" s="1598"/>
      <c r="G1405" s="1598"/>
      <c r="H1405" s="1598"/>
      <c r="I1405" s="1598"/>
      <c r="J1405" s="1598"/>
      <c r="K1405" s="805" t="s">
        <v>2001</v>
      </c>
      <c r="L1405" s="1281"/>
      <c r="M1405" s="651" t="s">
        <v>1582</v>
      </c>
      <c r="N1405" s="651">
        <v>9</v>
      </c>
      <c r="O1405" s="651" t="s">
        <v>1654</v>
      </c>
      <c r="P1405" s="651" t="s">
        <v>1654</v>
      </c>
      <c r="Q1405" s="651" t="s">
        <v>1654</v>
      </c>
      <c r="R1405" s="651" t="s">
        <v>1654</v>
      </c>
    </row>
    <row r="1406" spans="2:18" ht="25.5" x14ac:dyDescent="0.2">
      <c r="B1406" s="1766"/>
      <c r="C1406" s="1794"/>
      <c r="D1406" s="1795"/>
      <c r="E1406" s="1660"/>
      <c r="F1406" s="1598"/>
      <c r="G1406" s="1598"/>
      <c r="H1406" s="1598"/>
      <c r="I1406" s="1598"/>
      <c r="J1406" s="1598"/>
      <c r="K1406" s="805" t="s">
        <v>2002</v>
      </c>
      <c r="L1406" s="1281"/>
      <c r="M1406" s="651" t="s">
        <v>17</v>
      </c>
      <c r="N1406" s="651">
        <v>70</v>
      </c>
      <c r="O1406" s="651" t="s">
        <v>1654</v>
      </c>
      <c r="P1406" s="651" t="s">
        <v>1654</v>
      </c>
      <c r="Q1406" s="651" t="s">
        <v>1654</v>
      </c>
      <c r="R1406" s="651" t="s">
        <v>1654</v>
      </c>
    </row>
    <row r="1407" spans="2:18" ht="25.5" x14ac:dyDescent="0.2">
      <c r="B1407" s="1283"/>
      <c r="C1407" s="1282">
        <v>6</v>
      </c>
      <c r="D1407" s="654"/>
      <c r="E1407" s="805" t="s">
        <v>2003</v>
      </c>
      <c r="F1407" s="958">
        <v>1696.5</v>
      </c>
      <c r="G1407" s="958">
        <v>2479.8000000000002</v>
      </c>
      <c r="H1407" s="958">
        <f>2479.8+252</f>
        <v>2731.8</v>
      </c>
      <c r="I1407" s="958">
        <f>H1407*101.914/100</f>
        <v>2784.0866520000004</v>
      </c>
      <c r="J1407" s="958">
        <f>I1407*100.954/100</f>
        <v>2810.64683866008</v>
      </c>
      <c r="K1407" s="805" t="s">
        <v>33</v>
      </c>
      <c r="L1407" s="1281"/>
      <c r="M1407" s="651" t="s">
        <v>17</v>
      </c>
      <c r="N1407" s="651">
        <v>16.3</v>
      </c>
      <c r="O1407" s="651">
        <v>20</v>
      </c>
      <c r="P1407" s="651">
        <v>20</v>
      </c>
      <c r="Q1407" s="651">
        <v>20</v>
      </c>
      <c r="R1407" s="651">
        <v>20</v>
      </c>
    </row>
    <row r="1408" spans="2:18" ht="63.75" x14ac:dyDescent="0.2">
      <c r="B1408" s="804" t="s">
        <v>138</v>
      </c>
      <c r="C1408" s="1284"/>
      <c r="D1408" s="1285"/>
      <c r="E1408" s="647" t="s">
        <v>2820</v>
      </c>
      <c r="F1408" s="1119">
        <f>F1409+F1411+F1416+F1421+F1422+F1426+F1430+F1431+F1434+F1436+F1437</f>
        <v>48546.5</v>
      </c>
      <c r="G1408" s="1119">
        <f t="shared" ref="G1408" si="72">G1409+G1411+G1416+G1421+G1422+G1426+G1430+G1431+G1434+G1436+G1437</f>
        <v>45067.099999999991</v>
      </c>
      <c r="H1408" s="1119">
        <f>H1409+H1411+H1416+H1421+H1422+H1426+H1430+H1431+H1434+H1436+H1437</f>
        <v>51024.399999999994</v>
      </c>
      <c r="I1408" s="1119">
        <f>I1409+I1411+I1416+I1421+I1422+I1426+I1430+I1431+I1434+I1436+I1437</f>
        <v>52001.007015999996</v>
      </c>
      <c r="J1408" s="1119">
        <f>J1409+J1411+J1416+J1421+J1422+J1426+J1430+J1431+J1434+J1436+J1437</f>
        <v>52497.09662293263</v>
      </c>
      <c r="K1408" s="647" t="s">
        <v>2703</v>
      </c>
      <c r="L1408" s="1281"/>
      <c r="M1408" s="649" t="s">
        <v>20</v>
      </c>
      <c r="N1408" s="652">
        <v>1</v>
      </c>
      <c r="O1408" s="652">
        <v>1</v>
      </c>
      <c r="P1408" s="652">
        <v>1</v>
      </c>
      <c r="Q1408" s="652">
        <v>1</v>
      </c>
      <c r="R1408" s="652">
        <v>1</v>
      </c>
    </row>
    <row r="1409" spans="2:18" ht="25.5" x14ac:dyDescent="0.2">
      <c r="B1409" s="1698"/>
      <c r="C1409" s="1788" t="s">
        <v>123</v>
      </c>
      <c r="D1409" s="1788"/>
      <c r="E1409" s="1660" t="s">
        <v>2005</v>
      </c>
      <c r="F1409" s="1598">
        <v>2200.5</v>
      </c>
      <c r="G1409" s="1598">
        <v>2489</v>
      </c>
      <c r="H1409" s="1598">
        <f>2489+252</f>
        <v>2741</v>
      </c>
      <c r="I1409" s="1598">
        <f>H1409*101.914/100</f>
        <v>2793.4627399999999</v>
      </c>
      <c r="J1409" s="1598">
        <f>I1409*100.954/100</f>
        <v>2820.1123745395998</v>
      </c>
      <c r="K1409" s="653" t="s">
        <v>2006</v>
      </c>
      <c r="L1409" s="1281"/>
      <c r="M1409" s="651" t="s">
        <v>31</v>
      </c>
      <c r="N1409" s="654">
        <v>6</v>
      </c>
      <c r="O1409" s="654" t="s">
        <v>1654</v>
      </c>
      <c r="P1409" s="654" t="s">
        <v>1654</v>
      </c>
      <c r="Q1409" s="654" t="s">
        <v>1654</v>
      </c>
      <c r="R1409" s="654" t="s">
        <v>1654</v>
      </c>
    </row>
    <row r="1410" spans="2:18" ht="38.25" x14ac:dyDescent="0.2">
      <c r="B1410" s="1698"/>
      <c r="C1410" s="1788"/>
      <c r="D1410" s="1788"/>
      <c r="E1410" s="1660"/>
      <c r="F1410" s="1598"/>
      <c r="G1410" s="1598"/>
      <c r="H1410" s="1598"/>
      <c r="I1410" s="1598"/>
      <c r="J1410" s="1598"/>
      <c r="K1410" s="653" t="s">
        <v>2007</v>
      </c>
      <c r="L1410" s="1281"/>
      <c r="M1410" s="651" t="s">
        <v>31</v>
      </c>
      <c r="N1410" s="654">
        <v>88</v>
      </c>
      <c r="O1410" s="654" t="s">
        <v>1654</v>
      </c>
      <c r="P1410" s="654" t="s">
        <v>1654</v>
      </c>
      <c r="Q1410" s="654" t="s">
        <v>1654</v>
      </c>
      <c r="R1410" s="654" t="s">
        <v>1654</v>
      </c>
    </row>
    <row r="1411" spans="2:18" ht="53.25" customHeight="1" x14ac:dyDescent="0.2">
      <c r="B1411" s="1695"/>
      <c r="C1411" s="1788" t="s">
        <v>125</v>
      </c>
      <c r="D1411" s="1789"/>
      <c r="E1411" s="1660" t="s">
        <v>2008</v>
      </c>
      <c r="F1411" s="1598">
        <v>2317.1999999999998</v>
      </c>
      <c r="G1411" s="1598">
        <v>2473.6999999999998</v>
      </c>
      <c r="H1411" s="1598">
        <f>2473.7+252</f>
        <v>2725.7</v>
      </c>
      <c r="I1411" s="1598">
        <f>H1411*101.914/100</f>
        <v>2777.8698979999999</v>
      </c>
      <c r="J1411" s="1598">
        <f>I1411*100.954/100</f>
        <v>2804.3707768269196</v>
      </c>
      <c r="K1411" s="805" t="s">
        <v>2009</v>
      </c>
      <c r="L1411" s="1281"/>
      <c r="M1411" s="651" t="s">
        <v>17</v>
      </c>
      <c r="N1411" s="654">
        <v>29.5</v>
      </c>
      <c r="O1411" s="654" t="s">
        <v>1654</v>
      </c>
      <c r="P1411" s="654" t="s">
        <v>1654</v>
      </c>
      <c r="Q1411" s="654" t="s">
        <v>1654</v>
      </c>
      <c r="R1411" s="654" t="s">
        <v>1654</v>
      </c>
    </row>
    <row r="1412" spans="2:18" ht="47.25" customHeight="1" x14ac:dyDescent="0.2">
      <c r="B1412" s="1696"/>
      <c r="C1412" s="1788"/>
      <c r="D1412" s="1790"/>
      <c r="E1412" s="1660"/>
      <c r="F1412" s="1598"/>
      <c r="G1412" s="1598"/>
      <c r="H1412" s="1598"/>
      <c r="I1412" s="1598"/>
      <c r="J1412" s="1598"/>
      <c r="K1412" s="805" t="s">
        <v>2010</v>
      </c>
      <c r="L1412" s="1281"/>
      <c r="M1412" s="651" t="s">
        <v>17</v>
      </c>
      <c r="N1412" s="654">
        <v>70.5</v>
      </c>
      <c r="O1412" s="654" t="s">
        <v>1654</v>
      </c>
      <c r="P1412" s="654" t="s">
        <v>1654</v>
      </c>
      <c r="Q1412" s="654" t="s">
        <v>1654</v>
      </c>
      <c r="R1412" s="654" t="s">
        <v>1654</v>
      </c>
    </row>
    <row r="1413" spans="2:18" ht="51" x14ac:dyDescent="0.2">
      <c r="B1413" s="1697"/>
      <c r="C1413" s="1788"/>
      <c r="D1413" s="1791"/>
      <c r="E1413" s="1660"/>
      <c r="F1413" s="1598"/>
      <c r="G1413" s="1598"/>
      <c r="H1413" s="1598"/>
      <c r="I1413" s="1598"/>
      <c r="J1413" s="1598"/>
      <c r="K1413" s="805" t="s">
        <v>2011</v>
      </c>
      <c r="L1413" s="1281"/>
      <c r="M1413" s="651" t="s">
        <v>17</v>
      </c>
      <c r="N1413" s="654">
        <v>100</v>
      </c>
      <c r="O1413" s="654">
        <v>100</v>
      </c>
      <c r="P1413" s="654">
        <v>100</v>
      </c>
      <c r="Q1413" s="654">
        <v>100</v>
      </c>
      <c r="R1413" s="654">
        <v>100</v>
      </c>
    </row>
    <row r="1414" spans="2:18" ht="25.5" x14ac:dyDescent="0.2">
      <c r="B1414" s="1695"/>
      <c r="C1414" s="1788" t="s">
        <v>127</v>
      </c>
      <c r="D1414" s="1789"/>
      <c r="E1414" s="1792" t="s">
        <v>2012</v>
      </c>
      <c r="F1414" s="1598"/>
      <c r="G1414" s="1598"/>
      <c r="H1414" s="1598"/>
      <c r="I1414" s="1598"/>
      <c r="J1414" s="1598"/>
      <c r="K1414" s="805" t="s">
        <v>2013</v>
      </c>
      <c r="L1414" s="1281"/>
      <c r="M1414" s="651" t="s">
        <v>2014</v>
      </c>
      <c r="N1414" s="655">
        <v>100</v>
      </c>
      <c r="O1414" s="655">
        <v>100</v>
      </c>
      <c r="P1414" s="655">
        <v>100</v>
      </c>
      <c r="Q1414" s="655">
        <v>100</v>
      </c>
      <c r="R1414" s="655">
        <v>100</v>
      </c>
    </row>
    <row r="1415" spans="2:18" ht="25.5" x14ac:dyDescent="0.2">
      <c r="B1415" s="1697"/>
      <c r="C1415" s="1788"/>
      <c r="D1415" s="1791"/>
      <c r="E1415" s="1793"/>
      <c r="F1415" s="1598"/>
      <c r="G1415" s="1598"/>
      <c r="H1415" s="1598"/>
      <c r="I1415" s="1598"/>
      <c r="J1415" s="1598"/>
      <c r="K1415" s="653" t="s">
        <v>2015</v>
      </c>
      <c r="L1415" s="1281"/>
      <c r="M1415" s="651" t="s">
        <v>17</v>
      </c>
      <c r="N1415" s="655">
        <v>100</v>
      </c>
      <c r="O1415" s="655">
        <v>100</v>
      </c>
      <c r="P1415" s="655">
        <v>100</v>
      </c>
      <c r="Q1415" s="655">
        <v>100</v>
      </c>
      <c r="R1415" s="655">
        <v>100</v>
      </c>
    </row>
    <row r="1416" spans="2:18" ht="25.5" x14ac:dyDescent="0.2">
      <c r="B1416" s="1698"/>
      <c r="C1416" s="1788" t="s">
        <v>132</v>
      </c>
      <c r="D1416" s="1788"/>
      <c r="E1416" s="1660" t="s">
        <v>2016</v>
      </c>
      <c r="F1416" s="1598">
        <v>2102.5</v>
      </c>
      <c r="G1416" s="1598">
        <v>2112.1</v>
      </c>
      <c r="H1416" s="1598">
        <f>2112.1+252</f>
        <v>2364.1</v>
      </c>
      <c r="I1416" s="1598">
        <f>H1416*101.914/100</f>
        <v>2409.3488740000003</v>
      </c>
      <c r="J1416" s="1598">
        <f>I1416*100.954/100</f>
        <v>2432.3340622579599</v>
      </c>
      <c r="K1416" s="805" t="s">
        <v>2017</v>
      </c>
      <c r="L1416" s="1281"/>
      <c r="M1416" s="651" t="s">
        <v>17</v>
      </c>
      <c r="N1416" s="654">
        <v>9.4</v>
      </c>
      <c r="O1416" s="654" t="s">
        <v>1654</v>
      </c>
      <c r="P1416" s="654" t="s">
        <v>1654</v>
      </c>
      <c r="Q1416" s="654" t="s">
        <v>1654</v>
      </c>
      <c r="R1416" s="654" t="s">
        <v>1654</v>
      </c>
    </row>
    <row r="1417" spans="2:18" ht="25.5" x14ac:dyDescent="0.2">
      <c r="B1417" s="1698"/>
      <c r="C1417" s="1788"/>
      <c r="D1417" s="1788"/>
      <c r="E1417" s="1660"/>
      <c r="F1417" s="1598"/>
      <c r="G1417" s="1598"/>
      <c r="H1417" s="1598"/>
      <c r="I1417" s="1598"/>
      <c r="J1417" s="1598"/>
      <c r="K1417" s="805" t="s">
        <v>2018</v>
      </c>
      <c r="L1417" s="1281"/>
      <c r="M1417" s="651" t="s">
        <v>17</v>
      </c>
      <c r="N1417" s="654">
        <v>90.6</v>
      </c>
      <c r="O1417" s="654" t="s">
        <v>1654</v>
      </c>
      <c r="P1417" s="654" t="s">
        <v>1654</v>
      </c>
      <c r="Q1417" s="654" t="s">
        <v>1654</v>
      </c>
      <c r="R1417" s="654" t="s">
        <v>1654</v>
      </c>
    </row>
    <row r="1418" spans="2:18" ht="51" x14ac:dyDescent="0.2">
      <c r="B1418" s="1698"/>
      <c r="C1418" s="1788"/>
      <c r="D1418" s="1788"/>
      <c r="E1418" s="1660"/>
      <c r="F1418" s="1598"/>
      <c r="G1418" s="1598"/>
      <c r="H1418" s="1598"/>
      <c r="I1418" s="1598"/>
      <c r="J1418" s="1598"/>
      <c r="K1418" s="805" t="s">
        <v>2019</v>
      </c>
      <c r="L1418" s="1281"/>
      <c r="M1418" s="651" t="s">
        <v>17</v>
      </c>
      <c r="N1418" s="654">
        <v>100</v>
      </c>
      <c r="O1418" s="654">
        <v>100</v>
      </c>
      <c r="P1418" s="654">
        <v>100</v>
      </c>
      <c r="Q1418" s="654">
        <v>100</v>
      </c>
      <c r="R1418" s="654">
        <v>100</v>
      </c>
    </row>
    <row r="1419" spans="2:18" ht="25.5" x14ac:dyDescent="0.2">
      <c r="B1419" s="1698"/>
      <c r="C1419" s="1788"/>
      <c r="D1419" s="1788"/>
      <c r="E1419" s="1660" t="s">
        <v>2020</v>
      </c>
      <c r="F1419" s="1598"/>
      <c r="G1419" s="1598"/>
      <c r="H1419" s="1598"/>
      <c r="I1419" s="1598"/>
      <c r="J1419" s="1598"/>
      <c r="K1419" s="805" t="s">
        <v>2021</v>
      </c>
      <c r="L1419" s="1281"/>
      <c r="M1419" s="651" t="s">
        <v>17</v>
      </c>
      <c r="N1419" s="655">
        <v>100</v>
      </c>
      <c r="O1419" s="655">
        <v>100</v>
      </c>
      <c r="P1419" s="655">
        <v>100</v>
      </c>
      <c r="Q1419" s="655">
        <v>100</v>
      </c>
      <c r="R1419" s="655">
        <v>100</v>
      </c>
    </row>
    <row r="1420" spans="2:18" ht="33" customHeight="1" x14ac:dyDescent="0.2">
      <c r="B1420" s="1698"/>
      <c r="C1420" s="1788"/>
      <c r="D1420" s="1788"/>
      <c r="E1420" s="1660"/>
      <c r="F1420" s="1598"/>
      <c r="G1420" s="1598"/>
      <c r="H1420" s="1598"/>
      <c r="I1420" s="1598"/>
      <c r="J1420" s="1598"/>
      <c r="K1420" s="805" t="s">
        <v>2022</v>
      </c>
      <c r="L1420" s="1281"/>
      <c r="M1420" s="651" t="s">
        <v>17</v>
      </c>
      <c r="N1420" s="655">
        <v>100</v>
      </c>
      <c r="O1420" s="655">
        <v>100</v>
      </c>
      <c r="P1420" s="655">
        <v>100</v>
      </c>
      <c r="Q1420" s="655">
        <v>100</v>
      </c>
      <c r="R1420" s="655">
        <v>100</v>
      </c>
    </row>
    <row r="1421" spans="2:18" ht="38.25" x14ac:dyDescent="0.2">
      <c r="B1421" s="1286"/>
      <c r="C1421" s="1285" t="s">
        <v>74</v>
      </c>
      <c r="D1421" s="1284"/>
      <c r="E1421" s="650" t="s">
        <v>2023</v>
      </c>
      <c r="F1421" s="958">
        <v>4320.8</v>
      </c>
      <c r="G1421" s="958">
        <v>3247.2</v>
      </c>
      <c r="H1421" s="958">
        <f>3247.2+252</f>
        <v>3499.2</v>
      </c>
      <c r="I1421" s="958">
        <f>H1421*101.914/100</f>
        <v>3566.1746879999996</v>
      </c>
      <c r="J1421" s="958">
        <f>I1421*100.954/100</f>
        <v>3600.1959945235194</v>
      </c>
      <c r="K1421" s="805" t="s">
        <v>2024</v>
      </c>
      <c r="L1421" s="1281"/>
      <c r="M1421" s="651" t="s">
        <v>96</v>
      </c>
      <c r="N1421" s="651">
        <v>17961</v>
      </c>
      <c r="O1421" s="651" t="s">
        <v>1654</v>
      </c>
      <c r="P1421" s="651" t="s">
        <v>1654</v>
      </c>
      <c r="Q1421" s="651" t="s">
        <v>1654</v>
      </c>
      <c r="R1421" s="651" t="s">
        <v>1654</v>
      </c>
    </row>
    <row r="1422" spans="2:18" ht="42" customHeight="1" x14ac:dyDescent="0.2">
      <c r="B1422" s="1698"/>
      <c r="C1422" s="1788" t="s">
        <v>197</v>
      </c>
      <c r="D1422" s="1788"/>
      <c r="E1422" s="1660" t="s">
        <v>2025</v>
      </c>
      <c r="F1422" s="1598">
        <v>2070.4</v>
      </c>
      <c r="G1422" s="1598">
        <v>2021.5</v>
      </c>
      <c r="H1422" s="1598">
        <f>2021.5+252</f>
        <v>2273.5</v>
      </c>
      <c r="I1422" s="1598">
        <f>H1422*101.914/100</f>
        <v>2317.0147899999997</v>
      </c>
      <c r="J1422" s="1598">
        <f>I1422*100.954/100</f>
        <v>2339.1191110965997</v>
      </c>
      <c r="K1422" s="1660" t="s">
        <v>2026</v>
      </c>
      <c r="L1422" s="1281"/>
      <c r="M1422" s="651" t="s">
        <v>2027</v>
      </c>
      <c r="N1422" s="656" t="s">
        <v>985</v>
      </c>
      <c r="O1422" s="655" t="s">
        <v>1654</v>
      </c>
      <c r="P1422" s="655" t="s">
        <v>1654</v>
      </c>
      <c r="Q1422" s="655" t="s">
        <v>1654</v>
      </c>
      <c r="R1422" s="655" t="s">
        <v>1654</v>
      </c>
    </row>
    <row r="1423" spans="2:18" x14ac:dyDescent="0.2">
      <c r="B1423" s="1698"/>
      <c r="C1423" s="1788"/>
      <c r="D1423" s="1788"/>
      <c r="E1423" s="1660"/>
      <c r="F1423" s="1598"/>
      <c r="G1423" s="1598"/>
      <c r="H1423" s="1598"/>
      <c r="I1423" s="1598"/>
      <c r="J1423" s="1598"/>
      <c r="K1423" s="1660"/>
      <c r="L1423" s="1281"/>
      <c r="M1423" s="651"/>
      <c r="N1423" s="656"/>
      <c r="O1423" s="655"/>
      <c r="P1423" s="655"/>
      <c r="Q1423" s="655"/>
      <c r="R1423" s="655"/>
    </row>
    <row r="1424" spans="2:18" x14ac:dyDescent="0.2">
      <c r="B1424" s="1698"/>
      <c r="C1424" s="1788"/>
      <c r="D1424" s="1788"/>
      <c r="E1424" s="1660"/>
      <c r="F1424" s="1598"/>
      <c r="G1424" s="1598"/>
      <c r="H1424" s="1598"/>
      <c r="I1424" s="1598"/>
      <c r="J1424" s="1598"/>
      <c r="K1424" s="805" t="s">
        <v>2028</v>
      </c>
      <c r="L1424" s="1281"/>
      <c r="M1424" s="651" t="s">
        <v>130</v>
      </c>
      <c r="N1424" s="657">
        <v>2</v>
      </c>
      <c r="O1424" s="651" t="s">
        <v>1654</v>
      </c>
      <c r="P1424" s="651" t="s">
        <v>1654</v>
      </c>
      <c r="Q1424" s="651" t="s">
        <v>1654</v>
      </c>
      <c r="R1424" s="651" t="s">
        <v>1654</v>
      </c>
    </row>
    <row r="1425" spans="2:18" x14ac:dyDescent="0.2">
      <c r="B1425" s="1698"/>
      <c r="C1425" s="1788"/>
      <c r="D1425" s="1788"/>
      <c r="E1425" s="1660"/>
      <c r="F1425" s="1598"/>
      <c r="G1425" s="1598"/>
      <c r="H1425" s="1598"/>
      <c r="I1425" s="1598"/>
      <c r="J1425" s="1598"/>
      <c r="K1425" s="805" t="s">
        <v>2029</v>
      </c>
      <c r="L1425" s="1281"/>
      <c r="M1425" s="654" t="s">
        <v>130</v>
      </c>
      <c r="N1425" s="654">
        <v>1</v>
      </c>
      <c r="O1425" s="651" t="s">
        <v>1654</v>
      </c>
      <c r="P1425" s="651" t="s">
        <v>1654</v>
      </c>
      <c r="Q1425" s="651" t="s">
        <v>1654</v>
      </c>
      <c r="R1425" s="651" t="s">
        <v>1654</v>
      </c>
    </row>
    <row r="1426" spans="2:18" x14ac:dyDescent="0.2">
      <c r="B1426" s="1695"/>
      <c r="C1426" s="1788" t="s">
        <v>155</v>
      </c>
      <c r="D1426" s="1789"/>
      <c r="E1426" s="1660" t="s">
        <v>2030</v>
      </c>
      <c r="F1426" s="1598">
        <v>2267.4</v>
      </c>
      <c r="G1426" s="1598">
        <v>2494.5</v>
      </c>
      <c r="H1426" s="1598">
        <f>2494.5+252</f>
        <v>2746.5</v>
      </c>
      <c r="I1426" s="1598">
        <f>H1426*101.914/100</f>
        <v>2799.06801</v>
      </c>
      <c r="J1426" s="1598">
        <f>I1426*100.954/100</f>
        <v>2825.7711188153999</v>
      </c>
      <c r="K1426" s="805" t="s">
        <v>2031</v>
      </c>
      <c r="L1426" s="1281"/>
      <c r="M1426" s="651" t="s">
        <v>96</v>
      </c>
      <c r="N1426" s="655">
        <v>30</v>
      </c>
      <c r="O1426" s="655" t="s">
        <v>1654</v>
      </c>
      <c r="P1426" s="655" t="s">
        <v>1654</v>
      </c>
      <c r="Q1426" s="655" t="s">
        <v>1654</v>
      </c>
      <c r="R1426" s="655" t="s">
        <v>1654</v>
      </c>
    </row>
    <row r="1427" spans="2:18" x14ac:dyDescent="0.2">
      <c r="B1427" s="1696"/>
      <c r="C1427" s="1788"/>
      <c r="D1427" s="1790"/>
      <c r="E1427" s="1660"/>
      <c r="F1427" s="1598"/>
      <c r="G1427" s="1598"/>
      <c r="H1427" s="1598"/>
      <c r="I1427" s="1598"/>
      <c r="J1427" s="1598"/>
      <c r="K1427" s="805" t="s">
        <v>2032</v>
      </c>
      <c r="L1427" s="1281"/>
      <c r="M1427" s="651" t="s">
        <v>96</v>
      </c>
      <c r="N1427" s="655">
        <v>12</v>
      </c>
      <c r="O1427" s="655" t="s">
        <v>1654</v>
      </c>
      <c r="P1427" s="655" t="s">
        <v>1654</v>
      </c>
      <c r="Q1427" s="655" t="s">
        <v>1654</v>
      </c>
      <c r="R1427" s="655" t="s">
        <v>1654</v>
      </c>
    </row>
    <row r="1428" spans="2:18" x14ac:dyDescent="0.2">
      <c r="B1428" s="1696"/>
      <c r="C1428" s="1788"/>
      <c r="D1428" s="1790"/>
      <c r="E1428" s="1660"/>
      <c r="F1428" s="1598"/>
      <c r="G1428" s="1598"/>
      <c r="H1428" s="1598"/>
      <c r="I1428" s="1598"/>
      <c r="J1428" s="1598"/>
      <c r="K1428" s="805" t="s">
        <v>2033</v>
      </c>
      <c r="L1428" s="1281"/>
      <c r="M1428" s="651" t="s">
        <v>31</v>
      </c>
      <c r="N1428" s="655">
        <v>210</v>
      </c>
      <c r="O1428" s="655" t="s">
        <v>1654</v>
      </c>
      <c r="P1428" s="655" t="s">
        <v>1654</v>
      </c>
      <c r="Q1428" s="655" t="s">
        <v>1654</v>
      </c>
      <c r="R1428" s="655" t="s">
        <v>1654</v>
      </c>
    </row>
    <row r="1429" spans="2:18" ht="25.5" x14ac:dyDescent="0.2">
      <c r="B1429" s="1697"/>
      <c r="C1429" s="1788"/>
      <c r="D1429" s="1791"/>
      <c r="E1429" s="1660"/>
      <c r="F1429" s="1598"/>
      <c r="G1429" s="1598"/>
      <c r="H1429" s="1598"/>
      <c r="I1429" s="1598"/>
      <c r="J1429" s="1598"/>
      <c r="K1429" s="805" t="s">
        <v>2034</v>
      </c>
      <c r="L1429" s="1281"/>
      <c r="M1429" s="651" t="s">
        <v>31</v>
      </c>
      <c r="N1429" s="651">
        <v>210</v>
      </c>
      <c r="O1429" s="651" t="s">
        <v>1654</v>
      </c>
      <c r="P1429" s="651" t="s">
        <v>1654</v>
      </c>
      <c r="Q1429" s="651" t="s">
        <v>1654</v>
      </c>
      <c r="R1429" s="651" t="s">
        <v>1654</v>
      </c>
    </row>
    <row r="1430" spans="2:18" ht="25.5" x14ac:dyDescent="0.2">
      <c r="B1430" s="1286"/>
      <c r="C1430" s="1285" t="s">
        <v>158</v>
      </c>
      <c r="D1430" s="1284"/>
      <c r="E1430" s="805" t="s">
        <v>2035</v>
      </c>
      <c r="F1430" s="958">
        <v>10982.8</v>
      </c>
      <c r="G1430" s="958">
        <v>2369.3000000000002</v>
      </c>
      <c r="H1430" s="958">
        <f>2369.3+252</f>
        <v>2621.3000000000002</v>
      </c>
      <c r="I1430" s="958">
        <f>H1430*101.914/100</f>
        <v>2671.4716820000003</v>
      </c>
      <c r="J1430" s="958">
        <f>I1430*100.954/100</f>
        <v>2696.9575218462805</v>
      </c>
      <c r="K1430" s="805" t="s">
        <v>2036</v>
      </c>
      <c r="L1430" s="1281"/>
      <c r="M1430" s="651" t="s">
        <v>897</v>
      </c>
      <c r="N1430" s="655">
        <v>79</v>
      </c>
      <c r="O1430" s="651" t="s">
        <v>1654</v>
      </c>
      <c r="P1430" s="651" t="s">
        <v>1654</v>
      </c>
      <c r="Q1430" s="651" t="s">
        <v>1654</v>
      </c>
      <c r="R1430" s="651" t="s">
        <v>1654</v>
      </c>
    </row>
    <row r="1431" spans="2:18" ht="15" customHeight="1" x14ac:dyDescent="0.2">
      <c r="B1431" s="1698"/>
      <c r="C1431" s="1788" t="s">
        <v>264</v>
      </c>
      <c r="D1431" s="1788"/>
      <c r="E1431" s="1660" t="s">
        <v>2037</v>
      </c>
      <c r="F1431" s="1598">
        <v>3104.2</v>
      </c>
      <c r="G1431" s="1598">
        <v>3426.8</v>
      </c>
      <c r="H1431" s="1598">
        <f>3426.8+252</f>
        <v>3678.8</v>
      </c>
      <c r="I1431" s="1598">
        <f>H1431*101.914/100</f>
        <v>3749.2122319999999</v>
      </c>
      <c r="J1431" s="1598">
        <f>I1431*100.954/100</f>
        <v>3784.9797166932794</v>
      </c>
      <c r="K1431" s="1660" t="s">
        <v>2038</v>
      </c>
      <c r="L1431" s="1281"/>
      <c r="M1431" s="651" t="s">
        <v>17</v>
      </c>
      <c r="N1431" s="806">
        <v>108.7</v>
      </c>
      <c r="O1431" s="651" t="s">
        <v>1654</v>
      </c>
      <c r="P1431" s="655">
        <v>100</v>
      </c>
      <c r="Q1431" s="655">
        <v>100</v>
      </c>
      <c r="R1431" s="655">
        <v>100</v>
      </c>
    </row>
    <row r="1432" spans="2:18" x14ac:dyDescent="0.2">
      <c r="B1432" s="1698"/>
      <c r="C1432" s="1788"/>
      <c r="D1432" s="1788"/>
      <c r="E1432" s="1660"/>
      <c r="F1432" s="1598"/>
      <c r="G1432" s="1598"/>
      <c r="H1432" s="1598"/>
      <c r="I1432" s="1598"/>
      <c r="J1432" s="1598"/>
      <c r="K1432" s="1660"/>
      <c r="L1432" s="1281"/>
      <c r="M1432" s="651"/>
      <c r="N1432" s="806"/>
      <c r="O1432" s="651"/>
      <c r="P1432" s="655"/>
      <c r="Q1432" s="655"/>
      <c r="R1432" s="655"/>
    </row>
    <row r="1433" spans="2:18" ht="25.5" x14ac:dyDescent="0.2">
      <c r="B1433" s="1698"/>
      <c r="C1433" s="1788"/>
      <c r="D1433" s="1788"/>
      <c r="E1433" s="1660"/>
      <c r="F1433" s="1598"/>
      <c r="G1433" s="1598"/>
      <c r="H1433" s="1598"/>
      <c r="I1433" s="1598"/>
      <c r="J1433" s="1598"/>
      <c r="K1433" s="805" t="s">
        <v>2039</v>
      </c>
      <c r="L1433" s="1281"/>
      <c r="M1433" s="651" t="s">
        <v>17</v>
      </c>
      <c r="N1433" s="655">
        <v>100</v>
      </c>
      <c r="O1433" s="651" t="s">
        <v>1654</v>
      </c>
      <c r="P1433" s="655">
        <v>100</v>
      </c>
      <c r="Q1433" s="655">
        <v>100</v>
      </c>
      <c r="R1433" s="655">
        <v>100</v>
      </c>
    </row>
    <row r="1434" spans="2:18" ht="38.25" x14ac:dyDescent="0.2">
      <c r="B1434" s="1698"/>
      <c r="C1434" s="1788" t="s">
        <v>269</v>
      </c>
      <c r="D1434" s="1788"/>
      <c r="E1434" s="805" t="s">
        <v>2040</v>
      </c>
      <c r="F1434" s="1598">
        <v>1942</v>
      </c>
      <c r="G1434" s="1598">
        <v>2077.1</v>
      </c>
      <c r="H1434" s="1598">
        <f>2077.1+252</f>
        <v>2329.1</v>
      </c>
      <c r="I1434" s="1598">
        <f>H1434*101.914/100</f>
        <v>2373.6789739999999</v>
      </c>
      <c r="J1434" s="1598">
        <f>I1434*100.954/100</f>
        <v>2396.3238714119598</v>
      </c>
      <c r="K1434" s="653" t="s">
        <v>2041</v>
      </c>
      <c r="L1434" s="1281"/>
      <c r="M1434" s="651" t="s">
        <v>17</v>
      </c>
      <c r="N1434" s="651">
        <v>100</v>
      </c>
      <c r="O1434" s="651">
        <v>100</v>
      </c>
      <c r="P1434" s="651">
        <v>100</v>
      </c>
      <c r="Q1434" s="651">
        <v>100</v>
      </c>
      <c r="R1434" s="651">
        <v>100</v>
      </c>
    </row>
    <row r="1435" spans="2:18" ht="38.25" x14ac:dyDescent="0.2">
      <c r="B1435" s="1698"/>
      <c r="C1435" s="1788"/>
      <c r="D1435" s="1788"/>
      <c r="E1435" s="805" t="s">
        <v>2042</v>
      </c>
      <c r="F1435" s="1598"/>
      <c r="G1435" s="1598"/>
      <c r="H1435" s="1598"/>
      <c r="I1435" s="1598"/>
      <c r="J1435" s="1598"/>
      <c r="K1435" s="653" t="s">
        <v>2043</v>
      </c>
      <c r="L1435" s="1281"/>
      <c r="M1435" s="651" t="s">
        <v>17</v>
      </c>
      <c r="N1435" s="651">
        <v>100</v>
      </c>
      <c r="O1435" s="651">
        <v>100</v>
      </c>
      <c r="P1435" s="651">
        <v>100</v>
      </c>
      <c r="Q1435" s="651">
        <v>100</v>
      </c>
      <c r="R1435" s="651">
        <v>100</v>
      </c>
    </row>
    <row r="1436" spans="2:18" ht="38.25" x14ac:dyDescent="0.2">
      <c r="B1436" s="804"/>
      <c r="C1436" s="1285" t="s">
        <v>272</v>
      </c>
      <c r="D1436" s="1285"/>
      <c r="E1436" s="805" t="s">
        <v>2044</v>
      </c>
      <c r="F1436" s="958">
        <v>455.4</v>
      </c>
      <c r="G1436" s="958">
        <v>572.79999999999995</v>
      </c>
      <c r="H1436" s="958">
        <f>572.8+252</f>
        <v>824.8</v>
      </c>
      <c r="I1436" s="958">
        <f>H1436*101.914/100</f>
        <v>840.58667199999991</v>
      </c>
      <c r="J1436" s="958">
        <f>I1436*100.954/100</f>
        <v>848.60586885087992</v>
      </c>
      <c r="K1436" s="805" t="s">
        <v>2045</v>
      </c>
      <c r="L1436" s="1281"/>
      <c r="M1436" s="651" t="s">
        <v>17</v>
      </c>
      <c r="N1436" s="655">
        <v>100</v>
      </c>
      <c r="O1436" s="655">
        <v>100</v>
      </c>
      <c r="P1436" s="655">
        <v>100</v>
      </c>
      <c r="Q1436" s="655">
        <v>100</v>
      </c>
      <c r="R1436" s="655">
        <v>100</v>
      </c>
    </row>
    <row r="1437" spans="2:18" ht="25.5" x14ac:dyDescent="0.2">
      <c r="B1437" s="1699"/>
      <c r="C1437" s="1788" t="s">
        <v>278</v>
      </c>
      <c r="D1437" s="2178"/>
      <c r="E1437" s="1660" t="s">
        <v>2046</v>
      </c>
      <c r="F1437" s="1598">
        <v>16783.3</v>
      </c>
      <c r="G1437" s="1598">
        <v>21783.1</v>
      </c>
      <c r="H1437" s="1598">
        <f>21783.1+129.3+3308</f>
        <v>25220.399999999998</v>
      </c>
      <c r="I1437" s="1598">
        <f>H1437*101.914/100</f>
        <v>25703.118455999997</v>
      </c>
      <c r="J1437" s="1598">
        <f>I1437*100.954/100</f>
        <v>25948.326206070236</v>
      </c>
      <c r="K1437" s="653" t="s">
        <v>2047</v>
      </c>
      <c r="L1437" s="1281"/>
      <c r="M1437" s="651" t="s">
        <v>17</v>
      </c>
      <c r="N1437" s="655">
        <v>100</v>
      </c>
      <c r="O1437" s="655">
        <v>100</v>
      </c>
      <c r="P1437" s="655">
        <v>100</v>
      </c>
      <c r="Q1437" s="655">
        <v>100</v>
      </c>
      <c r="R1437" s="655">
        <v>100</v>
      </c>
    </row>
    <row r="1438" spans="2:18" ht="25.5" x14ac:dyDescent="0.2">
      <c r="B1438" s="1699"/>
      <c r="C1438" s="1788"/>
      <c r="D1438" s="2178"/>
      <c r="E1438" s="1660"/>
      <c r="F1438" s="1598"/>
      <c r="G1438" s="1598"/>
      <c r="H1438" s="1598"/>
      <c r="I1438" s="1598"/>
      <c r="J1438" s="1598"/>
      <c r="K1438" s="805" t="s">
        <v>2048</v>
      </c>
      <c r="L1438" s="1281"/>
      <c r="M1438" s="651" t="s">
        <v>897</v>
      </c>
      <c r="N1438" s="651">
        <v>100</v>
      </c>
      <c r="O1438" s="651">
        <v>100</v>
      </c>
      <c r="P1438" s="651">
        <v>100</v>
      </c>
      <c r="Q1438" s="651">
        <v>100</v>
      </c>
      <c r="R1438" s="651">
        <v>100</v>
      </c>
    </row>
    <row r="1439" spans="2:18" ht="25.5" x14ac:dyDescent="0.2">
      <c r="B1439" s="1699"/>
      <c r="C1439" s="1788"/>
      <c r="D1439" s="2178"/>
      <c r="E1439" s="1660"/>
      <c r="F1439" s="1598"/>
      <c r="G1439" s="1598"/>
      <c r="H1439" s="1598"/>
      <c r="I1439" s="1598"/>
      <c r="J1439" s="1598"/>
      <c r="K1439" s="658" t="s">
        <v>2049</v>
      </c>
      <c r="L1439" s="1281"/>
      <c r="M1439" s="651" t="s">
        <v>897</v>
      </c>
      <c r="N1439" s="654">
        <v>100</v>
      </c>
      <c r="O1439" s="654">
        <v>100</v>
      </c>
      <c r="P1439" s="654">
        <v>100</v>
      </c>
      <c r="Q1439" s="654">
        <v>100</v>
      </c>
      <c r="R1439" s="654">
        <v>100</v>
      </c>
    </row>
    <row r="1440" spans="2:18" ht="22.5" customHeight="1" x14ac:dyDescent="0.2">
      <c r="B1440" s="679" t="s">
        <v>64</v>
      </c>
      <c r="C1440" s="679"/>
      <c r="D1440" s="679"/>
      <c r="E1440" s="1106"/>
      <c r="F1440" s="937">
        <f>F1401+F1408</f>
        <v>60899.6</v>
      </c>
      <c r="G1440" s="937">
        <f t="shared" ref="G1440:H1440" si="73">G1401+G1408</f>
        <v>58331.099999999991</v>
      </c>
      <c r="H1440" s="937">
        <f t="shared" si="73"/>
        <v>68222.599999999991</v>
      </c>
      <c r="I1440" s="937">
        <f>I1401+I1408</f>
        <v>69528.380563999992</v>
      </c>
      <c r="J1440" s="937">
        <f>J1401+J1408</f>
        <v>70191.68131458055</v>
      </c>
      <c r="K1440" s="1690"/>
      <c r="L1440" s="1690"/>
      <c r="M1440" s="1604"/>
      <c r="N1440" s="1604"/>
      <c r="O1440" s="1604"/>
      <c r="P1440" s="1604"/>
      <c r="Q1440" s="1604"/>
      <c r="R1440" s="1604"/>
    </row>
    <row r="1441" spans="2:18" ht="25.5" customHeight="1" x14ac:dyDescent="0.2">
      <c r="B1441" s="1542" t="s">
        <v>2050</v>
      </c>
      <c r="C1441" s="1542"/>
      <c r="D1441" s="1542"/>
      <c r="E1441" s="1700"/>
      <c r="F1441" s="1542"/>
      <c r="G1441" s="1542"/>
      <c r="H1441" s="1542"/>
      <c r="I1441" s="1542"/>
      <c r="J1441" s="1542"/>
      <c r="K1441" s="1542"/>
      <c r="L1441" s="1542"/>
      <c r="M1441" s="1542"/>
      <c r="N1441" s="1542"/>
      <c r="O1441" s="1542"/>
      <c r="P1441" s="1542"/>
      <c r="Q1441" s="1542"/>
      <c r="R1441" s="1542"/>
    </row>
    <row r="1442" spans="2:18" ht="28.5" customHeight="1" x14ac:dyDescent="0.2">
      <c r="B1442" s="1701" t="s">
        <v>120</v>
      </c>
      <c r="C1442" s="1786"/>
      <c r="D1442" s="1787"/>
      <c r="E1442" s="1287" t="s">
        <v>1771</v>
      </c>
      <c r="F1442" s="1765">
        <f>F1444+F1445+F1446+F1447+F1448+F1449+F1450+F1451</f>
        <v>26969.3</v>
      </c>
      <c r="G1442" s="1765">
        <f>G1444+G1445+G1446+G1447+G1448+G1449+G1450+G1451</f>
        <v>17259.2</v>
      </c>
      <c r="H1442" s="1773">
        <f>H1444+H1446+H1447+H1448+H1449+H1450</f>
        <v>17259.2</v>
      </c>
      <c r="I1442" s="1773">
        <f>I1444+I1446+I1447+I1448+I1449+I1450</f>
        <v>21869.9</v>
      </c>
      <c r="J1442" s="1773">
        <f>J1444+J1446+J1447+J1448+J1449+J1450</f>
        <v>22078.6</v>
      </c>
      <c r="K1442" s="1702" t="s">
        <v>16</v>
      </c>
      <c r="L1442" s="1702"/>
      <c r="M1442" s="1564" t="s">
        <v>17</v>
      </c>
      <c r="N1442" s="1288"/>
      <c r="O1442" s="1288"/>
      <c r="P1442" s="1288"/>
      <c r="Q1442" s="1125"/>
      <c r="R1442" s="1125"/>
    </row>
    <row r="1443" spans="2:18" ht="25.5" x14ac:dyDescent="0.2">
      <c r="B1443" s="1701"/>
      <c r="C1443" s="1786"/>
      <c r="D1443" s="1787"/>
      <c r="E1443" s="1289" t="s">
        <v>2513</v>
      </c>
      <c r="F1443" s="1765"/>
      <c r="G1443" s="1765"/>
      <c r="H1443" s="1773"/>
      <c r="I1443" s="1773"/>
      <c r="J1443" s="1773"/>
      <c r="K1443" s="1702"/>
      <c r="L1443" s="1702"/>
      <c r="M1443" s="1564"/>
      <c r="N1443" s="1125"/>
      <c r="O1443" s="1288"/>
      <c r="P1443" s="1288"/>
      <c r="Q1443" s="1125"/>
      <c r="R1443" s="1125"/>
    </row>
    <row r="1444" spans="2:18" ht="15" customHeight="1" x14ac:dyDescent="0.2">
      <c r="B1444" s="1290"/>
      <c r="C1444" s="1290" t="s">
        <v>123</v>
      </c>
      <c r="D1444" s="1290"/>
      <c r="E1444" s="667" t="s">
        <v>18</v>
      </c>
      <c r="F1444" s="1291">
        <v>8225.6</v>
      </c>
      <c r="G1444" s="1291">
        <v>5264</v>
      </c>
      <c r="H1444" s="1291">
        <v>5264</v>
      </c>
      <c r="I1444" s="1291">
        <v>6670.3</v>
      </c>
      <c r="J1444" s="1291">
        <v>6734</v>
      </c>
      <c r="K1444" s="1702" t="s">
        <v>19</v>
      </c>
      <c r="L1444" s="1702"/>
      <c r="M1444" s="1264" t="s">
        <v>20</v>
      </c>
      <c r="N1444" s="1125"/>
      <c r="O1444" s="1125"/>
      <c r="P1444" s="1125"/>
      <c r="Q1444" s="1125"/>
      <c r="R1444" s="1125"/>
    </row>
    <row r="1445" spans="2:18" x14ac:dyDescent="0.2">
      <c r="B1445" s="1290"/>
      <c r="C1445" s="1290" t="s">
        <v>125</v>
      </c>
      <c r="D1445" s="1290"/>
      <c r="E1445" s="755" t="s">
        <v>22</v>
      </c>
      <c r="F1445" s="1291">
        <v>0</v>
      </c>
      <c r="G1445" s="1291">
        <v>0</v>
      </c>
      <c r="H1445" s="1291">
        <v>0</v>
      </c>
      <c r="I1445" s="1291">
        <v>0</v>
      </c>
      <c r="J1445" s="1291">
        <v>0</v>
      </c>
      <c r="K1445" s="1702"/>
      <c r="L1445" s="1702"/>
      <c r="M1445" s="1264"/>
      <c r="N1445" s="1125"/>
      <c r="O1445" s="1125"/>
      <c r="P1445" s="1125"/>
      <c r="Q1445" s="1125"/>
      <c r="R1445" s="1125"/>
    </row>
    <row r="1446" spans="2:18" ht="15" customHeight="1" x14ac:dyDescent="0.2">
      <c r="B1446" s="1290"/>
      <c r="C1446" s="1290" t="s">
        <v>127</v>
      </c>
      <c r="D1446" s="1290"/>
      <c r="E1446" s="1125" t="s">
        <v>24</v>
      </c>
      <c r="F1446" s="1291">
        <v>2912.7</v>
      </c>
      <c r="G1446" s="1291">
        <v>1864</v>
      </c>
      <c r="H1446" s="1291">
        <v>1864</v>
      </c>
      <c r="I1446" s="1291">
        <v>2361.9</v>
      </c>
      <c r="J1446" s="1291">
        <v>2384.5</v>
      </c>
      <c r="K1446" s="1702" t="s">
        <v>126</v>
      </c>
      <c r="L1446" s="1702"/>
      <c r="M1446" s="1264" t="s">
        <v>17</v>
      </c>
      <c r="N1446" s="1125"/>
      <c r="O1446" s="1125"/>
      <c r="P1446" s="1125"/>
      <c r="Q1446" s="1125"/>
      <c r="R1446" s="1125"/>
    </row>
    <row r="1447" spans="2:18" ht="15" customHeight="1" x14ac:dyDescent="0.2">
      <c r="B1447" s="1290"/>
      <c r="C1447" s="1290" t="s">
        <v>132</v>
      </c>
      <c r="D1447" s="1290"/>
      <c r="E1447" s="1125" t="s">
        <v>26</v>
      </c>
      <c r="F1447" s="1291">
        <v>2670</v>
      </c>
      <c r="G1447" s="1291">
        <v>1708.7</v>
      </c>
      <c r="H1447" s="1291">
        <v>1708.7</v>
      </c>
      <c r="I1447" s="1291">
        <v>2165.1</v>
      </c>
      <c r="J1447" s="1291">
        <v>2185.8000000000002</v>
      </c>
      <c r="K1447" s="1702" t="s">
        <v>27</v>
      </c>
      <c r="L1447" s="1702"/>
      <c r="M1447" s="1264" t="s">
        <v>1390</v>
      </c>
      <c r="N1447" s="1125"/>
      <c r="O1447" s="1125"/>
      <c r="P1447" s="1125"/>
      <c r="Q1447" s="1125"/>
      <c r="R1447" s="1125"/>
    </row>
    <row r="1448" spans="2:18" ht="30" customHeight="1" x14ac:dyDescent="0.2">
      <c r="B1448" s="1290"/>
      <c r="C1448" s="1290" t="s">
        <v>74</v>
      </c>
      <c r="D1448" s="1290"/>
      <c r="E1448" s="1125" t="s">
        <v>29</v>
      </c>
      <c r="F1448" s="1291">
        <v>485.4</v>
      </c>
      <c r="G1448" s="1291">
        <v>310.7</v>
      </c>
      <c r="H1448" s="1291">
        <v>310.7</v>
      </c>
      <c r="I1448" s="911">
        <v>393.7</v>
      </c>
      <c r="J1448" s="1291">
        <v>397.4</v>
      </c>
      <c r="K1448" s="1702" t="s">
        <v>333</v>
      </c>
      <c r="L1448" s="1702"/>
      <c r="M1448" s="1264" t="s">
        <v>31</v>
      </c>
      <c r="N1448" s="1125"/>
      <c r="O1448" s="1125"/>
      <c r="P1448" s="1125"/>
      <c r="Q1448" s="1125"/>
      <c r="R1448" s="1125"/>
    </row>
    <row r="1449" spans="2:18" ht="15" customHeight="1" x14ac:dyDescent="0.2">
      <c r="B1449" s="1290"/>
      <c r="C1449" s="1290" t="s">
        <v>197</v>
      </c>
      <c r="D1449" s="1290"/>
      <c r="E1449" s="1125" t="s">
        <v>32</v>
      </c>
      <c r="F1449" s="1291">
        <v>3937.6</v>
      </c>
      <c r="G1449" s="1291">
        <v>2519.8000000000002</v>
      </c>
      <c r="H1449" s="1291">
        <v>2519.8000000000002</v>
      </c>
      <c r="I1449" s="911">
        <v>3193</v>
      </c>
      <c r="J1449" s="1291">
        <v>3223.4</v>
      </c>
      <c r="K1449" s="1702" t="s">
        <v>249</v>
      </c>
      <c r="L1449" s="1702"/>
      <c r="M1449" s="1264">
        <v>10</v>
      </c>
      <c r="N1449" s="1264"/>
      <c r="O1449" s="1264"/>
      <c r="P1449" s="1264"/>
      <c r="Q1449" s="1264"/>
      <c r="R1449" s="1264"/>
    </row>
    <row r="1450" spans="2:18" ht="25.5" x14ac:dyDescent="0.2">
      <c r="B1450" s="1290"/>
      <c r="C1450" s="1290" t="s">
        <v>155</v>
      </c>
      <c r="D1450" s="1290"/>
      <c r="E1450" s="1125" t="s">
        <v>251</v>
      </c>
      <c r="F1450" s="1291">
        <v>8738</v>
      </c>
      <c r="G1450" s="1291">
        <v>5592</v>
      </c>
      <c r="H1450" s="1291">
        <v>5592</v>
      </c>
      <c r="I1450" s="1291">
        <v>7085.9</v>
      </c>
      <c r="J1450" s="1291">
        <v>7153.5</v>
      </c>
      <c r="K1450" s="1702"/>
      <c r="L1450" s="1702"/>
      <c r="M1450" s="1264">
        <v>40</v>
      </c>
      <c r="N1450" s="1292"/>
      <c r="O1450" s="1292"/>
      <c r="P1450" s="1292"/>
      <c r="Q1450" s="1264"/>
      <c r="R1450" s="1264"/>
    </row>
    <row r="1451" spans="2:18" x14ac:dyDescent="0.2">
      <c r="B1451" s="1290"/>
      <c r="C1451" s="1290" t="s">
        <v>158</v>
      </c>
      <c r="D1451" s="1290"/>
      <c r="E1451" s="670" t="s">
        <v>247</v>
      </c>
      <c r="F1451" s="1291">
        <v>0</v>
      </c>
      <c r="G1451" s="1291">
        <v>0</v>
      </c>
      <c r="H1451" s="1291">
        <v>0</v>
      </c>
      <c r="I1451" s="1291">
        <v>0</v>
      </c>
      <c r="J1451" s="1291">
        <v>0</v>
      </c>
      <c r="K1451" s="1702"/>
      <c r="L1451" s="1702"/>
      <c r="M1451" s="1264"/>
      <c r="N1451" s="1292"/>
      <c r="O1451" s="1292"/>
      <c r="P1451" s="1292"/>
      <c r="Q1451" s="1264"/>
      <c r="R1451" s="1264"/>
    </row>
    <row r="1452" spans="2:18" ht="25.5" x14ac:dyDescent="0.2">
      <c r="B1452" s="1293" t="s">
        <v>138</v>
      </c>
      <c r="C1452" s="1290"/>
      <c r="D1452" s="1290"/>
      <c r="E1452" s="1102" t="s">
        <v>2704</v>
      </c>
      <c r="F1452" s="1294">
        <v>0</v>
      </c>
      <c r="G1452" s="1294">
        <f>G1453</f>
        <v>4200</v>
      </c>
      <c r="H1452" s="1294">
        <f>H1453</f>
        <v>4200</v>
      </c>
      <c r="I1452" s="1294">
        <v>0</v>
      </c>
      <c r="J1452" s="1294">
        <v>0</v>
      </c>
      <c r="K1452" s="1702"/>
      <c r="L1452" s="1702"/>
      <c r="M1452" s="1264"/>
      <c r="N1452" s="1292"/>
      <c r="O1452" s="1292"/>
      <c r="P1452" s="1125"/>
      <c r="Q1452" s="1125"/>
      <c r="R1452" s="1125"/>
    </row>
    <row r="1453" spans="2:18" ht="25.5" x14ac:dyDescent="0.2">
      <c r="B1453" s="1290"/>
      <c r="C1453" s="1290" t="s">
        <v>123</v>
      </c>
      <c r="D1453" s="1290"/>
      <c r="E1453" s="1295" t="s">
        <v>2705</v>
      </c>
      <c r="F1453" s="1291">
        <v>0</v>
      </c>
      <c r="G1453" s="1291">
        <v>4200</v>
      </c>
      <c r="H1453" s="1291">
        <v>4200</v>
      </c>
      <c r="I1453" s="1291">
        <v>0</v>
      </c>
      <c r="J1453" s="1291">
        <v>0</v>
      </c>
      <c r="K1453" s="1702"/>
      <c r="L1453" s="1702"/>
      <c r="M1453" s="1264"/>
      <c r="N1453" s="1292"/>
      <c r="O1453" s="1292"/>
      <c r="P1453" s="1125"/>
      <c r="Q1453" s="1125"/>
      <c r="R1453" s="1125"/>
    </row>
    <row r="1454" spans="2:18" x14ac:dyDescent="0.2">
      <c r="B1454" s="1293" t="s">
        <v>2706</v>
      </c>
      <c r="C1454" s="1293" t="s">
        <v>2004</v>
      </c>
      <c r="D1454" s="1290"/>
      <c r="E1454" s="1295" t="s">
        <v>2707</v>
      </c>
      <c r="F1454" s="1294">
        <v>0</v>
      </c>
      <c r="G1454" s="1294">
        <v>0</v>
      </c>
      <c r="H1454" s="1294">
        <v>1400460</v>
      </c>
      <c r="I1454" s="1294">
        <v>0</v>
      </c>
      <c r="J1454" s="1294">
        <v>0</v>
      </c>
      <c r="K1454" s="582"/>
      <c r="L1454" s="582"/>
      <c r="M1454" s="1264"/>
      <c r="N1454" s="1292"/>
      <c r="O1454" s="1292"/>
      <c r="P1454" s="1125"/>
      <c r="Q1454" s="1125"/>
      <c r="R1454" s="1125"/>
    </row>
    <row r="1455" spans="2:18" ht="24.75" customHeight="1" x14ac:dyDescent="0.2">
      <c r="B1455" s="679" t="s">
        <v>64</v>
      </c>
      <c r="C1455" s="679"/>
      <c r="D1455" s="679"/>
      <c r="E1455" s="1106"/>
      <c r="F1455" s="937">
        <f t="shared" ref="F1455" si="74">F1442+F1452+F1454</f>
        <v>26969.3</v>
      </c>
      <c r="G1455" s="937">
        <f>G1442+G1452+G1454</f>
        <v>21459.200000000001</v>
      </c>
      <c r="H1455" s="937">
        <f>H1442+H1452+H1454</f>
        <v>1421919.2</v>
      </c>
      <c r="I1455" s="937">
        <f>I1453+I1452+I1442</f>
        <v>21869.9</v>
      </c>
      <c r="J1455" s="937">
        <f>J1453+J1452+J1442</f>
        <v>22078.6</v>
      </c>
      <c r="K1455" s="1690"/>
      <c r="L1455" s="1690"/>
      <c r="M1455" s="1604"/>
      <c r="N1455" s="1604"/>
      <c r="O1455" s="1604"/>
      <c r="P1455" s="1604"/>
      <c r="Q1455" s="1604"/>
      <c r="R1455" s="1604"/>
    </row>
    <row r="1456" spans="2:18" ht="21.75" customHeight="1" x14ac:dyDescent="0.2">
      <c r="B1456" s="1542" t="s">
        <v>2051</v>
      </c>
      <c r="C1456" s="1542"/>
      <c r="D1456" s="1542"/>
      <c r="E1456" s="1542"/>
      <c r="F1456" s="1542"/>
      <c r="G1456" s="1542"/>
      <c r="H1456" s="1542"/>
      <c r="I1456" s="1542"/>
      <c r="J1456" s="1542"/>
      <c r="K1456" s="1542"/>
      <c r="L1456" s="1542"/>
      <c r="M1456" s="1542"/>
      <c r="N1456" s="1542"/>
      <c r="O1456" s="1542"/>
      <c r="P1456" s="1542"/>
      <c r="Q1456" s="1542"/>
      <c r="R1456" s="1542"/>
    </row>
    <row r="1457" spans="2:18" ht="73.5" customHeight="1" x14ac:dyDescent="0.2">
      <c r="B1457" s="1118">
        <v>1</v>
      </c>
      <c r="C1457" s="567"/>
      <c r="D1457" s="1160"/>
      <c r="E1457" s="1161" t="s">
        <v>2792</v>
      </c>
      <c r="F1457" s="1119">
        <f>SUM(F1458+F1459+F1460+F1461+F1462+F1463+F1464+F1465)</f>
        <v>177312.5</v>
      </c>
      <c r="G1457" s="1119">
        <f>SUM(G1458+G1459+G1460+G1461+G1462+G1463+G1464+G1465)</f>
        <v>207705.8</v>
      </c>
      <c r="H1457" s="1119">
        <f t="shared" ref="H1457:J1457" si="75">SUM(H1458+H1459+H1460+H1461+H1462+H1463+H1464+H1465)</f>
        <v>165291.4</v>
      </c>
      <c r="I1457" s="1119">
        <f t="shared" si="75"/>
        <v>168580.4</v>
      </c>
      <c r="J1457" s="1119">
        <f t="shared" si="75"/>
        <v>169966</v>
      </c>
      <c r="K1457" s="1724" t="s">
        <v>16</v>
      </c>
      <c r="L1457" s="1724"/>
      <c r="M1457" s="1162" t="s">
        <v>17</v>
      </c>
      <c r="N1457" s="553">
        <v>100</v>
      </c>
      <c r="O1457" s="553">
        <v>100</v>
      </c>
      <c r="P1457" s="553">
        <v>100</v>
      </c>
      <c r="Q1457" s="553">
        <v>100</v>
      </c>
      <c r="R1457" s="553">
        <v>100</v>
      </c>
    </row>
    <row r="1458" spans="2:18" ht="15" customHeight="1" x14ac:dyDescent="0.2">
      <c r="B1458" s="1118"/>
      <c r="C1458" s="1296">
        <v>1</v>
      </c>
      <c r="D1458" s="567"/>
      <c r="E1458" s="650" t="s">
        <v>18</v>
      </c>
      <c r="F1458" s="958"/>
      <c r="G1458" s="958"/>
      <c r="H1458" s="958"/>
      <c r="I1458" s="958"/>
      <c r="J1458" s="958"/>
      <c r="K1458" s="1689" t="s">
        <v>19</v>
      </c>
      <c r="L1458" s="1689"/>
      <c r="M1458" s="553" t="s">
        <v>20</v>
      </c>
      <c r="N1458" s="553">
        <v>18</v>
      </c>
      <c r="O1458" s="553">
        <v>19</v>
      </c>
      <c r="P1458" s="553">
        <v>20</v>
      </c>
      <c r="Q1458" s="553">
        <v>22</v>
      </c>
      <c r="R1458" s="553">
        <v>22</v>
      </c>
    </row>
    <row r="1459" spans="2:18" ht="15" customHeight="1" x14ac:dyDescent="0.2">
      <c r="B1459" s="1118"/>
      <c r="C1459" s="1296">
        <v>2</v>
      </c>
      <c r="D1459" s="567"/>
      <c r="E1459" s="805" t="s">
        <v>22</v>
      </c>
      <c r="F1459" s="958"/>
      <c r="G1459" s="958">
        <v>207705.8</v>
      </c>
      <c r="H1459" s="958">
        <v>159537.79999999999</v>
      </c>
      <c r="I1459" s="958">
        <v>159537.79999999999</v>
      </c>
      <c r="J1459" s="958">
        <v>159537.79999999999</v>
      </c>
      <c r="K1459" s="1689" t="s">
        <v>23</v>
      </c>
      <c r="L1459" s="1689"/>
      <c r="M1459" s="553" t="s">
        <v>17</v>
      </c>
      <c r="N1459" s="553">
        <v>97</v>
      </c>
      <c r="O1459" s="553">
        <v>98</v>
      </c>
      <c r="P1459" s="553">
        <v>99</v>
      </c>
      <c r="Q1459" s="553">
        <v>99</v>
      </c>
      <c r="R1459" s="553">
        <v>100</v>
      </c>
    </row>
    <row r="1460" spans="2:18" ht="15" customHeight="1" x14ac:dyDescent="0.2">
      <c r="B1460" s="1118"/>
      <c r="C1460" s="1296">
        <v>3</v>
      </c>
      <c r="D1460" s="567"/>
      <c r="E1460" s="805" t="s">
        <v>24</v>
      </c>
      <c r="F1460" s="958"/>
      <c r="G1460" s="958"/>
      <c r="H1460" s="958"/>
      <c r="I1460" s="958"/>
      <c r="J1460" s="958"/>
      <c r="K1460" s="1689" t="s">
        <v>25</v>
      </c>
      <c r="L1460" s="1689"/>
      <c r="M1460" s="553" t="s">
        <v>17</v>
      </c>
      <c r="N1460" s="553">
        <v>90</v>
      </c>
      <c r="O1460" s="553">
        <v>90</v>
      </c>
      <c r="P1460" s="553">
        <v>90</v>
      </c>
      <c r="Q1460" s="553">
        <v>92</v>
      </c>
      <c r="R1460" s="553">
        <v>92</v>
      </c>
    </row>
    <row r="1461" spans="2:18" ht="15" customHeight="1" x14ac:dyDescent="0.2">
      <c r="B1461" s="1118"/>
      <c r="C1461" s="1296">
        <v>4</v>
      </c>
      <c r="D1461" s="567"/>
      <c r="E1461" s="805" t="s">
        <v>26</v>
      </c>
      <c r="F1461" s="958"/>
      <c r="G1461" s="958"/>
      <c r="H1461" s="958"/>
      <c r="I1461" s="958"/>
      <c r="J1461" s="958"/>
      <c r="K1461" s="1689" t="s">
        <v>27</v>
      </c>
      <c r="L1461" s="1689"/>
      <c r="M1461" s="553" t="s">
        <v>28</v>
      </c>
      <c r="N1461" s="553">
        <v>10</v>
      </c>
      <c r="O1461" s="553">
        <v>10</v>
      </c>
      <c r="P1461" s="553">
        <v>10</v>
      </c>
      <c r="Q1461" s="553">
        <v>10</v>
      </c>
      <c r="R1461" s="553">
        <v>10</v>
      </c>
    </row>
    <row r="1462" spans="2:18" ht="30" customHeight="1" x14ac:dyDescent="0.2">
      <c r="B1462" s="1118"/>
      <c r="C1462" s="1296">
        <v>5</v>
      </c>
      <c r="D1462" s="567"/>
      <c r="E1462" s="805" t="s">
        <v>29</v>
      </c>
      <c r="F1462" s="958"/>
      <c r="G1462" s="958"/>
      <c r="H1462" s="958"/>
      <c r="I1462" s="958"/>
      <c r="J1462" s="958"/>
      <c r="K1462" s="1689" t="s">
        <v>30</v>
      </c>
      <c r="L1462" s="1689"/>
      <c r="M1462" s="553" t="s">
        <v>31</v>
      </c>
      <c r="N1462" s="553">
        <v>2</v>
      </c>
      <c r="O1462" s="553">
        <v>4</v>
      </c>
      <c r="P1462" s="553">
        <v>5</v>
      </c>
      <c r="Q1462" s="553">
        <v>6</v>
      </c>
      <c r="R1462" s="553">
        <v>8</v>
      </c>
    </row>
    <row r="1463" spans="2:18" ht="38.25" customHeight="1" x14ac:dyDescent="0.2">
      <c r="B1463" s="1118"/>
      <c r="C1463" s="1296">
        <v>6</v>
      </c>
      <c r="D1463" s="567"/>
      <c r="E1463" s="427" t="s">
        <v>32</v>
      </c>
      <c r="F1463" s="958">
        <v>177312.5</v>
      </c>
      <c r="G1463" s="958"/>
      <c r="H1463" s="958">
        <v>5753.6</v>
      </c>
      <c r="I1463" s="958">
        <v>9042.5999999999985</v>
      </c>
      <c r="J1463" s="958">
        <v>10428.199999999999</v>
      </c>
      <c r="K1463" s="1689" t="s">
        <v>506</v>
      </c>
      <c r="L1463" s="1689"/>
      <c r="M1463" s="553" t="s">
        <v>17</v>
      </c>
      <c r="N1463" s="553">
        <v>1.3</v>
      </c>
      <c r="O1463" s="553">
        <v>1.3</v>
      </c>
      <c r="P1463" s="553">
        <v>1.3</v>
      </c>
      <c r="Q1463" s="553">
        <v>1.3</v>
      </c>
      <c r="R1463" s="553">
        <v>1.3</v>
      </c>
    </row>
    <row r="1464" spans="2:18" ht="25.5" x14ac:dyDescent="0.2">
      <c r="B1464" s="1118"/>
      <c r="C1464" s="1296">
        <v>7</v>
      </c>
      <c r="D1464" s="567"/>
      <c r="E1464" s="427" t="s">
        <v>251</v>
      </c>
      <c r="F1464" s="958"/>
      <c r="G1464" s="958"/>
      <c r="H1464" s="958"/>
      <c r="I1464" s="958"/>
      <c r="J1464" s="958"/>
      <c r="K1464" s="1689"/>
      <c r="L1464" s="1689"/>
      <c r="M1464" s="553"/>
      <c r="N1464" s="1162"/>
      <c r="O1464" s="1162"/>
      <c r="P1464" s="1162"/>
      <c r="Q1464" s="1162"/>
      <c r="R1464" s="1162"/>
    </row>
    <row r="1465" spans="2:18" ht="40.5" customHeight="1" x14ac:dyDescent="0.2">
      <c r="B1465" s="1118"/>
      <c r="C1465" s="1296">
        <v>8</v>
      </c>
      <c r="D1465" s="567"/>
      <c r="E1465" s="427" t="s">
        <v>247</v>
      </c>
      <c r="F1465" s="1119"/>
      <c r="G1465" s="958"/>
      <c r="H1465" s="958"/>
      <c r="I1465" s="958"/>
      <c r="J1465" s="958"/>
      <c r="K1465" s="1689"/>
      <c r="L1465" s="1689"/>
      <c r="M1465" s="553"/>
      <c r="N1465" s="1162"/>
      <c r="O1465" s="1162"/>
      <c r="P1465" s="1162"/>
      <c r="Q1465" s="1162"/>
      <c r="R1465" s="1162"/>
    </row>
    <row r="1466" spans="2:18" ht="39.75" customHeight="1" x14ac:dyDescent="0.2">
      <c r="B1466" s="2179"/>
      <c r="C1466" s="1784"/>
      <c r="D1466" s="1784"/>
      <c r="E1466" s="1724" t="s">
        <v>2821</v>
      </c>
      <c r="F1466" s="1783"/>
      <c r="G1466" s="1783"/>
      <c r="H1466" s="1783"/>
      <c r="I1466" s="1783"/>
      <c r="J1466" s="1783"/>
      <c r="K1466" s="1689" t="s">
        <v>2052</v>
      </c>
      <c r="L1466" s="1689"/>
      <c r="M1466" s="553" t="s">
        <v>17</v>
      </c>
      <c r="N1466" s="553">
        <v>85</v>
      </c>
      <c r="O1466" s="575">
        <v>85</v>
      </c>
      <c r="P1466" s="575">
        <v>87</v>
      </c>
      <c r="Q1466" s="575">
        <v>88</v>
      </c>
      <c r="R1466" s="575">
        <v>88</v>
      </c>
    </row>
    <row r="1467" spans="2:18" ht="54.75" customHeight="1" x14ac:dyDescent="0.2">
      <c r="B1467" s="2179"/>
      <c r="C1467" s="1784"/>
      <c r="D1467" s="1784"/>
      <c r="E1467" s="1724"/>
      <c r="F1467" s="1783"/>
      <c r="G1467" s="1783"/>
      <c r="H1467" s="1783"/>
      <c r="I1467" s="1783"/>
      <c r="J1467" s="1783"/>
      <c r="K1467" s="1689" t="s">
        <v>2053</v>
      </c>
      <c r="L1467" s="1689"/>
      <c r="M1467" s="553" t="s">
        <v>17</v>
      </c>
      <c r="N1467" s="553">
        <v>75</v>
      </c>
      <c r="O1467" s="575">
        <v>77</v>
      </c>
      <c r="P1467" s="575">
        <v>78</v>
      </c>
      <c r="Q1467" s="575">
        <v>80</v>
      </c>
      <c r="R1467" s="575">
        <v>80</v>
      </c>
    </row>
    <row r="1468" spans="2:18" ht="44.25" customHeight="1" x14ac:dyDescent="0.2">
      <c r="B1468" s="2179"/>
      <c r="C1468" s="1784"/>
      <c r="D1468" s="1784"/>
      <c r="E1468" s="1785" t="s">
        <v>2054</v>
      </c>
      <c r="F1468" s="1598"/>
      <c r="G1468" s="1598"/>
      <c r="H1468" s="1598"/>
      <c r="I1468" s="1598"/>
      <c r="J1468" s="1598"/>
      <c r="K1468" s="1689" t="s">
        <v>2055</v>
      </c>
      <c r="L1468" s="1689"/>
      <c r="M1468" s="553" t="s">
        <v>17</v>
      </c>
      <c r="N1468" s="553">
        <v>20</v>
      </c>
      <c r="O1468" s="578">
        <v>21</v>
      </c>
      <c r="P1468" s="578">
        <v>22</v>
      </c>
      <c r="Q1468" s="578">
        <v>23</v>
      </c>
      <c r="R1468" s="578">
        <v>23</v>
      </c>
    </row>
    <row r="1469" spans="2:18" ht="45.75" customHeight="1" x14ac:dyDescent="0.2">
      <c r="B1469" s="2179"/>
      <c r="C1469" s="1784"/>
      <c r="D1469" s="1784"/>
      <c r="E1469" s="1785"/>
      <c r="F1469" s="1598"/>
      <c r="G1469" s="1598"/>
      <c r="H1469" s="1598"/>
      <c r="I1469" s="1598"/>
      <c r="J1469" s="1598"/>
      <c r="K1469" s="1689" t="s">
        <v>2708</v>
      </c>
      <c r="L1469" s="1689"/>
      <c r="M1469" s="553" t="s">
        <v>93</v>
      </c>
      <c r="N1469" s="553">
        <v>7</v>
      </c>
      <c r="O1469" s="578">
        <v>7</v>
      </c>
      <c r="P1469" s="578">
        <v>8</v>
      </c>
      <c r="Q1469" s="578">
        <v>9</v>
      </c>
      <c r="R1469" s="578">
        <v>9</v>
      </c>
    </row>
    <row r="1470" spans="2:18" ht="27.75" customHeight="1" x14ac:dyDescent="0.2">
      <c r="B1470" s="679" t="s">
        <v>64</v>
      </c>
      <c r="C1470" s="679"/>
      <c r="D1470" s="679"/>
      <c r="E1470" s="1106"/>
      <c r="F1470" s="937">
        <f>F1457</f>
        <v>177312.5</v>
      </c>
      <c r="G1470" s="937">
        <f t="shared" ref="G1470:J1470" si="76">G1457</f>
        <v>207705.8</v>
      </c>
      <c r="H1470" s="937">
        <f t="shared" si="76"/>
        <v>165291.4</v>
      </c>
      <c r="I1470" s="937">
        <f t="shared" si="76"/>
        <v>168580.4</v>
      </c>
      <c r="J1470" s="937">
        <f t="shared" si="76"/>
        <v>169966</v>
      </c>
      <c r="K1470" s="1690"/>
      <c r="L1470" s="1690"/>
      <c r="M1470" s="1604"/>
      <c r="N1470" s="1604"/>
      <c r="O1470" s="1604"/>
      <c r="P1470" s="1604"/>
      <c r="Q1470" s="1604"/>
      <c r="R1470" s="1604"/>
    </row>
    <row r="1471" spans="2:18" ht="34.5" customHeight="1" x14ac:dyDescent="0.2">
      <c r="B1471" s="1542" t="s">
        <v>2056</v>
      </c>
      <c r="C1471" s="1542"/>
      <c r="D1471" s="1542"/>
      <c r="E1471" s="1542"/>
      <c r="F1471" s="1542"/>
      <c r="G1471" s="1542"/>
      <c r="H1471" s="1542"/>
      <c r="I1471" s="1542"/>
      <c r="J1471" s="1542"/>
      <c r="K1471" s="1542"/>
      <c r="L1471" s="1542"/>
      <c r="M1471" s="1542"/>
      <c r="N1471" s="1542"/>
      <c r="O1471" s="1542"/>
      <c r="P1471" s="1542"/>
      <c r="Q1471" s="1542"/>
      <c r="R1471" s="1542"/>
    </row>
    <row r="1472" spans="2:18" ht="38.25" x14ac:dyDescent="0.2">
      <c r="B1472" s="839" t="s">
        <v>120</v>
      </c>
      <c r="C1472" s="708"/>
      <c r="D1472" s="709"/>
      <c r="E1472" s="659" t="s">
        <v>2822</v>
      </c>
      <c r="F1472" s="910">
        <f>F1473+F1474</f>
        <v>314650.59999999998</v>
      </c>
      <c r="G1472" s="910">
        <f>G1473+G1474</f>
        <v>279835.3</v>
      </c>
      <c r="H1472" s="910">
        <f>H1473+H1474</f>
        <v>282754.09999999998</v>
      </c>
      <c r="I1472" s="910">
        <f t="shared" ref="I1472:J1472" si="77">I1473+I1474</f>
        <v>282052.40000000002</v>
      </c>
      <c r="J1472" s="910">
        <f t="shared" si="77"/>
        <v>284740.40000000002</v>
      </c>
      <c r="K1472" s="2180" t="s">
        <v>2057</v>
      </c>
      <c r="L1472" s="2180"/>
      <c r="M1472" s="1297" t="s">
        <v>17</v>
      </c>
      <c r="N1472" s="1298">
        <v>4.5</v>
      </c>
      <c r="O1472" s="1298">
        <v>4.5</v>
      </c>
      <c r="P1472" s="1298">
        <v>4.5</v>
      </c>
      <c r="Q1472" s="1256">
        <v>4.5</v>
      </c>
      <c r="R1472" s="1256">
        <v>4.7</v>
      </c>
    </row>
    <row r="1473" spans="2:18" ht="66.75" customHeight="1" x14ac:dyDescent="0.2">
      <c r="B1473" s="77"/>
      <c r="C1473" s="77" t="s">
        <v>2709</v>
      </c>
      <c r="D1473" s="709"/>
      <c r="E1473" s="709" t="s">
        <v>2058</v>
      </c>
      <c r="F1473" s="911">
        <v>37246</v>
      </c>
      <c r="G1473" s="911">
        <v>35312.400000000001</v>
      </c>
      <c r="H1473" s="1291">
        <f>32232.4+5998.8</f>
        <v>38231.200000000004</v>
      </c>
      <c r="I1473" s="1291">
        <v>32849.300000000003</v>
      </c>
      <c r="J1473" s="1291">
        <v>33162.400000000001</v>
      </c>
      <c r="K1473" s="1689" t="s">
        <v>2059</v>
      </c>
      <c r="L1473" s="1689"/>
      <c r="M1473" s="708" t="s">
        <v>17</v>
      </c>
      <c r="N1473" s="709">
        <v>36</v>
      </c>
      <c r="O1473" s="709">
        <v>37</v>
      </c>
      <c r="P1473" s="709">
        <v>20</v>
      </c>
      <c r="Q1473" s="1256">
        <v>20</v>
      </c>
      <c r="R1473" s="1256">
        <v>20</v>
      </c>
    </row>
    <row r="1474" spans="2:18" ht="59.25" customHeight="1" x14ac:dyDescent="0.2">
      <c r="B1474" s="77"/>
      <c r="C1474" s="77" t="s">
        <v>2710</v>
      </c>
      <c r="D1474" s="709"/>
      <c r="E1474" s="709" t="s">
        <v>2060</v>
      </c>
      <c r="F1474" s="911">
        <v>277404.59999999998</v>
      </c>
      <c r="G1474" s="911">
        <v>244522.9</v>
      </c>
      <c r="H1474" s="1291">
        <v>244522.9</v>
      </c>
      <c r="I1474" s="1291">
        <v>249203.1</v>
      </c>
      <c r="J1474" s="1291">
        <v>251578</v>
      </c>
      <c r="K1474" s="1689" t="s">
        <v>2061</v>
      </c>
      <c r="L1474" s="1689"/>
      <c r="M1474" s="708" t="s">
        <v>2062</v>
      </c>
      <c r="N1474" s="709">
        <v>200</v>
      </c>
      <c r="O1474" s="709">
        <v>200</v>
      </c>
      <c r="P1474" s="709">
        <v>240</v>
      </c>
      <c r="Q1474" s="1256">
        <v>260</v>
      </c>
      <c r="R1474" s="1256">
        <v>270</v>
      </c>
    </row>
    <row r="1475" spans="2:18" ht="63.75" x14ac:dyDescent="0.2">
      <c r="B1475" s="839" t="s">
        <v>138</v>
      </c>
      <c r="C1475" s="660"/>
      <c r="D1475" s="659"/>
      <c r="E1475" s="659" t="s">
        <v>2823</v>
      </c>
      <c r="F1475" s="910">
        <f>F1476+F1478+F1480</f>
        <v>288492.79999999999</v>
      </c>
      <c r="G1475" s="910">
        <f t="shared" ref="G1475:J1475" si="78">G1476+G1478+G1480</f>
        <v>227753.19999999998</v>
      </c>
      <c r="H1475" s="910">
        <f>H1476+H1478+H1480</f>
        <v>228353.19999999998</v>
      </c>
      <c r="I1475" s="910">
        <f t="shared" si="78"/>
        <v>233137.9</v>
      </c>
      <c r="J1475" s="910">
        <f t="shared" si="78"/>
        <v>235317</v>
      </c>
      <c r="K1475" s="2180" t="s">
        <v>2063</v>
      </c>
      <c r="L1475" s="2180"/>
      <c r="M1475" s="660" t="s">
        <v>17</v>
      </c>
      <c r="N1475" s="659">
        <v>70</v>
      </c>
      <c r="O1475" s="659">
        <v>70</v>
      </c>
      <c r="P1475" s="659">
        <v>80</v>
      </c>
      <c r="Q1475" s="1130">
        <v>85</v>
      </c>
      <c r="R1475" s="1130">
        <v>87</v>
      </c>
    </row>
    <row r="1476" spans="2:18" ht="30" customHeight="1" x14ac:dyDescent="0.2">
      <c r="B1476" s="1782"/>
      <c r="C1476" s="1782" t="s">
        <v>123</v>
      </c>
      <c r="D1476" s="1763"/>
      <c r="E1476" s="1646" t="s">
        <v>2064</v>
      </c>
      <c r="F1476" s="1762">
        <v>110550</v>
      </c>
      <c r="G1476" s="1762">
        <v>86962.9</v>
      </c>
      <c r="H1476" s="1762">
        <v>86962.9</v>
      </c>
      <c r="I1476" s="1762">
        <v>88627.5</v>
      </c>
      <c r="J1476" s="1762">
        <v>89477.1</v>
      </c>
      <c r="K1476" s="1673" t="s">
        <v>2065</v>
      </c>
      <c r="L1476" s="1685"/>
      <c r="M1476" s="708" t="s">
        <v>2066</v>
      </c>
      <c r="N1476" s="709">
        <v>150</v>
      </c>
      <c r="O1476" s="709">
        <v>150</v>
      </c>
      <c r="P1476" s="709">
        <v>120</v>
      </c>
      <c r="Q1476" s="1256">
        <v>120</v>
      </c>
      <c r="R1476" s="1256">
        <v>110</v>
      </c>
    </row>
    <row r="1477" spans="2:18" ht="25.5" x14ac:dyDescent="0.2">
      <c r="B1477" s="1782"/>
      <c r="C1477" s="1782"/>
      <c r="D1477" s="1763"/>
      <c r="E1477" s="1646"/>
      <c r="F1477" s="1762"/>
      <c r="G1477" s="1762"/>
      <c r="H1477" s="1762"/>
      <c r="I1477" s="1762"/>
      <c r="J1477" s="1762"/>
      <c r="K1477" s="1674"/>
      <c r="L1477" s="1686"/>
      <c r="M1477" s="708" t="s">
        <v>2067</v>
      </c>
      <c r="N1477" s="709">
        <v>22.5</v>
      </c>
      <c r="O1477" s="709">
        <v>22.5</v>
      </c>
      <c r="P1477" s="709">
        <v>22.9</v>
      </c>
      <c r="Q1477" s="1256">
        <v>23.1</v>
      </c>
      <c r="R1477" s="1256">
        <v>23.5</v>
      </c>
    </row>
    <row r="1478" spans="2:18" ht="42.75" customHeight="1" x14ac:dyDescent="0.2">
      <c r="B1478" s="1687"/>
      <c r="C1478" s="1782" t="s">
        <v>125</v>
      </c>
      <c r="D1478" s="1763"/>
      <c r="E1478" s="1646" t="s">
        <v>2068</v>
      </c>
      <c r="F1478" s="1762">
        <v>147942.79999999999</v>
      </c>
      <c r="G1478" s="1762">
        <v>140790.29999999999</v>
      </c>
      <c r="H1478" s="1762">
        <v>141390.29999999999</v>
      </c>
      <c r="I1478" s="1762">
        <v>144510.39999999999</v>
      </c>
      <c r="J1478" s="1762">
        <v>145839.9</v>
      </c>
      <c r="K1478" s="1689" t="s">
        <v>2069</v>
      </c>
      <c r="L1478" s="1689"/>
      <c r="M1478" s="708" t="s">
        <v>2070</v>
      </c>
      <c r="N1478" s="709">
        <v>3500</v>
      </c>
      <c r="O1478" s="709">
        <v>3500</v>
      </c>
      <c r="P1478" s="709">
        <v>3700</v>
      </c>
      <c r="Q1478" s="709">
        <v>3800</v>
      </c>
      <c r="R1478" s="1256">
        <v>3900</v>
      </c>
    </row>
    <row r="1479" spans="2:18" ht="52.5" customHeight="1" x14ac:dyDescent="0.2">
      <c r="B1479" s="1688"/>
      <c r="C1479" s="1782"/>
      <c r="D1479" s="1763"/>
      <c r="E1479" s="1646"/>
      <c r="F1479" s="1762"/>
      <c r="G1479" s="1762"/>
      <c r="H1479" s="1762"/>
      <c r="I1479" s="1762"/>
      <c r="J1479" s="1762"/>
      <c r="K1479" s="1689" t="s">
        <v>2071</v>
      </c>
      <c r="L1479" s="1689"/>
      <c r="M1479" s="708" t="s">
        <v>2072</v>
      </c>
      <c r="N1479" s="709">
        <v>45.6</v>
      </c>
      <c r="O1479" s="709">
        <v>45.6</v>
      </c>
      <c r="P1479" s="709">
        <v>46</v>
      </c>
      <c r="Q1479" s="709">
        <v>46.2</v>
      </c>
      <c r="R1479" s="1256">
        <v>46.4</v>
      </c>
    </row>
    <row r="1480" spans="2:18" ht="30" customHeight="1" x14ac:dyDescent="0.2">
      <c r="B1480" s="77"/>
      <c r="C1480" s="77" t="s">
        <v>127</v>
      </c>
      <c r="D1480" s="709"/>
      <c r="E1480" s="812" t="s">
        <v>2073</v>
      </c>
      <c r="F1480" s="911">
        <v>30000</v>
      </c>
      <c r="G1480" s="911"/>
      <c r="H1480" s="1291"/>
      <c r="I1480" s="1291"/>
      <c r="J1480" s="1291"/>
      <c r="K1480" s="1689" t="s">
        <v>2074</v>
      </c>
      <c r="L1480" s="1689"/>
      <c r="M1480" s="708" t="s">
        <v>2072</v>
      </c>
      <c r="N1480" s="709">
        <v>1918.2</v>
      </c>
      <c r="O1480" s="709">
        <v>0.57499999999999996</v>
      </c>
      <c r="P1480" s="709">
        <v>1098.0999999999999</v>
      </c>
      <c r="Q1480" s="709">
        <v>732</v>
      </c>
      <c r="R1480" s="1256">
        <v>6266.7</v>
      </c>
    </row>
    <row r="1481" spans="2:18" ht="19.5" customHeight="1" x14ac:dyDescent="0.2">
      <c r="B1481" s="679" t="s">
        <v>64</v>
      </c>
      <c r="C1481" s="679"/>
      <c r="D1481" s="679"/>
      <c r="E1481" s="1106"/>
      <c r="F1481" s="937">
        <f>F1475+F1472</f>
        <v>603143.39999999991</v>
      </c>
      <c r="G1481" s="937">
        <f>G1475+G1472</f>
        <v>507588.5</v>
      </c>
      <c r="H1481" s="937">
        <f>H1475+H1472</f>
        <v>511107.29999999993</v>
      </c>
      <c r="I1481" s="937">
        <f>I1475+I1472</f>
        <v>515190.30000000005</v>
      </c>
      <c r="J1481" s="937">
        <f>J1475+J1472</f>
        <v>520057.4</v>
      </c>
      <c r="K1481" s="1690"/>
      <c r="L1481" s="1690"/>
      <c r="M1481" s="1604"/>
      <c r="N1481" s="1604"/>
      <c r="O1481" s="1604"/>
      <c r="P1481" s="1604"/>
      <c r="Q1481" s="1604"/>
      <c r="R1481" s="1604"/>
    </row>
    <row r="1482" spans="2:18" ht="25.5" customHeight="1" x14ac:dyDescent="0.2">
      <c r="B1482" s="1541" t="s">
        <v>2075</v>
      </c>
      <c r="C1482" s="1542"/>
      <c r="D1482" s="1542"/>
      <c r="E1482" s="1542"/>
      <c r="F1482" s="1542"/>
      <c r="G1482" s="1542"/>
      <c r="H1482" s="1542"/>
      <c r="I1482" s="1542"/>
      <c r="J1482" s="1542"/>
      <c r="K1482" s="1542"/>
      <c r="L1482" s="1542"/>
      <c r="M1482" s="1542"/>
      <c r="N1482" s="1542"/>
      <c r="O1482" s="1542"/>
      <c r="P1482" s="1542"/>
      <c r="Q1482" s="1542"/>
      <c r="R1482" s="1543"/>
    </row>
    <row r="1483" spans="2:18" ht="114.75" x14ac:dyDescent="0.2">
      <c r="B1483" s="838" t="s">
        <v>120</v>
      </c>
      <c r="C1483" s="1299"/>
      <c r="D1483" s="838"/>
      <c r="E1483" s="534" t="s">
        <v>2824</v>
      </c>
      <c r="F1483" s="918">
        <v>43021</v>
      </c>
      <c r="G1483" s="918">
        <v>53320.3</v>
      </c>
      <c r="H1483" s="918">
        <f>SUM(H1484:H1484)</f>
        <v>46335.199999999997</v>
      </c>
      <c r="I1483" s="918">
        <f>SUM(I1484:I1484)</f>
        <v>46381.535199999991</v>
      </c>
      <c r="J1483" s="918">
        <f>SUM(J1484:J1484)</f>
        <v>46474.298270399988</v>
      </c>
      <c r="K1483" s="1691" t="s">
        <v>2076</v>
      </c>
      <c r="L1483" s="1692"/>
      <c r="M1483" s="1300"/>
      <c r="N1483" s="1301"/>
      <c r="O1483" s="1302"/>
      <c r="P1483" s="1302"/>
      <c r="Q1483" s="1302"/>
      <c r="R1483" s="1302"/>
    </row>
    <row r="1484" spans="2:18" ht="76.5" x14ac:dyDescent="0.2">
      <c r="B1484" s="1299"/>
      <c r="C1484" s="697" t="s">
        <v>1849</v>
      </c>
      <c r="D1484" s="697"/>
      <c r="E1484" s="673" t="s">
        <v>2077</v>
      </c>
      <c r="F1484" s="914">
        <v>0</v>
      </c>
      <c r="G1484" s="1303">
        <v>53320.3</v>
      </c>
      <c r="H1484" s="1303">
        <v>46335.199999999997</v>
      </c>
      <c r="I1484" s="1304">
        <f>H1484*100.1%</f>
        <v>46381.535199999991</v>
      </c>
      <c r="J1484" s="1304">
        <f>I1484*100.2%</f>
        <v>46474.298270399988</v>
      </c>
      <c r="K1484" s="1565" t="s">
        <v>19</v>
      </c>
      <c r="L1484" s="1566"/>
      <c r="M1484" s="668" t="s">
        <v>17</v>
      </c>
      <c r="N1484" s="1305"/>
      <c r="O1484" s="573"/>
      <c r="P1484" s="573"/>
      <c r="Q1484" s="573"/>
      <c r="R1484" s="573"/>
    </row>
    <row r="1485" spans="2:18" ht="51" x14ac:dyDescent="0.2">
      <c r="B1485" s="838" t="s">
        <v>138</v>
      </c>
      <c r="C1485" s="1299"/>
      <c r="D1485" s="838"/>
      <c r="E1485" s="1122" t="s">
        <v>2825</v>
      </c>
      <c r="F1485" s="918">
        <v>610361.19999999995</v>
      </c>
      <c r="G1485" s="918">
        <v>39487</v>
      </c>
      <c r="H1485" s="918">
        <f>SUM(H1486:H1487)</f>
        <v>47878.1</v>
      </c>
      <c r="I1485" s="918">
        <f>SUM(I1486:I1487)</f>
        <v>47878.1</v>
      </c>
      <c r="J1485" s="918">
        <f>SUM(J1486:J1487)</f>
        <v>47878.1</v>
      </c>
      <c r="K1485" s="1693" t="s">
        <v>2078</v>
      </c>
      <c r="L1485" s="1694"/>
      <c r="M1485" s="1306"/>
      <c r="N1485" s="1307"/>
      <c r="O1485" s="1307"/>
      <c r="P1485" s="1308"/>
      <c r="Q1485" s="1308"/>
      <c r="R1485" s="1308"/>
    </row>
    <row r="1486" spans="2:18" ht="25.5" x14ac:dyDescent="0.2">
      <c r="B1486" s="697"/>
      <c r="C1486" s="697" t="s">
        <v>123</v>
      </c>
      <c r="D1486" s="697"/>
      <c r="E1486" s="807" t="s">
        <v>2079</v>
      </c>
      <c r="F1486" s="958">
        <v>0</v>
      </c>
      <c r="G1486" s="958">
        <v>39487</v>
      </c>
      <c r="H1486" s="958">
        <v>33778.1</v>
      </c>
      <c r="I1486" s="958">
        <v>33778.1</v>
      </c>
      <c r="J1486" s="958">
        <v>33778.1</v>
      </c>
      <c r="K1486" s="1565" t="s">
        <v>2080</v>
      </c>
      <c r="L1486" s="1566"/>
      <c r="M1486" s="1306" t="s">
        <v>31</v>
      </c>
      <c r="N1486" s="1145"/>
      <c r="O1486" s="1145"/>
      <c r="P1486" s="1145"/>
      <c r="Q1486" s="1145"/>
      <c r="R1486" s="1145"/>
    </row>
    <row r="1487" spans="2:18" x14ac:dyDescent="0.2">
      <c r="B1487" s="697"/>
      <c r="C1487" s="697" t="s">
        <v>132</v>
      </c>
      <c r="D1487" s="697"/>
      <c r="E1487" s="807" t="s">
        <v>689</v>
      </c>
      <c r="F1487" s="958"/>
      <c r="G1487" s="958"/>
      <c r="H1487" s="958">
        <v>14100</v>
      </c>
      <c r="I1487" s="958">
        <v>14100</v>
      </c>
      <c r="J1487" s="958">
        <v>14100</v>
      </c>
      <c r="K1487" s="1565" t="s">
        <v>2081</v>
      </c>
      <c r="L1487" s="1566"/>
      <c r="M1487" s="1306" t="s">
        <v>17</v>
      </c>
      <c r="N1487" s="1309"/>
      <c r="O1487" s="1309"/>
      <c r="P1487" s="1309"/>
      <c r="Q1487" s="1309"/>
      <c r="R1487" s="1309"/>
    </row>
    <row r="1488" spans="2:18" ht="76.5" x14ac:dyDescent="0.2">
      <c r="B1488" s="1159" t="s">
        <v>161</v>
      </c>
      <c r="C1488" s="1299"/>
      <c r="D1488" s="1159"/>
      <c r="E1488" s="1161" t="s">
        <v>2826</v>
      </c>
      <c r="F1488" s="1119">
        <v>104076.6</v>
      </c>
      <c r="G1488" s="1119">
        <v>256297.2</v>
      </c>
      <c r="H1488" s="1119">
        <f>SUM(H1489:H1491)</f>
        <v>140492.4</v>
      </c>
      <c r="I1488" s="1119">
        <f>SUM(I1489:I1491)</f>
        <v>140632.89239999998</v>
      </c>
      <c r="J1488" s="1119">
        <f>SUM(J1489:J1491)</f>
        <v>140914.15818480001</v>
      </c>
      <c r="K1488" s="1693" t="s">
        <v>2082</v>
      </c>
      <c r="L1488" s="1694"/>
      <c r="M1488" s="1162" t="s">
        <v>17</v>
      </c>
      <c r="N1488" s="1310">
        <v>98.6</v>
      </c>
      <c r="O1488" s="1310">
        <v>98.8</v>
      </c>
      <c r="P1488" s="1310">
        <v>98.9</v>
      </c>
      <c r="Q1488" s="1311">
        <v>99</v>
      </c>
      <c r="R1488" s="1310">
        <v>99.1</v>
      </c>
    </row>
    <row r="1489" spans="2:18" ht="25.5" x14ac:dyDescent="0.2">
      <c r="B1489" s="1312"/>
      <c r="C1489" s="1312" t="s">
        <v>123</v>
      </c>
      <c r="D1489" s="1312"/>
      <c r="E1489" s="1313" t="s">
        <v>2083</v>
      </c>
      <c r="F1489" s="1304">
        <v>0</v>
      </c>
      <c r="G1489" s="1304">
        <v>71684.100000000006</v>
      </c>
      <c r="H1489" s="1304">
        <v>63692.4</v>
      </c>
      <c r="I1489" s="1304">
        <f>H1489*100.1%</f>
        <v>63756.092399999994</v>
      </c>
      <c r="J1489" s="1304">
        <f>I1489*100.2%</f>
        <v>63883.604584799992</v>
      </c>
      <c r="K1489" s="1565" t="s">
        <v>2084</v>
      </c>
      <c r="L1489" s="1566"/>
      <c r="M1489" s="1305" t="s">
        <v>93</v>
      </c>
      <c r="N1489" s="1305">
        <v>289</v>
      </c>
      <c r="O1489" s="1314" t="s">
        <v>2085</v>
      </c>
      <c r="P1489" s="1314" t="s">
        <v>2086</v>
      </c>
      <c r="Q1489" s="1315" t="s">
        <v>2087</v>
      </c>
      <c r="R1489" s="1315" t="s">
        <v>2088</v>
      </c>
    </row>
    <row r="1490" spans="2:18" ht="25.5" x14ac:dyDescent="0.2">
      <c r="B1490" s="1315"/>
      <c r="C1490" s="1315" t="s">
        <v>132</v>
      </c>
      <c r="D1490" s="1315"/>
      <c r="E1490" s="568" t="s">
        <v>2089</v>
      </c>
      <c r="F1490" s="1195">
        <v>0</v>
      </c>
      <c r="G1490" s="1195">
        <v>5100</v>
      </c>
      <c r="H1490" s="1195">
        <v>2500</v>
      </c>
      <c r="I1490" s="1195">
        <f>H1490*100.1%</f>
        <v>2502.4999999999995</v>
      </c>
      <c r="J1490" s="1195">
        <f>I1490*100.2%</f>
        <v>2507.5049999999997</v>
      </c>
      <c r="K1490" s="1565" t="s">
        <v>2090</v>
      </c>
      <c r="L1490" s="1566"/>
      <c r="M1490" s="1316" t="s">
        <v>93</v>
      </c>
      <c r="N1490" s="1316">
        <v>434</v>
      </c>
      <c r="O1490" s="1316">
        <v>450</v>
      </c>
      <c r="P1490" s="1317">
        <v>460</v>
      </c>
      <c r="Q1490" s="1318">
        <v>470</v>
      </c>
      <c r="R1490" s="1318">
        <v>480</v>
      </c>
    </row>
    <row r="1491" spans="2:18" x14ac:dyDescent="0.2">
      <c r="B1491" s="1312"/>
      <c r="C1491" s="1312" t="s">
        <v>74</v>
      </c>
      <c r="D1491" s="1312"/>
      <c r="E1491" s="568" t="s">
        <v>2091</v>
      </c>
      <c r="F1491" s="1304">
        <v>0</v>
      </c>
      <c r="G1491" s="1304">
        <v>148500</v>
      </c>
      <c r="H1491" s="1304">
        <v>74300</v>
      </c>
      <c r="I1491" s="1195">
        <f>H1491*100.1%</f>
        <v>74374.299999999988</v>
      </c>
      <c r="J1491" s="1195">
        <f>I1491*100.2%</f>
        <v>74523.048599999995</v>
      </c>
      <c r="K1491" s="1565" t="s">
        <v>2092</v>
      </c>
      <c r="L1491" s="1566"/>
      <c r="M1491" s="1305" t="s">
        <v>93</v>
      </c>
      <c r="N1491" s="336">
        <v>27204</v>
      </c>
      <c r="O1491" s="336">
        <v>24071</v>
      </c>
      <c r="P1491" s="1319">
        <v>25101</v>
      </c>
      <c r="Q1491" s="695">
        <v>25458</v>
      </c>
      <c r="R1491" s="695">
        <v>24876</v>
      </c>
    </row>
    <row r="1492" spans="2:18" x14ac:dyDescent="0.2">
      <c r="B1492" s="1159" t="s">
        <v>169</v>
      </c>
      <c r="C1492" s="1159"/>
      <c r="D1492" s="1159"/>
      <c r="E1492" s="1122" t="s">
        <v>2711</v>
      </c>
      <c r="F1492" s="1119">
        <v>727679</v>
      </c>
      <c r="G1492" s="1119">
        <v>423000</v>
      </c>
      <c r="H1492" s="1119">
        <f>H1493</f>
        <v>850000</v>
      </c>
      <c r="I1492" s="1119">
        <f>I1493</f>
        <v>0</v>
      </c>
      <c r="J1492" s="1119">
        <f>J1493</f>
        <v>0</v>
      </c>
      <c r="K1492" s="1565"/>
      <c r="L1492" s="1566"/>
      <c r="M1492" s="1162"/>
      <c r="N1492" s="1162"/>
      <c r="O1492" s="1162"/>
      <c r="P1492" s="1162"/>
      <c r="Q1492" s="1162"/>
      <c r="R1492" s="1162"/>
    </row>
    <row r="1493" spans="2:18" x14ac:dyDescent="0.2">
      <c r="B1493" s="1315"/>
      <c r="C1493" s="1315" t="s">
        <v>123</v>
      </c>
      <c r="D1493" s="1315"/>
      <c r="E1493" s="568" t="s">
        <v>2093</v>
      </c>
      <c r="F1493" s="958">
        <v>727679</v>
      </c>
      <c r="G1493" s="958">
        <v>423000</v>
      </c>
      <c r="H1493" s="958">
        <v>850000</v>
      </c>
      <c r="I1493" s="958"/>
      <c r="J1493" s="958"/>
      <c r="K1493" s="1565"/>
      <c r="L1493" s="1566"/>
      <c r="M1493" s="553" t="s">
        <v>1103</v>
      </c>
      <c r="N1493" s="1162"/>
      <c r="O1493" s="1162"/>
      <c r="P1493" s="1162"/>
      <c r="Q1493" s="1162"/>
      <c r="R1493" s="1162"/>
    </row>
    <row r="1494" spans="2:18" ht="24.75" customHeight="1" x14ac:dyDescent="0.2">
      <c r="B1494" s="1677" t="s">
        <v>64</v>
      </c>
      <c r="C1494" s="1678"/>
      <c r="D1494" s="1678"/>
      <c r="E1494" s="1679"/>
      <c r="F1494" s="937">
        <f>F1483+F1485+F1488+F1492</f>
        <v>1485137.7999999998</v>
      </c>
      <c r="G1494" s="937">
        <f>G1483+G1485+G1488+G1492</f>
        <v>772104.5</v>
      </c>
      <c r="H1494" s="937">
        <f>H1483+H1485+H1488+H1492</f>
        <v>1084705.7</v>
      </c>
      <c r="I1494" s="937">
        <f>I1483+I1485+I1488+I1492</f>
        <v>234892.52759999997</v>
      </c>
      <c r="J1494" s="937">
        <f>J1483+J1485+J1488+J1492</f>
        <v>235266.55645519999</v>
      </c>
      <c r="K1494" s="1602"/>
      <c r="L1494" s="1603"/>
      <c r="M1494" s="1604"/>
      <c r="N1494" s="1604"/>
      <c r="O1494" s="1604"/>
      <c r="P1494" s="1604"/>
      <c r="Q1494" s="1604"/>
      <c r="R1494" s="1605"/>
    </row>
    <row r="1495" spans="2:18" ht="25.5" customHeight="1" x14ac:dyDescent="0.2">
      <c r="B1495" s="1683" t="s">
        <v>2094</v>
      </c>
      <c r="C1495" s="1542"/>
      <c r="D1495" s="1542"/>
      <c r="E1495" s="1542"/>
      <c r="F1495" s="1542"/>
      <c r="G1495" s="1542"/>
      <c r="H1495" s="1542"/>
      <c r="I1495" s="1542"/>
      <c r="J1495" s="1542"/>
      <c r="K1495" s="1542"/>
      <c r="L1495" s="1542"/>
      <c r="M1495" s="1542"/>
      <c r="N1495" s="1542"/>
      <c r="O1495" s="1542"/>
      <c r="P1495" s="1542"/>
      <c r="Q1495" s="1542"/>
      <c r="R1495" s="1543"/>
    </row>
    <row r="1496" spans="2:18" x14ac:dyDescent="0.2">
      <c r="B1496" s="873">
        <v>1</v>
      </c>
      <c r="C1496" s="697"/>
      <c r="D1496" s="873"/>
      <c r="E1496" s="693" t="s">
        <v>1771</v>
      </c>
      <c r="F1496" s="959">
        <f>F1497+F1498</f>
        <v>43022</v>
      </c>
      <c r="G1496" s="959">
        <f>G1497+G1498</f>
        <v>36724.799999999996</v>
      </c>
      <c r="H1496" s="959">
        <f t="shared" ref="H1496:J1496" si="79">H1497+H1498</f>
        <v>36724.800000000003</v>
      </c>
      <c r="I1496" s="959">
        <f t="shared" si="79"/>
        <v>37834.9</v>
      </c>
      <c r="J1496" s="959">
        <f t="shared" si="79"/>
        <v>38543.199999999997</v>
      </c>
      <c r="K1496" s="1666"/>
      <c r="L1496" s="1684"/>
      <c r="M1496" s="1035"/>
      <c r="N1496" s="1035">
        <f>N1497+N1498</f>
        <v>5707</v>
      </c>
      <c r="O1496" s="1035">
        <f>O1497+O1498</f>
        <v>7853</v>
      </c>
      <c r="P1496" s="1035">
        <f t="shared" ref="P1496:R1496" si="80">P1497+P1498</f>
        <v>7856.9</v>
      </c>
      <c r="Q1496" s="1035">
        <f t="shared" si="80"/>
        <v>7875.7999999999993</v>
      </c>
      <c r="R1496" s="1035">
        <f t="shared" si="80"/>
        <v>7926.2999999999993</v>
      </c>
    </row>
    <row r="1497" spans="2:18" x14ac:dyDescent="0.2">
      <c r="B1497" s="873"/>
      <c r="C1497" s="697" t="s">
        <v>123</v>
      </c>
      <c r="D1497" s="873"/>
      <c r="E1497" s="557" t="s">
        <v>1389</v>
      </c>
      <c r="F1497" s="987">
        <v>2180.9</v>
      </c>
      <c r="G1497" s="987">
        <v>2180.9</v>
      </c>
      <c r="H1497" s="987">
        <v>2180.9</v>
      </c>
      <c r="I1497" s="987">
        <v>2180.9</v>
      </c>
      <c r="J1497" s="987">
        <v>2180.9</v>
      </c>
      <c r="K1497" s="1565" t="s">
        <v>2095</v>
      </c>
      <c r="L1497" s="1566"/>
      <c r="M1497" s="1320">
        <v>1</v>
      </c>
      <c r="N1497" s="336">
        <v>2180.9</v>
      </c>
      <c r="O1497" s="336">
        <v>2180.9</v>
      </c>
      <c r="P1497" s="336">
        <v>2180.9</v>
      </c>
      <c r="Q1497" s="336">
        <v>2180.9</v>
      </c>
      <c r="R1497" s="336">
        <v>2180.9</v>
      </c>
    </row>
    <row r="1498" spans="2:18" x14ac:dyDescent="0.2">
      <c r="B1498" s="873"/>
      <c r="C1498" s="697" t="s">
        <v>197</v>
      </c>
      <c r="D1498" s="873"/>
      <c r="E1498" s="557" t="s">
        <v>32</v>
      </c>
      <c r="F1498" s="987">
        <v>40841.1</v>
      </c>
      <c r="G1498" s="987">
        <v>34543.899999999994</v>
      </c>
      <c r="H1498" s="987">
        <v>34543.9</v>
      </c>
      <c r="I1498" s="987">
        <v>35654</v>
      </c>
      <c r="J1498" s="987">
        <v>36362.299999999996</v>
      </c>
      <c r="K1498" s="1565"/>
      <c r="L1498" s="1566"/>
      <c r="M1498" s="606" t="s">
        <v>2096</v>
      </c>
      <c r="N1498" s="336">
        <v>3526.1</v>
      </c>
      <c r="O1498" s="336">
        <v>5672.1</v>
      </c>
      <c r="P1498" s="336">
        <v>5676</v>
      </c>
      <c r="Q1498" s="336">
        <v>5694.9</v>
      </c>
      <c r="R1498" s="336">
        <v>5745.4</v>
      </c>
    </row>
    <row r="1499" spans="2:18" ht="23.25" customHeight="1" x14ac:dyDescent="0.2">
      <c r="B1499" s="1677" t="s">
        <v>64</v>
      </c>
      <c r="C1499" s="1678"/>
      <c r="D1499" s="1678"/>
      <c r="E1499" s="1679"/>
      <c r="F1499" s="937">
        <f>F1496</f>
        <v>43022</v>
      </c>
      <c r="G1499" s="937">
        <f t="shared" ref="G1499:J1499" si="81">G1496</f>
        <v>36724.799999999996</v>
      </c>
      <c r="H1499" s="937">
        <f t="shared" si="81"/>
        <v>36724.800000000003</v>
      </c>
      <c r="I1499" s="937">
        <f t="shared" si="81"/>
        <v>37834.9</v>
      </c>
      <c r="J1499" s="937">
        <f t="shared" si="81"/>
        <v>38543.199999999997</v>
      </c>
      <c r="K1499" s="1602"/>
      <c r="L1499" s="1603"/>
      <c r="M1499" s="1604"/>
      <c r="N1499" s="1604"/>
      <c r="O1499" s="1604"/>
      <c r="P1499" s="1604"/>
      <c r="Q1499" s="1604"/>
      <c r="R1499" s="1605"/>
    </row>
    <row r="1500" spans="2:18" ht="25.5" customHeight="1" x14ac:dyDescent="0.2">
      <c r="B1500" s="1683" t="s">
        <v>2097</v>
      </c>
      <c r="C1500" s="1542"/>
      <c r="D1500" s="1542"/>
      <c r="E1500" s="1542"/>
      <c r="F1500" s="1542"/>
      <c r="G1500" s="1542"/>
      <c r="H1500" s="1542"/>
      <c r="I1500" s="1542"/>
      <c r="J1500" s="1542"/>
      <c r="K1500" s="1542"/>
      <c r="L1500" s="1542"/>
      <c r="M1500" s="1542"/>
      <c r="N1500" s="1542"/>
      <c r="O1500" s="1542"/>
      <c r="P1500" s="1542"/>
      <c r="Q1500" s="1542"/>
      <c r="R1500" s="1543"/>
    </row>
    <row r="1501" spans="2:18" ht="38.25" x14ac:dyDescent="0.2">
      <c r="B1501" s="1087">
        <v>1</v>
      </c>
      <c r="C1501" s="530"/>
      <c r="D1501" s="531"/>
      <c r="E1501" s="1321" t="s">
        <v>2792</v>
      </c>
      <c r="F1501" s="1034"/>
      <c r="G1501" s="1034"/>
      <c r="H1501" s="1034">
        <f>H1502+H1503+H1504+H1505</f>
        <v>67364</v>
      </c>
      <c r="I1501" s="1034">
        <f t="shared" ref="I1501:J1501" si="82">I1502+I1503+I1504+I1505</f>
        <v>69030.899999999994</v>
      </c>
      <c r="J1501" s="1034">
        <f t="shared" si="82"/>
        <v>70038.499999999985</v>
      </c>
      <c r="K1501" s="1621" t="s">
        <v>16</v>
      </c>
      <c r="L1501" s="1622"/>
      <c r="M1501" s="1322" t="s">
        <v>17</v>
      </c>
      <c r="N1501" s="1322"/>
      <c r="O1501" s="1322"/>
      <c r="P1501" s="1322"/>
      <c r="Q1501" s="1322"/>
      <c r="R1501" s="1322"/>
    </row>
    <row r="1502" spans="2:18" x14ac:dyDescent="0.2">
      <c r="B1502" s="1323"/>
      <c r="C1502" s="1324">
        <v>1</v>
      </c>
      <c r="D1502" s="530"/>
      <c r="E1502" s="1325" t="s">
        <v>1389</v>
      </c>
      <c r="F1502" s="959"/>
      <c r="G1502" s="959"/>
      <c r="H1502" s="987">
        <v>65669.899999999994</v>
      </c>
      <c r="I1502" s="987">
        <v>67016.600000000006</v>
      </c>
      <c r="J1502" s="987">
        <v>68024.2</v>
      </c>
      <c r="K1502" s="1565" t="s">
        <v>19</v>
      </c>
      <c r="L1502" s="1566"/>
      <c r="M1502" s="336" t="s">
        <v>20</v>
      </c>
      <c r="N1502" s="1035"/>
      <c r="O1502" s="1035"/>
      <c r="P1502" s="1035"/>
      <c r="Q1502" s="1035"/>
      <c r="R1502" s="1035"/>
    </row>
    <row r="1503" spans="2:18" x14ac:dyDescent="0.2">
      <c r="B1503" s="1323"/>
      <c r="C1503" s="1326">
        <v>2</v>
      </c>
      <c r="D1503" s="530"/>
      <c r="E1503" s="555" t="s">
        <v>1407</v>
      </c>
      <c r="F1503" s="959"/>
      <c r="G1503" s="959"/>
      <c r="H1503" s="987">
        <v>596.29999999999995</v>
      </c>
      <c r="I1503" s="987">
        <v>752.4</v>
      </c>
      <c r="J1503" s="987">
        <v>752.4</v>
      </c>
      <c r="K1503" s="1565" t="s">
        <v>23</v>
      </c>
      <c r="L1503" s="1566"/>
      <c r="M1503" s="336" t="s">
        <v>17</v>
      </c>
      <c r="N1503" s="1035"/>
      <c r="O1503" s="1035"/>
      <c r="P1503" s="1035"/>
      <c r="Q1503" s="1035"/>
      <c r="R1503" s="1035"/>
    </row>
    <row r="1504" spans="2:18" x14ac:dyDescent="0.2">
      <c r="B1504" s="1323"/>
      <c r="C1504" s="1326">
        <v>3</v>
      </c>
      <c r="D1504" s="530"/>
      <c r="E1504" s="555" t="s">
        <v>1409</v>
      </c>
      <c r="F1504" s="959"/>
      <c r="G1504" s="959"/>
      <c r="H1504" s="987">
        <v>596.29999999999995</v>
      </c>
      <c r="I1504" s="987">
        <v>752.4</v>
      </c>
      <c r="J1504" s="987">
        <v>752.4</v>
      </c>
      <c r="K1504" s="1565" t="s">
        <v>25</v>
      </c>
      <c r="L1504" s="1566"/>
      <c r="M1504" s="336" t="s">
        <v>17</v>
      </c>
      <c r="N1504" s="336">
        <v>0</v>
      </c>
      <c r="O1504" s="1035"/>
      <c r="P1504" s="1035"/>
      <c r="Q1504" s="1035"/>
      <c r="R1504" s="1035"/>
    </row>
    <row r="1505" spans="2:18" x14ac:dyDescent="0.2">
      <c r="B1505" s="1323"/>
      <c r="C1505" s="1110">
        <v>6</v>
      </c>
      <c r="D1505" s="530"/>
      <c r="E1505" s="557" t="s">
        <v>1414</v>
      </c>
      <c r="F1505" s="959"/>
      <c r="G1505" s="959"/>
      <c r="H1505" s="987">
        <v>501.5</v>
      </c>
      <c r="I1505" s="987">
        <v>509.5</v>
      </c>
      <c r="J1505" s="987">
        <v>509.5</v>
      </c>
      <c r="K1505" s="1565" t="s">
        <v>33</v>
      </c>
      <c r="L1505" s="1566"/>
      <c r="M1505" s="336" t="s">
        <v>17</v>
      </c>
      <c r="N1505" s="1143">
        <v>0.23</v>
      </c>
      <c r="O1505" s="1035"/>
      <c r="P1505" s="1035"/>
      <c r="Q1505" s="1035"/>
      <c r="R1505" s="1035"/>
    </row>
    <row r="1506" spans="2:18" x14ac:dyDescent="0.2">
      <c r="B1506" s="1680" t="s">
        <v>138</v>
      </c>
      <c r="C1506" s="1644"/>
      <c r="D1506" s="1670"/>
      <c r="E1506" s="1682" t="s">
        <v>2712</v>
      </c>
      <c r="F1506" s="1327"/>
      <c r="G1506" s="1327"/>
      <c r="H1506" s="1559">
        <f>H1508</f>
        <v>101075.3</v>
      </c>
      <c r="I1506" s="1559">
        <f t="shared" ref="I1506:J1506" si="83">I1508</f>
        <v>102632.4</v>
      </c>
      <c r="J1506" s="1559">
        <f t="shared" si="83"/>
        <v>103262.39999999999</v>
      </c>
      <c r="K1506" s="1673" t="s">
        <v>27</v>
      </c>
      <c r="L1506" s="1328"/>
      <c r="M1506" s="1606" t="s">
        <v>28</v>
      </c>
      <c r="N1506" s="1606"/>
      <c r="O1506" s="1606" t="s">
        <v>1103</v>
      </c>
      <c r="P1506" s="1606" t="s">
        <v>1103</v>
      </c>
      <c r="Q1506" s="1606" t="s">
        <v>1103</v>
      </c>
      <c r="R1506" s="1606" t="s">
        <v>1103</v>
      </c>
    </row>
    <row r="1507" spans="2:18" x14ac:dyDescent="0.2">
      <c r="B1507" s="1681"/>
      <c r="C1507" s="1645"/>
      <c r="D1507" s="1671"/>
      <c r="E1507" s="1682"/>
      <c r="F1507" s="1034"/>
      <c r="G1507" s="1034"/>
      <c r="H1507" s="1559"/>
      <c r="I1507" s="1559"/>
      <c r="J1507" s="1559"/>
      <c r="K1507" s="1674"/>
      <c r="L1507" s="1328"/>
      <c r="M1507" s="1607"/>
      <c r="N1507" s="1607"/>
      <c r="O1507" s="1607"/>
      <c r="P1507" s="1607"/>
      <c r="Q1507" s="1607"/>
      <c r="R1507" s="1607"/>
    </row>
    <row r="1508" spans="2:18" x14ac:dyDescent="0.2">
      <c r="B1508" s="1668"/>
      <c r="C1508" s="1644" t="s">
        <v>123</v>
      </c>
      <c r="D1508" s="1670"/>
      <c r="E1508" s="1672" t="s">
        <v>2098</v>
      </c>
      <c r="F1508" s="1327"/>
      <c r="G1508" s="1327"/>
      <c r="H1508" s="1592">
        <v>101075.3</v>
      </c>
      <c r="I1508" s="1592">
        <v>102632.4</v>
      </c>
      <c r="J1508" s="1592">
        <v>103262.39999999999</v>
      </c>
      <c r="K1508" s="1673" t="s">
        <v>2099</v>
      </c>
      <c r="L1508" s="1328"/>
      <c r="M1508" s="1606" t="s">
        <v>513</v>
      </c>
      <c r="N1508" s="1675"/>
      <c r="O1508" s="1675" t="s">
        <v>1103</v>
      </c>
      <c r="P1508" s="1675" t="s">
        <v>1103</v>
      </c>
      <c r="Q1508" s="1675" t="s">
        <v>1103</v>
      </c>
      <c r="R1508" s="1675" t="s">
        <v>1103</v>
      </c>
    </row>
    <row r="1509" spans="2:18" x14ac:dyDescent="0.2">
      <c r="B1509" s="1669"/>
      <c r="C1509" s="1645"/>
      <c r="D1509" s="1671"/>
      <c r="E1509" s="1672"/>
      <c r="F1509" s="1034"/>
      <c r="G1509" s="1034"/>
      <c r="H1509" s="1592"/>
      <c r="I1509" s="1592"/>
      <c r="J1509" s="1592"/>
      <c r="K1509" s="1674"/>
      <c r="L1509" s="1328"/>
      <c r="M1509" s="1608"/>
      <c r="N1509" s="1676"/>
      <c r="O1509" s="1676"/>
      <c r="P1509" s="1676"/>
      <c r="Q1509" s="1676"/>
      <c r="R1509" s="1676"/>
    </row>
    <row r="1510" spans="2:18" ht="23.25" customHeight="1" x14ac:dyDescent="0.2">
      <c r="B1510" s="1677" t="s">
        <v>64</v>
      </c>
      <c r="C1510" s="1678"/>
      <c r="D1510" s="1678"/>
      <c r="E1510" s="1679"/>
      <c r="F1510" s="937"/>
      <c r="G1510" s="937"/>
      <c r="H1510" s="937">
        <f>H1501+H1506</f>
        <v>168439.3</v>
      </c>
      <c r="I1510" s="937">
        <f t="shared" ref="I1510:J1510" si="84">I1501+I1506</f>
        <v>171663.3</v>
      </c>
      <c r="J1510" s="937">
        <f t="shared" si="84"/>
        <v>173300.89999999997</v>
      </c>
      <c r="K1510" s="1602"/>
      <c r="L1510" s="1603"/>
      <c r="M1510" s="1604"/>
      <c r="N1510" s="1604"/>
      <c r="O1510" s="1604"/>
      <c r="P1510" s="1604"/>
      <c r="Q1510" s="1604"/>
      <c r="R1510" s="1605"/>
    </row>
    <row r="1511" spans="2:18" ht="21" customHeight="1" x14ac:dyDescent="0.2">
      <c r="B1511" s="1541" t="s">
        <v>2100</v>
      </c>
      <c r="C1511" s="1542"/>
      <c r="D1511" s="1542"/>
      <c r="E1511" s="1542"/>
      <c r="F1511" s="1542"/>
      <c r="G1511" s="1542"/>
      <c r="H1511" s="1542"/>
      <c r="I1511" s="1542"/>
      <c r="J1511" s="1542"/>
      <c r="K1511" s="1542"/>
      <c r="L1511" s="1542"/>
      <c r="M1511" s="1542"/>
      <c r="N1511" s="1542"/>
      <c r="O1511" s="1542"/>
      <c r="P1511" s="1542"/>
      <c r="Q1511" s="1542"/>
      <c r="R1511" s="1543"/>
    </row>
    <row r="1512" spans="2:18" ht="38.25" x14ac:dyDescent="0.2">
      <c r="B1512" s="1329">
        <v>1</v>
      </c>
      <c r="C1512" s="1088"/>
      <c r="D1512" s="1088"/>
      <c r="E1512" s="807" t="s">
        <v>2827</v>
      </c>
      <c r="F1512" s="959">
        <f>F1513+F1514</f>
        <v>3363.5999999999995</v>
      </c>
      <c r="G1512" s="959">
        <f>G1513+G1514</f>
        <v>2937</v>
      </c>
      <c r="H1512" s="959">
        <f>H1513+H1514</f>
        <v>2937</v>
      </c>
      <c r="I1512" s="959">
        <f>I1513+I1514</f>
        <v>2954.2999999999997</v>
      </c>
      <c r="J1512" s="959">
        <f>J1513+J1514</f>
        <v>2976</v>
      </c>
      <c r="K1512" s="1565" t="s">
        <v>16</v>
      </c>
      <c r="L1512" s="1566"/>
      <c r="M1512" s="336" t="s">
        <v>17</v>
      </c>
      <c r="N1512" s="670">
        <v>29</v>
      </c>
      <c r="O1512" s="670">
        <f t="shared" ref="O1512:R1512" si="85">O1513+O1514</f>
        <v>29</v>
      </c>
      <c r="P1512" s="670">
        <f t="shared" si="85"/>
        <v>29</v>
      </c>
      <c r="Q1512" s="670">
        <f t="shared" si="85"/>
        <v>29</v>
      </c>
      <c r="R1512" s="1330">
        <f t="shared" si="85"/>
        <v>29</v>
      </c>
    </row>
    <row r="1513" spans="2:18" x14ac:dyDescent="0.2">
      <c r="B1513" s="1331"/>
      <c r="C1513" s="556">
        <v>1</v>
      </c>
      <c r="D1513" s="1088"/>
      <c r="E1513" s="1112" t="s">
        <v>2101</v>
      </c>
      <c r="F1513" s="987">
        <f>'[2]3-х знач.'!$D$17+'[2]3-х знач.'!$D$18</f>
        <v>2311.1</v>
      </c>
      <c r="G1513" s="987">
        <f>'[2]3-х знач.'!$E$17+'[2]3-х знач.'!$E$18</f>
        <v>2329.6</v>
      </c>
      <c r="H1513" s="987">
        <f>'[2]3-х знач.'!$F$17+'[2]3-х знач.'!$F$18</f>
        <v>2329.6</v>
      </c>
      <c r="I1513" s="987">
        <f>'[2]3-х знач.'!$I$17+'[2]3-х знач.'!$I$18</f>
        <v>2329.6</v>
      </c>
      <c r="J1513" s="987">
        <f>'[2]3-х знач.'!$L$17+'[2]3-х знач.'!$L$18</f>
        <v>2329.6</v>
      </c>
      <c r="K1513" s="1565" t="s">
        <v>19</v>
      </c>
      <c r="L1513" s="1566"/>
      <c r="M1513" s="336" t="s">
        <v>20</v>
      </c>
      <c r="N1513" s="670"/>
      <c r="O1513" s="670"/>
      <c r="P1513" s="670"/>
      <c r="Q1513" s="670"/>
      <c r="R1513" s="1330"/>
    </row>
    <row r="1514" spans="2:18" x14ac:dyDescent="0.2">
      <c r="B1514" s="1331"/>
      <c r="C1514" s="556">
        <v>2</v>
      </c>
      <c r="D1514" s="1088"/>
      <c r="E1514" s="1112" t="s">
        <v>22</v>
      </c>
      <c r="F1514" s="987">
        <f>'[2]3-х знач.'!$D$19+'[2]3-х знач.'!$D$20+'[2]3-х знач.'!$D$21</f>
        <v>1052.4999999999998</v>
      </c>
      <c r="G1514" s="987">
        <f>'[2]3-х знач.'!$E$19+'[2]3-х знач.'!$E$20</f>
        <v>607.4</v>
      </c>
      <c r="H1514" s="987">
        <f>'[2]3-х знач.'!$F$19+'[2]3-х знач.'!$F$20</f>
        <v>607.4</v>
      </c>
      <c r="I1514" s="987">
        <f>'[2]3-х знач.'!$I$19+'[2]3-х знач.'!$I$20</f>
        <v>624.69999999999993</v>
      </c>
      <c r="J1514" s="987">
        <f>'[2]3-х знач.'!$L$19+'[2]3-х знач.'!$L$20</f>
        <v>646.4</v>
      </c>
      <c r="K1514" s="1565" t="s">
        <v>23</v>
      </c>
      <c r="L1514" s="1566"/>
      <c r="M1514" s="336" t="s">
        <v>17</v>
      </c>
      <c r="N1514" s="670">
        <v>29</v>
      </c>
      <c r="O1514" s="670">
        <v>29</v>
      </c>
      <c r="P1514" s="670">
        <v>29</v>
      </c>
      <c r="Q1514" s="670">
        <v>29</v>
      </c>
      <c r="R1514" s="1330">
        <v>29</v>
      </c>
    </row>
    <row r="1515" spans="2:18" ht="23.25" customHeight="1" x14ac:dyDescent="0.2">
      <c r="B1515" s="1677" t="s">
        <v>64</v>
      </c>
      <c r="C1515" s="1678"/>
      <c r="D1515" s="1678"/>
      <c r="E1515" s="1679"/>
      <c r="F1515" s="937">
        <f>F1512</f>
        <v>3363.5999999999995</v>
      </c>
      <c r="G1515" s="937">
        <f>G1512</f>
        <v>2937</v>
      </c>
      <c r="H1515" s="937">
        <f>H1512</f>
        <v>2937</v>
      </c>
      <c r="I1515" s="937">
        <f>I1512</f>
        <v>2954.2999999999997</v>
      </c>
      <c r="J1515" s="937">
        <f>J1512</f>
        <v>2976</v>
      </c>
      <c r="K1515" s="1602"/>
      <c r="L1515" s="1603"/>
      <c r="M1515" s="1604"/>
      <c r="N1515" s="1604"/>
      <c r="O1515" s="1604"/>
      <c r="P1515" s="1604"/>
      <c r="Q1515" s="1604"/>
      <c r="R1515" s="1605"/>
    </row>
    <row r="1516" spans="2:18" ht="23.25" customHeight="1" x14ac:dyDescent="0.2">
      <c r="B1516" s="1541" t="s">
        <v>2102</v>
      </c>
      <c r="C1516" s="1542"/>
      <c r="D1516" s="1542"/>
      <c r="E1516" s="1542"/>
      <c r="F1516" s="1542"/>
      <c r="G1516" s="1542"/>
      <c r="H1516" s="1542"/>
      <c r="I1516" s="1542"/>
      <c r="J1516" s="1542"/>
      <c r="K1516" s="1542"/>
      <c r="L1516" s="1542"/>
      <c r="M1516" s="1542"/>
      <c r="N1516" s="1542"/>
      <c r="O1516" s="1542"/>
      <c r="P1516" s="1542"/>
      <c r="Q1516" s="1542"/>
      <c r="R1516" s="1543"/>
    </row>
    <row r="1517" spans="2:18" ht="38.25" x14ac:dyDescent="0.2">
      <c r="B1517" s="1329">
        <v>1</v>
      </c>
      <c r="C1517" s="1088"/>
      <c r="D1517" s="1089"/>
      <c r="E1517" s="1090" t="s">
        <v>2828</v>
      </c>
      <c r="F1517" s="959">
        <v>3010.2</v>
      </c>
      <c r="G1517" s="959">
        <v>3010.2</v>
      </c>
      <c r="H1517" s="959">
        <v>2817.7</v>
      </c>
      <c r="I1517" s="959">
        <v>2817.7</v>
      </c>
      <c r="J1517" s="959">
        <v>2817.7</v>
      </c>
      <c r="K1517" s="1556" t="s">
        <v>16</v>
      </c>
      <c r="L1517" s="1557"/>
      <c r="M1517" s="1035" t="s">
        <v>17</v>
      </c>
      <c r="N1517" s="1035">
        <v>20</v>
      </c>
      <c r="O1517" s="1035">
        <v>20</v>
      </c>
      <c r="P1517" s="1035">
        <v>20</v>
      </c>
      <c r="Q1517" s="1035">
        <v>20</v>
      </c>
      <c r="R1517" s="1332">
        <v>20</v>
      </c>
    </row>
    <row r="1518" spans="2:18" ht="25.5" x14ac:dyDescent="0.2">
      <c r="B1518" s="1329"/>
      <c r="C1518" s="556">
        <v>1</v>
      </c>
      <c r="D1518" s="1088"/>
      <c r="E1518" s="1111" t="s">
        <v>2103</v>
      </c>
      <c r="F1518" s="987">
        <v>3010.2</v>
      </c>
      <c r="G1518" s="987">
        <v>3010.2</v>
      </c>
      <c r="H1518" s="987">
        <v>2817.7</v>
      </c>
      <c r="I1518" s="987">
        <v>2817.7</v>
      </c>
      <c r="J1518" s="987">
        <v>2817.7</v>
      </c>
      <c r="K1518" s="1565" t="s">
        <v>2104</v>
      </c>
      <c r="L1518" s="1566"/>
      <c r="M1518" s="336" t="s">
        <v>17</v>
      </c>
      <c r="N1518" s="336">
        <v>100</v>
      </c>
      <c r="O1518" s="336">
        <v>100</v>
      </c>
      <c r="P1518" s="336">
        <v>100</v>
      </c>
      <c r="Q1518" s="336">
        <v>100</v>
      </c>
      <c r="R1518" s="1333">
        <v>100</v>
      </c>
    </row>
    <row r="1519" spans="2:18" ht="25.5" x14ac:dyDescent="0.2">
      <c r="B1519" s="1329">
        <v>2</v>
      </c>
      <c r="C1519" s="556"/>
      <c r="D1519" s="1088"/>
      <c r="E1519" s="1334" t="s">
        <v>2105</v>
      </c>
      <c r="F1519" s="959">
        <v>12034</v>
      </c>
      <c r="G1519" s="959">
        <v>12034</v>
      </c>
      <c r="H1519" s="959">
        <f>H1520</f>
        <v>11572.4</v>
      </c>
      <c r="I1519" s="959">
        <f>I1520</f>
        <v>11847.8</v>
      </c>
      <c r="J1519" s="959">
        <f>J1520</f>
        <v>11987.7</v>
      </c>
      <c r="K1519" s="1548" t="s">
        <v>2713</v>
      </c>
      <c r="L1519" s="1549"/>
      <c r="M1519" s="336"/>
      <c r="N1519" s="336">
        <v>30</v>
      </c>
      <c r="O1519" s="336">
        <v>30</v>
      </c>
      <c r="P1519" s="336">
        <v>30</v>
      </c>
      <c r="Q1519" s="336">
        <v>30</v>
      </c>
      <c r="R1519" s="1333">
        <v>30</v>
      </c>
    </row>
    <row r="1520" spans="2:18" ht="25.5" x14ac:dyDescent="0.2">
      <c r="B1520" s="1329"/>
      <c r="C1520" s="556">
        <v>1</v>
      </c>
      <c r="D1520" s="1088"/>
      <c r="E1520" s="1112" t="s">
        <v>2106</v>
      </c>
      <c r="F1520" s="987">
        <v>12034</v>
      </c>
      <c r="G1520" s="987">
        <v>12034</v>
      </c>
      <c r="H1520" s="987">
        <v>11572.4</v>
      </c>
      <c r="I1520" s="987">
        <v>11847.8</v>
      </c>
      <c r="J1520" s="987">
        <v>11987.7</v>
      </c>
      <c r="K1520" s="1548" t="s">
        <v>2714</v>
      </c>
      <c r="L1520" s="1549"/>
      <c r="M1520" s="336"/>
      <c r="N1520" s="336">
        <v>30</v>
      </c>
      <c r="O1520" s="336">
        <v>30</v>
      </c>
      <c r="P1520" s="336">
        <v>30</v>
      </c>
      <c r="Q1520" s="336">
        <v>30</v>
      </c>
      <c r="R1520" s="1333">
        <v>30</v>
      </c>
    </row>
    <row r="1521" spans="2:18" ht="20.25" customHeight="1" x14ac:dyDescent="0.2">
      <c r="B1521" s="1335" t="s">
        <v>64</v>
      </c>
      <c r="C1521" s="679"/>
      <c r="D1521" s="679"/>
      <c r="E1521" s="1106"/>
      <c r="F1521" s="937">
        <f>F1517+F1519</f>
        <v>15044.2</v>
      </c>
      <c r="G1521" s="937">
        <f>G1517+G1519</f>
        <v>15044.2</v>
      </c>
      <c r="H1521" s="937">
        <f>H1517+H1519</f>
        <v>14390.099999999999</v>
      </c>
      <c r="I1521" s="937">
        <f>I1517+I1519</f>
        <v>14665.5</v>
      </c>
      <c r="J1521" s="937">
        <f>J1517+J1519</f>
        <v>14805.400000000001</v>
      </c>
      <c r="K1521" s="1602"/>
      <c r="L1521" s="1603"/>
      <c r="M1521" s="1604"/>
      <c r="N1521" s="1604"/>
      <c r="O1521" s="1604"/>
      <c r="P1521" s="1604"/>
      <c r="Q1521" s="1604"/>
      <c r="R1521" s="1605"/>
    </row>
    <row r="1522" spans="2:18" ht="22.5" customHeight="1" x14ac:dyDescent="0.2">
      <c r="B1522" s="1541" t="s">
        <v>2715</v>
      </c>
      <c r="C1522" s="1542"/>
      <c r="D1522" s="1542"/>
      <c r="E1522" s="1542"/>
      <c r="F1522" s="1542"/>
      <c r="G1522" s="1542"/>
      <c r="H1522" s="1542"/>
      <c r="I1522" s="1542"/>
      <c r="J1522" s="1542"/>
      <c r="K1522" s="1542"/>
      <c r="L1522" s="1542"/>
      <c r="M1522" s="1542"/>
      <c r="N1522" s="1542"/>
      <c r="O1522" s="1542"/>
      <c r="P1522" s="1542"/>
      <c r="Q1522" s="1542"/>
      <c r="R1522" s="1543"/>
    </row>
    <row r="1523" spans="2:18" ht="38.25" x14ac:dyDescent="0.2">
      <c r="B1523" s="684">
        <v>1</v>
      </c>
      <c r="C1523" s="1336"/>
      <c r="D1523" s="1337"/>
      <c r="E1523" s="1321" t="s">
        <v>2828</v>
      </c>
      <c r="F1523" s="1034">
        <f t="shared" ref="F1523:J1523" si="86">F1524+F1525+F1526+F1527+F1528</f>
        <v>13194.699999999999</v>
      </c>
      <c r="G1523" s="1034">
        <f t="shared" si="86"/>
        <v>17218.2</v>
      </c>
      <c r="H1523" s="1034">
        <f t="shared" si="86"/>
        <v>17306.899999999998</v>
      </c>
      <c r="I1523" s="1034">
        <f t="shared" si="86"/>
        <v>17616.900000000001</v>
      </c>
      <c r="J1523" s="1034">
        <f t="shared" si="86"/>
        <v>17806.900000000001</v>
      </c>
      <c r="K1523" s="1666"/>
      <c r="L1523" s="1667"/>
      <c r="M1523" s="1322" t="s">
        <v>17</v>
      </c>
      <c r="N1523" s="1322"/>
      <c r="O1523" s="1322"/>
      <c r="P1523" s="1322"/>
      <c r="Q1523" s="1322"/>
      <c r="R1523" s="1322"/>
    </row>
    <row r="1524" spans="2:18" x14ac:dyDescent="0.2">
      <c r="B1524" s="1338"/>
      <c r="C1524" s="1324">
        <v>1</v>
      </c>
      <c r="D1524" s="1336"/>
      <c r="E1524" s="1325" t="s">
        <v>18</v>
      </c>
      <c r="F1524" s="987">
        <f>3379.4</f>
        <v>3379.4</v>
      </c>
      <c r="G1524" s="987">
        <f>3700+395.5+658.3+113.6+50+108.3</f>
        <v>5025.7000000000007</v>
      </c>
      <c r="H1524" s="987">
        <v>5295.8</v>
      </c>
      <c r="I1524" s="987">
        <f>5295.8+70+20</f>
        <v>5385.8</v>
      </c>
      <c r="J1524" s="987">
        <f>5295.8+100</f>
        <v>5395.8</v>
      </c>
      <c r="K1524" s="1548" t="s">
        <v>2716</v>
      </c>
      <c r="L1524" s="1549"/>
      <c r="M1524" s="336" t="s">
        <v>17</v>
      </c>
      <c r="N1524" s="336">
        <v>100</v>
      </c>
      <c r="O1524" s="336">
        <v>100</v>
      </c>
      <c r="P1524" s="336">
        <v>100</v>
      </c>
      <c r="Q1524" s="336">
        <v>100</v>
      </c>
      <c r="R1524" s="336">
        <v>100</v>
      </c>
    </row>
    <row r="1525" spans="2:18" x14ac:dyDescent="0.2">
      <c r="B1525" s="1338"/>
      <c r="C1525" s="1326">
        <v>2</v>
      </c>
      <c r="D1525" s="1336"/>
      <c r="E1525" s="555" t="s">
        <v>22</v>
      </c>
      <c r="F1525" s="987">
        <f>3424.5</f>
        <v>3424.5</v>
      </c>
      <c r="G1525" s="987">
        <f>1200+152+79.2+56.8+25+54.2</f>
        <v>1567.2</v>
      </c>
      <c r="H1525" s="987">
        <v>1569.1</v>
      </c>
      <c r="I1525" s="987">
        <f>1569.1+70+20</f>
        <v>1659.1</v>
      </c>
      <c r="J1525" s="987">
        <f>1569.1+100</f>
        <v>1669.1</v>
      </c>
      <c r="K1525" s="1548" t="s">
        <v>23</v>
      </c>
      <c r="L1525" s="1549"/>
      <c r="M1525" s="336" t="s">
        <v>17</v>
      </c>
      <c r="N1525" s="336">
        <v>100</v>
      </c>
      <c r="O1525" s="336">
        <v>100</v>
      </c>
      <c r="P1525" s="336">
        <v>100</v>
      </c>
      <c r="Q1525" s="336">
        <v>100</v>
      </c>
      <c r="R1525" s="336">
        <v>100</v>
      </c>
    </row>
    <row r="1526" spans="2:18" x14ac:dyDescent="0.2">
      <c r="B1526" s="1338"/>
      <c r="C1526" s="1326">
        <v>5</v>
      </c>
      <c r="D1526" s="1336"/>
      <c r="E1526" s="555" t="s">
        <v>29</v>
      </c>
      <c r="F1526" s="987">
        <f>600</f>
        <v>600</v>
      </c>
      <c r="G1526" s="987">
        <f>3400+442.7+987.5+170.2+75+162.5-372.9</f>
        <v>4865</v>
      </c>
      <c r="H1526" s="987">
        <v>4553.7</v>
      </c>
      <c r="I1526" s="987">
        <f>4553.7+70+20</f>
        <v>4643.7</v>
      </c>
      <c r="J1526" s="987">
        <f>4553.7+100</f>
        <v>4653.7</v>
      </c>
      <c r="K1526" s="1548" t="s">
        <v>2107</v>
      </c>
      <c r="L1526" s="1549"/>
      <c r="M1526" s="336" t="s">
        <v>31</v>
      </c>
      <c r="N1526" s="336" t="s">
        <v>2108</v>
      </c>
      <c r="O1526" s="336" t="s">
        <v>2108</v>
      </c>
      <c r="P1526" s="336" t="s">
        <v>2108</v>
      </c>
      <c r="Q1526" s="336" t="s">
        <v>2108</v>
      </c>
      <c r="R1526" s="336" t="s">
        <v>2108</v>
      </c>
    </row>
    <row r="1527" spans="2:18" x14ac:dyDescent="0.2">
      <c r="B1527" s="1338"/>
      <c r="C1527" s="1110">
        <v>6</v>
      </c>
      <c r="D1527" s="1336"/>
      <c r="E1527" s="557" t="s">
        <v>32</v>
      </c>
      <c r="F1527" s="987">
        <f>3989</f>
        <v>3989</v>
      </c>
      <c r="G1527" s="987">
        <f>3200+471.5+325+337.4+150+325</f>
        <v>4808.8999999999996</v>
      </c>
      <c r="H1527" s="987">
        <v>4915.8999999999996</v>
      </c>
      <c r="I1527" s="987">
        <f>4915.9+70+20</f>
        <v>5005.8999999999996</v>
      </c>
      <c r="J1527" s="987">
        <f>4915.9+100</f>
        <v>5015.8999999999996</v>
      </c>
      <c r="K1527" s="1548" t="s">
        <v>249</v>
      </c>
      <c r="L1527" s="1549"/>
      <c r="M1527" s="336" t="s">
        <v>17</v>
      </c>
      <c r="N1527" s="336">
        <v>41.6</v>
      </c>
      <c r="O1527" s="336">
        <v>41.6</v>
      </c>
      <c r="P1527" s="336">
        <v>41.6</v>
      </c>
      <c r="Q1527" s="336">
        <v>41.6</v>
      </c>
      <c r="R1527" s="336">
        <v>41.6</v>
      </c>
    </row>
    <row r="1528" spans="2:18" ht="25.5" x14ac:dyDescent="0.2">
      <c r="B1528" s="1338"/>
      <c r="C1528" s="1110">
        <v>7</v>
      </c>
      <c r="D1528" s="1336"/>
      <c r="E1528" s="557" t="s">
        <v>251</v>
      </c>
      <c r="F1528" s="987">
        <f>1801.8</f>
        <v>1801.8</v>
      </c>
      <c r="G1528" s="987">
        <f>650+84.3+150+27.5+12.5+27.1</f>
        <v>951.4</v>
      </c>
      <c r="H1528" s="987">
        <v>972.4</v>
      </c>
      <c r="I1528" s="987">
        <f>972.4-50</f>
        <v>922.4</v>
      </c>
      <c r="J1528" s="987">
        <f>972.4+100</f>
        <v>1072.4000000000001</v>
      </c>
      <c r="K1528" s="1548" t="s">
        <v>2109</v>
      </c>
      <c r="L1528" s="1549"/>
      <c r="M1528" s="336" t="s">
        <v>31</v>
      </c>
      <c r="N1528" s="336" t="s">
        <v>2108</v>
      </c>
      <c r="O1528" s="336" t="s">
        <v>2108</v>
      </c>
      <c r="P1528" s="336" t="s">
        <v>2108</v>
      </c>
      <c r="Q1528" s="336" t="s">
        <v>2108</v>
      </c>
      <c r="R1528" s="336" t="s">
        <v>2108</v>
      </c>
    </row>
    <row r="1529" spans="2:18" ht="38.25" x14ac:dyDescent="0.2">
      <c r="B1529" s="1339" t="s">
        <v>138</v>
      </c>
      <c r="C1529" s="1340"/>
      <c r="D1529" s="1340"/>
      <c r="E1529" s="693" t="s">
        <v>2717</v>
      </c>
      <c r="F1529" s="959">
        <f t="shared" ref="F1529:J1529" si="87">F1530+F1531+F1532+F1533+F1534</f>
        <v>14008.4</v>
      </c>
      <c r="G1529" s="959">
        <f t="shared" si="87"/>
        <v>18865.8</v>
      </c>
      <c r="H1529" s="959">
        <f t="shared" si="87"/>
        <v>18777.100000000002</v>
      </c>
      <c r="I1529" s="959">
        <f t="shared" si="87"/>
        <v>19157.800000000003</v>
      </c>
      <c r="J1529" s="959">
        <f t="shared" si="87"/>
        <v>19318.600000000002</v>
      </c>
      <c r="K1529" s="1548"/>
      <c r="L1529" s="1549"/>
      <c r="M1529" s="336"/>
      <c r="N1529" s="557"/>
      <c r="O1529" s="558"/>
      <c r="P1529" s="558"/>
      <c r="Q1529" s="558"/>
      <c r="R1529" s="558"/>
    </row>
    <row r="1530" spans="2:18" ht="25.5" x14ac:dyDescent="0.2">
      <c r="B1530" s="1339"/>
      <c r="C1530" s="1340" t="s">
        <v>123</v>
      </c>
      <c r="D1530" s="1340"/>
      <c r="E1530" s="557" t="s">
        <v>2110</v>
      </c>
      <c r="F1530" s="987">
        <f>7432.6</f>
        <v>7432.6</v>
      </c>
      <c r="G1530" s="987">
        <f>5500+726.4+1500+205+125+270.8+115.3+0.4</f>
        <v>8442.8999999999978</v>
      </c>
      <c r="H1530" s="987">
        <v>8373</v>
      </c>
      <c r="I1530" s="987">
        <f>8373+70+30.7</f>
        <v>8473.7000000000007</v>
      </c>
      <c r="J1530" s="987">
        <f>8373+100+41.5</f>
        <v>8514.5</v>
      </c>
      <c r="K1530" s="1548" t="s">
        <v>2111</v>
      </c>
      <c r="L1530" s="1549"/>
      <c r="M1530" s="336" t="s">
        <v>93</v>
      </c>
      <c r="N1530" s="557" t="s">
        <v>1103</v>
      </c>
      <c r="O1530" s="557" t="s">
        <v>1103</v>
      </c>
      <c r="P1530" s="557" t="s">
        <v>1103</v>
      </c>
      <c r="Q1530" s="557" t="s">
        <v>1103</v>
      </c>
      <c r="R1530" s="557" t="s">
        <v>1103</v>
      </c>
    </row>
    <row r="1531" spans="2:18" x14ac:dyDescent="0.2">
      <c r="B1531" s="1339"/>
      <c r="C1531" s="1340" t="s">
        <v>125</v>
      </c>
      <c r="D1531" s="1340"/>
      <c r="E1531" s="557" t="s">
        <v>2112</v>
      </c>
      <c r="F1531" s="987">
        <f>1801.9</f>
        <v>1801.9</v>
      </c>
      <c r="G1531" s="987">
        <f>1600+213+79.2+56.8+37.6+81.2+59.4</f>
        <v>2127.1999999999998</v>
      </c>
      <c r="H1531" s="987">
        <v>2487.1</v>
      </c>
      <c r="I1531" s="987">
        <f>2487.1+70</f>
        <v>2557.1</v>
      </c>
      <c r="J1531" s="987">
        <f>2487.1+100</f>
        <v>2587.1</v>
      </c>
      <c r="K1531" s="1548" t="s">
        <v>2113</v>
      </c>
      <c r="L1531" s="1549"/>
      <c r="M1531" s="336" t="s">
        <v>2114</v>
      </c>
      <c r="N1531" s="557" t="s">
        <v>1103</v>
      </c>
      <c r="O1531" s="557" t="s">
        <v>1103</v>
      </c>
      <c r="P1531" s="557" t="s">
        <v>1103</v>
      </c>
      <c r="Q1531" s="557" t="s">
        <v>1103</v>
      </c>
      <c r="R1531" s="557" t="s">
        <v>1103</v>
      </c>
    </row>
    <row r="1532" spans="2:18" ht="25.5" x14ac:dyDescent="0.2">
      <c r="B1532" s="1339"/>
      <c r="C1532" s="1340" t="s">
        <v>127</v>
      </c>
      <c r="D1532" s="1340"/>
      <c r="E1532" s="557" t="s">
        <v>2115</v>
      </c>
      <c r="F1532" s="987">
        <f>2071</f>
        <v>2071</v>
      </c>
      <c r="G1532" s="987">
        <f>2466.6+319.9+496.7+79.3+50+108.3+79.3</f>
        <v>3600.1000000000004</v>
      </c>
      <c r="H1532" s="987">
        <v>3214.8</v>
      </c>
      <c r="I1532" s="987">
        <f>3214.8+70</f>
        <v>3284.8</v>
      </c>
      <c r="J1532" s="987">
        <f>3214.8+100</f>
        <v>3314.8</v>
      </c>
      <c r="K1532" s="1548" t="s">
        <v>2116</v>
      </c>
      <c r="L1532" s="1549"/>
      <c r="M1532" s="336" t="s">
        <v>17</v>
      </c>
      <c r="N1532" s="557">
        <v>100</v>
      </c>
      <c r="O1532" s="557">
        <v>100</v>
      </c>
      <c r="P1532" s="557">
        <v>100</v>
      </c>
      <c r="Q1532" s="557">
        <v>100</v>
      </c>
      <c r="R1532" s="557">
        <v>100</v>
      </c>
    </row>
    <row r="1533" spans="2:18" ht="38.25" x14ac:dyDescent="0.2">
      <c r="B1533" s="1339"/>
      <c r="C1533" s="1340" t="s">
        <v>132</v>
      </c>
      <c r="D1533" s="1340"/>
      <c r="E1533" s="557" t="s">
        <v>2117</v>
      </c>
      <c r="F1533" s="987">
        <f>1351.4</f>
        <v>1351.4</v>
      </c>
      <c r="G1533" s="987">
        <f>1100+141.5+50+39.6+25+54.2+39.6</f>
        <v>1449.8999999999999</v>
      </c>
      <c r="H1533" s="987">
        <v>1429.7</v>
      </c>
      <c r="I1533" s="987">
        <f>1429.7+70</f>
        <v>1499.7</v>
      </c>
      <c r="J1533" s="987">
        <f>1429.7+100</f>
        <v>1529.7</v>
      </c>
      <c r="K1533" s="1548" t="s">
        <v>2718</v>
      </c>
      <c r="L1533" s="1549"/>
      <c r="M1533" s="336" t="s">
        <v>93</v>
      </c>
      <c r="N1533" s="557" t="s">
        <v>1103</v>
      </c>
      <c r="O1533" s="557" t="s">
        <v>1103</v>
      </c>
      <c r="P1533" s="557" t="s">
        <v>1103</v>
      </c>
      <c r="Q1533" s="557" t="s">
        <v>1103</v>
      </c>
      <c r="R1533" s="557" t="s">
        <v>1103</v>
      </c>
    </row>
    <row r="1534" spans="2:18" ht="25.5" x14ac:dyDescent="0.2">
      <c r="B1534" s="1339"/>
      <c r="C1534" s="1340" t="s">
        <v>74</v>
      </c>
      <c r="D1534" s="1340"/>
      <c r="E1534" s="557" t="s">
        <v>2118</v>
      </c>
      <c r="F1534" s="987">
        <f>1351.5</f>
        <v>1351.5</v>
      </c>
      <c r="G1534" s="987">
        <f>2500+328.6+100.1+79.3+50+108.4+79.3</f>
        <v>3245.7000000000003</v>
      </c>
      <c r="H1534" s="987">
        <v>3272.5</v>
      </c>
      <c r="I1534" s="987">
        <f>3272.5+70</f>
        <v>3342.5</v>
      </c>
      <c r="J1534" s="987">
        <f>3272.5+100</f>
        <v>3372.5</v>
      </c>
      <c r="K1534" s="1548" t="s">
        <v>2718</v>
      </c>
      <c r="L1534" s="1549"/>
      <c r="M1534" s="336" t="s">
        <v>93</v>
      </c>
      <c r="N1534" s="557" t="s">
        <v>1103</v>
      </c>
      <c r="O1534" s="557" t="s">
        <v>1103</v>
      </c>
      <c r="P1534" s="557" t="s">
        <v>1103</v>
      </c>
      <c r="Q1534" s="557" t="s">
        <v>1103</v>
      </c>
      <c r="R1534" s="557" t="s">
        <v>1103</v>
      </c>
    </row>
    <row r="1535" spans="2:18" ht="23.25" customHeight="1" x14ac:dyDescent="0.2">
      <c r="B1535" s="1335" t="s">
        <v>64</v>
      </c>
      <c r="C1535" s="679"/>
      <c r="D1535" s="679"/>
      <c r="E1535" s="1106"/>
      <c r="F1535" s="937">
        <f t="shared" ref="F1535:J1535" si="88">F1529+F1523</f>
        <v>27203.1</v>
      </c>
      <c r="G1535" s="937">
        <f t="shared" si="88"/>
        <v>36084</v>
      </c>
      <c r="H1535" s="937">
        <f t="shared" si="88"/>
        <v>36084</v>
      </c>
      <c r="I1535" s="937">
        <f t="shared" si="88"/>
        <v>36774.700000000004</v>
      </c>
      <c r="J1535" s="937">
        <f t="shared" si="88"/>
        <v>37125.5</v>
      </c>
      <c r="K1535" s="1602"/>
      <c r="L1535" s="1603"/>
      <c r="M1535" s="1604"/>
      <c r="N1535" s="1604"/>
      <c r="O1535" s="1604"/>
      <c r="P1535" s="1604"/>
      <c r="Q1535" s="1604"/>
      <c r="R1535" s="1605"/>
    </row>
    <row r="1536" spans="2:18" ht="21" customHeight="1" x14ac:dyDescent="0.2">
      <c r="B1536" s="1541" t="s">
        <v>2119</v>
      </c>
      <c r="C1536" s="1542"/>
      <c r="D1536" s="1542"/>
      <c r="E1536" s="1542"/>
      <c r="F1536" s="1542"/>
      <c r="G1536" s="1542"/>
      <c r="H1536" s="1542"/>
      <c r="I1536" s="1542"/>
      <c r="J1536" s="1542"/>
      <c r="K1536" s="1542"/>
      <c r="L1536" s="1542"/>
      <c r="M1536" s="1542"/>
      <c r="N1536" s="1542"/>
      <c r="O1536" s="1542"/>
      <c r="P1536" s="1542"/>
      <c r="Q1536" s="1542"/>
      <c r="R1536" s="1543"/>
    </row>
    <row r="1537" spans="2:18" ht="38.25" x14ac:dyDescent="0.2">
      <c r="B1537" s="1341">
        <v>1</v>
      </c>
      <c r="C1537" s="695"/>
      <c r="D1537" s="1276"/>
      <c r="E1537" s="693" t="s">
        <v>2792</v>
      </c>
      <c r="F1537" s="1585"/>
      <c r="G1537" s="959">
        <f t="shared" ref="G1537:G1542" si="89">H1537</f>
        <v>45153.67</v>
      </c>
      <c r="H1537" s="959">
        <f>H1538+H1539+H1540+H1541+H1542+H1543+H1545+H1547</f>
        <v>45153.67</v>
      </c>
      <c r="I1537" s="959">
        <f>I1538+I1539+I1540+I1541+I1542+I1543+I1547+I1545</f>
        <v>45890.77</v>
      </c>
      <c r="J1537" s="959">
        <f>J1538+J1539+J1540+J1541+J1542+J1543+J1547+J1545</f>
        <v>46346.570000000007</v>
      </c>
      <c r="K1537" s="1556" t="s">
        <v>16</v>
      </c>
      <c r="L1537" s="1557"/>
      <c r="M1537" s="1035" t="s">
        <v>17</v>
      </c>
      <c r="N1537" s="1035"/>
      <c r="O1537" s="1035"/>
      <c r="P1537" s="1035"/>
      <c r="Q1537" s="1035"/>
      <c r="R1537" s="1342"/>
    </row>
    <row r="1538" spans="2:18" x14ac:dyDescent="0.2">
      <c r="B1538" s="1341"/>
      <c r="C1538" s="1110">
        <v>1</v>
      </c>
      <c r="D1538" s="695"/>
      <c r="E1538" s="1112" t="s">
        <v>18</v>
      </c>
      <c r="F1538" s="1585"/>
      <c r="G1538" s="987">
        <f t="shared" si="89"/>
        <v>5390.1</v>
      </c>
      <c r="H1538" s="933">
        <f>4990.1+400</f>
        <v>5390.1</v>
      </c>
      <c r="I1538" s="933">
        <f>4990.1+400+100</f>
        <v>5490.1</v>
      </c>
      <c r="J1538" s="933">
        <f>4990.1+400+150</f>
        <v>5540.1</v>
      </c>
      <c r="K1538" s="1548" t="s">
        <v>19</v>
      </c>
      <c r="L1538" s="1549"/>
      <c r="M1538" s="336" t="s">
        <v>20</v>
      </c>
      <c r="N1538" s="336">
        <v>31.6</v>
      </c>
      <c r="O1538" s="336" t="s">
        <v>2120</v>
      </c>
      <c r="P1538" s="336" t="s">
        <v>2120</v>
      </c>
      <c r="Q1538" s="336" t="s">
        <v>2120</v>
      </c>
      <c r="R1538" s="1333" t="s">
        <v>2120</v>
      </c>
    </row>
    <row r="1539" spans="2:18" x14ac:dyDescent="0.2">
      <c r="B1539" s="1341"/>
      <c r="C1539" s="1110">
        <v>2</v>
      </c>
      <c r="D1539" s="695"/>
      <c r="E1539" s="1112" t="s">
        <v>22</v>
      </c>
      <c r="F1539" s="1585"/>
      <c r="G1539" s="987">
        <f t="shared" si="89"/>
        <v>2649.4</v>
      </c>
      <c r="H1539" s="933">
        <f>2614.1+35.3</f>
        <v>2649.4</v>
      </c>
      <c r="I1539" s="933">
        <f>2614.1+35.3+100</f>
        <v>2749.4</v>
      </c>
      <c r="J1539" s="933">
        <f>2614.1+35.3+100+64.6</f>
        <v>2814</v>
      </c>
      <c r="K1539" s="1548" t="s">
        <v>23</v>
      </c>
      <c r="L1539" s="1549"/>
      <c r="M1539" s="336" t="s">
        <v>17</v>
      </c>
      <c r="N1539" s="336">
        <v>100</v>
      </c>
      <c r="O1539" s="336">
        <v>100</v>
      </c>
      <c r="P1539" s="336">
        <v>100</v>
      </c>
      <c r="Q1539" s="336">
        <v>100</v>
      </c>
      <c r="R1539" s="1333">
        <v>100</v>
      </c>
    </row>
    <row r="1540" spans="2:18" x14ac:dyDescent="0.2">
      <c r="B1540" s="1341"/>
      <c r="C1540" s="1110">
        <v>3</v>
      </c>
      <c r="D1540" s="695"/>
      <c r="E1540" s="1112" t="s">
        <v>24</v>
      </c>
      <c r="F1540" s="1585"/>
      <c r="G1540" s="987">
        <f t="shared" si="89"/>
        <v>2928.3</v>
      </c>
      <c r="H1540" s="933">
        <f>2525.3+3+400</f>
        <v>2928.3</v>
      </c>
      <c r="I1540" s="933">
        <f>2525.3+3+400+100</f>
        <v>3028.3</v>
      </c>
      <c r="J1540" s="933">
        <f>2525.3+3+400+100+64.6</f>
        <v>3092.9</v>
      </c>
      <c r="K1540" s="1548" t="s">
        <v>2719</v>
      </c>
      <c r="L1540" s="1549"/>
      <c r="M1540" s="336" t="s">
        <v>31</v>
      </c>
      <c r="N1540" s="336">
        <v>32</v>
      </c>
      <c r="O1540" s="336">
        <v>30</v>
      </c>
      <c r="P1540" s="336">
        <v>28</v>
      </c>
      <c r="Q1540" s="336">
        <v>28</v>
      </c>
      <c r="R1540" s="1333">
        <v>28</v>
      </c>
    </row>
    <row r="1541" spans="2:18" ht="25.5" x14ac:dyDescent="0.2">
      <c r="B1541" s="1341"/>
      <c r="C1541" s="1110">
        <v>4</v>
      </c>
      <c r="D1541" s="695"/>
      <c r="E1541" s="805" t="s">
        <v>2121</v>
      </c>
      <c r="F1541" s="1585"/>
      <c r="G1541" s="987">
        <f t="shared" si="89"/>
        <v>2828.1</v>
      </c>
      <c r="H1541" s="933">
        <f>2428.1+400</f>
        <v>2828.1</v>
      </c>
      <c r="I1541" s="933">
        <f>2428.1+400+100</f>
        <v>2928.1</v>
      </c>
      <c r="J1541" s="933">
        <f>2428.1+400+100+64.6</f>
        <v>2992.7</v>
      </c>
      <c r="K1541" s="1548" t="s">
        <v>2122</v>
      </c>
      <c r="L1541" s="1549"/>
      <c r="M1541" s="336"/>
      <c r="N1541" s="336">
        <v>100</v>
      </c>
      <c r="O1541" s="336">
        <v>100</v>
      </c>
      <c r="P1541" s="336">
        <v>100</v>
      </c>
      <c r="Q1541" s="336">
        <v>100</v>
      </c>
      <c r="R1541" s="1333">
        <v>100</v>
      </c>
    </row>
    <row r="1542" spans="2:18" x14ac:dyDescent="0.2">
      <c r="B1542" s="1341"/>
      <c r="C1542" s="1110">
        <v>5</v>
      </c>
      <c r="D1542" s="695"/>
      <c r="E1542" s="807" t="s">
        <v>32</v>
      </c>
      <c r="F1542" s="1585"/>
      <c r="G1542" s="987">
        <f t="shared" si="89"/>
        <v>12568.27</v>
      </c>
      <c r="H1542" s="987">
        <f>9568.27+3000</f>
        <v>12568.27</v>
      </c>
      <c r="I1542" s="987">
        <f>9568.27+3000+100</f>
        <v>12668.27</v>
      </c>
      <c r="J1542" s="987">
        <f>9568.27+3000+100+64.6</f>
        <v>12732.87</v>
      </c>
      <c r="K1542" s="1548"/>
      <c r="L1542" s="1549"/>
      <c r="M1542" s="336"/>
      <c r="N1542" s="336"/>
      <c r="O1542" s="336"/>
      <c r="P1542" s="336"/>
      <c r="Q1542" s="336"/>
      <c r="R1542" s="1333"/>
    </row>
    <row r="1543" spans="2:18" x14ac:dyDescent="0.2">
      <c r="B1543" s="1662"/>
      <c r="C1543" s="1663">
        <v>6</v>
      </c>
      <c r="D1543" s="1664"/>
      <c r="E1543" s="1665" t="s">
        <v>2123</v>
      </c>
      <c r="F1543" s="1585"/>
      <c r="G1543" s="1592">
        <v>1015.8</v>
      </c>
      <c r="H1543" s="1592">
        <f>715.8+300+96.9</f>
        <v>1112.7</v>
      </c>
      <c r="I1543" s="1592">
        <f>715.8+300+20</f>
        <v>1035.8</v>
      </c>
      <c r="J1543" s="1592">
        <f>715.8+300+64.6</f>
        <v>1080.3999999999999</v>
      </c>
      <c r="K1543" s="1548" t="s">
        <v>2720</v>
      </c>
      <c r="L1543" s="1549"/>
      <c r="M1543" s="336" t="s">
        <v>17</v>
      </c>
      <c r="N1543" s="336">
        <v>90</v>
      </c>
      <c r="O1543" s="336">
        <v>100</v>
      </c>
      <c r="P1543" s="336">
        <v>100</v>
      </c>
      <c r="Q1543" s="336">
        <v>100</v>
      </c>
      <c r="R1543" s="1333">
        <v>100</v>
      </c>
    </row>
    <row r="1544" spans="2:18" x14ac:dyDescent="0.2">
      <c r="B1544" s="1662"/>
      <c r="C1544" s="1663"/>
      <c r="D1544" s="1664"/>
      <c r="E1544" s="1665"/>
      <c r="F1544" s="1585"/>
      <c r="G1544" s="1592"/>
      <c r="H1544" s="1592"/>
      <c r="I1544" s="1592"/>
      <c r="J1544" s="1592"/>
      <c r="K1544" s="1548" t="s">
        <v>2721</v>
      </c>
      <c r="L1544" s="1549"/>
      <c r="M1544" s="336" t="s">
        <v>17</v>
      </c>
      <c r="N1544" s="336">
        <v>100</v>
      </c>
      <c r="O1544" s="336">
        <v>100</v>
      </c>
      <c r="P1544" s="336">
        <v>100</v>
      </c>
      <c r="Q1544" s="336">
        <v>100</v>
      </c>
      <c r="R1544" s="1333">
        <v>100</v>
      </c>
    </row>
    <row r="1545" spans="2:18" x14ac:dyDescent="0.2">
      <c r="B1545" s="1662"/>
      <c r="C1545" s="1663">
        <v>7</v>
      </c>
      <c r="D1545" s="1664"/>
      <c r="E1545" s="1625" t="s">
        <v>2124</v>
      </c>
      <c r="F1545" s="1585"/>
      <c r="G1545" s="1592">
        <v>871.5</v>
      </c>
      <c r="H1545" s="1596">
        <v>817.5</v>
      </c>
      <c r="I1545" s="1596">
        <f>818.5+13</f>
        <v>831.5</v>
      </c>
      <c r="J1545" s="1596">
        <f>819.5+64.8</f>
        <v>884.3</v>
      </c>
      <c r="K1545" s="1548" t="s">
        <v>2125</v>
      </c>
      <c r="L1545" s="1549"/>
      <c r="M1545" s="336" t="s">
        <v>31</v>
      </c>
      <c r="N1545" s="336"/>
      <c r="O1545" s="336"/>
      <c r="P1545" s="336"/>
      <c r="Q1545" s="336"/>
      <c r="R1545" s="1333"/>
    </row>
    <row r="1546" spans="2:18" x14ac:dyDescent="0.2">
      <c r="B1546" s="1662"/>
      <c r="C1546" s="1663"/>
      <c r="D1546" s="1664"/>
      <c r="E1546" s="1625"/>
      <c r="F1546" s="1585"/>
      <c r="G1546" s="1592"/>
      <c r="H1546" s="1597"/>
      <c r="I1546" s="1597"/>
      <c r="J1546" s="1597"/>
      <c r="K1546" s="1548" t="s">
        <v>2126</v>
      </c>
      <c r="L1546" s="1549"/>
      <c r="M1546" s="336" t="s">
        <v>31</v>
      </c>
      <c r="N1546" s="336"/>
      <c r="O1546" s="336"/>
      <c r="P1546" s="336"/>
      <c r="Q1546" s="336"/>
      <c r="R1546" s="1333"/>
    </row>
    <row r="1547" spans="2:18" x14ac:dyDescent="0.2">
      <c r="B1547" s="1341"/>
      <c r="C1547" s="1110">
        <v>8</v>
      </c>
      <c r="D1547" s="695"/>
      <c r="E1547" s="807" t="s">
        <v>247</v>
      </c>
      <c r="F1547" s="959"/>
      <c r="G1547" s="987">
        <f>H1547</f>
        <v>16859.3</v>
      </c>
      <c r="H1547" s="987">
        <v>16859.3</v>
      </c>
      <c r="I1547" s="987">
        <f>16859.3+300</f>
        <v>17159.3</v>
      </c>
      <c r="J1547" s="987">
        <f>16859.3+350</f>
        <v>17209.3</v>
      </c>
      <c r="K1547" s="1548" t="s">
        <v>2722</v>
      </c>
      <c r="L1547" s="1549"/>
      <c r="M1547" s="336" t="s">
        <v>96</v>
      </c>
      <c r="N1547" s="336" t="s">
        <v>2127</v>
      </c>
      <c r="O1547" s="336" t="s">
        <v>2127</v>
      </c>
      <c r="P1547" s="336" t="s">
        <v>2127</v>
      </c>
      <c r="Q1547" s="336" t="s">
        <v>2127</v>
      </c>
      <c r="R1547" s="1333" t="s">
        <v>2127</v>
      </c>
    </row>
    <row r="1548" spans="2:18" ht="51" x14ac:dyDescent="0.2">
      <c r="B1548" s="1343" t="s">
        <v>138</v>
      </c>
      <c r="C1548" s="1124"/>
      <c r="D1548" s="1124"/>
      <c r="E1548" s="693" t="s">
        <v>2829</v>
      </c>
      <c r="F1548" s="933"/>
      <c r="G1548" s="959">
        <f>G1549+G1551+G1555+G1561</f>
        <v>16259.9</v>
      </c>
      <c r="H1548" s="959">
        <f>H1549+H1551+H1554+H1555+H1561</f>
        <v>16259.9</v>
      </c>
      <c r="I1548" s="959">
        <f>I1549+I1551+I1554+I1555+I1561</f>
        <v>16599.5</v>
      </c>
      <c r="J1548" s="959">
        <f>J1549+J1551+J1554+J1555+J1561</f>
        <v>16739.900000000001</v>
      </c>
      <c r="K1548" s="1548" t="s">
        <v>2723</v>
      </c>
      <c r="L1548" s="1549"/>
      <c r="M1548" s="336" t="s">
        <v>31</v>
      </c>
      <c r="N1548" s="558"/>
      <c r="O1548" s="558"/>
      <c r="P1548" s="558"/>
      <c r="Q1548" s="558"/>
      <c r="R1548" s="1344"/>
    </row>
    <row r="1549" spans="2:18" x14ac:dyDescent="0.2">
      <c r="B1549" s="1623"/>
      <c r="C1549" s="1624" t="s">
        <v>123</v>
      </c>
      <c r="D1549" s="1624"/>
      <c r="E1549" s="1625" t="s">
        <v>2128</v>
      </c>
      <c r="F1549" s="1585"/>
      <c r="G1549" s="1592">
        <f>H1549</f>
        <v>4616.8999999999996</v>
      </c>
      <c r="H1549" s="1596">
        <f>4316.9+300</f>
        <v>4616.8999999999996</v>
      </c>
      <c r="I1549" s="1596">
        <f>4316.9+300+84.9</f>
        <v>4701.7999999999993</v>
      </c>
      <c r="J1549" s="1596">
        <f>4316.9+300+120</f>
        <v>4736.8999999999996</v>
      </c>
      <c r="K1549" s="1548" t="str">
        <f>'[3]приложение 2019'!$M$18</f>
        <v>Увеличение удельного веса проверенных субъектов от запланированного</v>
      </c>
      <c r="L1549" s="1549"/>
      <c r="M1549" s="336" t="s">
        <v>17</v>
      </c>
      <c r="N1549" s="1037">
        <v>89</v>
      </c>
      <c r="O1549" s="1037">
        <v>86</v>
      </c>
      <c r="P1549" s="1037">
        <v>90</v>
      </c>
      <c r="Q1549" s="1037">
        <v>90</v>
      </c>
      <c r="R1549" s="1345">
        <v>90</v>
      </c>
    </row>
    <row r="1550" spans="2:18" x14ac:dyDescent="0.2">
      <c r="B1550" s="1623"/>
      <c r="C1550" s="1624"/>
      <c r="D1550" s="1624"/>
      <c r="E1550" s="1625"/>
      <c r="F1550" s="1585"/>
      <c r="G1550" s="1592"/>
      <c r="H1550" s="1597"/>
      <c r="I1550" s="1597"/>
      <c r="J1550" s="1597"/>
      <c r="K1550" s="1548" t="str">
        <f>'[3]приложение 2019'!$M$19</f>
        <v>увеличение количества исполненных решений по результатом  итоги работы.</v>
      </c>
      <c r="L1550" s="1549"/>
      <c r="M1550" s="336" t="s">
        <v>17</v>
      </c>
      <c r="N1550" s="1037">
        <v>70</v>
      </c>
      <c r="O1550" s="1037">
        <v>75</v>
      </c>
      <c r="P1550" s="1037">
        <v>80</v>
      </c>
      <c r="Q1550" s="1037">
        <v>82</v>
      </c>
      <c r="R1550" s="1345">
        <v>82</v>
      </c>
    </row>
    <row r="1551" spans="2:18" x14ac:dyDescent="0.2">
      <c r="B1551" s="1623"/>
      <c r="C1551" s="1624" t="s">
        <v>125</v>
      </c>
      <c r="D1551" s="1624"/>
      <c r="E1551" s="1660" t="s">
        <v>2129</v>
      </c>
      <c r="F1551" s="1598"/>
      <c r="G1551" s="1598">
        <f>H1551</f>
        <v>2703.9</v>
      </c>
      <c r="H1551" s="1598">
        <f>2403.9+300</f>
        <v>2703.9</v>
      </c>
      <c r="I1551" s="1598">
        <f>2403.9+300+84.9</f>
        <v>2788.8</v>
      </c>
      <c r="J1551" s="1598">
        <f>2403.9+300+120</f>
        <v>2823.9</v>
      </c>
      <c r="K1551" s="1548" t="str">
        <f>'[3]приложение 2019'!$M$20</f>
        <v xml:space="preserve">Количество проведенных анализов состояния конкуренции </v>
      </c>
      <c r="L1551" s="1549"/>
      <c r="M1551" s="336" t="s">
        <v>31</v>
      </c>
      <c r="N1551" s="1037">
        <v>35</v>
      </c>
      <c r="O1551" s="580" t="s">
        <v>2130</v>
      </c>
      <c r="P1551" s="580" t="s">
        <v>2130</v>
      </c>
      <c r="Q1551" s="580" t="s">
        <v>2130</v>
      </c>
      <c r="R1551" s="1346" t="s">
        <v>2130</v>
      </c>
    </row>
    <row r="1552" spans="2:18" x14ac:dyDescent="0.2">
      <c r="B1552" s="1623"/>
      <c r="C1552" s="1624"/>
      <c r="D1552" s="1624"/>
      <c r="E1552" s="1660"/>
      <c r="F1552" s="1598"/>
      <c r="G1552" s="1598"/>
      <c r="H1552" s="1598"/>
      <c r="I1552" s="1598"/>
      <c r="J1552" s="1598"/>
      <c r="K1552" s="1548" t="s">
        <v>2131</v>
      </c>
      <c r="L1552" s="1549"/>
      <c r="M1552" s="336" t="s">
        <v>31</v>
      </c>
      <c r="N1552" s="1037">
        <v>1</v>
      </c>
      <c r="O1552" s="1037">
        <v>1</v>
      </c>
      <c r="P1552" s="1037">
        <v>1</v>
      </c>
      <c r="Q1552" s="1037">
        <v>1</v>
      </c>
      <c r="R1552" s="1345">
        <v>1</v>
      </c>
    </row>
    <row r="1553" spans="2:18" x14ac:dyDescent="0.2">
      <c r="B1553" s="1623"/>
      <c r="C1553" s="1624"/>
      <c r="D1553" s="1624"/>
      <c r="E1553" s="1660"/>
      <c r="F1553" s="1598"/>
      <c r="G1553" s="1598"/>
      <c r="H1553" s="1598"/>
      <c r="I1553" s="1598"/>
      <c r="J1553" s="1598"/>
      <c r="K1553" s="1548" t="str">
        <f>'[3]приложение 2019'!$M$30</f>
        <v>Доля положительно рассмотренных заявлений по недобросовестной конкуренции от общего количества поступивших заявлений</v>
      </c>
      <c r="L1553" s="1549"/>
      <c r="M1553" s="336" t="s">
        <v>31</v>
      </c>
      <c r="N1553" s="1037">
        <v>11</v>
      </c>
      <c r="O1553" s="1037">
        <v>12</v>
      </c>
      <c r="P1553" s="1037">
        <v>13</v>
      </c>
      <c r="Q1553" s="1037">
        <v>14</v>
      </c>
      <c r="R1553" s="1345">
        <v>14</v>
      </c>
    </row>
    <row r="1554" spans="2:18" ht="25.5" x14ac:dyDescent="0.2">
      <c r="B1554" s="1623"/>
      <c r="C1554" s="1624"/>
      <c r="D1554" s="1624"/>
      <c r="E1554" s="1660"/>
      <c r="F1554" s="1598"/>
      <c r="G1554" s="1598"/>
      <c r="H1554" s="1598"/>
      <c r="I1554" s="1598"/>
      <c r="J1554" s="1598"/>
      <c r="K1554" s="1548" t="str">
        <f>'[3]приложение 2019'!$M$31</f>
        <v>Доля устраненых нарушений законодательства КР "О рекламе" от общего количества выявленных нарушений</v>
      </c>
      <c r="L1554" s="1549"/>
      <c r="M1554" s="336" t="s">
        <v>31</v>
      </c>
      <c r="N1554" s="580" t="s">
        <v>1661</v>
      </c>
      <c r="O1554" s="580" t="s">
        <v>1661</v>
      </c>
      <c r="P1554" s="580" t="s">
        <v>1661</v>
      </c>
      <c r="Q1554" s="580" t="s">
        <v>1661</v>
      </c>
      <c r="R1554" s="1346" t="s">
        <v>1661</v>
      </c>
    </row>
    <row r="1555" spans="2:18" x14ac:dyDescent="0.2">
      <c r="B1555" s="1623"/>
      <c r="C1555" s="1624" t="s">
        <v>127</v>
      </c>
      <c r="D1555" s="1624"/>
      <c r="E1555" s="1625" t="s">
        <v>2132</v>
      </c>
      <c r="F1555" s="1599"/>
      <c r="G1555" s="1661">
        <f>H1555</f>
        <v>4398.7</v>
      </c>
      <c r="H1555" s="1661">
        <f>4098.7+300</f>
        <v>4398.7</v>
      </c>
      <c r="I1555" s="1661">
        <f>4098.7+300+84.9</f>
        <v>4483.5999999999995</v>
      </c>
      <c r="J1555" s="1661">
        <f>4098.7+300+120</f>
        <v>4518.7</v>
      </c>
      <c r="K1555" s="1548" t="s">
        <v>2133</v>
      </c>
      <c r="L1555" s="1549"/>
      <c r="M1555" s="336" t="s">
        <v>17</v>
      </c>
      <c r="N1555" s="1037">
        <v>99</v>
      </c>
      <c r="O1555" s="1037">
        <v>90</v>
      </c>
      <c r="P1555" s="1037">
        <v>90</v>
      </c>
      <c r="Q1555" s="1037">
        <v>90</v>
      </c>
      <c r="R1555" s="1345">
        <v>90</v>
      </c>
    </row>
    <row r="1556" spans="2:18" x14ac:dyDescent="0.2">
      <c r="B1556" s="1623"/>
      <c r="C1556" s="1624"/>
      <c r="D1556" s="1624"/>
      <c r="E1556" s="1625"/>
      <c r="F1556" s="1600"/>
      <c r="G1556" s="1661"/>
      <c r="H1556" s="1661"/>
      <c r="I1556" s="1661"/>
      <c r="J1556" s="1661"/>
      <c r="K1556" s="1548" t="s">
        <v>2134</v>
      </c>
      <c r="L1556" s="1549"/>
      <c r="M1556" s="336" t="s">
        <v>17</v>
      </c>
      <c r="N1556" s="1037">
        <v>100</v>
      </c>
      <c r="O1556" s="1037">
        <v>90</v>
      </c>
      <c r="P1556" s="1037">
        <v>90</v>
      </c>
      <c r="Q1556" s="1037">
        <v>90</v>
      </c>
      <c r="R1556" s="1345">
        <v>90</v>
      </c>
    </row>
    <row r="1557" spans="2:18" x14ac:dyDescent="0.2">
      <c r="B1557" s="1623"/>
      <c r="C1557" s="1624"/>
      <c r="D1557" s="1624"/>
      <c r="E1557" s="1625"/>
      <c r="F1557" s="1600"/>
      <c r="G1557" s="1661"/>
      <c r="H1557" s="1661"/>
      <c r="I1557" s="1661"/>
      <c r="J1557" s="1661"/>
      <c r="K1557" s="1548" t="s">
        <v>2135</v>
      </c>
      <c r="L1557" s="1549"/>
      <c r="M1557" s="336" t="s">
        <v>17</v>
      </c>
      <c r="N1557" s="1037">
        <v>100</v>
      </c>
      <c r="O1557" s="1037">
        <v>80</v>
      </c>
      <c r="P1557" s="1037">
        <v>80</v>
      </c>
      <c r="Q1557" s="1037">
        <v>80</v>
      </c>
      <c r="R1557" s="1345">
        <v>80</v>
      </c>
    </row>
    <row r="1558" spans="2:18" x14ac:dyDescent="0.2">
      <c r="B1558" s="1623"/>
      <c r="C1558" s="1624"/>
      <c r="D1558" s="1624"/>
      <c r="E1558" s="1625"/>
      <c r="F1558" s="1600"/>
      <c r="G1558" s="1661"/>
      <c r="H1558" s="1661"/>
      <c r="I1558" s="1661"/>
      <c r="J1558" s="1661"/>
      <c r="K1558" s="1548" t="s">
        <v>2136</v>
      </c>
      <c r="L1558" s="1549"/>
      <c r="M1558" s="336" t="s">
        <v>17</v>
      </c>
      <c r="N1558" s="1037">
        <v>100</v>
      </c>
      <c r="O1558" s="1037">
        <v>90</v>
      </c>
      <c r="P1558" s="1037">
        <v>90</v>
      </c>
      <c r="Q1558" s="1037">
        <v>90</v>
      </c>
      <c r="R1558" s="1345">
        <v>90</v>
      </c>
    </row>
    <row r="1559" spans="2:18" x14ac:dyDescent="0.2">
      <c r="B1559" s="1623"/>
      <c r="C1559" s="1624"/>
      <c r="D1559" s="1624"/>
      <c r="E1559" s="1625"/>
      <c r="F1559" s="1600"/>
      <c r="G1559" s="1661"/>
      <c r="H1559" s="1661"/>
      <c r="I1559" s="1661"/>
      <c r="J1559" s="1661"/>
      <c r="K1559" s="1548" t="s">
        <v>2137</v>
      </c>
      <c r="L1559" s="1549"/>
      <c r="M1559" s="336" t="s">
        <v>17</v>
      </c>
      <c r="N1559" s="1037">
        <v>100</v>
      </c>
      <c r="O1559" s="1037">
        <v>90</v>
      </c>
      <c r="P1559" s="1037">
        <v>90</v>
      </c>
      <c r="Q1559" s="1037">
        <v>90</v>
      </c>
      <c r="R1559" s="1345">
        <v>90</v>
      </c>
    </row>
    <row r="1560" spans="2:18" ht="63.75" x14ac:dyDescent="0.2">
      <c r="B1560" s="1623"/>
      <c r="C1560" s="1624"/>
      <c r="D1560" s="1624"/>
      <c r="E1560" s="1625"/>
      <c r="F1560" s="1601"/>
      <c r="G1560" s="1661"/>
      <c r="H1560" s="1661"/>
      <c r="I1560" s="1661"/>
      <c r="J1560" s="1661"/>
      <c r="K1560" s="1548" t="s">
        <v>2138</v>
      </c>
      <c r="L1560" s="1549"/>
      <c r="M1560" s="336" t="s">
        <v>17</v>
      </c>
      <c r="N1560" s="695">
        <v>100</v>
      </c>
      <c r="O1560" s="336" t="s">
        <v>2139</v>
      </c>
      <c r="P1560" s="336"/>
      <c r="Q1560" s="336"/>
      <c r="R1560" s="1333"/>
    </row>
    <row r="1561" spans="2:18" ht="25.5" x14ac:dyDescent="0.2">
      <c r="B1561" s="1623"/>
      <c r="C1561" s="1624" t="s">
        <v>132</v>
      </c>
      <c r="D1561" s="1624"/>
      <c r="E1561" s="1625" t="s">
        <v>2140</v>
      </c>
      <c r="F1561" s="1585"/>
      <c r="G1561" s="1592">
        <f>H1561</f>
        <v>4540.3999999999996</v>
      </c>
      <c r="H1561" s="1592">
        <f>4240.4+300</f>
        <v>4540.3999999999996</v>
      </c>
      <c r="I1561" s="1592">
        <f>4240.4+300+84.9</f>
        <v>4625.2999999999993</v>
      </c>
      <c r="J1561" s="1592">
        <f>4240.4+300+120</f>
        <v>4660.3999999999996</v>
      </c>
      <c r="K1561" s="1548" t="s">
        <v>2724</v>
      </c>
      <c r="L1561" s="1549"/>
      <c r="M1561" s="336" t="s">
        <v>31</v>
      </c>
      <c r="N1561" s="336" t="s">
        <v>1661</v>
      </c>
      <c r="O1561" s="336" t="s">
        <v>1661</v>
      </c>
      <c r="P1561" s="336" t="s">
        <v>1661</v>
      </c>
      <c r="Q1561" s="336" t="s">
        <v>1661</v>
      </c>
      <c r="R1561" s="1333" t="s">
        <v>1661</v>
      </c>
    </row>
    <row r="1562" spans="2:18" ht="25.5" x14ac:dyDescent="0.2">
      <c r="B1562" s="1623"/>
      <c r="C1562" s="1624"/>
      <c r="D1562" s="1624"/>
      <c r="E1562" s="1625"/>
      <c r="F1562" s="1585"/>
      <c r="G1562" s="1592"/>
      <c r="H1562" s="1592"/>
      <c r="I1562" s="1592"/>
      <c r="J1562" s="1592"/>
      <c r="K1562" s="1548" t="s">
        <v>2725</v>
      </c>
      <c r="L1562" s="1549"/>
      <c r="M1562" s="336" t="s">
        <v>31</v>
      </c>
      <c r="N1562" s="580" t="s">
        <v>1661</v>
      </c>
      <c r="O1562" s="580" t="s">
        <v>1661</v>
      </c>
      <c r="P1562" s="580" t="s">
        <v>1661</v>
      </c>
      <c r="Q1562" s="580" t="s">
        <v>1661</v>
      </c>
      <c r="R1562" s="1346" t="s">
        <v>1661</v>
      </c>
    </row>
    <row r="1563" spans="2:18" ht="25.5" x14ac:dyDescent="0.2">
      <c r="B1563" s="1623"/>
      <c r="C1563" s="1624"/>
      <c r="D1563" s="1624"/>
      <c r="E1563" s="1625"/>
      <c r="F1563" s="1585"/>
      <c r="G1563" s="1592"/>
      <c r="H1563" s="1592"/>
      <c r="I1563" s="1592"/>
      <c r="J1563" s="1592"/>
      <c r="K1563" s="1548" t="s">
        <v>2726</v>
      </c>
      <c r="L1563" s="1549"/>
      <c r="M1563" s="336" t="s">
        <v>31</v>
      </c>
      <c r="N1563" s="580">
        <v>800</v>
      </c>
      <c r="O1563" s="580" t="s">
        <v>1661</v>
      </c>
      <c r="P1563" s="580" t="s">
        <v>1661</v>
      </c>
      <c r="Q1563" s="580" t="s">
        <v>1661</v>
      </c>
      <c r="R1563" s="1346" t="s">
        <v>1661</v>
      </c>
    </row>
    <row r="1564" spans="2:18" x14ac:dyDescent="0.2">
      <c r="B1564" s="1609" t="s">
        <v>64</v>
      </c>
      <c r="C1564" s="1610"/>
      <c r="D1564" s="1610"/>
      <c r="E1564" s="1610"/>
      <c r="F1564" s="904"/>
      <c r="G1564" s="904">
        <f>G1548+G1537</f>
        <v>61413.57</v>
      </c>
      <c r="H1564" s="904">
        <f t="shared" ref="H1564:J1564" si="90">H1537+H1548</f>
        <v>61413.57</v>
      </c>
      <c r="I1564" s="904">
        <f t="shared" si="90"/>
        <v>62490.27</v>
      </c>
      <c r="J1564" s="904">
        <f t="shared" si="90"/>
        <v>63086.470000000008</v>
      </c>
      <c r="K1564" s="1571"/>
      <c r="L1564" s="1572"/>
      <c r="M1564" s="590"/>
      <c r="N1564" s="810"/>
      <c r="O1564" s="810"/>
      <c r="P1564" s="810"/>
      <c r="Q1564" s="810"/>
      <c r="R1564" s="1347"/>
    </row>
    <row r="1565" spans="2:18" x14ac:dyDescent="0.2">
      <c r="B1565" s="1541" t="s">
        <v>2141</v>
      </c>
      <c r="C1565" s="1542"/>
      <c r="D1565" s="1542"/>
      <c r="E1565" s="1542"/>
      <c r="F1565" s="1542"/>
      <c r="G1565" s="1542"/>
      <c r="H1565" s="1542"/>
      <c r="I1565" s="1542"/>
      <c r="J1565" s="1542"/>
      <c r="K1565" s="1542"/>
      <c r="L1565" s="1542"/>
      <c r="M1565" s="1542"/>
      <c r="N1565" s="1542"/>
      <c r="O1565" s="1542"/>
      <c r="P1565" s="1542"/>
      <c r="Q1565" s="1542"/>
      <c r="R1565" s="1543"/>
    </row>
    <row r="1566" spans="2:18" ht="38.25" x14ac:dyDescent="0.2">
      <c r="B1566" s="1341">
        <v>1</v>
      </c>
      <c r="C1566" s="695"/>
      <c r="D1566" s="1276"/>
      <c r="E1566" s="1265" t="s">
        <v>2830</v>
      </c>
      <c r="F1566" s="902">
        <f>F1567</f>
        <v>15723.7</v>
      </c>
      <c r="G1566" s="902">
        <f t="shared" ref="G1566:J1566" si="91">G1567</f>
        <v>15723.7</v>
      </c>
      <c r="H1566" s="902">
        <f t="shared" si="91"/>
        <v>13384.5</v>
      </c>
      <c r="I1566" s="902">
        <f t="shared" si="91"/>
        <v>14276.4</v>
      </c>
      <c r="J1566" s="902">
        <f t="shared" si="91"/>
        <v>15179.3</v>
      </c>
      <c r="K1566" s="1556" t="s">
        <v>16</v>
      </c>
      <c r="L1566" s="1557"/>
      <c r="M1566" s="1035" t="s">
        <v>17</v>
      </c>
      <c r="N1566" s="557">
        <v>27</v>
      </c>
      <c r="O1566" s="557">
        <v>27</v>
      </c>
      <c r="P1566" s="557">
        <v>27</v>
      </c>
      <c r="Q1566" s="557">
        <v>27</v>
      </c>
      <c r="R1566" s="1348">
        <v>27</v>
      </c>
    </row>
    <row r="1567" spans="2:18" x14ac:dyDescent="0.2">
      <c r="B1567" s="2181"/>
      <c r="C1567" s="2184">
        <v>1</v>
      </c>
      <c r="D1567" s="1652"/>
      <c r="E1567" s="1655" t="s">
        <v>2142</v>
      </c>
      <c r="F1567" s="1593">
        <v>15723.7</v>
      </c>
      <c r="G1567" s="1593">
        <v>15723.7</v>
      </c>
      <c r="H1567" s="1593">
        <v>13384.5</v>
      </c>
      <c r="I1567" s="1593">
        <v>14276.4</v>
      </c>
      <c r="J1567" s="1593">
        <v>15179.3</v>
      </c>
      <c r="K1567" s="1548" t="s">
        <v>19</v>
      </c>
      <c r="L1567" s="1549"/>
      <c r="M1567" s="336" t="s">
        <v>20</v>
      </c>
      <c r="N1567" s="557"/>
      <c r="O1567" s="557">
        <v>100</v>
      </c>
      <c r="P1567" s="557">
        <v>100</v>
      </c>
      <c r="Q1567" s="557">
        <v>100</v>
      </c>
      <c r="R1567" s="1348">
        <v>100</v>
      </c>
    </row>
    <row r="1568" spans="2:18" x14ac:dyDescent="0.2">
      <c r="B1568" s="2182"/>
      <c r="C1568" s="2185"/>
      <c r="D1568" s="1653"/>
      <c r="E1568" s="1656"/>
      <c r="F1568" s="1594"/>
      <c r="G1568" s="1594"/>
      <c r="H1568" s="1594"/>
      <c r="I1568" s="1594"/>
      <c r="J1568" s="1594"/>
      <c r="K1568" s="1548" t="s">
        <v>23</v>
      </c>
      <c r="L1568" s="1549"/>
      <c r="M1568" s="336" t="s">
        <v>17</v>
      </c>
      <c r="N1568" s="557">
        <v>100</v>
      </c>
      <c r="O1568" s="557">
        <v>100</v>
      </c>
      <c r="P1568" s="557">
        <v>100</v>
      </c>
      <c r="Q1568" s="557">
        <v>100</v>
      </c>
      <c r="R1568" s="1348">
        <v>100</v>
      </c>
    </row>
    <row r="1569" spans="2:18" x14ac:dyDescent="0.2">
      <c r="B1569" s="2182"/>
      <c r="C1569" s="2185"/>
      <c r="D1569" s="1653"/>
      <c r="E1569" s="1656"/>
      <c r="F1569" s="1594"/>
      <c r="G1569" s="1594"/>
      <c r="H1569" s="1594"/>
      <c r="I1569" s="1594"/>
      <c r="J1569" s="1594"/>
      <c r="K1569" s="1548" t="s">
        <v>2143</v>
      </c>
      <c r="L1569" s="1549"/>
      <c r="M1569" s="336" t="s">
        <v>31</v>
      </c>
      <c r="N1569" s="557"/>
      <c r="O1569" s="1349">
        <v>60</v>
      </c>
      <c r="P1569" s="557">
        <v>60</v>
      </c>
      <c r="Q1569" s="557">
        <v>60</v>
      </c>
      <c r="R1569" s="1348">
        <v>60</v>
      </c>
    </row>
    <row r="1570" spans="2:18" x14ac:dyDescent="0.2">
      <c r="B1570" s="2182"/>
      <c r="C1570" s="2185"/>
      <c r="D1570" s="1653"/>
      <c r="E1570" s="1656"/>
      <c r="F1570" s="1594"/>
      <c r="G1570" s="1594"/>
      <c r="H1570" s="1594"/>
      <c r="I1570" s="1594"/>
      <c r="J1570" s="1594"/>
      <c r="K1570" s="1548" t="s">
        <v>2144</v>
      </c>
      <c r="L1570" s="1549"/>
      <c r="M1570" s="336" t="s">
        <v>17</v>
      </c>
      <c r="N1570" s="557">
        <v>100</v>
      </c>
      <c r="O1570" s="557">
        <v>100</v>
      </c>
      <c r="P1570" s="557">
        <v>100</v>
      </c>
      <c r="Q1570" s="557">
        <v>100</v>
      </c>
      <c r="R1570" s="1348">
        <v>100</v>
      </c>
    </row>
    <row r="1571" spans="2:18" x14ac:dyDescent="0.2">
      <c r="B1571" s="2183"/>
      <c r="C1571" s="2186"/>
      <c r="D1571" s="1654"/>
      <c r="E1571" s="1657"/>
      <c r="F1571" s="1595"/>
      <c r="G1571" s="1595"/>
      <c r="H1571" s="1595"/>
      <c r="I1571" s="1595"/>
      <c r="J1571" s="1595"/>
      <c r="K1571" s="1548" t="s">
        <v>249</v>
      </c>
      <c r="L1571" s="1549"/>
      <c r="M1571" s="336" t="s">
        <v>17</v>
      </c>
      <c r="N1571" s="557">
        <v>20</v>
      </c>
      <c r="O1571" s="557">
        <v>20</v>
      </c>
      <c r="P1571" s="557">
        <v>20</v>
      </c>
      <c r="Q1571" s="557">
        <v>20</v>
      </c>
      <c r="R1571" s="1348">
        <v>20</v>
      </c>
    </row>
    <row r="1572" spans="2:18" ht="38.25" x14ac:dyDescent="0.2">
      <c r="B1572" s="1343" t="s">
        <v>138</v>
      </c>
      <c r="C1572" s="1124"/>
      <c r="D1572" s="1124"/>
      <c r="E1572" s="1265" t="s">
        <v>2831</v>
      </c>
      <c r="F1572" s="902">
        <f>F1573+F1574+F1575+F1577+F1580</f>
        <v>75615.600000000006</v>
      </c>
      <c r="G1572" s="902">
        <f>G1573+G1574+G1575+G1577+G1580</f>
        <v>76575.5</v>
      </c>
      <c r="H1572" s="902">
        <f t="shared" ref="H1572:J1572" si="92">H1573+H1574+H1575+H1577+H1580</f>
        <v>79483.100000000006</v>
      </c>
      <c r="I1572" s="902">
        <f t="shared" si="92"/>
        <v>77456.7</v>
      </c>
      <c r="J1572" s="902">
        <f t="shared" si="92"/>
        <v>77456.7</v>
      </c>
      <c r="K1572" s="1548"/>
      <c r="L1572" s="1549"/>
      <c r="M1572" s="336"/>
      <c r="N1572" s="557"/>
      <c r="O1572" s="417"/>
      <c r="P1572" s="417"/>
      <c r="Q1572" s="417"/>
      <c r="R1572" s="1350"/>
    </row>
    <row r="1573" spans="2:18" ht="63.75" x14ac:dyDescent="0.2">
      <c r="B1573" s="1343"/>
      <c r="C1573" s="1124" t="s">
        <v>123</v>
      </c>
      <c r="D1573" s="1124"/>
      <c r="E1573" s="1351" t="s">
        <v>2727</v>
      </c>
      <c r="F1573" s="987">
        <v>5100</v>
      </c>
      <c r="G1573" s="987">
        <v>3800</v>
      </c>
      <c r="H1573" s="987">
        <v>5000</v>
      </c>
      <c r="I1573" s="987">
        <v>5000</v>
      </c>
      <c r="J1573" s="987">
        <v>5000</v>
      </c>
      <c r="K1573" s="1548" t="s">
        <v>2145</v>
      </c>
      <c r="L1573" s="1549"/>
      <c r="M1573" s="336" t="s">
        <v>130</v>
      </c>
      <c r="N1573" s="557" t="s">
        <v>2146</v>
      </c>
      <c r="O1573" s="557" t="s">
        <v>2147</v>
      </c>
      <c r="P1573" s="557" t="s">
        <v>2148</v>
      </c>
      <c r="Q1573" s="557" t="s">
        <v>2148</v>
      </c>
      <c r="R1573" s="1348" t="s">
        <v>2148</v>
      </c>
    </row>
    <row r="1574" spans="2:18" ht="51" x14ac:dyDescent="0.2">
      <c r="B1574" s="1343"/>
      <c r="C1574" s="1124" t="s">
        <v>125</v>
      </c>
      <c r="D1574" s="1124"/>
      <c r="E1574" s="1351" t="s">
        <v>2149</v>
      </c>
      <c r="F1574" s="987">
        <v>5047.8</v>
      </c>
      <c r="G1574" s="987">
        <v>3860.8</v>
      </c>
      <c r="H1574" s="987">
        <v>5000</v>
      </c>
      <c r="I1574" s="987">
        <v>5000</v>
      </c>
      <c r="J1574" s="987">
        <v>5000</v>
      </c>
      <c r="K1574" s="1548" t="s">
        <v>2150</v>
      </c>
      <c r="L1574" s="1549"/>
      <c r="M1574" s="1145" t="s">
        <v>31</v>
      </c>
      <c r="N1574" s="1125" t="s">
        <v>2151</v>
      </c>
      <c r="O1574" s="557" t="s">
        <v>2152</v>
      </c>
      <c r="P1574" s="557" t="s">
        <v>2152</v>
      </c>
      <c r="Q1574" s="557" t="s">
        <v>2152</v>
      </c>
      <c r="R1574" s="1348" t="s">
        <v>2152</v>
      </c>
    </row>
    <row r="1575" spans="2:18" x14ac:dyDescent="0.2">
      <c r="B1575" s="1642"/>
      <c r="C1575" s="1644" t="s">
        <v>127</v>
      </c>
      <c r="D1575" s="1644"/>
      <c r="E1575" s="1658" t="s">
        <v>2153</v>
      </c>
      <c r="F1575" s="1596">
        <v>19484</v>
      </c>
      <c r="G1575" s="1596">
        <v>19000</v>
      </c>
      <c r="H1575" s="1596">
        <v>19000</v>
      </c>
      <c r="I1575" s="1596">
        <v>19000</v>
      </c>
      <c r="J1575" s="1596">
        <v>19000</v>
      </c>
      <c r="K1575" s="1548" t="s">
        <v>2154</v>
      </c>
      <c r="L1575" s="1549"/>
      <c r="M1575" s="336" t="s">
        <v>31</v>
      </c>
      <c r="N1575" s="557">
        <v>133</v>
      </c>
      <c r="O1575" s="557">
        <v>133</v>
      </c>
      <c r="P1575" s="557">
        <v>133</v>
      </c>
      <c r="Q1575" s="557">
        <v>133</v>
      </c>
      <c r="R1575" s="1348">
        <v>133</v>
      </c>
    </row>
    <row r="1576" spans="2:18" x14ac:dyDescent="0.2">
      <c r="B1576" s="1643"/>
      <c r="C1576" s="1645"/>
      <c r="D1576" s="1645"/>
      <c r="E1576" s="1659"/>
      <c r="F1576" s="1597"/>
      <c r="G1576" s="1597"/>
      <c r="H1576" s="1597"/>
      <c r="I1576" s="1597"/>
      <c r="J1576" s="1597"/>
      <c r="K1576" s="1548" t="s">
        <v>2155</v>
      </c>
      <c r="L1576" s="1549"/>
      <c r="M1576" s="336" t="s">
        <v>31</v>
      </c>
      <c r="N1576" s="557">
        <v>408</v>
      </c>
      <c r="O1576" s="557">
        <v>408</v>
      </c>
      <c r="P1576" s="557">
        <v>408</v>
      </c>
      <c r="Q1576" s="557">
        <v>408</v>
      </c>
      <c r="R1576" s="1348">
        <v>408</v>
      </c>
    </row>
    <row r="1577" spans="2:18" x14ac:dyDescent="0.2">
      <c r="B1577" s="1642"/>
      <c r="C1577" s="1644" t="s">
        <v>132</v>
      </c>
      <c r="D1577" s="1644"/>
      <c r="E1577" s="1702" t="s">
        <v>2156</v>
      </c>
      <c r="F1577" s="1596">
        <v>27225</v>
      </c>
      <c r="G1577" s="1596">
        <v>29675</v>
      </c>
      <c r="H1577" s="1596">
        <f>29675+500</f>
        <v>30175</v>
      </c>
      <c r="I1577" s="1596">
        <v>29675</v>
      </c>
      <c r="J1577" s="1596">
        <v>29675</v>
      </c>
      <c r="K1577" s="1548" t="s">
        <v>2157</v>
      </c>
      <c r="L1577" s="1549"/>
      <c r="M1577" s="336" t="s">
        <v>31</v>
      </c>
      <c r="N1577" s="1141">
        <v>5375</v>
      </c>
      <c r="O1577" s="1141">
        <v>5000</v>
      </c>
      <c r="P1577" s="1141">
        <v>5000</v>
      </c>
      <c r="Q1577" s="1141">
        <v>5000</v>
      </c>
      <c r="R1577" s="1352">
        <v>5000</v>
      </c>
    </row>
    <row r="1578" spans="2:18" x14ac:dyDescent="0.2">
      <c r="B1578" s="2187"/>
      <c r="C1578" s="2188"/>
      <c r="D1578" s="2188"/>
      <c r="E1578" s="1702"/>
      <c r="F1578" s="1641"/>
      <c r="G1578" s="1641"/>
      <c r="H1578" s="1641"/>
      <c r="I1578" s="1641"/>
      <c r="J1578" s="1641"/>
      <c r="K1578" s="1548" t="s">
        <v>2728</v>
      </c>
      <c r="L1578" s="1549"/>
      <c r="M1578" s="336" t="s">
        <v>31</v>
      </c>
      <c r="N1578" s="1141">
        <v>61370</v>
      </c>
      <c r="O1578" s="1141">
        <v>60000</v>
      </c>
      <c r="P1578" s="1141">
        <v>60000</v>
      </c>
      <c r="Q1578" s="1141">
        <v>60000</v>
      </c>
      <c r="R1578" s="1352">
        <v>60000</v>
      </c>
    </row>
    <row r="1579" spans="2:18" x14ac:dyDescent="0.2">
      <c r="B1579" s="1643"/>
      <c r="C1579" s="1645"/>
      <c r="D1579" s="1645"/>
      <c r="E1579" s="1702"/>
      <c r="F1579" s="1597"/>
      <c r="G1579" s="1597"/>
      <c r="H1579" s="1597"/>
      <c r="I1579" s="1597"/>
      <c r="J1579" s="1597"/>
      <c r="K1579" s="1548" t="s">
        <v>2158</v>
      </c>
      <c r="L1579" s="1549"/>
      <c r="M1579" s="336" t="s">
        <v>2159</v>
      </c>
      <c r="N1579" s="1353">
        <v>66.2</v>
      </c>
      <c r="O1579" s="1141">
        <v>60</v>
      </c>
      <c r="P1579" s="1141">
        <v>60</v>
      </c>
      <c r="Q1579" s="1141">
        <v>60</v>
      </c>
      <c r="R1579" s="1352">
        <v>60</v>
      </c>
    </row>
    <row r="1580" spans="2:18" x14ac:dyDescent="0.2">
      <c r="B1580" s="1642"/>
      <c r="C1580" s="1644" t="s">
        <v>155</v>
      </c>
      <c r="D1580" s="1644"/>
      <c r="E1580" s="1646" t="s">
        <v>2729</v>
      </c>
      <c r="F1580" s="1596">
        <v>18758.8</v>
      </c>
      <c r="G1580" s="1596">
        <v>20239.7</v>
      </c>
      <c r="H1580" s="1596">
        <f>18781.7+1526.4</f>
        <v>20308.100000000002</v>
      </c>
      <c r="I1580" s="1596">
        <v>18781.7</v>
      </c>
      <c r="J1580" s="1596">
        <v>18781.7</v>
      </c>
      <c r="K1580" s="1548" t="s">
        <v>2730</v>
      </c>
      <c r="L1580" s="1549"/>
      <c r="M1580" s="336" t="s">
        <v>130</v>
      </c>
      <c r="N1580" s="1353">
        <v>62830</v>
      </c>
      <c r="O1580" s="1141">
        <v>63000</v>
      </c>
      <c r="P1580" s="1141">
        <v>63000</v>
      </c>
      <c r="Q1580" s="1141">
        <v>63000</v>
      </c>
      <c r="R1580" s="1352">
        <v>63000</v>
      </c>
    </row>
    <row r="1581" spans="2:18" x14ac:dyDescent="0.2">
      <c r="B1581" s="1643"/>
      <c r="C1581" s="1645"/>
      <c r="D1581" s="1645"/>
      <c r="E1581" s="1646"/>
      <c r="F1581" s="1597"/>
      <c r="G1581" s="1597"/>
      <c r="H1581" s="1597"/>
      <c r="I1581" s="1597"/>
      <c r="J1581" s="1597"/>
      <c r="K1581" s="1548" t="s">
        <v>2731</v>
      </c>
      <c r="L1581" s="1549"/>
      <c r="M1581" s="336" t="s">
        <v>2159</v>
      </c>
      <c r="N1581" s="1353">
        <v>14.4</v>
      </c>
      <c r="O1581" s="1141">
        <v>14</v>
      </c>
      <c r="P1581" s="1141">
        <v>14</v>
      </c>
      <c r="Q1581" s="1141">
        <v>14</v>
      </c>
      <c r="R1581" s="1352">
        <v>14</v>
      </c>
    </row>
    <row r="1582" spans="2:18" ht="23.25" customHeight="1" x14ac:dyDescent="0.2">
      <c r="B1582" s="1609" t="s">
        <v>64</v>
      </c>
      <c r="C1582" s="1610"/>
      <c r="D1582" s="1610"/>
      <c r="E1582" s="1610"/>
      <c r="F1582" s="904">
        <f>F1566+F1572</f>
        <v>91339.3</v>
      </c>
      <c r="G1582" s="904">
        <f>G1566+G1572</f>
        <v>92299.199999999997</v>
      </c>
      <c r="H1582" s="904">
        <f>H1566+H1572</f>
        <v>92867.6</v>
      </c>
      <c r="I1582" s="904">
        <f t="shared" ref="I1582:J1582" si="93">I1566+I1572</f>
        <v>91733.099999999991</v>
      </c>
      <c r="J1582" s="904">
        <f t="shared" si="93"/>
        <v>92636</v>
      </c>
      <c r="K1582" s="1571"/>
      <c r="L1582" s="1572"/>
      <c r="M1582" s="590"/>
      <c r="N1582" s="810"/>
      <c r="O1582" s="810"/>
      <c r="P1582" s="810"/>
      <c r="Q1582" s="810"/>
      <c r="R1582" s="1347"/>
    </row>
    <row r="1583" spans="2:18" ht="19.5" customHeight="1" x14ac:dyDescent="0.2">
      <c r="B1583" s="1541" t="s">
        <v>2160</v>
      </c>
      <c r="C1583" s="1542"/>
      <c r="D1583" s="1542"/>
      <c r="E1583" s="1542"/>
      <c r="F1583" s="1542"/>
      <c r="G1583" s="1542"/>
      <c r="H1583" s="1542"/>
      <c r="I1583" s="1542"/>
      <c r="J1583" s="1542"/>
      <c r="K1583" s="1542"/>
      <c r="L1583" s="1542"/>
      <c r="M1583" s="1542"/>
      <c r="N1583" s="1542"/>
      <c r="O1583" s="1542"/>
      <c r="P1583" s="1542"/>
      <c r="Q1583" s="1542"/>
      <c r="R1583" s="1543"/>
    </row>
    <row r="1584" spans="2:18" ht="38.25" x14ac:dyDescent="0.2">
      <c r="B1584" s="1354">
        <v>1</v>
      </c>
      <c r="C1584" s="719"/>
      <c r="D1584" s="1355"/>
      <c r="E1584" s="1356" t="s">
        <v>2790</v>
      </c>
      <c r="F1584" s="1212">
        <v>25998.3</v>
      </c>
      <c r="G1584" s="1212">
        <v>15232.6</v>
      </c>
      <c r="H1584" s="1212">
        <f>H1585</f>
        <v>14968.1</v>
      </c>
      <c r="I1584" s="1212">
        <v>86430.6</v>
      </c>
      <c r="J1584" s="1212">
        <v>86430.6</v>
      </c>
      <c r="K1584" s="1583" t="s">
        <v>16</v>
      </c>
      <c r="L1584" s="1584"/>
      <c r="M1584" s="1357" t="s">
        <v>17</v>
      </c>
      <c r="N1584" s="1358">
        <v>34.4</v>
      </c>
      <c r="O1584" s="1359">
        <v>34.4</v>
      </c>
      <c r="P1584" s="1359">
        <v>34.4</v>
      </c>
      <c r="Q1584" s="1359">
        <v>34.4</v>
      </c>
      <c r="R1584" s="1360">
        <v>34.4</v>
      </c>
    </row>
    <row r="1585" spans="2:18" x14ac:dyDescent="0.2">
      <c r="B1585" s="1647"/>
      <c r="C1585" s="1648">
        <v>53</v>
      </c>
      <c r="D1585" s="1649"/>
      <c r="E1585" s="1650" t="s">
        <v>2161</v>
      </c>
      <c r="F1585" s="1651">
        <v>25998.3</v>
      </c>
      <c r="G1585" s="1651">
        <v>15232.6</v>
      </c>
      <c r="H1585" s="1651">
        <f>12460.9+1726.1+150+631.1</f>
        <v>14968.1</v>
      </c>
      <c r="I1585" s="1651">
        <v>86430.6</v>
      </c>
      <c r="J1585" s="1651">
        <v>86430.6</v>
      </c>
      <c r="K1585" s="1586" t="s">
        <v>2162</v>
      </c>
      <c r="L1585" s="1587"/>
      <c r="M1585" s="401" t="s">
        <v>17</v>
      </c>
      <c r="N1585" s="543">
        <v>100</v>
      </c>
      <c r="O1585" s="543">
        <v>100</v>
      </c>
      <c r="P1585" s="543">
        <v>100</v>
      </c>
      <c r="Q1585" s="543">
        <v>100</v>
      </c>
      <c r="R1585" s="1361">
        <v>100</v>
      </c>
    </row>
    <row r="1586" spans="2:18" x14ac:dyDescent="0.2">
      <c r="B1586" s="1647"/>
      <c r="C1586" s="1648"/>
      <c r="D1586" s="1649"/>
      <c r="E1586" s="1650"/>
      <c r="F1586" s="1651"/>
      <c r="G1586" s="1651"/>
      <c r="H1586" s="1651"/>
      <c r="I1586" s="1651"/>
      <c r="J1586" s="1651"/>
      <c r="K1586" s="1586" t="s">
        <v>2163</v>
      </c>
      <c r="L1586" s="1587"/>
      <c r="M1586" s="401" t="s">
        <v>17</v>
      </c>
      <c r="N1586" s="543">
        <v>20</v>
      </c>
      <c r="O1586" s="543">
        <v>25</v>
      </c>
      <c r="P1586" s="543">
        <v>30</v>
      </c>
      <c r="Q1586" s="543">
        <v>35</v>
      </c>
      <c r="R1586" s="1361">
        <v>35</v>
      </c>
    </row>
    <row r="1587" spans="2:18" ht="63.75" x14ac:dyDescent="0.2">
      <c r="B1587" s="1362">
        <v>2</v>
      </c>
      <c r="C1587" s="1363"/>
      <c r="D1587" s="1363"/>
      <c r="E1587" s="1364" t="s">
        <v>2832</v>
      </c>
      <c r="F1587" s="899">
        <v>437028.7</v>
      </c>
      <c r="G1587" s="899">
        <v>647984.19999999995</v>
      </c>
      <c r="H1587" s="899">
        <f>H1588+H1589+H1590</f>
        <v>622521</v>
      </c>
      <c r="I1587" s="899">
        <v>458919.00000000006</v>
      </c>
      <c r="J1587" s="899">
        <v>461817.60000000003</v>
      </c>
      <c r="K1587" s="1583" t="s">
        <v>2164</v>
      </c>
      <c r="L1587" s="1584"/>
      <c r="M1587" s="1365" t="s">
        <v>253</v>
      </c>
      <c r="N1587" s="1366">
        <v>90</v>
      </c>
      <c r="O1587" s="1366">
        <v>90</v>
      </c>
      <c r="P1587" s="1366">
        <v>90</v>
      </c>
      <c r="Q1587" s="1366">
        <v>90</v>
      </c>
      <c r="R1587" s="1367">
        <v>90</v>
      </c>
    </row>
    <row r="1588" spans="2:18" x14ac:dyDescent="0.2">
      <c r="B1588" s="1368"/>
      <c r="C1588" s="720">
        <v>1</v>
      </c>
      <c r="D1588" s="1369"/>
      <c r="E1588" s="1370" t="s">
        <v>2165</v>
      </c>
      <c r="F1588" s="1187">
        <v>215505.3</v>
      </c>
      <c r="G1588" s="1187">
        <v>247808.2</v>
      </c>
      <c r="H1588" s="1187">
        <f>2484+480+11900+836+1200+194629.7+27848.1+14636.5+5111.2</f>
        <v>259125.50000000003</v>
      </c>
      <c r="I1588" s="1187">
        <v>410900.4</v>
      </c>
      <c r="J1588" s="1187">
        <v>413799</v>
      </c>
      <c r="K1588" s="1586" t="s">
        <v>2166</v>
      </c>
      <c r="L1588" s="1587"/>
      <c r="M1588" s="1371" t="s">
        <v>2167</v>
      </c>
      <c r="N1588" s="1372">
        <v>662.3</v>
      </c>
      <c r="O1588" s="1372">
        <v>662.3</v>
      </c>
      <c r="P1588" s="1372">
        <v>662.3</v>
      </c>
      <c r="Q1588" s="1372">
        <v>662.3</v>
      </c>
      <c r="R1588" s="1373">
        <v>662.3</v>
      </c>
    </row>
    <row r="1589" spans="2:18" ht="25.5" x14ac:dyDescent="0.2">
      <c r="B1589" s="1374"/>
      <c r="C1589" s="718">
        <v>2</v>
      </c>
      <c r="D1589" s="1375"/>
      <c r="E1589" s="370" t="s">
        <v>2168</v>
      </c>
      <c r="F1589" s="1376">
        <v>197998.7</v>
      </c>
      <c r="G1589" s="1376">
        <v>357381.8</v>
      </c>
      <c r="H1589" s="1187">
        <f>311019+10874.6</f>
        <v>321893.59999999998</v>
      </c>
      <c r="I1589" s="1187">
        <v>6516.7</v>
      </c>
      <c r="J1589" s="1187">
        <v>6516.7</v>
      </c>
      <c r="K1589" s="1586" t="s">
        <v>2169</v>
      </c>
      <c r="L1589" s="1587"/>
      <c r="M1589" s="1371" t="s">
        <v>2167</v>
      </c>
      <c r="N1589" s="1372">
        <v>6000</v>
      </c>
      <c r="O1589" s="1372">
        <v>6000</v>
      </c>
      <c r="P1589" s="1372">
        <v>6200</v>
      </c>
      <c r="Q1589" s="1372">
        <v>6300</v>
      </c>
      <c r="R1589" s="1373">
        <v>6360</v>
      </c>
    </row>
    <row r="1590" spans="2:18" ht="25.5" x14ac:dyDescent="0.2">
      <c r="B1590" s="1377"/>
      <c r="C1590" s="718">
        <v>3</v>
      </c>
      <c r="D1590" s="1098"/>
      <c r="E1590" s="1378" t="s">
        <v>2170</v>
      </c>
      <c r="F1590" s="933">
        <v>23524.7</v>
      </c>
      <c r="G1590" s="933">
        <v>42794.2</v>
      </c>
      <c r="H1590" s="1187">
        <f>1400+225+955+1770+650+28478.5+3800+4223.4</f>
        <v>41501.9</v>
      </c>
      <c r="I1590" s="1187">
        <v>41501.9</v>
      </c>
      <c r="J1590" s="1187">
        <v>41501.9</v>
      </c>
      <c r="K1590" s="1586" t="s">
        <v>2171</v>
      </c>
      <c r="L1590" s="1587"/>
      <c r="M1590" s="401" t="s">
        <v>31</v>
      </c>
      <c r="N1590" s="543">
        <v>880.4</v>
      </c>
      <c r="O1590" s="543">
        <v>895.2</v>
      </c>
      <c r="P1590" s="543">
        <v>900</v>
      </c>
      <c r="Q1590" s="543">
        <v>950.1</v>
      </c>
      <c r="R1590" s="1361">
        <v>981.4</v>
      </c>
    </row>
    <row r="1591" spans="2:18" ht="63.75" x14ac:dyDescent="0.2">
      <c r="B1591" s="1362">
        <v>3</v>
      </c>
      <c r="C1591" s="1363"/>
      <c r="D1591" s="1363"/>
      <c r="E1591" s="1379" t="s">
        <v>2833</v>
      </c>
      <c r="F1591" s="899">
        <v>32538</v>
      </c>
      <c r="G1591" s="899">
        <v>58728</v>
      </c>
      <c r="H1591" s="899">
        <f>H1592</f>
        <v>106906.5</v>
      </c>
      <c r="I1591" s="899">
        <v>165502.70000000001</v>
      </c>
      <c r="J1591" s="899">
        <v>166202.70000000001</v>
      </c>
      <c r="K1591" s="1583" t="s">
        <v>2172</v>
      </c>
      <c r="L1591" s="1584"/>
      <c r="M1591" s="1365"/>
      <c r="N1591" s="1380"/>
      <c r="O1591" s="1380"/>
      <c r="P1591" s="1380"/>
      <c r="Q1591" s="1380"/>
      <c r="R1591" s="1381"/>
    </row>
    <row r="1592" spans="2:18" x14ac:dyDescent="0.2">
      <c r="B1592" s="2189"/>
      <c r="C1592" s="1648">
        <v>1</v>
      </c>
      <c r="D1592" s="2190"/>
      <c r="E1592" s="2191" t="s">
        <v>2173</v>
      </c>
      <c r="F1592" s="1585">
        <v>32538</v>
      </c>
      <c r="G1592" s="1585">
        <v>58728</v>
      </c>
      <c r="H1592" s="1585">
        <f>28600.5+4440.2+201.6+164.2+21000+10000+42500</f>
        <v>106906.5</v>
      </c>
      <c r="I1592" s="1585">
        <v>165502.70000000001</v>
      </c>
      <c r="J1592" s="1585">
        <v>166202.70000000001</v>
      </c>
      <c r="K1592" s="1586" t="s">
        <v>2174</v>
      </c>
      <c r="L1592" s="1587"/>
      <c r="M1592" s="1371" t="s">
        <v>2175</v>
      </c>
      <c r="N1592" s="1382">
        <v>1191.3999999999999</v>
      </c>
      <c r="O1592" s="1382">
        <v>1192.8</v>
      </c>
      <c r="P1592" s="1382">
        <v>1198.8</v>
      </c>
      <c r="Q1592" s="1382">
        <v>1194.9999999999998</v>
      </c>
      <c r="R1592" s="1383">
        <v>1194.9999999999998</v>
      </c>
    </row>
    <row r="1593" spans="2:18" ht="82.5" customHeight="1" x14ac:dyDescent="0.2">
      <c r="B1593" s="2189"/>
      <c r="C1593" s="1648"/>
      <c r="D1593" s="2190"/>
      <c r="E1593" s="2191"/>
      <c r="F1593" s="1585"/>
      <c r="G1593" s="1585"/>
      <c r="H1593" s="1585"/>
      <c r="I1593" s="1585"/>
      <c r="J1593" s="1585"/>
      <c r="K1593" s="1586" t="s">
        <v>2176</v>
      </c>
      <c r="L1593" s="1587"/>
      <c r="M1593" s="1371" t="s">
        <v>17</v>
      </c>
      <c r="N1593" s="1256">
        <v>100</v>
      </c>
      <c r="O1593" s="1256">
        <v>100</v>
      </c>
      <c r="P1593" s="1256">
        <v>100</v>
      </c>
      <c r="Q1593" s="1256">
        <v>100</v>
      </c>
      <c r="R1593" s="1384">
        <v>100</v>
      </c>
    </row>
    <row r="1594" spans="2:18" ht="51" x14ac:dyDescent="0.2">
      <c r="B1594" s="1354">
        <v>4</v>
      </c>
      <c r="C1594" s="719"/>
      <c r="D1594" s="579"/>
      <c r="E1594" s="1385" t="s">
        <v>2834</v>
      </c>
      <c r="F1594" s="899">
        <v>4338.3999999999996</v>
      </c>
      <c r="G1594" s="899">
        <v>6852.1</v>
      </c>
      <c r="H1594" s="899">
        <f>H1595+H1596</f>
        <v>6662.1</v>
      </c>
      <c r="I1594" s="899">
        <v>9562.1</v>
      </c>
      <c r="J1594" s="899">
        <v>9562.1</v>
      </c>
      <c r="K1594" s="1588" t="s">
        <v>2177</v>
      </c>
      <c r="L1594" s="1589"/>
      <c r="M1594" s="1365" t="s">
        <v>17</v>
      </c>
      <c r="N1594" s="577"/>
      <c r="O1594" s="577"/>
      <c r="P1594" s="577"/>
      <c r="Q1594" s="577"/>
      <c r="R1594" s="1386"/>
    </row>
    <row r="1595" spans="2:18" ht="25.5" x14ac:dyDescent="0.2">
      <c r="B1595" s="1368"/>
      <c r="C1595" s="718">
        <v>1</v>
      </c>
      <c r="D1595" s="1387"/>
      <c r="E1595" s="1388" t="s">
        <v>2178</v>
      </c>
      <c r="F1595" s="933">
        <v>3096.7999999999997</v>
      </c>
      <c r="G1595" s="933">
        <v>5610.5</v>
      </c>
      <c r="H1595" s="933">
        <f>100+4000+590.8+729.7</f>
        <v>5420.5</v>
      </c>
      <c r="I1595" s="933">
        <v>8320.5</v>
      </c>
      <c r="J1595" s="933">
        <v>8320.5</v>
      </c>
      <c r="K1595" s="1590" t="s">
        <v>2179</v>
      </c>
      <c r="L1595" s="1591"/>
      <c r="M1595" s="1371" t="s">
        <v>17</v>
      </c>
      <c r="N1595" s="1256">
        <v>30.7</v>
      </c>
      <c r="O1595" s="1256">
        <v>30.7</v>
      </c>
      <c r="P1595" s="1256">
        <v>30.7</v>
      </c>
      <c r="Q1595" s="1256">
        <v>30.7</v>
      </c>
      <c r="R1595" s="1384">
        <v>30.7</v>
      </c>
    </row>
    <row r="1596" spans="2:18" x14ac:dyDescent="0.2">
      <c r="B1596" s="2192"/>
      <c r="C1596" s="1648">
        <v>2</v>
      </c>
      <c r="D1596" s="2190"/>
      <c r="E1596" s="2194" t="s">
        <v>2180</v>
      </c>
      <c r="F1596" s="1585">
        <v>1241.5999999999999</v>
      </c>
      <c r="G1596" s="1585">
        <v>1241.5999999999999</v>
      </c>
      <c r="H1596" s="1585">
        <v>1241.5999999999999</v>
      </c>
      <c r="I1596" s="1585">
        <v>1241.6000000000001</v>
      </c>
      <c r="J1596" s="1585">
        <v>1241.6000000000001</v>
      </c>
      <c r="K1596" s="1590" t="s">
        <v>2181</v>
      </c>
      <c r="L1596" s="1591"/>
      <c r="M1596" s="1389" t="s">
        <v>17</v>
      </c>
      <c r="N1596" s="1256">
        <v>20</v>
      </c>
      <c r="O1596" s="1256">
        <v>20</v>
      </c>
      <c r="P1596" s="1256">
        <v>20</v>
      </c>
      <c r="Q1596" s="1256">
        <v>20</v>
      </c>
      <c r="R1596" s="1384">
        <v>20</v>
      </c>
    </row>
    <row r="1597" spans="2:18" x14ac:dyDescent="0.2">
      <c r="B1597" s="2193"/>
      <c r="C1597" s="1648"/>
      <c r="D1597" s="2190"/>
      <c r="E1597" s="2194"/>
      <c r="F1597" s="1585"/>
      <c r="G1597" s="1585"/>
      <c r="H1597" s="1585"/>
      <c r="I1597" s="1585"/>
      <c r="J1597" s="1585"/>
      <c r="K1597" s="1590" t="s">
        <v>2182</v>
      </c>
      <c r="L1597" s="1591"/>
      <c r="M1597" s="1371" t="s">
        <v>31</v>
      </c>
      <c r="N1597" s="1256">
        <v>4</v>
      </c>
      <c r="O1597" s="1256">
        <v>4</v>
      </c>
      <c r="P1597" s="1256">
        <v>4</v>
      </c>
      <c r="Q1597" s="1256">
        <v>4</v>
      </c>
      <c r="R1597" s="1384">
        <v>4</v>
      </c>
    </row>
    <row r="1598" spans="2:18" ht="18" customHeight="1" x14ac:dyDescent="0.2">
      <c r="B1598" s="1609" t="s">
        <v>64</v>
      </c>
      <c r="C1598" s="1610"/>
      <c r="D1598" s="1610"/>
      <c r="E1598" s="1610"/>
      <c r="F1598" s="904">
        <f>F1584+F1587+F1591+F1594</f>
        <v>499903.4</v>
      </c>
      <c r="G1598" s="904">
        <f>G1584+G1587+G1591+G1594</f>
        <v>728796.89999999991</v>
      </c>
      <c r="H1598" s="904">
        <f>H1584+H1587+H1591+H1594</f>
        <v>751057.7</v>
      </c>
      <c r="I1598" s="904">
        <f>I1584+I1587+I1591+I1594</f>
        <v>720414.4</v>
      </c>
      <c r="J1598" s="904">
        <f>J1584+J1587+J1591+J1594</f>
        <v>724013.00000000012</v>
      </c>
      <c r="K1598" s="1571"/>
      <c r="L1598" s="1572"/>
      <c r="M1598" s="590"/>
      <c r="N1598" s="810"/>
      <c r="O1598" s="810"/>
      <c r="P1598" s="810"/>
      <c r="Q1598" s="810"/>
      <c r="R1598" s="1347"/>
    </row>
    <row r="1599" spans="2:18" ht="22.5" customHeight="1" x14ac:dyDescent="0.2">
      <c r="B1599" s="1541" t="s">
        <v>2732</v>
      </c>
      <c r="C1599" s="1542"/>
      <c r="D1599" s="1542"/>
      <c r="E1599" s="1542"/>
      <c r="F1599" s="1542"/>
      <c r="G1599" s="1542"/>
      <c r="H1599" s="1542"/>
      <c r="I1599" s="1542"/>
      <c r="J1599" s="1542"/>
      <c r="K1599" s="1542"/>
      <c r="L1599" s="1542"/>
      <c r="M1599" s="1542"/>
      <c r="N1599" s="1542"/>
      <c r="O1599" s="1542"/>
      <c r="P1599" s="1542"/>
      <c r="Q1599" s="1542"/>
      <c r="R1599" s="1543"/>
    </row>
    <row r="1600" spans="2:18" ht="45.75" customHeight="1" x14ac:dyDescent="0.2">
      <c r="B1600" s="1329">
        <v>2</v>
      </c>
      <c r="C1600" s="1089"/>
      <c r="D1600" s="1089"/>
      <c r="E1600" s="693" t="s">
        <v>2183</v>
      </c>
      <c r="F1600" s="959">
        <f>SUM(F1601:F1608)</f>
        <v>58167</v>
      </c>
      <c r="G1600" s="959">
        <f>SUM(G1601:G1608)</f>
        <v>58167</v>
      </c>
      <c r="H1600" s="959">
        <f>SUM(H1601:H1608)</f>
        <v>58387.7</v>
      </c>
      <c r="I1600" s="959">
        <f>SUM(I1601:I1608)</f>
        <v>49313.9</v>
      </c>
      <c r="J1600" s="959">
        <f>SUM(J1601:J1608)</f>
        <v>49784.3</v>
      </c>
      <c r="K1600" s="1556" t="s">
        <v>16</v>
      </c>
      <c r="L1600" s="1557"/>
      <c r="M1600" s="1035" t="s">
        <v>17</v>
      </c>
      <c r="N1600" s="1090"/>
      <c r="O1600" s="1090"/>
      <c r="P1600" s="1090"/>
      <c r="Q1600" s="1090"/>
      <c r="R1600" s="1390"/>
    </row>
    <row r="1601" spans="2:18" x14ac:dyDescent="0.2">
      <c r="B1601" s="1662"/>
      <c r="C1601" s="1663">
        <v>1</v>
      </c>
      <c r="D1601" s="1664"/>
      <c r="E1601" s="1821" t="s">
        <v>2835</v>
      </c>
      <c r="F1601" s="1592">
        <v>29548.9</v>
      </c>
      <c r="G1601" s="1592">
        <v>29548.9</v>
      </c>
      <c r="H1601" s="1592">
        <f>24951.7+4964.4</f>
        <v>29916.1</v>
      </c>
      <c r="I1601" s="1813">
        <v>25427.7</v>
      </c>
      <c r="J1601" s="1813">
        <v>25669.4</v>
      </c>
      <c r="K1601" s="1548" t="s">
        <v>19</v>
      </c>
      <c r="L1601" s="1549"/>
      <c r="M1601" s="336" t="s">
        <v>20</v>
      </c>
      <c r="N1601" s="557">
        <v>0.65</v>
      </c>
      <c r="O1601" s="557">
        <v>0.83</v>
      </c>
      <c r="P1601" s="557">
        <v>0.85</v>
      </c>
      <c r="Q1601" s="1391">
        <v>0.9</v>
      </c>
      <c r="R1601" s="1384">
        <v>0.95</v>
      </c>
    </row>
    <row r="1602" spans="2:18" x14ac:dyDescent="0.2">
      <c r="B1602" s="1662"/>
      <c r="C1602" s="1663"/>
      <c r="D1602" s="1664"/>
      <c r="E1602" s="1702"/>
      <c r="F1602" s="1592"/>
      <c r="G1602" s="1592"/>
      <c r="H1602" s="1592"/>
      <c r="I1602" s="1813"/>
      <c r="J1602" s="1813"/>
      <c r="K1602" s="1548" t="s">
        <v>2184</v>
      </c>
      <c r="L1602" s="1549"/>
      <c r="M1602" s="336" t="s">
        <v>17</v>
      </c>
      <c r="N1602" s="557">
        <v>93.6</v>
      </c>
      <c r="O1602" s="427">
        <v>100</v>
      </c>
      <c r="P1602" s="427">
        <v>100</v>
      </c>
      <c r="Q1602" s="577">
        <v>100</v>
      </c>
      <c r="R1602" s="1386">
        <v>100</v>
      </c>
    </row>
    <row r="1603" spans="2:18" ht="24.75" customHeight="1" x14ac:dyDescent="0.2">
      <c r="B1603" s="1662"/>
      <c r="C1603" s="1663"/>
      <c r="D1603" s="1664"/>
      <c r="E1603" s="1702"/>
      <c r="F1603" s="1592"/>
      <c r="G1603" s="1592"/>
      <c r="H1603" s="1592"/>
      <c r="I1603" s="1813"/>
      <c r="J1603" s="1813"/>
      <c r="K1603" s="1548" t="s">
        <v>2185</v>
      </c>
      <c r="L1603" s="1549"/>
      <c r="M1603" s="553" t="s">
        <v>17</v>
      </c>
      <c r="N1603" s="427">
        <v>100</v>
      </c>
      <c r="O1603" s="427">
        <v>100</v>
      </c>
      <c r="P1603" s="427">
        <v>100</v>
      </c>
      <c r="Q1603" s="427">
        <v>100</v>
      </c>
      <c r="R1603" s="1392">
        <v>100</v>
      </c>
    </row>
    <row r="1604" spans="2:18" x14ac:dyDescent="0.2">
      <c r="B1604" s="1662"/>
      <c r="C1604" s="1663">
        <v>2</v>
      </c>
      <c r="D1604" s="1664"/>
      <c r="E1604" s="1821" t="s">
        <v>2836</v>
      </c>
      <c r="F1604" s="1592">
        <v>28618.1</v>
      </c>
      <c r="G1604" s="1592">
        <v>28618.1</v>
      </c>
      <c r="H1604" s="1592">
        <f>23436+5035.6</f>
        <v>28471.599999999999</v>
      </c>
      <c r="I1604" s="1592">
        <v>23886.2</v>
      </c>
      <c r="J1604" s="1813">
        <v>24114.9</v>
      </c>
      <c r="K1604" s="1548" t="s">
        <v>2186</v>
      </c>
      <c r="L1604" s="1549"/>
      <c r="M1604" s="336" t="s">
        <v>2187</v>
      </c>
      <c r="N1604" s="1302">
        <v>1695.8</v>
      </c>
      <c r="O1604" s="1302">
        <v>2200</v>
      </c>
      <c r="P1604" s="1302">
        <v>1200</v>
      </c>
      <c r="Q1604" s="1302">
        <v>1200</v>
      </c>
      <c r="R1604" s="1393">
        <v>1200</v>
      </c>
    </row>
    <row r="1605" spans="2:18" x14ac:dyDescent="0.2">
      <c r="B1605" s="1662"/>
      <c r="C1605" s="1663"/>
      <c r="D1605" s="1664"/>
      <c r="E1605" s="1821"/>
      <c r="F1605" s="1592"/>
      <c r="G1605" s="1592"/>
      <c r="H1605" s="1592"/>
      <c r="I1605" s="1592"/>
      <c r="J1605" s="1813"/>
      <c r="K1605" s="1548" t="s">
        <v>2188</v>
      </c>
      <c r="L1605" s="1549"/>
      <c r="M1605" s="336" t="s">
        <v>2187</v>
      </c>
      <c r="N1605" s="427">
        <v>517.9</v>
      </c>
      <c r="O1605" s="1394">
        <v>550</v>
      </c>
      <c r="P1605" s="1394">
        <v>440</v>
      </c>
      <c r="Q1605" s="1394">
        <v>456</v>
      </c>
      <c r="R1605" s="1395">
        <v>461.1</v>
      </c>
    </row>
    <row r="1606" spans="2:18" x14ac:dyDescent="0.2">
      <c r="B1606" s="1662"/>
      <c r="C1606" s="1663"/>
      <c r="D1606" s="1664"/>
      <c r="E1606" s="1821"/>
      <c r="F1606" s="1592"/>
      <c r="G1606" s="1592"/>
      <c r="H1606" s="1592"/>
      <c r="I1606" s="1592"/>
      <c r="J1606" s="1813"/>
      <c r="K1606" s="1548" t="s">
        <v>2189</v>
      </c>
      <c r="L1606" s="1549"/>
      <c r="M1606" s="336" t="s">
        <v>2187</v>
      </c>
      <c r="N1606" s="427"/>
      <c r="O1606" s="1394"/>
      <c r="P1606" s="1394"/>
      <c r="Q1606" s="1394"/>
      <c r="R1606" s="1395"/>
    </row>
    <row r="1607" spans="2:18" x14ac:dyDescent="0.2">
      <c r="B1607" s="1662"/>
      <c r="C1607" s="1663"/>
      <c r="D1607" s="1664"/>
      <c r="E1607" s="1821"/>
      <c r="F1607" s="1592"/>
      <c r="G1607" s="1592"/>
      <c r="H1607" s="1592"/>
      <c r="I1607" s="1592"/>
      <c r="J1607" s="1813"/>
      <c r="K1607" s="1548" t="s">
        <v>2190</v>
      </c>
      <c r="L1607" s="1549"/>
      <c r="M1607" s="336" t="s">
        <v>2187</v>
      </c>
      <c r="N1607" s="1302">
        <v>191.5</v>
      </c>
      <c r="O1607" s="1394">
        <v>100</v>
      </c>
      <c r="P1607" s="1394">
        <v>150</v>
      </c>
      <c r="Q1607" s="1394">
        <v>180</v>
      </c>
      <c r="R1607" s="1395">
        <v>200</v>
      </c>
    </row>
    <row r="1608" spans="2:18" x14ac:dyDescent="0.2">
      <c r="B1608" s="1662"/>
      <c r="C1608" s="1663"/>
      <c r="D1608" s="1664"/>
      <c r="E1608" s="1821"/>
      <c r="F1608" s="1592"/>
      <c r="G1608" s="1592"/>
      <c r="H1608" s="1592"/>
      <c r="I1608" s="1592"/>
      <c r="J1608" s="1813"/>
      <c r="K1608" s="1548" t="s">
        <v>2191</v>
      </c>
      <c r="L1608" s="1549"/>
      <c r="M1608" s="336" t="s">
        <v>17</v>
      </c>
      <c r="N1608" s="1394">
        <v>98</v>
      </c>
      <c r="O1608" s="1394">
        <v>100</v>
      </c>
      <c r="P1608" s="1394">
        <v>100</v>
      </c>
      <c r="Q1608" s="1394">
        <v>100</v>
      </c>
      <c r="R1608" s="1395">
        <v>100</v>
      </c>
    </row>
    <row r="1609" spans="2:18" ht="38.25" x14ac:dyDescent="0.2">
      <c r="B1609" s="1341">
        <v>3</v>
      </c>
      <c r="C1609" s="1396">
        <v>1</v>
      </c>
      <c r="D1609" s="1276"/>
      <c r="E1609" s="1334" t="s">
        <v>2733</v>
      </c>
      <c r="F1609" s="959"/>
      <c r="G1609" s="959"/>
      <c r="H1609" s="959">
        <v>5000</v>
      </c>
      <c r="I1609" s="959"/>
      <c r="J1609" s="985"/>
      <c r="K1609" s="1397"/>
      <c r="L1609" s="1398"/>
      <c r="M1609" s="1035"/>
      <c r="N1609" s="1399"/>
      <c r="O1609" s="1399"/>
      <c r="P1609" s="1399"/>
      <c r="Q1609" s="1399"/>
      <c r="R1609" s="1400"/>
    </row>
    <row r="1610" spans="2:18" ht="23.25" customHeight="1" x14ac:dyDescent="0.2">
      <c r="B1610" s="1609" t="s">
        <v>768</v>
      </c>
      <c r="C1610" s="1610"/>
      <c r="D1610" s="1610"/>
      <c r="E1610" s="1610"/>
      <c r="F1610" s="904">
        <f>F1601+F1604</f>
        <v>58167</v>
      </c>
      <c r="G1610" s="904">
        <f>G1601+G1604</f>
        <v>58167</v>
      </c>
      <c r="H1610" s="904">
        <f>H1601+H1604+H1609</f>
        <v>63387.7</v>
      </c>
      <c r="I1610" s="904">
        <f>I1601+I1604</f>
        <v>49313.9</v>
      </c>
      <c r="J1610" s="904">
        <f>J1601+J1604</f>
        <v>49784.3</v>
      </c>
      <c r="K1610" s="1571"/>
      <c r="L1610" s="1572"/>
      <c r="M1610" s="590"/>
      <c r="N1610" s="810"/>
      <c r="O1610" s="810"/>
      <c r="P1610" s="810"/>
      <c r="Q1610" s="810"/>
      <c r="R1610" s="1347"/>
    </row>
    <row r="1611" spans="2:18" ht="21" customHeight="1" x14ac:dyDescent="0.2">
      <c r="B1611" s="1541" t="s">
        <v>2192</v>
      </c>
      <c r="C1611" s="1542"/>
      <c r="D1611" s="1542"/>
      <c r="E1611" s="1542"/>
      <c r="F1611" s="1542"/>
      <c r="G1611" s="1542"/>
      <c r="H1611" s="1542"/>
      <c r="I1611" s="1542"/>
      <c r="J1611" s="1542"/>
      <c r="K1611" s="1542"/>
      <c r="L1611" s="1542"/>
      <c r="M1611" s="1542"/>
      <c r="N1611" s="1542"/>
      <c r="O1611" s="1542"/>
      <c r="P1611" s="1542"/>
      <c r="Q1611" s="1542"/>
      <c r="R1611" s="1543"/>
    </row>
    <row r="1612" spans="2:18" ht="38.25" x14ac:dyDescent="0.2">
      <c r="B1612" s="1377">
        <v>1</v>
      </c>
      <c r="C1612" s="1401"/>
      <c r="D1612" s="1402"/>
      <c r="E1612" s="383" t="s">
        <v>2837</v>
      </c>
      <c r="F1612" s="955">
        <f>F1613+F1614+F1615+F1616+F1617+F1618+F1619</f>
        <v>35471.4</v>
      </c>
      <c r="G1612" s="955">
        <f>G1613+G1614+G1615+G1616+G1617+G1618+G1619</f>
        <v>39050.600000000006</v>
      </c>
      <c r="H1612" s="955">
        <f>H1613+H1614+H1615+H1616+H1617+H1618+H1619</f>
        <v>38968.400000000001</v>
      </c>
      <c r="I1612" s="955">
        <f>I1613+I1614+I1615+I1616+I1617+I1618+I1619</f>
        <v>40668.400000000001</v>
      </c>
      <c r="J1612" s="955">
        <f>J1613+J1614+J1615+J1616+J1617+J1618+J1619</f>
        <v>40668.400000000001</v>
      </c>
      <c r="K1612" s="1573" t="s">
        <v>16</v>
      </c>
      <c r="L1612" s="1574"/>
      <c r="M1612" s="542" t="s">
        <v>17</v>
      </c>
      <c r="N1612" s="1403">
        <f>4873.4/30638.3*100</f>
        <v>15.906235006511457</v>
      </c>
      <c r="O1612" s="1403">
        <f>4863.1/30648.6*100</f>
        <v>15.867282681753817</v>
      </c>
      <c r="P1612" s="1403">
        <f>4870.8/30638.4*100</f>
        <v>15.897697007676642</v>
      </c>
      <c r="Q1612" s="1403">
        <f>4870.8/30638.4*100</f>
        <v>15.897697007676642</v>
      </c>
      <c r="R1612" s="1404">
        <f>4870.8/30638.4*100</f>
        <v>15.897697007676642</v>
      </c>
    </row>
    <row r="1613" spans="2:18" x14ac:dyDescent="0.2">
      <c r="B1613" s="1377"/>
      <c r="C1613" s="722">
        <v>1</v>
      </c>
      <c r="D1613" s="1098"/>
      <c r="E1613" s="1095" t="s">
        <v>18</v>
      </c>
      <c r="F1613" s="954">
        <f>6232-497.4-21.2</f>
        <v>5713.4000000000005</v>
      </c>
      <c r="G1613" s="954">
        <v>4255.8</v>
      </c>
      <c r="H1613" s="954">
        <v>4240.2</v>
      </c>
      <c r="I1613" s="954">
        <v>5940.2</v>
      </c>
      <c r="J1613" s="954">
        <v>5940.2</v>
      </c>
      <c r="K1613" s="2195" t="s">
        <v>19</v>
      </c>
      <c r="L1613" s="2196"/>
      <c r="M1613" s="401" t="s">
        <v>20</v>
      </c>
      <c r="N1613" s="541">
        <v>0.62</v>
      </c>
      <c r="O1613" s="541">
        <v>0.7</v>
      </c>
      <c r="P1613" s="541">
        <v>0.7</v>
      </c>
      <c r="Q1613" s="541">
        <v>0.7</v>
      </c>
      <c r="R1613" s="1405">
        <v>0.7</v>
      </c>
    </row>
    <row r="1614" spans="2:18" x14ac:dyDescent="0.2">
      <c r="B1614" s="1377"/>
      <c r="C1614" s="722">
        <v>2</v>
      </c>
      <c r="D1614" s="1098"/>
      <c r="E1614" s="1095" t="s">
        <v>22</v>
      </c>
      <c r="F1614" s="954">
        <f>3409.5-21.5</f>
        <v>3388</v>
      </c>
      <c r="G1614" s="954">
        <v>3358.3</v>
      </c>
      <c r="H1614" s="954">
        <v>3363.4</v>
      </c>
      <c r="I1614" s="954">
        <v>3363.4</v>
      </c>
      <c r="J1614" s="954">
        <v>3363.4</v>
      </c>
      <c r="K1614" s="1539" t="s">
        <v>23</v>
      </c>
      <c r="L1614" s="1540"/>
      <c r="M1614" s="401" t="s">
        <v>17</v>
      </c>
      <c r="N1614" s="541">
        <v>100</v>
      </c>
      <c r="O1614" s="541">
        <v>100</v>
      </c>
      <c r="P1614" s="541">
        <v>100</v>
      </c>
      <c r="Q1614" s="541">
        <v>100</v>
      </c>
      <c r="R1614" s="1405">
        <v>100</v>
      </c>
    </row>
    <row r="1615" spans="2:18" x14ac:dyDescent="0.2">
      <c r="B1615" s="1377"/>
      <c r="C1615" s="722">
        <v>3</v>
      </c>
      <c r="D1615" s="1098"/>
      <c r="E1615" s="1095" t="s">
        <v>24</v>
      </c>
      <c r="F1615" s="954">
        <f>2039.4-21.5</f>
        <v>2017.9</v>
      </c>
      <c r="G1615" s="954">
        <v>2353.1</v>
      </c>
      <c r="H1615" s="954">
        <v>1886.1</v>
      </c>
      <c r="I1615" s="954">
        <v>1886.1</v>
      </c>
      <c r="J1615" s="954">
        <v>1886.1</v>
      </c>
      <c r="K1615" s="1539" t="s">
        <v>25</v>
      </c>
      <c r="L1615" s="1540"/>
      <c r="M1615" s="401" t="s">
        <v>17</v>
      </c>
      <c r="N1615" s="541" t="s">
        <v>21</v>
      </c>
      <c r="O1615" s="541">
        <v>100</v>
      </c>
      <c r="P1615" s="541">
        <v>100</v>
      </c>
      <c r="Q1615" s="541">
        <v>100</v>
      </c>
      <c r="R1615" s="1405">
        <v>100</v>
      </c>
    </row>
    <row r="1616" spans="2:18" x14ac:dyDescent="0.2">
      <c r="B1616" s="1377"/>
      <c r="C1616" s="722">
        <v>4</v>
      </c>
      <c r="D1616" s="1098"/>
      <c r="E1616" s="1095" t="s">
        <v>26</v>
      </c>
      <c r="F1616" s="954">
        <f>3601.2-21.5</f>
        <v>3579.7</v>
      </c>
      <c r="G1616" s="954">
        <v>3441.2</v>
      </c>
      <c r="H1616" s="954">
        <v>3454.3</v>
      </c>
      <c r="I1616" s="954">
        <v>3454.3</v>
      </c>
      <c r="J1616" s="954">
        <v>3454.3</v>
      </c>
      <c r="K1616" s="1539" t="s">
        <v>27</v>
      </c>
      <c r="L1616" s="1540"/>
      <c r="M1616" s="401" t="s">
        <v>28</v>
      </c>
      <c r="N1616" s="541" t="s">
        <v>2193</v>
      </c>
      <c r="O1616" s="541" t="s">
        <v>2194</v>
      </c>
      <c r="P1616" s="541" t="s">
        <v>2194</v>
      </c>
      <c r="Q1616" s="541" t="s">
        <v>2194</v>
      </c>
      <c r="R1616" s="1405" t="s">
        <v>2194</v>
      </c>
    </row>
    <row r="1617" spans="2:18" x14ac:dyDescent="0.2">
      <c r="B1617" s="1377"/>
      <c r="C1617" s="722">
        <v>6</v>
      </c>
      <c r="D1617" s="1098"/>
      <c r="E1617" s="370" t="s">
        <v>32</v>
      </c>
      <c r="F1617" s="954">
        <f>3507.3-45.4</f>
        <v>3461.9</v>
      </c>
      <c r="G1617" s="954">
        <v>4208.8999999999996</v>
      </c>
      <c r="H1617" s="954">
        <v>4269.6000000000004</v>
      </c>
      <c r="I1617" s="954">
        <v>4269.6000000000004</v>
      </c>
      <c r="J1617" s="954">
        <v>4269.6000000000004</v>
      </c>
      <c r="K1617" s="1539" t="s">
        <v>33</v>
      </c>
      <c r="L1617" s="1540"/>
      <c r="M1617" s="401" t="s">
        <v>17</v>
      </c>
      <c r="N1617" s="1403">
        <f>6/41*100</f>
        <v>14.634146341463413</v>
      </c>
      <c r="O1617" s="1403">
        <f>6/41*100</f>
        <v>14.634146341463413</v>
      </c>
      <c r="P1617" s="1403">
        <f>6/41*100</f>
        <v>14.634146341463413</v>
      </c>
      <c r="Q1617" s="1403">
        <f>6/41*100</f>
        <v>14.634146341463413</v>
      </c>
      <c r="R1617" s="1404">
        <f>6/41*100</f>
        <v>14.634146341463413</v>
      </c>
    </row>
    <row r="1618" spans="2:18" ht="25.5" x14ac:dyDescent="0.2">
      <c r="B1618" s="1377"/>
      <c r="C1618" s="722">
        <v>7</v>
      </c>
      <c r="D1618" s="1098"/>
      <c r="E1618" s="370" t="s">
        <v>251</v>
      </c>
      <c r="F1618" s="954">
        <f>3139-21.5</f>
        <v>3117.5</v>
      </c>
      <c r="G1618" s="954">
        <v>2836.8</v>
      </c>
      <c r="H1618" s="954">
        <v>3225.4</v>
      </c>
      <c r="I1618" s="954">
        <v>3225.4</v>
      </c>
      <c r="J1618" s="954">
        <v>3225.4</v>
      </c>
      <c r="K1618" s="1539" t="s">
        <v>2195</v>
      </c>
      <c r="L1618" s="1540"/>
      <c r="M1618" s="401" t="s">
        <v>17</v>
      </c>
      <c r="N1618" s="1403">
        <v>82</v>
      </c>
      <c r="O1618" s="1403">
        <v>100</v>
      </c>
      <c r="P1618" s="1403">
        <v>100</v>
      </c>
      <c r="Q1618" s="1403">
        <v>100</v>
      </c>
      <c r="R1618" s="1404">
        <v>100</v>
      </c>
    </row>
    <row r="1619" spans="2:18" x14ac:dyDescent="0.2">
      <c r="B1619" s="1377"/>
      <c r="C1619" s="722">
        <v>8</v>
      </c>
      <c r="D1619" s="1098"/>
      <c r="E1619" s="370" t="s">
        <v>247</v>
      </c>
      <c r="F1619" s="954">
        <v>14193</v>
      </c>
      <c r="G1619" s="954">
        <v>18596.5</v>
      </c>
      <c r="H1619" s="954">
        <v>18529.400000000001</v>
      </c>
      <c r="I1619" s="954">
        <v>18529.400000000001</v>
      </c>
      <c r="J1619" s="954">
        <v>18529.400000000001</v>
      </c>
      <c r="K1619" s="1539" t="s">
        <v>2196</v>
      </c>
      <c r="L1619" s="1540"/>
      <c r="M1619" s="1406" t="s">
        <v>17</v>
      </c>
      <c r="N1619" s="1403">
        <f>56/97%</f>
        <v>57.731958762886599</v>
      </c>
      <c r="O1619" s="1403">
        <f>56/97%</f>
        <v>57.731958762886599</v>
      </c>
      <c r="P1619" s="1403">
        <f>56/97%</f>
        <v>57.731958762886599</v>
      </c>
      <c r="Q1619" s="1403">
        <f>56/97%</f>
        <v>57.731958762886599</v>
      </c>
      <c r="R1619" s="1404">
        <f>56/97%</f>
        <v>57.731958762886599</v>
      </c>
    </row>
    <row r="1620" spans="2:18" ht="58.5" customHeight="1" x14ac:dyDescent="0.2">
      <c r="B1620" s="1377">
        <v>2</v>
      </c>
      <c r="C1620" s="722"/>
      <c r="D1620" s="1098"/>
      <c r="E1620" s="383" t="s">
        <v>2838</v>
      </c>
      <c r="F1620" s="955">
        <f>F1621+F1622+F1623</f>
        <v>713134.4</v>
      </c>
      <c r="G1620" s="955">
        <f>G1621+G1622+G1623</f>
        <v>800278.2</v>
      </c>
      <c r="H1620" s="955">
        <f>H1621+H1622+H1623</f>
        <v>251345.59999999998</v>
      </c>
      <c r="I1620" s="955">
        <f>I1621+I1622+I1623</f>
        <v>255202.3</v>
      </c>
      <c r="J1620" s="955">
        <f>J1621+J1622+J1623</f>
        <v>258024.8</v>
      </c>
      <c r="K1620" s="1573" t="s">
        <v>2197</v>
      </c>
      <c r="L1620" s="1574"/>
      <c r="M1620" s="1406" t="s">
        <v>17</v>
      </c>
      <c r="N1620" s="1407">
        <f>(N1621+N1622)/2</f>
        <v>53.215000000000003</v>
      </c>
      <c r="O1620" s="541">
        <f>(O1621+O1622)/2</f>
        <v>34</v>
      </c>
      <c r="P1620" s="541">
        <f>(P1621+P1622)/2</f>
        <v>33</v>
      </c>
      <c r="Q1620" s="541">
        <f>(Q1621+Q1622)/2</f>
        <v>33</v>
      </c>
      <c r="R1620" s="1405">
        <f>(R1621+R1622)/2</f>
        <v>33</v>
      </c>
    </row>
    <row r="1621" spans="2:18" ht="25.5" x14ac:dyDescent="0.2">
      <c r="B1621" s="1377"/>
      <c r="C1621" s="722">
        <v>1</v>
      </c>
      <c r="D1621" s="1098"/>
      <c r="E1621" s="370" t="s">
        <v>2198</v>
      </c>
      <c r="F1621" s="954">
        <f>3025.5-21.5</f>
        <v>3004</v>
      </c>
      <c r="G1621" s="954">
        <v>2899</v>
      </c>
      <c r="H1621" s="954">
        <v>2903.2</v>
      </c>
      <c r="I1621" s="954">
        <v>2903.2</v>
      </c>
      <c r="J1621" s="954">
        <v>2903.2</v>
      </c>
      <c r="K1621" s="1539" t="s">
        <v>2199</v>
      </c>
      <c r="L1621" s="1540"/>
      <c r="M1621" s="1406" t="s">
        <v>17</v>
      </c>
      <c r="N1621" s="1408">
        <v>59.4</v>
      </c>
      <c r="O1621" s="1408">
        <v>23</v>
      </c>
      <c r="P1621" s="1408">
        <v>23</v>
      </c>
      <c r="Q1621" s="1408">
        <v>23</v>
      </c>
      <c r="R1621" s="1409">
        <v>23</v>
      </c>
    </row>
    <row r="1622" spans="2:18" ht="25.5" x14ac:dyDescent="0.2">
      <c r="B1622" s="1377"/>
      <c r="C1622" s="722">
        <v>2</v>
      </c>
      <c r="D1622" s="1098"/>
      <c r="E1622" s="370" t="s">
        <v>2200</v>
      </c>
      <c r="F1622" s="954">
        <f>2556.5-21.5</f>
        <v>2535</v>
      </c>
      <c r="G1622" s="954">
        <v>2354.1</v>
      </c>
      <c r="H1622" s="954">
        <v>2357.6</v>
      </c>
      <c r="I1622" s="954">
        <v>2357.6</v>
      </c>
      <c r="J1622" s="954">
        <v>2357.6</v>
      </c>
      <c r="K1622" s="1539" t="s">
        <v>2201</v>
      </c>
      <c r="L1622" s="1540"/>
      <c r="M1622" s="1406" t="s">
        <v>17</v>
      </c>
      <c r="N1622" s="541">
        <v>47.03</v>
      </c>
      <c r="O1622" s="541">
        <v>45</v>
      </c>
      <c r="P1622" s="541">
        <v>43</v>
      </c>
      <c r="Q1622" s="541">
        <v>43</v>
      </c>
      <c r="R1622" s="1405">
        <v>43</v>
      </c>
    </row>
    <row r="1623" spans="2:18" ht="38.25" x14ac:dyDescent="0.2">
      <c r="B1623" s="1374"/>
      <c r="C1623" s="424">
        <v>3</v>
      </c>
      <c r="D1623" s="1410"/>
      <c r="E1623" s="370" t="s">
        <v>2202</v>
      </c>
      <c r="F1623" s="1376">
        <f>708610.6-1015.2</f>
        <v>707595.4</v>
      </c>
      <c r="G1623" s="1376">
        <f>246010.3+411819.8+113386.5+21069+2739.5</f>
        <v>795025.1</v>
      </c>
      <c r="H1623" s="1376">
        <v>246084.8</v>
      </c>
      <c r="I1623" s="1376">
        <v>249941.5</v>
      </c>
      <c r="J1623" s="1376">
        <v>252764</v>
      </c>
      <c r="K1623" s="1539" t="s">
        <v>2203</v>
      </c>
      <c r="L1623" s="1540"/>
      <c r="M1623" s="1406" t="s">
        <v>17</v>
      </c>
      <c r="N1623" s="1408">
        <v>59.4</v>
      </c>
      <c r="O1623" s="1408">
        <v>23</v>
      </c>
      <c r="P1623" s="1408">
        <v>23</v>
      </c>
      <c r="Q1623" s="1408">
        <v>23</v>
      </c>
      <c r="R1623" s="1409">
        <v>23</v>
      </c>
    </row>
    <row r="1624" spans="2:18" ht="28.5" customHeight="1" x14ac:dyDescent="0.2">
      <c r="B1624" s="1609" t="s">
        <v>768</v>
      </c>
      <c r="C1624" s="1610"/>
      <c r="D1624" s="1610"/>
      <c r="E1624" s="1610"/>
      <c r="F1624" s="904">
        <f>F1612+F1620</f>
        <v>748605.8</v>
      </c>
      <c r="G1624" s="904">
        <f>G1612+G1620</f>
        <v>839328.79999999993</v>
      </c>
      <c r="H1624" s="904">
        <f>H1612+H1620</f>
        <v>290314</v>
      </c>
      <c r="I1624" s="904">
        <f>I1612+I1620</f>
        <v>295870.7</v>
      </c>
      <c r="J1624" s="904">
        <f>J1612+J1620</f>
        <v>298693.2</v>
      </c>
      <c r="K1624" s="1571"/>
      <c r="L1624" s="1572"/>
      <c r="M1624" s="590"/>
      <c r="N1624" s="810"/>
      <c r="O1624" s="810"/>
      <c r="P1624" s="810"/>
      <c r="Q1624" s="810"/>
      <c r="R1624" s="1347"/>
    </row>
    <row r="1625" spans="2:18" ht="21" customHeight="1" x14ac:dyDescent="0.2">
      <c r="B1625" s="1541" t="s">
        <v>2204</v>
      </c>
      <c r="C1625" s="1542"/>
      <c r="D1625" s="1542"/>
      <c r="E1625" s="1542"/>
      <c r="F1625" s="1542"/>
      <c r="G1625" s="1542"/>
      <c r="H1625" s="1542"/>
      <c r="I1625" s="1542"/>
      <c r="J1625" s="1542"/>
      <c r="K1625" s="1542"/>
      <c r="L1625" s="1542"/>
      <c r="M1625" s="1542"/>
      <c r="N1625" s="1542"/>
      <c r="O1625" s="1542"/>
      <c r="P1625" s="1542"/>
      <c r="Q1625" s="1542"/>
      <c r="R1625" s="1543"/>
    </row>
    <row r="1626" spans="2:18" ht="38.25" x14ac:dyDescent="0.2">
      <c r="B1626" s="1377">
        <v>1</v>
      </c>
      <c r="C1626" s="1098"/>
      <c r="D1626" s="1402"/>
      <c r="E1626" s="383" t="s">
        <v>2790</v>
      </c>
      <c r="F1626" s="955">
        <v>3057.9</v>
      </c>
      <c r="G1626" s="955">
        <v>3365.7</v>
      </c>
      <c r="H1626" s="955">
        <v>2806.9</v>
      </c>
      <c r="I1626" s="955">
        <v>2806.9</v>
      </c>
      <c r="J1626" s="955">
        <v>2806.9</v>
      </c>
      <c r="K1626" s="1573" t="s">
        <v>16</v>
      </c>
      <c r="L1626" s="1574"/>
      <c r="M1626" s="542" t="s">
        <v>17</v>
      </c>
      <c r="N1626" s="541">
        <v>10.6</v>
      </c>
      <c r="O1626" s="541">
        <v>27.5</v>
      </c>
      <c r="P1626" s="541">
        <v>27.5</v>
      </c>
      <c r="Q1626" s="541">
        <v>28.7</v>
      </c>
      <c r="R1626" s="1405">
        <v>28.7</v>
      </c>
    </row>
    <row r="1627" spans="2:18" x14ac:dyDescent="0.2">
      <c r="B1627" s="1377"/>
      <c r="C1627" s="718">
        <v>1</v>
      </c>
      <c r="D1627" s="1411"/>
      <c r="E1627" s="1095" t="s">
        <v>22</v>
      </c>
      <c r="F1627" s="954">
        <v>1716.2</v>
      </c>
      <c r="G1627" s="954">
        <v>1992.8</v>
      </c>
      <c r="H1627" s="954">
        <v>1706.4</v>
      </c>
      <c r="I1627" s="954">
        <v>1706.4</v>
      </c>
      <c r="J1627" s="954">
        <v>1706.4</v>
      </c>
      <c r="K1627" s="1539" t="s">
        <v>23</v>
      </c>
      <c r="L1627" s="1540"/>
      <c r="M1627" s="401" t="s">
        <v>17</v>
      </c>
      <c r="N1627" s="541">
        <v>100</v>
      </c>
      <c r="O1627" s="541">
        <v>100</v>
      </c>
      <c r="P1627" s="541">
        <v>100</v>
      </c>
      <c r="Q1627" s="541">
        <v>100</v>
      </c>
      <c r="R1627" s="1405">
        <v>100</v>
      </c>
    </row>
    <row r="1628" spans="2:18" x14ac:dyDescent="0.2">
      <c r="B1628" s="1377"/>
      <c r="C1628" s="718">
        <v>2</v>
      </c>
      <c r="D1628" s="1411"/>
      <c r="E1628" s="1095" t="s">
        <v>24</v>
      </c>
      <c r="F1628" s="954">
        <v>589.29999999999995</v>
      </c>
      <c r="G1628" s="954">
        <v>615.9</v>
      </c>
      <c r="H1628" s="954">
        <v>438.9</v>
      </c>
      <c r="I1628" s="954">
        <v>438.9</v>
      </c>
      <c r="J1628" s="954">
        <v>438.9</v>
      </c>
      <c r="K1628" s="1539" t="s">
        <v>2205</v>
      </c>
      <c r="L1628" s="1540"/>
      <c r="M1628" s="401" t="s">
        <v>17</v>
      </c>
      <c r="N1628" s="541">
        <v>100</v>
      </c>
      <c r="O1628" s="541">
        <v>100</v>
      </c>
      <c r="P1628" s="541">
        <v>100</v>
      </c>
      <c r="Q1628" s="541">
        <v>100</v>
      </c>
      <c r="R1628" s="1405">
        <v>100</v>
      </c>
    </row>
    <row r="1629" spans="2:18" x14ac:dyDescent="0.2">
      <c r="B1629" s="1377"/>
      <c r="C1629" s="718">
        <v>3</v>
      </c>
      <c r="D1629" s="1411"/>
      <c r="E1629" s="1095" t="s">
        <v>26</v>
      </c>
      <c r="F1629" s="954">
        <v>752.4</v>
      </c>
      <c r="G1629" s="954">
        <v>757</v>
      </c>
      <c r="H1629" s="954">
        <v>661.6</v>
      </c>
      <c r="I1629" s="954">
        <v>661.6</v>
      </c>
      <c r="J1629" s="954">
        <v>661.6</v>
      </c>
      <c r="K1629" s="1539" t="s">
        <v>2206</v>
      </c>
      <c r="L1629" s="1540"/>
      <c r="M1629" s="401" t="s">
        <v>2207</v>
      </c>
      <c r="N1629" s="1412" t="s">
        <v>2208</v>
      </c>
      <c r="O1629" s="1412" t="s">
        <v>2209</v>
      </c>
      <c r="P1629" s="1412" t="s">
        <v>2210</v>
      </c>
      <c r="Q1629" s="1412" t="s">
        <v>2210</v>
      </c>
      <c r="R1629" s="1413" t="s">
        <v>2210</v>
      </c>
    </row>
    <row r="1630" spans="2:18" x14ac:dyDescent="0.2">
      <c r="B1630" s="1632" t="s">
        <v>138</v>
      </c>
      <c r="C1630" s="1633"/>
      <c r="D1630" s="1633"/>
      <c r="E1630" s="1617" t="s">
        <v>2839</v>
      </c>
      <c r="F1630" s="1575">
        <v>8997.5</v>
      </c>
      <c r="G1630" s="1575">
        <v>10157.299999999999</v>
      </c>
      <c r="H1630" s="1575">
        <v>8516.1</v>
      </c>
      <c r="I1630" s="1575">
        <v>8516.1</v>
      </c>
      <c r="J1630" s="1575">
        <v>8516.1</v>
      </c>
      <c r="K1630" s="1576" t="s">
        <v>2840</v>
      </c>
      <c r="L1630" s="1577"/>
      <c r="M1630" s="1580" t="s">
        <v>17</v>
      </c>
      <c r="N1630" s="1639">
        <v>100</v>
      </c>
      <c r="O1630" s="1639">
        <v>100</v>
      </c>
      <c r="P1630" s="1639">
        <v>100</v>
      </c>
      <c r="Q1630" s="1639">
        <v>100</v>
      </c>
      <c r="R1630" s="1640">
        <v>100</v>
      </c>
    </row>
    <row r="1631" spans="2:18" x14ac:dyDescent="0.2">
      <c r="B1631" s="1632"/>
      <c r="C1631" s="1633"/>
      <c r="D1631" s="1633"/>
      <c r="E1631" s="1617"/>
      <c r="F1631" s="1575"/>
      <c r="G1631" s="1582"/>
      <c r="H1631" s="1582"/>
      <c r="I1631" s="1582"/>
      <c r="J1631" s="1582"/>
      <c r="K1631" s="1578"/>
      <c r="L1631" s="1579"/>
      <c r="M1631" s="1580"/>
      <c r="N1631" s="1638"/>
      <c r="O1631" s="1638"/>
      <c r="P1631" s="1638"/>
      <c r="Q1631" s="1639"/>
      <c r="R1631" s="1640"/>
    </row>
    <row r="1632" spans="2:18" x14ac:dyDescent="0.2">
      <c r="B1632" s="1632"/>
      <c r="C1632" s="1633" t="s">
        <v>123</v>
      </c>
      <c r="D1632" s="1633"/>
      <c r="E1632" s="1634" t="s">
        <v>2211</v>
      </c>
      <c r="F1632" s="1581">
        <v>6630</v>
      </c>
      <c r="G1632" s="1581">
        <v>7823.5</v>
      </c>
      <c r="H1632" s="1581">
        <v>6679.3</v>
      </c>
      <c r="I1632" s="1581">
        <v>6679.3</v>
      </c>
      <c r="J1632" s="1581">
        <v>6679.3</v>
      </c>
      <c r="K1632" s="1576" t="s">
        <v>2212</v>
      </c>
      <c r="L1632" s="1577"/>
      <c r="M1632" s="1580" t="s">
        <v>17</v>
      </c>
      <c r="N1632" s="1635">
        <v>100</v>
      </c>
      <c r="O1632" s="1635">
        <v>100</v>
      </c>
      <c r="P1632" s="1635">
        <v>100</v>
      </c>
      <c r="Q1632" s="1635">
        <v>100</v>
      </c>
      <c r="R1632" s="1636">
        <v>100</v>
      </c>
    </row>
    <row r="1633" spans="2:18" x14ac:dyDescent="0.2">
      <c r="B1633" s="1632"/>
      <c r="C1633" s="1633"/>
      <c r="D1633" s="1633"/>
      <c r="E1633" s="1634"/>
      <c r="F1633" s="1582"/>
      <c r="G1633" s="1581"/>
      <c r="H1633" s="1581"/>
      <c r="I1633" s="1581"/>
      <c r="J1633" s="1581"/>
      <c r="K1633" s="1578"/>
      <c r="L1633" s="1579"/>
      <c r="M1633" s="1580"/>
      <c r="N1633" s="1630"/>
      <c r="O1633" s="1630"/>
      <c r="P1633" s="1630"/>
      <c r="Q1633" s="1635"/>
      <c r="R1633" s="1636"/>
    </row>
    <row r="1634" spans="2:18" x14ac:dyDescent="0.2">
      <c r="B1634" s="1632"/>
      <c r="C1634" s="1633" t="s">
        <v>125</v>
      </c>
      <c r="D1634" s="1633"/>
      <c r="E1634" s="1634" t="s">
        <v>2213</v>
      </c>
      <c r="F1634" s="1581">
        <v>833.7</v>
      </c>
      <c r="G1634" s="1581">
        <v>823.2</v>
      </c>
      <c r="H1634" s="1581">
        <v>792.9</v>
      </c>
      <c r="I1634" s="1581">
        <v>792.9</v>
      </c>
      <c r="J1634" s="1581">
        <v>792.9</v>
      </c>
      <c r="K1634" s="1576" t="s">
        <v>2214</v>
      </c>
      <c r="L1634" s="1577"/>
      <c r="M1634" s="1580" t="s">
        <v>513</v>
      </c>
      <c r="N1634" s="1635">
        <v>2</v>
      </c>
      <c r="O1634" s="1635">
        <v>1</v>
      </c>
      <c r="P1634" s="1635">
        <v>3</v>
      </c>
      <c r="Q1634" s="1635">
        <v>2</v>
      </c>
      <c r="R1634" s="1636">
        <v>2</v>
      </c>
    </row>
    <row r="1635" spans="2:18" x14ac:dyDescent="0.2">
      <c r="B1635" s="1632"/>
      <c r="C1635" s="1633"/>
      <c r="D1635" s="1633"/>
      <c r="E1635" s="1634"/>
      <c r="F1635" s="1582"/>
      <c r="G1635" s="1581"/>
      <c r="H1635" s="1581"/>
      <c r="I1635" s="1581"/>
      <c r="J1635" s="1581"/>
      <c r="K1635" s="1578"/>
      <c r="L1635" s="1579"/>
      <c r="M1635" s="1580"/>
      <c r="N1635" s="1630"/>
      <c r="O1635" s="1630"/>
      <c r="P1635" s="1630"/>
      <c r="Q1635" s="1635"/>
      <c r="R1635" s="1636"/>
    </row>
    <row r="1636" spans="2:18" x14ac:dyDescent="0.2">
      <c r="B1636" s="1632"/>
      <c r="C1636" s="1633" t="s">
        <v>127</v>
      </c>
      <c r="D1636" s="1633"/>
      <c r="E1636" s="1634" t="s">
        <v>2215</v>
      </c>
      <c r="F1636" s="1581">
        <v>1533.8</v>
      </c>
      <c r="G1636" s="1581">
        <v>1510.6</v>
      </c>
      <c r="H1636" s="1581">
        <v>1043.9000000000001</v>
      </c>
      <c r="I1636" s="1581">
        <v>1043.9000000000001</v>
      </c>
      <c r="J1636" s="1581">
        <v>1043.9000000000001</v>
      </c>
      <c r="K1636" s="1576" t="s">
        <v>2216</v>
      </c>
      <c r="L1636" s="1577"/>
      <c r="M1636" s="1580" t="s">
        <v>2217</v>
      </c>
      <c r="N1636" s="1637">
        <v>2600</v>
      </c>
      <c r="O1636" s="1637">
        <v>2900</v>
      </c>
      <c r="P1636" s="1635" t="s">
        <v>2218</v>
      </c>
      <c r="Q1636" s="1635" t="s">
        <v>2218</v>
      </c>
      <c r="R1636" s="1636" t="s">
        <v>2218</v>
      </c>
    </row>
    <row r="1637" spans="2:18" x14ac:dyDescent="0.2">
      <c r="B1637" s="1632"/>
      <c r="C1637" s="1633"/>
      <c r="D1637" s="1633"/>
      <c r="E1637" s="1634"/>
      <c r="F1637" s="1582"/>
      <c r="G1637" s="1581"/>
      <c r="H1637" s="1581"/>
      <c r="I1637" s="1581"/>
      <c r="J1637" s="1581"/>
      <c r="K1637" s="1578"/>
      <c r="L1637" s="1579"/>
      <c r="M1637" s="1580"/>
      <c r="N1637" s="1638"/>
      <c r="O1637" s="1638"/>
      <c r="P1637" s="1630"/>
      <c r="Q1637" s="1630"/>
      <c r="R1637" s="1631"/>
    </row>
    <row r="1638" spans="2:18" ht="24.75" customHeight="1" x14ac:dyDescent="0.2">
      <c r="B1638" s="1609" t="s">
        <v>64</v>
      </c>
      <c r="C1638" s="1610"/>
      <c r="D1638" s="1610"/>
      <c r="E1638" s="1610"/>
      <c r="F1638" s="904">
        <v>12055.4</v>
      </c>
      <c r="G1638" s="904">
        <v>13523</v>
      </c>
      <c r="H1638" s="904">
        <v>11323</v>
      </c>
      <c r="I1638" s="904">
        <v>11323</v>
      </c>
      <c r="J1638" s="904">
        <v>11323</v>
      </c>
      <c r="K1638" s="1571"/>
      <c r="L1638" s="1572"/>
      <c r="M1638" s="590"/>
      <c r="N1638" s="810"/>
      <c r="O1638" s="810"/>
      <c r="P1638" s="810"/>
      <c r="Q1638" s="810"/>
      <c r="R1638" s="1347"/>
    </row>
    <row r="1639" spans="2:18" ht="24.75" customHeight="1" x14ac:dyDescent="0.2">
      <c r="B1639" s="1541" t="s">
        <v>2219</v>
      </c>
      <c r="C1639" s="1542"/>
      <c r="D1639" s="1542"/>
      <c r="E1639" s="1542"/>
      <c r="F1639" s="1542"/>
      <c r="G1639" s="1542"/>
      <c r="H1639" s="1542"/>
      <c r="I1639" s="1542"/>
      <c r="J1639" s="1542"/>
      <c r="K1639" s="1542"/>
      <c r="L1639" s="1542"/>
      <c r="M1639" s="1542"/>
      <c r="N1639" s="1542"/>
      <c r="O1639" s="1542"/>
      <c r="P1639" s="1542"/>
      <c r="Q1639" s="1542"/>
      <c r="R1639" s="1543"/>
    </row>
    <row r="1640" spans="2:18" ht="38.25" x14ac:dyDescent="0.2">
      <c r="B1640" s="1414" t="s">
        <v>138</v>
      </c>
      <c r="C1640" s="890"/>
      <c r="D1640" s="890"/>
      <c r="E1640" s="1415" t="s">
        <v>2220</v>
      </c>
      <c r="F1640" s="1119">
        <f>F1641</f>
        <v>1208.3</v>
      </c>
      <c r="G1640" s="1119">
        <f t="shared" ref="G1640:J1640" si="94">G1641</f>
        <v>18147.8</v>
      </c>
      <c r="H1640" s="1119">
        <f t="shared" si="94"/>
        <v>15432.9</v>
      </c>
      <c r="I1640" s="1119">
        <f t="shared" si="94"/>
        <v>1294.2</v>
      </c>
      <c r="J1640" s="1119">
        <f t="shared" si="94"/>
        <v>1306.9000000000001</v>
      </c>
      <c r="K1640" s="1416"/>
      <c r="L1640" s="1417"/>
      <c r="M1640" s="1418"/>
      <c r="N1640" s="1419"/>
      <c r="O1640" s="1419"/>
      <c r="P1640" s="1419"/>
      <c r="Q1640" s="1419"/>
      <c r="R1640" s="1420"/>
    </row>
    <row r="1641" spans="2:18" x14ac:dyDescent="0.2">
      <c r="B1641" s="2197"/>
      <c r="C1641" s="1898" t="s">
        <v>123</v>
      </c>
      <c r="D1641" s="2198"/>
      <c r="E1641" s="2199" t="s">
        <v>2220</v>
      </c>
      <c r="F1641" s="1598">
        <v>1208.3</v>
      </c>
      <c r="G1641" s="1598">
        <v>18147.8</v>
      </c>
      <c r="H1641" s="1598">
        <v>15432.9</v>
      </c>
      <c r="I1641" s="1598">
        <v>1294.2</v>
      </c>
      <c r="J1641" s="1598">
        <v>1306.9000000000001</v>
      </c>
      <c r="K1641" s="1565" t="s">
        <v>2221</v>
      </c>
      <c r="L1641" s="1566"/>
      <c r="M1641" s="651" t="s">
        <v>31</v>
      </c>
      <c r="N1641" s="1399">
        <v>4</v>
      </c>
      <c r="O1641" s="1399">
        <v>4</v>
      </c>
      <c r="P1641" s="1399">
        <v>4</v>
      </c>
      <c r="Q1641" s="1399">
        <v>4</v>
      </c>
      <c r="R1641" s="1400">
        <v>4</v>
      </c>
    </row>
    <row r="1642" spans="2:18" x14ac:dyDescent="0.2">
      <c r="B1642" s="2197"/>
      <c r="C1642" s="1898"/>
      <c r="D1642" s="2198"/>
      <c r="E1642" s="2200"/>
      <c r="F1642" s="1598"/>
      <c r="G1642" s="1598"/>
      <c r="H1642" s="1598"/>
      <c r="I1642" s="1598"/>
      <c r="J1642" s="1598"/>
      <c r="K1642" s="1565" t="s">
        <v>2222</v>
      </c>
      <c r="L1642" s="1566"/>
      <c r="M1642" s="651" t="s">
        <v>31</v>
      </c>
      <c r="N1642" s="1399">
        <v>8</v>
      </c>
      <c r="O1642" s="1399">
        <v>8</v>
      </c>
      <c r="P1642" s="1399">
        <v>8</v>
      </c>
      <c r="Q1642" s="1399">
        <v>8</v>
      </c>
      <c r="R1642" s="1400">
        <v>8</v>
      </c>
    </row>
    <row r="1643" spans="2:18" ht="20.25" customHeight="1" x14ac:dyDescent="0.2">
      <c r="B1643" s="1609" t="s">
        <v>64</v>
      </c>
      <c r="C1643" s="1610"/>
      <c r="D1643" s="1610"/>
      <c r="E1643" s="1610"/>
      <c r="F1643" s="904">
        <f>F1641</f>
        <v>1208.3</v>
      </c>
      <c r="G1643" s="904">
        <f>G1641</f>
        <v>18147.8</v>
      </c>
      <c r="H1643" s="904">
        <f>H1641</f>
        <v>15432.9</v>
      </c>
      <c r="I1643" s="904">
        <f>I1641</f>
        <v>1294.2</v>
      </c>
      <c r="J1643" s="904">
        <f>J1641</f>
        <v>1306.9000000000001</v>
      </c>
      <c r="K1643" s="1571"/>
      <c r="L1643" s="1572"/>
      <c r="M1643" s="590"/>
      <c r="N1643" s="810"/>
      <c r="O1643" s="810"/>
      <c r="P1643" s="810"/>
      <c r="Q1643" s="810"/>
      <c r="R1643" s="1347"/>
    </row>
    <row r="1644" spans="2:18" ht="24.75" customHeight="1" x14ac:dyDescent="0.2">
      <c r="B1644" s="1541" t="s">
        <v>2223</v>
      </c>
      <c r="C1644" s="1542"/>
      <c r="D1644" s="1542"/>
      <c r="E1644" s="1542"/>
      <c r="F1644" s="1542"/>
      <c r="G1644" s="1542"/>
      <c r="H1644" s="1542"/>
      <c r="I1644" s="1542"/>
      <c r="J1644" s="1542"/>
      <c r="K1644" s="1542"/>
      <c r="L1644" s="1542"/>
      <c r="M1644" s="1542"/>
      <c r="N1644" s="1542"/>
      <c r="O1644" s="1542"/>
      <c r="P1644" s="1542"/>
      <c r="Q1644" s="1542"/>
      <c r="R1644" s="1543"/>
    </row>
    <row r="1645" spans="2:18" x14ac:dyDescent="0.2">
      <c r="B1645" s="893">
        <v>1</v>
      </c>
      <c r="C1645" s="1421"/>
      <c r="D1645" s="1421"/>
      <c r="E1645" s="1422" t="s">
        <v>327</v>
      </c>
      <c r="F1645" s="953">
        <f t="shared" ref="F1645:J1645" si="95">F1646+F1647+F1648</f>
        <v>46283.100000000006</v>
      </c>
      <c r="G1645" s="953">
        <f t="shared" si="95"/>
        <v>86979.4</v>
      </c>
      <c r="H1645" s="902">
        <f t="shared" si="95"/>
        <v>83144</v>
      </c>
      <c r="I1645" s="902">
        <f t="shared" si="95"/>
        <v>83444</v>
      </c>
      <c r="J1645" s="902">
        <f t="shared" si="95"/>
        <v>85977.8</v>
      </c>
      <c r="K1645" s="1567" t="s">
        <v>2224</v>
      </c>
      <c r="L1645" s="1568"/>
      <c r="M1645" s="1423" t="s">
        <v>17</v>
      </c>
      <c r="N1645" s="1424"/>
      <c r="O1645" s="1424"/>
      <c r="P1645" s="1424"/>
      <c r="Q1645" s="1424"/>
      <c r="R1645" s="1425"/>
    </row>
    <row r="1646" spans="2:18" x14ac:dyDescent="0.2">
      <c r="B1646" s="513"/>
      <c r="C1646" s="303">
        <v>3</v>
      </c>
      <c r="D1646" s="394"/>
      <c r="E1646" s="399" t="s">
        <v>24</v>
      </c>
      <c r="F1646" s="928">
        <v>15427.7</v>
      </c>
      <c r="G1646" s="901">
        <f>28993.1</f>
        <v>28993.1</v>
      </c>
      <c r="H1646" s="901">
        <v>27714.6</v>
      </c>
      <c r="I1646" s="901">
        <v>27714.6</v>
      </c>
      <c r="J1646" s="901">
        <f>27714.6+844.6</f>
        <v>28559.199999999997</v>
      </c>
      <c r="K1646" s="1565" t="s">
        <v>2225</v>
      </c>
      <c r="L1646" s="1566"/>
      <c r="M1646" s="395" t="s">
        <v>17</v>
      </c>
      <c r="N1646" s="994">
        <v>26</v>
      </c>
      <c r="O1646" s="994">
        <v>27</v>
      </c>
      <c r="P1646" s="994">
        <v>27</v>
      </c>
      <c r="Q1646" s="994">
        <v>27</v>
      </c>
      <c r="R1646" s="1426">
        <v>27</v>
      </c>
    </row>
    <row r="1647" spans="2:18" ht="25.5" x14ac:dyDescent="0.2">
      <c r="B1647" s="513"/>
      <c r="C1647" s="303">
        <v>50</v>
      </c>
      <c r="D1647" s="394"/>
      <c r="E1647" s="399" t="s">
        <v>2226</v>
      </c>
      <c r="F1647" s="928">
        <v>15427.6</v>
      </c>
      <c r="G1647" s="901">
        <v>28993.1</v>
      </c>
      <c r="H1647" s="901">
        <v>27714.7</v>
      </c>
      <c r="I1647" s="901">
        <v>27714.7</v>
      </c>
      <c r="J1647" s="901">
        <f>27714.7+844.6</f>
        <v>28559.3</v>
      </c>
      <c r="K1647" s="1565" t="s">
        <v>2227</v>
      </c>
      <c r="L1647" s="1566"/>
      <c r="M1647" s="395" t="s">
        <v>93</v>
      </c>
      <c r="N1647" s="994">
        <v>140</v>
      </c>
      <c r="O1647" s="994">
        <v>140</v>
      </c>
      <c r="P1647" s="994">
        <v>140</v>
      </c>
      <c r="Q1647" s="994">
        <v>140</v>
      </c>
      <c r="R1647" s="1426">
        <v>140</v>
      </c>
    </row>
    <row r="1648" spans="2:18" ht="25.5" x14ac:dyDescent="0.2">
      <c r="B1648" s="513"/>
      <c r="C1648" s="303">
        <v>51</v>
      </c>
      <c r="D1648" s="394"/>
      <c r="E1648" s="399" t="s">
        <v>2228</v>
      </c>
      <c r="F1648" s="928">
        <v>15427.8</v>
      </c>
      <c r="G1648" s="901">
        <v>28993.200000000001</v>
      </c>
      <c r="H1648" s="901">
        <v>27714.7</v>
      </c>
      <c r="I1648" s="901">
        <f>27714.7+300</f>
        <v>28014.7</v>
      </c>
      <c r="J1648" s="901">
        <f>27714.7+300+844.6</f>
        <v>28859.3</v>
      </c>
      <c r="K1648" s="1565" t="s">
        <v>2734</v>
      </c>
      <c r="L1648" s="1566"/>
      <c r="M1648" s="395" t="s">
        <v>93</v>
      </c>
      <c r="N1648" s="994">
        <v>5</v>
      </c>
      <c r="O1648" s="994">
        <v>5</v>
      </c>
      <c r="P1648" s="994">
        <v>5</v>
      </c>
      <c r="Q1648" s="994">
        <v>5</v>
      </c>
      <c r="R1648" s="1426">
        <v>5</v>
      </c>
    </row>
    <row r="1649" spans="2:18" ht="25.5" x14ac:dyDescent="0.2">
      <c r="B1649" s="1427" t="s">
        <v>138</v>
      </c>
      <c r="C1649" s="1428"/>
      <c r="D1649" s="1428"/>
      <c r="E1649" s="1422" t="s">
        <v>2229</v>
      </c>
      <c r="F1649" s="953">
        <f t="shared" ref="F1649:J1649" si="96">SUM(F1650:F1653)</f>
        <v>116066.5</v>
      </c>
      <c r="G1649" s="953">
        <f t="shared" si="96"/>
        <v>123728.9</v>
      </c>
      <c r="H1649" s="902">
        <f t="shared" si="96"/>
        <v>121539.9</v>
      </c>
      <c r="I1649" s="902">
        <f t="shared" si="96"/>
        <v>118845</v>
      </c>
      <c r="J1649" s="902">
        <f t="shared" si="96"/>
        <v>118845</v>
      </c>
      <c r="K1649" s="1567" t="s">
        <v>2230</v>
      </c>
      <c r="L1649" s="1568"/>
      <c r="M1649" s="1423" t="s">
        <v>93</v>
      </c>
      <c r="N1649" s="1429"/>
      <c r="O1649" s="1429"/>
      <c r="P1649" s="1429"/>
      <c r="Q1649" s="1429"/>
      <c r="R1649" s="1430"/>
    </row>
    <row r="1650" spans="2:18" ht="38.25" x14ac:dyDescent="0.2">
      <c r="B1650" s="1431"/>
      <c r="C1650" s="1432" t="s">
        <v>123</v>
      </c>
      <c r="D1650" s="1432"/>
      <c r="E1650" s="994" t="s">
        <v>2231</v>
      </c>
      <c r="F1650" s="928">
        <v>31460.7</v>
      </c>
      <c r="G1650" s="901">
        <v>33830.699999999997</v>
      </c>
      <c r="H1650" s="901">
        <v>33130.300000000003</v>
      </c>
      <c r="I1650" s="901">
        <v>33130.300000000003</v>
      </c>
      <c r="J1650" s="901">
        <v>33130.300000000003</v>
      </c>
      <c r="K1650" s="1569" t="s">
        <v>2232</v>
      </c>
      <c r="L1650" s="1570"/>
      <c r="M1650" s="395" t="s">
        <v>93</v>
      </c>
      <c r="N1650" s="1433">
        <v>7000</v>
      </c>
      <c r="O1650" s="1433">
        <v>7000</v>
      </c>
      <c r="P1650" s="1433">
        <v>7000</v>
      </c>
      <c r="Q1650" s="1433">
        <v>7000</v>
      </c>
      <c r="R1650" s="1434">
        <v>7000</v>
      </c>
    </row>
    <row r="1651" spans="2:18" ht="51" x14ac:dyDescent="0.2">
      <c r="B1651" s="1431"/>
      <c r="C1651" s="1432" t="s">
        <v>125</v>
      </c>
      <c r="D1651" s="1432"/>
      <c r="E1651" s="994" t="s">
        <v>2233</v>
      </c>
      <c r="F1651" s="928">
        <f>3500+269.4+8087.7+4111.7</f>
        <v>15968.8</v>
      </c>
      <c r="G1651" s="901">
        <f>9699.8+4528.3</f>
        <v>14228.099999999999</v>
      </c>
      <c r="H1651" s="901">
        <f>8561.8+4389.9+2200+379.5+308.5+100+200</f>
        <v>16139.699999999999</v>
      </c>
      <c r="I1651" s="901">
        <f>8561.8+4389.9+573.1</f>
        <v>13524.8</v>
      </c>
      <c r="J1651" s="901">
        <f>8561.8+4389.9+573.1</f>
        <v>13524.8</v>
      </c>
      <c r="K1651" s="1569" t="s">
        <v>2234</v>
      </c>
      <c r="L1651" s="1570"/>
      <c r="M1651" s="395" t="s">
        <v>93</v>
      </c>
      <c r="N1651" s="1433">
        <v>20</v>
      </c>
      <c r="O1651" s="1433">
        <v>20</v>
      </c>
      <c r="P1651" s="1433">
        <v>21</v>
      </c>
      <c r="Q1651" s="1433">
        <v>22</v>
      </c>
      <c r="R1651" s="1434">
        <v>22</v>
      </c>
    </row>
    <row r="1652" spans="2:18" ht="51" x14ac:dyDescent="0.2">
      <c r="B1652" s="1431"/>
      <c r="C1652" s="1432" t="s">
        <v>127</v>
      </c>
      <c r="D1652" s="1432"/>
      <c r="E1652" s="709" t="s">
        <v>2235</v>
      </c>
      <c r="F1652" s="928">
        <f>80+11112.7+18432.7+8406.4+7849.3</f>
        <v>45881.100000000006</v>
      </c>
      <c r="G1652" s="901">
        <f>20563.3+9900.6+20856.8</f>
        <v>51320.7</v>
      </c>
      <c r="H1652" s="901">
        <f>19828.4+9108+19996.4+28+32+20</f>
        <v>49012.800000000003</v>
      </c>
      <c r="I1652" s="901">
        <f>19828.4+9108+19996.4</f>
        <v>48932.800000000003</v>
      </c>
      <c r="J1652" s="901">
        <f>19828.4+9108+19996.4</f>
        <v>48932.800000000003</v>
      </c>
      <c r="K1652" s="1569" t="s">
        <v>2236</v>
      </c>
      <c r="L1652" s="1570"/>
      <c r="M1652" s="395" t="s">
        <v>93</v>
      </c>
      <c r="N1652" s="1433">
        <v>15</v>
      </c>
      <c r="O1652" s="1433">
        <v>15</v>
      </c>
      <c r="P1652" s="1433">
        <v>15</v>
      </c>
      <c r="Q1652" s="1433">
        <v>15</v>
      </c>
      <c r="R1652" s="1434">
        <v>15</v>
      </c>
    </row>
    <row r="1653" spans="2:18" ht="51" x14ac:dyDescent="0.2">
      <c r="B1653" s="1431"/>
      <c r="C1653" s="1432" t="s">
        <v>132</v>
      </c>
      <c r="D1653" s="1432"/>
      <c r="E1653" s="86" t="s">
        <v>2735</v>
      </c>
      <c r="F1653" s="928">
        <f>11492+11263.9</f>
        <v>22755.9</v>
      </c>
      <c r="G1653" s="901">
        <f>12138.8+12210.6</f>
        <v>24349.4</v>
      </c>
      <c r="H1653" s="901">
        <f>11725.9+11531.2</f>
        <v>23257.1</v>
      </c>
      <c r="I1653" s="901">
        <f>11725.9+11531.2</f>
        <v>23257.1</v>
      </c>
      <c r="J1653" s="901">
        <f>11725.9+11531.2</f>
        <v>23257.1</v>
      </c>
      <c r="K1653" s="1569" t="s">
        <v>2736</v>
      </c>
      <c r="L1653" s="1570"/>
      <c r="M1653" s="395" t="s">
        <v>93</v>
      </c>
      <c r="N1653" s="1435">
        <v>15</v>
      </c>
      <c r="O1653" s="1435">
        <v>15</v>
      </c>
      <c r="P1653" s="1435">
        <v>15</v>
      </c>
      <c r="Q1653" s="1435">
        <v>15</v>
      </c>
      <c r="R1653" s="1436">
        <v>15</v>
      </c>
    </row>
    <row r="1654" spans="2:18" ht="25.5" x14ac:dyDescent="0.2">
      <c r="B1654" s="1427" t="s">
        <v>161</v>
      </c>
      <c r="C1654" s="1428"/>
      <c r="D1654" s="1428"/>
      <c r="E1654" s="1437" t="s">
        <v>2237</v>
      </c>
      <c r="F1654" s="953">
        <f t="shared" ref="F1654:J1654" si="97">F1655+F1656+F1657</f>
        <v>107160.9</v>
      </c>
      <c r="G1654" s="953">
        <f t="shared" si="97"/>
        <v>119655.50000000001</v>
      </c>
      <c r="H1654" s="902">
        <f t="shared" si="97"/>
        <v>122216</v>
      </c>
      <c r="I1654" s="902">
        <f t="shared" si="97"/>
        <v>92420.099999999991</v>
      </c>
      <c r="J1654" s="902">
        <f t="shared" si="97"/>
        <v>92420.099999999991</v>
      </c>
      <c r="K1654" s="1567" t="s">
        <v>2238</v>
      </c>
      <c r="L1654" s="1568"/>
      <c r="M1654" s="1423" t="s">
        <v>31</v>
      </c>
      <c r="N1654" s="1429"/>
      <c r="O1654" s="1429"/>
      <c r="P1654" s="1429"/>
      <c r="Q1654" s="1429"/>
      <c r="R1654" s="1430"/>
    </row>
    <row r="1655" spans="2:18" ht="76.5" x14ac:dyDescent="0.2">
      <c r="B1655" s="1431"/>
      <c r="C1655" s="1432" t="s">
        <v>123</v>
      </c>
      <c r="D1655" s="1432"/>
      <c r="E1655" s="709" t="s">
        <v>2737</v>
      </c>
      <c r="F1655" s="928">
        <f>881.55+3912.9+975+1820.7+16240.1+9912.5+12142.7+4277.8</f>
        <v>50163.25</v>
      </c>
      <c r="G1655" s="901">
        <f>32967.3+12820.1+4513.4</f>
        <v>50300.800000000003</v>
      </c>
      <c r="H1655" s="901">
        <f>9782.3+12548.9+4360.9+10000+5367+926.4+5759.5+1253.5+643.2+1059.4</f>
        <v>51701.1</v>
      </c>
      <c r="I1655" s="901">
        <f>9782.3+12548.9+4360.9+573.1</f>
        <v>27265.199999999997</v>
      </c>
      <c r="J1655" s="901">
        <f>9782.3+12548.9+4360.9+573.1</f>
        <v>27265.199999999997</v>
      </c>
      <c r="K1655" s="1569" t="s">
        <v>2239</v>
      </c>
      <c r="L1655" s="1570"/>
      <c r="M1655" s="395" t="s">
        <v>2240</v>
      </c>
      <c r="N1655" s="1435">
        <v>5450</v>
      </c>
      <c r="O1655" s="1435">
        <v>5900</v>
      </c>
      <c r="P1655" s="1435">
        <v>6070</v>
      </c>
      <c r="Q1655" s="1435">
        <v>6500</v>
      </c>
      <c r="R1655" s="1436">
        <v>6500</v>
      </c>
    </row>
    <row r="1656" spans="2:18" ht="51" x14ac:dyDescent="0.2">
      <c r="B1656" s="1431"/>
      <c r="C1656" s="1432" t="s">
        <v>125</v>
      </c>
      <c r="D1656" s="1432"/>
      <c r="E1656" s="709" t="s">
        <v>2738</v>
      </c>
      <c r="F1656" s="928">
        <f>1250+11425.9+9912.5+5092.3</f>
        <v>27680.7</v>
      </c>
      <c r="G1656" s="901">
        <f>20927.6+12401.7+5385.6</f>
        <v>38714.9</v>
      </c>
      <c r="H1656" s="901">
        <f>20500.5+11409.3+4417.3+1120+193.2+2954.3+62.5+ 70+960</f>
        <v>41687.1</v>
      </c>
      <c r="I1656" s="901">
        <f>20500.5+11409.3+4417.3</f>
        <v>36327.1</v>
      </c>
      <c r="J1656" s="901">
        <f>20500.5+11409.3+4417.3</f>
        <v>36327.1</v>
      </c>
      <c r="K1656" s="1569" t="s">
        <v>2241</v>
      </c>
      <c r="L1656" s="1570"/>
      <c r="M1656" s="395" t="s">
        <v>93</v>
      </c>
      <c r="N1656" s="994" t="s">
        <v>2242</v>
      </c>
      <c r="O1656" s="994" t="s">
        <v>2243</v>
      </c>
      <c r="P1656" s="994" t="s">
        <v>2244</v>
      </c>
      <c r="Q1656" s="994" t="s">
        <v>2245</v>
      </c>
      <c r="R1656" s="1426" t="s">
        <v>2245</v>
      </c>
    </row>
    <row r="1657" spans="2:18" ht="51" x14ac:dyDescent="0.2">
      <c r="B1657" s="1431"/>
      <c r="C1657" s="1432" t="s">
        <v>127</v>
      </c>
      <c r="D1657" s="1432"/>
      <c r="E1657" s="709" t="s">
        <v>2246</v>
      </c>
      <c r="F1657" s="928">
        <f>881.55+12142.7+5092.3+4277.7+6922.7</f>
        <v>29316.95</v>
      </c>
      <c r="G1657" s="901">
        <f>4513.5+7920.4+12820.1+5385.6+0.2</f>
        <v>30639.8</v>
      </c>
      <c r="H1657" s="901">
        <f>12548.9+4417.3+4360.9+7500.5+0.2</f>
        <v>28827.8</v>
      </c>
      <c r="I1657" s="901">
        <f>12548.9+4417.3+4360.9+7500.5+0.2</f>
        <v>28827.8</v>
      </c>
      <c r="J1657" s="901">
        <f>12548.9+4417.3+4360.9+7500.5+0.2</f>
        <v>28827.8</v>
      </c>
      <c r="K1657" s="1569" t="s">
        <v>2247</v>
      </c>
      <c r="L1657" s="1570"/>
      <c r="M1657" s="395" t="s">
        <v>93</v>
      </c>
      <c r="N1657" s="994" t="s">
        <v>2248</v>
      </c>
      <c r="O1657" s="994" t="s">
        <v>2249</v>
      </c>
      <c r="P1657" s="994" t="s">
        <v>2249</v>
      </c>
      <c r="Q1657" s="994" t="s">
        <v>2250</v>
      </c>
      <c r="R1657" s="1426" t="s">
        <v>2250</v>
      </c>
    </row>
    <row r="1658" spans="2:18" x14ac:dyDescent="0.2">
      <c r="B1658" s="1438" t="s">
        <v>169</v>
      </c>
      <c r="C1658" s="1439"/>
      <c r="D1658" s="1439"/>
      <c r="E1658" s="1440" t="s">
        <v>2251</v>
      </c>
      <c r="F1658" s="953">
        <f t="shared" ref="F1658:J1658" si="98">F1659+F1660+F1661</f>
        <v>50966.799999999996</v>
      </c>
      <c r="G1658" s="953">
        <f t="shared" si="98"/>
        <v>79233.899999999994</v>
      </c>
      <c r="H1658" s="902">
        <f t="shared" si="98"/>
        <v>52662.399999999994</v>
      </c>
      <c r="I1658" s="902">
        <f t="shared" si="98"/>
        <v>50235.5</v>
      </c>
      <c r="J1658" s="902">
        <f t="shared" si="98"/>
        <v>50235.5</v>
      </c>
      <c r="K1658" s="1567" t="s">
        <v>2252</v>
      </c>
      <c r="L1658" s="1568"/>
      <c r="M1658" s="1423" t="s">
        <v>93</v>
      </c>
      <c r="N1658" s="1429"/>
      <c r="O1658" s="1429"/>
      <c r="P1658" s="1429"/>
      <c r="Q1658" s="1429"/>
      <c r="R1658" s="1430"/>
    </row>
    <row r="1659" spans="2:18" ht="63.75" x14ac:dyDescent="0.2">
      <c r="B1659" s="1431"/>
      <c r="C1659" s="1432" t="s">
        <v>123</v>
      </c>
      <c r="D1659" s="1432"/>
      <c r="E1659" s="86" t="s">
        <v>2739</v>
      </c>
      <c r="F1659" s="928">
        <f>3750.9+1315+6389+5614.6</f>
        <v>17069.5</v>
      </c>
      <c r="G1659" s="901">
        <f>14397.2+7348.3</f>
        <v>21745.5</v>
      </c>
      <c r="H1659" s="901">
        <f>7460.8+7128.2+3000</f>
        <v>17589</v>
      </c>
      <c r="I1659" s="901">
        <f>7460.8+7128.2</f>
        <v>14589</v>
      </c>
      <c r="J1659" s="901">
        <f>7460.8+7128.2</f>
        <v>14589</v>
      </c>
      <c r="K1659" s="1569" t="s">
        <v>2253</v>
      </c>
      <c r="L1659" s="1570"/>
      <c r="M1659" s="395" t="s">
        <v>93</v>
      </c>
      <c r="N1659" s="994" t="s">
        <v>2254</v>
      </c>
      <c r="O1659" s="994" t="s">
        <v>2255</v>
      </c>
      <c r="P1659" s="994" t="s">
        <v>2256</v>
      </c>
      <c r="Q1659" s="994" t="s">
        <v>2257</v>
      </c>
      <c r="R1659" s="1426" t="s">
        <v>2257</v>
      </c>
    </row>
    <row r="1660" spans="2:18" ht="38.25" x14ac:dyDescent="0.2">
      <c r="B1660" s="1431"/>
      <c r="C1660" s="1432" t="s">
        <v>125</v>
      </c>
      <c r="D1660" s="1432"/>
      <c r="E1660" s="709" t="s">
        <v>2258</v>
      </c>
      <c r="F1660" s="928">
        <f>12211.1+3892</f>
        <v>16103.1</v>
      </c>
      <c r="G1660" s="901">
        <f>33445.2+4204.6</f>
        <v>37649.799999999996</v>
      </c>
      <c r="H1660" s="901">
        <f>12715.1+4096.6</f>
        <v>16811.7</v>
      </c>
      <c r="I1660" s="901">
        <f>12715.1+4096.6</f>
        <v>16811.7</v>
      </c>
      <c r="J1660" s="901">
        <f>12715.1+4096.6</f>
        <v>16811.7</v>
      </c>
      <c r="K1660" s="1569" t="s">
        <v>2740</v>
      </c>
      <c r="L1660" s="1570"/>
      <c r="M1660" s="395" t="s">
        <v>93</v>
      </c>
      <c r="N1660" s="1433">
        <v>6</v>
      </c>
      <c r="O1660" s="1433">
        <v>4</v>
      </c>
      <c r="P1660" s="1433">
        <v>6</v>
      </c>
      <c r="Q1660" s="1433">
        <v>5</v>
      </c>
      <c r="R1660" s="1434">
        <v>5</v>
      </c>
    </row>
    <row r="1661" spans="2:18" ht="25.5" x14ac:dyDescent="0.2">
      <c r="B1661" s="1431"/>
      <c r="C1661" s="1432" t="s">
        <v>127</v>
      </c>
      <c r="D1661" s="1432"/>
      <c r="E1661" s="709" t="s">
        <v>2259</v>
      </c>
      <c r="F1661" s="928">
        <f>363+7602.9+6420.9+2612.1+795.3</f>
        <v>17794.199999999997</v>
      </c>
      <c r="G1661" s="901">
        <f>7986.5+2454.2+7197.5+2200.4</f>
        <v>19838.600000000002</v>
      </c>
      <c r="H1661" s="901">
        <f>7520.1+6229.2+2060.4+2452</f>
        <v>18261.699999999997</v>
      </c>
      <c r="I1661" s="901">
        <f>7520.1+6229.2+2060.4+2452+573.1</f>
        <v>18834.799999999996</v>
      </c>
      <c r="J1661" s="901">
        <f>7520.1+6229.2+2060.4+2452+573.1</f>
        <v>18834.799999999996</v>
      </c>
      <c r="K1661" s="1569" t="s">
        <v>2260</v>
      </c>
      <c r="L1661" s="1570"/>
      <c r="M1661" s="395" t="s">
        <v>93</v>
      </c>
      <c r="N1661" s="1433">
        <v>3</v>
      </c>
      <c r="O1661" s="1433">
        <v>4</v>
      </c>
      <c r="P1661" s="1433">
        <v>4</v>
      </c>
      <c r="Q1661" s="1433">
        <v>4</v>
      </c>
      <c r="R1661" s="1434">
        <v>4</v>
      </c>
    </row>
    <row r="1662" spans="2:18" ht="24.75" customHeight="1" x14ac:dyDescent="0.2">
      <c r="B1662" s="2201" t="s">
        <v>64</v>
      </c>
      <c r="C1662" s="2202"/>
      <c r="D1662" s="2202"/>
      <c r="E1662" s="2202"/>
      <c r="F1662" s="1107">
        <f t="shared" ref="F1662:J1662" si="99">F1645+F1649+F1654+F1658</f>
        <v>320477.3</v>
      </c>
      <c r="G1662" s="1107">
        <f t="shared" si="99"/>
        <v>409597.69999999995</v>
      </c>
      <c r="H1662" s="1107">
        <f>H1645+H1649+H1654+H1658</f>
        <v>379562.30000000005</v>
      </c>
      <c r="I1662" s="1107">
        <f t="shared" si="99"/>
        <v>344944.6</v>
      </c>
      <c r="J1662" s="1107">
        <f t="shared" si="99"/>
        <v>347478.39999999997</v>
      </c>
      <c r="K1662" s="1571"/>
      <c r="L1662" s="1572"/>
      <c r="M1662" s="590"/>
      <c r="N1662" s="810"/>
      <c r="O1662" s="810"/>
      <c r="P1662" s="810"/>
      <c r="Q1662" s="810"/>
      <c r="R1662" s="1347"/>
    </row>
    <row r="1663" spans="2:18" ht="18" customHeight="1" x14ac:dyDescent="0.2">
      <c r="B1663" s="1541" t="s">
        <v>2261</v>
      </c>
      <c r="C1663" s="1542"/>
      <c r="D1663" s="1542"/>
      <c r="E1663" s="1542"/>
      <c r="F1663" s="1542"/>
      <c r="G1663" s="1542"/>
      <c r="H1663" s="1542"/>
      <c r="I1663" s="1542"/>
      <c r="J1663" s="1542"/>
      <c r="K1663" s="1542"/>
      <c r="L1663" s="1542"/>
      <c r="M1663" s="1542"/>
      <c r="N1663" s="1542"/>
      <c r="O1663" s="1542"/>
      <c r="P1663" s="1542"/>
      <c r="Q1663" s="1542"/>
      <c r="R1663" s="1543"/>
    </row>
    <row r="1664" spans="2:18" ht="38.25" x14ac:dyDescent="0.2">
      <c r="B1664" s="1441" t="s">
        <v>138</v>
      </c>
      <c r="C1664" s="1100"/>
      <c r="D1664" s="1097"/>
      <c r="E1664" s="1442" t="s">
        <v>2841</v>
      </c>
      <c r="F1664" s="955">
        <f>F1665</f>
        <v>157834</v>
      </c>
      <c r="G1664" s="955">
        <f>G1665</f>
        <v>152233.20000000001</v>
      </c>
      <c r="H1664" s="955">
        <f t="shared" ref="H1664:J1664" si="100">H1665</f>
        <v>219806</v>
      </c>
      <c r="I1664" s="955">
        <f t="shared" si="100"/>
        <v>151074.9</v>
      </c>
      <c r="J1664" s="955">
        <f t="shared" si="100"/>
        <v>152561.9</v>
      </c>
      <c r="K1664" s="543" t="s">
        <v>1328</v>
      </c>
      <c r="L1664" s="605"/>
      <c r="M1664" s="401"/>
      <c r="N1664" s="543"/>
      <c r="O1664" s="546"/>
      <c r="P1664" s="546"/>
      <c r="Q1664" s="546"/>
      <c r="R1664" s="1443"/>
    </row>
    <row r="1665" spans="2:18" ht="25.5" x14ac:dyDescent="0.2">
      <c r="B1665" s="1441"/>
      <c r="C1665" s="1100" t="s">
        <v>120</v>
      </c>
      <c r="D1665" s="1097"/>
      <c r="E1665" s="543" t="s">
        <v>2262</v>
      </c>
      <c r="F1665" s="954">
        <v>157834</v>
      </c>
      <c r="G1665" s="954">
        <v>152233.20000000001</v>
      </c>
      <c r="H1665" s="954">
        <f>149606+70200</f>
        <v>219806</v>
      </c>
      <c r="I1665" s="954">
        <v>151074.9</v>
      </c>
      <c r="J1665" s="954">
        <v>152561.9</v>
      </c>
      <c r="K1665" s="543" t="s">
        <v>2263</v>
      </c>
      <c r="L1665" s="605"/>
      <c r="M1665" s="401"/>
      <c r="N1665" s="543">
        <v>7135</v>
      </c>
      <c r="O1665" s="544">
        <v>7200</v>
      </c>
      <c r="P1665" s="544">
        <v>7250</v>
      </c>
      <c r="Q1665" s="544">
        <v>7300</v>
      </c>
      <c r="R1665" s="1444">
        <v>7400</v>
      </c>
    </row>
    <row r="1666" spans="2:18" ht="30" customHeight="1" x14ac:dyDescent="0.2">
      <c r="B1666" s="1609" t="s">
        <v>64</v>
      </c>
      <c r="C1666" s="1610"/>
      <c r="D1666" s="1610"/>
      <c r="E1666" s="1610"/>
      <c r="F1666" s="1107">
        <f>F1664</f>
        <v>157834</v>
      </c>
      <c r="G1666" s="1107">
        <f t="shared" ref="G1666:J1666" si="101">G1664</f>
        <v>152233.20000000001</v>
      </c>
      <c r="H1666" s="1107">
        <f>H1664</f>
        <v>219806</v>
      </c>
      <c r="I1666" s="1107">
        <f t="shared" si="101"/>
        <v>151074.9</v>
      </c>
      <c r="J1666" s="1107">
        <f t="shared" si="101"/>
        <v>152561.9</v>
      </c>
      <c r="K1666" s="1445"/>
      <c r="L1666" s="1445"/>
      <c r="M1666" s="590"/>
      <c r="N1666" s="810"/>
      <c r="O1666" s="810"/>
      <c r="P1666" s="810"/>
      <c r="Q1666" s="810"/>
      <c r="R1666" s="1347"/>
    </row>
    <row r="1667" spans="2:18" ht="21" customHeight="1" x14ac:dyDescent="0.2">
      <c r="B1667" s="1541" t="s">
        <v>2264</v>
      </c>
      <c r="C1667" s="1542"/>
      <c r="D1667" s="1542"/>
      <c r="E1667" s="1542"/>
      <c r="F1667" s="1542"/>
      <c r="G1667" s="1542"/>
      <c r="H1667" s="1542"/>
      <c r="I1667" s="1542"/>
      <c r="J1667" s="1542"/>
      <c r="K1667" s="1542"/>
      <c r="L1667" s="1542"/>
      <c r="M1667" s="1542"/>
      <c r="N1667" s="1542"/>
      <c r="O1667" s="1542"/>
      <c r="P1667" s="1542"/>
      <c r="Q1667" s="1542"/>
      <c r="R1667" s="1543"/>
    </row>
    <row r="1668" spans="2:18" ht="38.25" x14ac:dyDescent="0.2">
      <c r="B1668" s="1329">
        <v>1</v>
      </c>
      <c r="C1668" s="1088"/>
      <c r="D1668" s="1089"/>
      <c r="E1668" s="693" t="s">
        <v>2792</v>
      </c>
      <c r="F1668" s="959">
        <f t="shared" ref="F1668:J1668" si="102">F1669+F1670+F1671+F1672+F1673+F1674+F1675+F1676</f>
        <v>12156.900000000001</v>
      </c>
      <c r="G1668" s="959">
        <f t="shared" si="102"/>
        <v>11170</v>
      </c>
      <c r="H1668" s="959">
        <f t="shared" si="102"/>
        <v>11753.8</v>
      </c>
      <c r="I1668" s="959">
        <f t="shared" si="102"/>
        <v>12001.9</v>
      </c>
      <c r="J1668" s="959">
        <f t="shared" si="102"/>
        <v>12106.4</v>
      </c>
      <c r="K1668" s="1556" t="s">
        <v>16</v>
      </c>
      <c r="L1668" s="1557"/>
      <c r="M1668" s="336" t="s">
        <v>17</v>
      </c>
      <c r="N1668" s="1446">
        <v>100</v>
      </c>
      <c r="O1668" s="995">
        <v>1</v>
      </c>
      <c r="P1668" s="995">
        <v>1</v>
      </c>
      <c r="Q1668" s="995">
        <v>1</v>
      </c>
      <c r="R1668" s="1447">
        <v>1</v>
      </c>
    </row>
    <row r="1669" spans="2:18" x14ac:dyDescent="0.2">
      <c r="B1669" s="1329"/>
      <c r="C1669" s="556">
        <v>1</v>
      </c>
      <c r="D1669" s="1088"/>
      <c r="E1669" s="1112" t="s">
        <v>18</v>
      </c>
      <c r="F1669" s="933">
        <v>1529.5</v>
      </c>
      <c r="G1669" s="933">
        <v>1242.4000000000001</v>
      </c>
      <c r="H1669" s="933">
        <v>1386.5</v>
      </c>
      <c r="I1669" s="933">
        <v>1386.5</v>
      </c>
      <c r="J1669" s="933">
        <v>1386.5</v>
      </c>
      <c r="K1669" s="1548" t="s">
        <v>19</v>
      </c>
      <c r="L1669" s="1549"/>
      <c r="M1669" s="336" t="s">
        <v>20</v>
      </c>
      <c r="N1669" s="1090" t="s">
        <v>21</v>
      </c>
      <c r="O1669" s="768" t="s">
        <v>21</v>
      </c>
      <c r="P1669" s="768" t="s">
        <v>21</v>
      </c>
      <c r="Q1669" s="768" t="s">
        <v>21</v>
      </c>
      <c r="R1669" s="1448" t="s">
        <v>21</v>
      </c>
    </row>
    <row r="1670" spans="2:18" x14ac:dyDescent="0.2">
      <c r="B1670" s="1329"/>
      <c r="C1670" s="556">
        <v>2</v>
      </c>
      <c r="D1670" s="1088"/>
      <c r="E1670" s="1112" t="s">
        <v>22</v>
      </c>
      <c r="F1670" s="933">
        <v>990.80000000000007</v>
      </c>
      <c r="G1670" s="933">
        <v>739.2</v>
      </c>
      <c r="H1670" s="933">
        <v>1443.2</v>
      </c>
      <c r="I1670" s="933">
        <v>1691.3</v>
      </c>
      <c r="J1670" s="933">
        <v>1795.8000000000002</v>
      </c>
      <c r="K1670" s="1548" t="s">
        <v>23</v>
      </c>
      <c r="L1670" s="1549"/>
      <c r="M1670" s="336" t="s">
        <v>17</v>
      </c>
      <c r="N1670" s="1090">
        <v>100</v>
      </c>
      <c r="O1670" s="995">
        <v>1</v>
      </c>
      <c r="P1670" s="995">
        <v>1</v>
      </c>
      <c r="Q1670" s="995">
        <v>1</v>
      </c>
      <c r="R1670" s="1447">
        <v>1</v>
      </c>
    </row>
    <row r="1671" spans="2:18" x14ac:dyDescent="0.2">
      <c r="B1671" s="1329"/>
      <c r="C1671" s="556">
        <v>3</v>
      </c>
      <c r="D1671" s="1088"/>
      <c r="E1671" s="1112" t="s">
        <v>24</v>
      </c>
      <c r="F1671" s="933">
        <v>317.8</v>
      </c>
      <c r="G1671" s="933">
        <v>371</v>
      </c>
      <c r="H1671" s="933">
        <v>371</v>
      </c>
      <c r="I1671" s="933">
        <v>371</v>
      </c>
      <c r="J1671" s="933">
        <v>371</v>
      </c>
      <c r="K1671" s="1548" t="s">
        <v>25</v>
      </c>
      <c r="L1671" s="1549"/>
      <c r="M1671" s="336" t="s">
        <v>17</v>
      </c>
      <c r="N1671" s="1090">
        <v>100</v>
      </c>
      <c r="O1671" s="768" t="s">
        <v>1103</v>
      </c>
      <c r="P1671" s="768" t="s">
        <v>1103</v>
      </c>
      <c r="Q1671" s="768" t="s">
        <v>1103</v>
      </c>
      <c r="R1671" s="1448" t="s">
        <v>1103</v>
      </c>
    </row>
    <row r="1672" spans="2:18" x14ac:dyDescent="0.2">
      <c r="B1672" s="1329"/>
      <c r="C1672" s="556">
        <v>4</v>
      </c>
      <c r="D1672" s="1088"/>
      <c r="E1672" s="1112" t="s">
        <v>26</v>
      </c>
      <c r="F1672" s="933">
        <v>270.89999999999998</v>
      </c>
      <c r="G1672" s="933">
        <v>417</v>
      </c>
      <c r="H1672" s="933">
        <v>417</v>
      </c>
      <c r="I1672" s="933">
        <v>417</v>
      </c>
      <c r="J1672" s="933">
        <v>417</v>
      </c>
      <c r="K1672" s="1548" t="s">
        <v>27</v>
      </c>
      <c r="L1672" s="1549"/>
      <c r="M1672" s="336" t="s">
        <v>28</v>
      </c>
      <c r="N1672" s="1090" t="s">
        <v>21</v>
      </c>
      <c r="O1672" s="768" t="s">
        <v>1103</v>
      </c>
      <c r="P1672" s="768" t="s">
        <v>1103</v>
      </c>
      <c r="Q1672" s="768" t="s">
        <v>1103</v>
      </c>
      <c r="R1672" s="1448" t="s">
        <v>1103</v>
      </c>
    </row>
    <row r="1673" spans="2:18" x14ac:dyDescent="0.2">
      <c r="B1673" s="1329"/>
      <c r="C1673" s="556">
        <v>5</v>
      </c>
      <c r="D1673" s="1088"/>
      <c r="E1673" s="1112" t="s">
        <v>29</v>
      </c>
      <c r="F1673" s="933">
        <v>763.09999999999991</v>
      </c>
      <c r="G1673" s="933">
        <v>370</v>
      </c>
      <c r="H1673" s="933">
        <v>370</v>
      </c>
      <c r="I1673" s="933">
        <v>370</v>
      </c>
      <c r="J1673" s="933">
        <v>370</v>
      </c>
      <c r="K1673" s="1548" t="s">
        <v>333</v>
      </c>
      <c r="L1673" s="1549"/>
      <c r="M1673" s="688" t="s">
        <v>31</v>
      </c>
      <c r="N1673" s="1090">
        <v>13</v>
      </c>
      <c r="O1673" s="768" t="s">
        <v>1103</v>
      </c>
      <c r="P1673" s="768" t="s">
        <v>1103</v>
      </c>
      <c r="Q1673" s="768" t="s">
        <v>1103</v>
      </c>
      <c r="R1673" s="1448" t="s">
        <v>1103</v>
      </c>
    </row>
    <row r="1674" spans="2:18" x14ac:dyDescent="0.2">
      <c r="B1674" s="1329"/>
      <c r="C1674" s="556">
        <v>6</v>
      </c>
      <c r="D1674" s="1088"/>
      <c r="E1674" s="807" t="s">
        <v>32</v>
      </c>
      <c r="F1674" s="933">
        <v>1540.1000000000001</v>
      </c>
      <c r="G1674" s="933">
        <v>1520</v>
      </c>
      <c r="H1674" s="933">
        <v>1722.7</v>
      </c>
      <c r="I1674" s="933">
        <v>1722.7</v>
      </c>
      <c r="J1674" s="933">
        <v>1722.7</v>
      </c>
      <c r="K1674" s="1548" t="s">
        <v>249</v>
      </c>
      <c r="L1674" s="1549"/>
      <c r="M1674" s="688" t="s">
        <v>17</v>
      </c>
      <c r="N1674" s="1090">
        <v>22</v>
      </c>
      <c r="O1674" s="1449">
        <v>0.22</v>
      </c>
      <c r="P1674" s="1449">
        <v>0.22</v>
      </c>
      <c r="Q1674" s="1449">
        <v>0.22</v>
      </c>
      <c r="R1674" s="1450">
        <v>0.22</v>
      </c>
    </row>
    <row r="1675" spans="2:18" ht="25.5" x14ac:dyDescent="0.2">
      <c r="B1675" s="1329"/>
      <c r="C1675" s="556">
        <v>7</v>
      </c>
      <c r="D1675" s="1088"/>
      <c r="E1675" s="807" t="s">
        <v>251</v>
      </c>
      <c r="F1675" s="933">
        <v>2131.8000000000002</v>
      </c>
      <c r="G1675" s="933">
        <v>2185.4</v>
      </c>
      <c r="H1675" s="933">
        <v>2032.7</v>
      </c>
      <c r="I1675" s="933">
        <v>2032.7</v>
      </c>
      <c r="J1675" s="933">
        <v>2032.7</v>
      </c>
      <c r="K1675" s="1548" t="s">
        <v>2265</v>
      </c>
      <c r="L1675" s="1549"/>
      <c r="M1675" s="336" t="s">
        <v>17</v>
      </c>
      <c r="N1675" s="1090">
        <v>100</v>
      </c>
      <c r="O1675" s="768" t="s">
        <v>1103</v>
      </c>
      <c r="P1675" s="768" t="s">
        <v>1103</v>
      </c>
      <c r="Q1675" s="768" t="s">
        <v>1103</v>
      </c>
      <c r="R1675" s="1448" t="s">
        <v>1103</v>
      </c>
    </row>
    <row r="1676" spans="2:18" x14ac:dyDescent="0.2">
      <c r="B1676" s="1329"/>
      <c r="C1676" s="556">
        <v>8</v>
      </c>
      <c r="D1676" s="1088"/>
      <c r="E1676" s="807" t="s">
        <v>247</v>
      </c>
      <c r="F1676" s="933">
        <v>4612.9000000000005</v>
      </c>
      <c r="G1676" s="933">
        <v>4325</v>
      </c>
      <c r="H1676" s="933">
        <v>4010.7</v>
      </c>
      <c r="I1676" s="933">
        <v>4010.7</v>
      </c>
      <c r="J1676" s="933">
        <v>4010.7</v>
      </c>
      <c r="K1676" s="1548" t="s">
        <v>2266</v>
      </c>
      <c r="L1676" s="1549"/>
      <c r="M1676" s="688" t="s">
        <v>17</v>
      </c>
      <c r="N1676" s="1090">
        <v>22</v>
      </c>
      <c r="O1676" s="768" t="s">
        <v>1103</v>
      </c>
      <c r="P1676" s="768" t="s">
        <v>1103</v>
      </c>
      <c r="Q1676" s="768" t="s">
        <v>1103</v>
      </c>
      <c r="R1676" s="1448" t="s">
        <v>1103</v>
      </c>
    </row>
    <row r="1677" spans="2:18" ht="96" customHeight="1" x14ac:dyDescent="0.2">
      <c r="B1677" s="1343" t="s">
        <v>138</v>
      </c>
      <c r="C1677" s="1124"/>
      <c r="D1677" s="1114"/>
      <c r="E1677" s="693" t="s">
        <v>2842</v>
      </c>
      <c r="F1677" s="959">
        <f t="shared" ref="F1677" si="103">SUM(F1678:F1683)</f>
        <v>477.7</v>
      </c>
      <c r="G1677" s="959">
        <f>SUM(G1678:G1683)</f>
        <v>516.9</v>
      </c>
      <c r="H1677" s="959">
        <f t="shared" ref="H1677:J1677" si="104">SUM(H1678:H1683)</f>
        <v>714</v>
      </c>
      <c r="I1677" s="959">
        <f t="shared" si="104"/>
        <v>714</v>
      </c>
      <c r="J1677" s="959">
        <f t="shared" si="104"/>
        <v>714</v>
      </c>
      <c r="K1677" s="1556" t="s">
        <v>2267</v>
      </c>
      <c r="L1677" s="1557"/>
      <c r="M1677" s="1154" t="s">
        <v>17</v>
      </c>
      <c r="N1677" s="417"/>
      <c r="O1677" s="768" t="s">
        <v>1103</v>
      </c>
      <c r="P1677" s="768" t="s">
        <v>1103</v>
      </c>
      <c r="Q1677" s="768" t="s">
        <v>1103</v>
      </c>
      <c r="R1677" s="1448" t="s">
        <v>1103</v>
      </c>
    </row>
    <row r="1678" spans="2:18" ht="25.5" x14ac:dyDescent="0.2">
      <c r="B1678" s="1343"/>
      <c r="C1678" s="1124" t="s">
        <v>123</v>
      </c>
      <c r="D1678" s="1114"/>
      <c r="E1678" s="807" t="s">
        <v>2268</v>
      </c>
      <c r="F1678" s="933">
        <f>54.2+28.8</f>
        <v>83</v>
      </c>
      <c r="G1678" s="933">
        <v>133.9</v>
      </c>
      <c r="H1678" s="933">
        <f>238000/1000</f>
        <v>238</v>
      </c>
      <c r="I1678" s="933">
        <f>238000/1000</f>
        <v>238</v>
      </c>
      <c r="J1678" s="933">
        <f>238000/1000</f>
        <v>238</v>
      </c>
      <c r="K1678" s="1548" t="s">
        <v>2269</v>
      </c>
      <c r="L1678" s="1549"/>
      <c r="M1678" s="1154" t="s">
        <v>31</v>
      </c>
      <c r="N1678" s="557">
        <v>58</v>
      </c>
      <c r="O1678" s="768" t="s">
        <v>1103</v>
      </c>
      <c r="P1678" s="768" t="s">
        <v>1103</v>
      </c>
      <c r="Q1678" s="768" t="s">
        <v>1103</v>
      </c>
      <c r="R1678" s="1448" t="s">
        <v>1103</v>
      </c>
    </row>
    <row r="1679" spans="2:18" ht="25.5" x14ac:dyDescent="0.2">
      <c r="B1679" s="1343"/>
      <c r="C1679" s="1124" t="s">
        <v>125</v>
      </c>
      <c r="D1679" s="1114"/>
      <c r="E1679" s="807" t="s">
        <v>2270</v>
      </c>
      <c r="F1679" s="933">
        <v>59.1</v>
      </c>
      <c r="G1679" s="933">
        <f>132000/1000</f>
        <v>132</v>
      </c>
      <c r="H1679" s="933">
        <f>132000/1000</f>
        <v>132</v>
      </c>
      <c r="I1679" s="933">
        <f>132000/1000</f>
        <v>132</v>
      </c>
      <c r="J1679" s="933">
        <f>132000/1000</f>
        <v>132</v>
      </c>
      <c r="K1679" s="1548" t="s">
        <v>2271</v>
      </c>
      <c r="L1679" s="1549"/>
      <c r="M1679" s="1154" t="s">
        <v>31</v>
      </c>
      <c r="N1679" s="557">
        <v>107</v>
      </c>
      <c r="O1679" s="768" t="s">
        <v>1103</v>
      </c>
      <c r="P1679" s="768" t="s">
        <v>1103</v>
      </c>
      <c r="Q1679" s="768" t="s">
        <v>1103</v>
      </c>
      <c r="R1679" s="1448" t="s">
        <v>1103</v>
      </c>
    </row>
    <row r="1680" spans="2:18" ht="38.25" x14ac:dyDescent="0.2">
      <c r="B1680" s="1343"/>
      <c r="C1680" s="1124" t="s">
        <v>127</v>
      </c>
      <c r="D1680" s="1114"/>
      <c r="E1680" s="807" t="s">
        <v>2272</v>
      </c>
      <c r="F1680" s="933">
        <v>79</v>
      </c>
      <c r="G1680" s="933">
        <v>131</v>
      </c>
      <c r="H1680" s="933">
        <f>131000/1000</f>
        <v>131</v>
      </c>
      <c r="I1680" s="933">
        <f>131000/1000</f>
        <v>131</v>
      </c>
      <c r="J1680" s="933">
        <f>131000/1000</f>
        <v>131</v>
      </c>
      <c r="K1680" s="1548" t="s">
        <v>2273</v>
      </c>
      <c r="L1680" s="1549"/>
      <c r="M1680" s="1451" t="s">
        <v>17</v>
      </c>
      <c r="N1680" s="557" t="s">
        <v>21</v>
      </c>
      <c r="O1680" s="768" t="s">
        <v>1103</v>
      </c>
      <c r="P1680" s="768" t="s">
        <v>1103</v>
      </c>
      <c r="Q1680" s="768" t="s">
        <v>1103</v>
      </c>
      <c r="R1680" s="1448" t="s">
        <v>1103</v>
      </c>
    </row>
    <row r="1681" spans="2:18" x14ac:dyDescent="0.2">
      <c r="B1681" s="1623"/>
      <c r="C1681" s="1624" t="s">
        <v>132</v>
      </c>
      <c r="D1681" s="1624"/>
      <c r="E1681" s="1625" t="s">
        <v>2274</v>
      </c>
      <c r="F1681" s="933">
        <f>220.4-13.5</f>
        <v>206.9</v>
      </c>
      <c r="G1681" s="933"/>
      <c r="H1681" s="933">
        <v>93</v>
      </c>
      <c r="I1681" s="933">
        <v>93</v>
      </c>
      <c r="J1681" s="933">
        <v>93</v>
      </c>
      <c r="K1681" s="1548" t="s">
        <v>2275</v>
      </c>
      <c r="L1681" s="1549"/>
      <c r="M1681" s="1154" t="s">
        <v>31</v>
      </c>
      <c r="N1681" s="557">
        <v>1008</v>
      </c>
      <c r="O1681" s="1558" t="s">
        <v>1103</v>
      </c>
      <c r="P1681" s="1558" t="s">
        <v>1103</v>
      </c>
      <c r="Q1681" s="1558" t="s">
        <v>1103</v>
      </c>
      <c r="R1681" s="1626" t="s">
        <v>1103</v>
      </c>
    </row>
    <row r="1682" spans="2:18" x14ac:dyDescent="0.2">
      <c r="B1682" s="1623"/>
      <c r="C1682" s="1624"/>
      <c r="D1682" s="1624"/>
      <c r="E1682" s="1625"/>
      <c r="F1682" s="933"/>
      <c r="G1682" s="933"/>
      <c r="H1682" s="933"/>
      <c r="I1682" s="933"/>
      <c r="J1682" s="933"/>
      <c r="K1682" s="1548" t="s">
        <v>2276</v>
      </c>
      <c r="L1682" s="1549"/>
      <c r="M1682" s="1154" t="s">
        <v>130</v>
      </c>
      <c r="N1682" s="768">
        <v>76</v>
      </c>
      <c r="O1682" s="1558"/>
      <c r="P1682" s="1558"/>
      <c r="Q1682" s="1558"/>
      <c r="R1682" s="1626"/>
    </row>
    <row r="1683" spans="2:18" ht="38.25" x14ac:dyDescent="0.2">
      <c r="B1683" s="1343"/>
      <c r="C1683" s="1124" t="s">
        <v>74</v>
      </c>
      <c r="D1683" s="1114"/>
      <c r="E1683" s="807" t="s">
        <v>2741</v>
      </c>
      <c r="F1683" s="933">
        <v>49.7</v>
      </c>
      <c r="G1683" s="933">
        <f>120000/1000</f>
        <v>120</v>
      </c>
      <c r="H1683" s="933">
        <f>120000/1000</f>
        <v>120</v>
      </c>
      <c r="I1683" s="933">
        <f>120000/1000</f>
        <v>120</v>
      </c>
      <c r="J1683" s="933">
        <f>120000/1000</f>
        <v>120</v>
      </c>
      <c r="K1683" s="1548" t="s">
        <v>2277</v>
      </c>
      <c r="L1683" s="1549"/>
      <c r="M1683" s="1154" t="s">
        <v>17</v>
      </c>
      <c r="N1683" s="557">
        <v>100</v>
      </c>
      <c r="O1683" s="768" t="s">
        <v>1103</v>
      </c>
      <c r="P1683" s="768" t="s">
        <v>1103</v>
      </c>
      <c r="Q1683" s="768" t="s">
        <v>1103</v>
      </c>
      <c r="R1683" s="1448" t="s">
        <v>1103</v>
      </c>
    </row>
    <row r="1684" spans="2:18" x14ac:dyDescent="0.2">
      <c r="B1684" s="1609" t="s">
        <v>64</v>
      </c>
      <c r="C1684" s="1610"/>
      <c r="D1684" s="1610"/>
      <c r="E1684" s="1610"/>
      <c r="F1684" s="1107">
        <f t="shared" ref="F1684" si="105">F1668+F1677</f>
        <v>12634.600000000002</v>
      </c>
      <c r="G1684" s="1107">
        <f>G1668+G1677</f>
        <v>11686.9</v>
      </c>
      <c r="H1684" s="1107">
        <f t="shared" ref="H1684" si="106">H1668+H1677</f>
        <v>12467.8</v>
      </c>
      <c r="I1684" s="1107">
        <f>I1668+I1677</f>
        <v>12715.9</v>
      </c>
      <c r="J1684" s="1107">
        <f>J1668+J1677</f>
        <v>12820.4</v>
      </c>
      <c r="K1684" s="1527"/>
      <c r="L1684" s="1528"/>
      <c r="M1684" s="590"/>
      <c r="N1684" s="810"/>
      <c r="O1684" s="810"/>
      <c r="P1684" s="810"/>
      <c r="Q1684" s="810"/>
      <c r="R1684" s="1347"/>
    </row>
    <row r="1685" spans="2:18" ht="28.5" customHeight="1" x14ac:dyDescent="0.2">
      <c r="B1685" s="1541" t="s">
        <v>2278</v>
      </c>
      <c r="C1685" s="1542"/>
      <c r="D1685" s="1542"/>
      <c r="E1685" s="1542"/>
      <c r="F1685" s="1542"/>
      <c r="G1685" s="1542"/>
      <c r="H1685" s="1542"/>
      <c r="I1685" s="1542"/>
      <c r="J1685" s="1542"/>
      <c r="K1685" s="1542"/>
      <c r="L1685" s="1542"/>
      <c r="M1685" s="1542"/>
      <c r="N1685" s="1542"/>
      <c r="O1685" s="1542"/>
      <c r="P1685" s="1542"/>
      <c r="Q1685" s="1542"/>
      <c r="R1685" s="1543"/>
    </row>
    <row r="1686" spans="2:18" x14ac:dyDescent="0.2">
      <c r="B1686" s="1627" t="s">
        <v>138</v>
      </c>
      <c r="C1686" s="1628"/>
      <c r="D1686" s="1628"/>
      <c r="E1686" s="1629" t="s">
        <v>2843</v>
      </c>
      <c r="F1686" s="1559">
        <f>F1688+F1689</f>
        <v>20679.2</v>
      </c>
      <c r="G1686" s="1559">
        <f t="shared" ref="G1686:J1686" si="107">G1688+G1689</f>
        <v>17664.400000000001</v>
      </c>
      <c r="H1686" s="1559">
        <f t="shared" si="107"/>
        <v>17664.400000000001</v>
      </c>
      <c r="I1686" s="1559">
        <f t="shared" si="107"/>
        <v>17837.8</v>
      </c>
      <c r="J1686" s="1559">
        <f t="shared" si="107"/>
        <v>18013.400000000001</v>
      </c>
      <c r="K1686" s="1560"/>
      <c r="L1686" s="1561"/>
      <c r="M1686" s="1564"/>
      <c r="N1686" s="1630"/>
      <c r="O1686" s="1630"/>
      <c r="P1686" s="1630"/>
      <c r="Q1686" s="1630"/>
      <c r="R1686" s="1631"/>
    </row>
    <row r="1687" spans="2:18" x14ac:dyDescent="0.2">
      <c r="B1687" s="1627"/>
      <c r="C1687" s="1628"/>
      <c r="D1687" s="1628"/>
      <c r="E1687" s="1629"/>
      <c r="F1687" s="1559"/>
      <c r="G1687" s="1559"/>
      <c r="H1687" s="1559"/>
      <c r="I1687" s="1559"/>
      <c r="J1687" s="1559"/>
      <c r="K1687" s="1562"/>
      <c r="L1687" s="1563"/>
      <c r="M1687" s="1564"/>
      <c r="N1687" s="1630"/>
      <c r="O1687" s="1630"/>
      <c r="P1687" s="1630"/>
      <c r="Q1687" s="1630"/>
      <c r="R1687" s="1631"/>
    </row>
    <row r="1688" spans="2:18" x14ac:dyDescent="0.2">
      <c r="B1688" s="1452"/>
      <c r="C1688" s="1453" t="s">
        <v>123</v>
      </c>
      <c r="D1688" s="1453"/>
      <c r="E1688" s="582" t="s">
        <v>2279</v>
      </c>
      <c r="F1688" s="987">
        <v>10339.6</v>
      </c>
      <c r="G1688" s="987">
        <v>8832.2000000000007</v>
      </c>
      <c r="H1688" s="987">
        <v>8832.2000000000007</v>
      </c>
      <c r="I1688" s="987">
        <v>8918.9</v>
      </c>
      <c r="J1688" s="987">
        <v>9006.7000000000007</v>
      </c>
      <c r="K1688" s="1565" t="s">
        <v>2280</v>
      </c>
      <c r="L1688" s="1566"/>
      <c r="M1688" s="336" t="s">
        <v>93</v>
      </c>
      <c r="N1688" s="557">
        <v>57</v>
      </c>
      <c r="O1688" s="557">
        <v>38</v>
      </c>
      <c r="P1688" s="557">
        <v>40</v>
      </c>
      <c r="Q1688" s="557">
        <v>45</v>
      </c>
      <c r="R1688" s="1348">
        <v>50</v>
      </c>
    </row>
    <row r="1689" spans="2:18" ht="33" customHeight="1" x14ac:dyDescent="0.2">
      <c r="B1689" s="1454"/>
      <c r="C1689" s="1290" t="s">
        <v>127</v>
      </c>
      <c r="D1689" s="1290"/>
      <c r="E1689" s="807" t="s">
        <v>2281</v>
      </c>
      <c r="F1689" s="987">
        <v>10339.6</v>
      </c>
      <c r="G1689" s="987">
        <v>8832.2000000000007</v>
      </c>
      <c r="H1689" s="987">
        <v>8832.2000000000007</v>
      </c>
      <c r="I1689" s="987">
        <v>8918.9</v>
      </c>
      <c r="J1689" s="987">
        <v>9006.7000000000007</v>
      </c>
      <c r="K1689" s="1548" t="s">
        <v>2282</v>
      </c>
      <c r="L1689" s="1549"/>
      <c r="M1689" s="336" t="s">
        <v>2283</v>
      </c>
      <c r="N1689" s="561">
        <v>15441.4</v>
      </c>
      <c r="O1689" s="561">
        <v>7000</v>
      </c>
      <c r="P1689" s="561">
        <v>15000</v>
      </c>
      <c r="Q1689" s="561">
        <v>10000</v>
      </c>
      <c r="R1689" s="1455">
        <v>10000</v>
      </c>
    </row>
    <row r="1690" spans="2:18" ht="21" customHeight="1" x14ac:dyDescent="0.2">
      <c r="B1690" s="1609" t="s">
        <v>2742</v>
      </c>
      <c r="C1690" s="1610"/>
      <c r="D1690" s="1610"/>
      <c r="E1690" s="1610" t="s">
        <v>64</v>
      </c>
      <c r="F1690" s="1107">
        <f>F1686</f>
        <v>20679.2</v>
      </c>
      <c r="G1690" s="1107">
        <f>G1686</f>
        <v>17664.400000000001</v>
      </c>
      <c r="H1690" s="1107">
        <f>H1686</f>
        <v>17664.400000000001</v>
      </c>
      <c r="I1690" s="1107">
        <f>I1686</f>
        <v>17837.8</v>
      </c>
      <c r="J1690" s="1107">
        <f>J1686</f>
        <v>18013.400000000001</v>
      </c>
      <c r="K1690" s="1527"/>
      <c r="L1690" s="1528"/>
      <c r="M1690" s="590"/>
      <c r="N1690" s="810"/>
      <c r="O1690" s="810"/>
      <c r="P1690" s="810"/>
      <c r="Q1690" s="810"/>
      <c r="R1690" s="1347"/>
    </row>
    <row r="1691" spans="2:18" x14ac:dyDescent="0.2">
      <c r="B1691" s="1541" t="s">
        <v>2284</v>
      </c>
      <c r="C1691" s="1542"/>
      <c r="D1691" s="1542"/>
      <c r="E1691" s="1542"/>
      <c r="F1691" s="1542"/>
      <c r="G1691" s="1542"/>
      <c r="H1691" s="1542"/>
      <c r="I1691" s="1542"/>
      <c r="J1691" s="1542"/>
      <c r="K1691" s="1542"/>
      <c r="L1691" s="1542"/>
      <c r="M1691" s="1542"/>
      <c r="N1691" s="1542"/>
      <c r="O1691" s="1542"/>
      <c r="P1691" s="1542"/>
      <c r="Q1691" s="1542"/>
      <c r="R1691" s="1543"/>
    </row>
    <row r="1692" spans="2:18" x14ac:dyDescent="0.2">
      <c r="B1692" s="1323">
        <v>1</v>
      </c>
      <c r="C1692" s="1456"/>
      <c r="D1692" s="1456"/>
      <c r="E1692" s="693" t="s">
        <v>2743</v>
      </c>
      <c r="F1692" s="959">
        <v>481.3</v>
      </c>
      <c r="G1692" s="959">
        <v>481.3</v>
      </c>
      <c r="H1692" s="959">
        <v>481.3</v>
      </c>
      <c r="I1692" s="959">
        <v>490.5</v>
      </c>
      <c r="J1692" s="959">
        <v>495.2</v>
      </c>
      <c r="K1692" s="1556"/>
      <c r="L1692" s="1557"/>
      <c r="M1692" s="1457"/>
      <c r="N1692" s="683"/>
      <c r="O1692" s="683"/>
      <c r="P1692" s="683"/>
      <c r="Q1692" s="1458"/>
      <c r="R1692" s="1459"/>
    </row>
    <row r="1693" spans="2:18" ht="38.25" x14ac:dyDescent="0.2">
      <c r="B1693" s="1323"/>
      <c r="C1693" s="554">
        <v>2</v>
      </c>
      <c r="D1693" s="1088"/>
      <c r="E1693" s="555" t="s">
        <v>2285</v>
      </c>
      <c r="F1693" s="987">
        <v>481.3</v>
      </c>
      <c r="G1693" s="987">
        <v>481.3</v>
      </c>
      <c r="H1693" s="987">
        <v>481.3</v>
      </c>
      <c r="I1693" s="987">
        <v>490.5</v>
      </c>
      <c r="J1693" s="987">
        <v>495.2</v>
      </c>
      <c r="K1693" s="1548" t="s">
        <v>2286</v>
      </c>
      <c r="L1693" s="1549"/>
      <c r="M1693" s="336" t="s">
        <v>17</v>
      </c>
      <c r="N1693" s="1035">
        <v>100</v>
      </c>
      <c r="O1693" s="1035">
        <v>100</v>
      </c>
      <c r="P1693" s="1035">
        <v>100</v>
      </c>
      <c r="Q1693" s="1035">
        <v>100</v>
      </c>
      <c r="R1693" s="1035">
        <v>100</v>
      </c>
    </row>
    <row r="1694" spans="2:18" ht="21" customHeight="1" x14ac:dyDescent="0.2">
      <c r="B1694" s="1609" t="s">
        <v>64</v>
      </c>
      <c r="C1694" s="1610"/>
      <c r="D1694" s="1610"/>
      <c r="E1694" s="1610"/>
      <c r="F1694" s="1107">
        <f>SUM(F1693:F1693)</f>
        <v>481.3</v>
      </c>
      <c r="G1694" s="1107">
        <f>SUM(G1693:G1693)</f>
        <v>481.3</v>
      </c>
      <c r="H1694" s="1107">
        <f>SUM(H1693:H1693)</f>
        <v>481.3</v>
      </c>
      <c r="I1694" s="1107">
        <f>SUM(I1693:I1693)</f>
        <v>490.5</v>
      </c>
      <c r="J1694" s="1107">
        <f>SUM(J1693:J1693)</f>
        <v>495.2</v>
      </c>
      <c r="K1694" s="1445"/>
      <c r="L1694" s="1445"/>
      <c r="M1694" s="590"/>
      <c r="N1694" s="810"/>
      <c r="O1694" s="810"/>
      <c r="P1694" s="810"/>
      <c r="Q1694" s="810"/>
      <c r="R1694" s="1347"/>
    </row>
    <row r="1695" spans="2:18" ht="23.25" customHeight="1" x14ac:dyDescent="0.2">
      <c r="B1695" s="1541" t="s">
        <v>2287</v>
      </c>
      <c r="C1695" s="1542"/>
      <c r="D1695" s="1542"/>
      <c r="E1695" s="1542"/>
      <c r="F1695" s="1542"/>
      <c r="G1695" s="1542"/>
      <c r="H1695" s="1542"/>
      <c r="I1695" s="1542"/>
      <c r="J1695" s="1542"/>
      <c r="K1695" s="1542"/>
      <c r="L1695" s="1542"/>
      <c r="M1695" s="1542"/>
      <c r="N1695" s="1542"/>
      <c r="O1695" s="1542"/>
      <c r="P1695" s="1542"/>
      <c r="Q1695" s="1542"/>
      <c r="R1695" s="1543"/>
    </row>
    <row r="1696" spans="2:18" ht="20.25" customHeight="1" x14ac:dyDescent="0.2">
      <c r="B1696" s="1541" t="s">
        <v>2288</v>
      </c>
      <c r="C1696" s="1542"/>
      <c r="D1696" s="1542"/>
      <c r="E1696" s="1542"/>
      <c r="F1696" s="1542"/>
      <c r="G1696" s="1542"/>
      <c r="H1696" s="1542"/>
      <c r="I1696" s="1542"/>
      <c r="J1696" s="1542"/>
      <c r="K1696" s="1542"/>
      <c r="L1696" s="1542"/>
      <c r="M1696" s="1542"/>
      <c r="N1696" s="1542"/>
      <c r="O1696" s="1542"/>
      <c r="P1696" s="1542"/>
      <c r="Q1696" s="1542"/>
      <c r="R1696" s="1543"/>
    </row>
    <row r="1697" spans="2:18" ht="38.25" x14ac:dyDescent="0.2">
      <c r="B1697" s="1341">
        <v>1</v>
      </c>
      <c r="C1697" s="1276"/>
      <c r="D1697" s="1276"/>
      <c r="E1697" s="1090" t="s">
        <v>2792</v>
      </c>
      <c r="F1697" s="959">
        <f>F1698+F1699+F1700+F1701+F1702+F1703</f>
        <v>16244.4</v>
      </c>
      <c r="G1697" s="959">
        <f>G1698+G1699+G1700+G1701+G1702+G1703</f>
        <v>16468</v>
      </c>
      <c r="H1697" s="959">
        <f t="shared" ref="H1697:J1697" si="108">H1698+H1699+H1700+H1701+H1702+H1703</f>
        <v>17137.800000000003</v>
      </c>
      <c r="I1697" s="959">
        <f t="shared" si="108"/>
        <v>17137.800000000003</v>
      </c>
      <c r="J1697" s="959">
        <f t="shared" si="108"/>
        <v>17137.800000000003</v>
      </c>
      <c r="K1697" s="1556" t="s">
        <v>16</v>
      </c>
      <c r="L1697" s="1557"/>
      <c r="M1697" s="1035" t="s">
        <v>17</v>
      </c>
      <c r="N1697" s="736">
        <v>10.199999999999999</v>
      </c>
      <c r="O1697" s="736">
        <v>10.199999999999999</v>
      </c>
      <c r="P1697" s="736">
        <v>10.199999999999999</v>
      </c>
      <c r="Q1697" s="736">
        <v>10.199999999999999</v>
      </c>
      <c r="R1697" s="1460">
        <v>10.199999999999999</v>
      </c>
    </row>
    <row r="1698" spans="2:18" x14ac:dyDescent="0.2">
      <c r="B1698" s="1461"/>
      <c r="C1698" s="1110">
        <v>1</v>
      </c>
      <c r="D1698" s="695"/>
      <c r="E1698" s="1111" t="s">
        <v>18</v>
      </c>
      <c r="F1698" s="987">
        <v>5858.6</v>
      </c>
      <c r="G1698" s="987">
        <v>5928</v>
      </c>
      <c r="H1698" s="987">
        <v>6214.1</v>
      </c>
      <c r="I1698" s="987">
        <v>6214.1</v>
      </c>
      <c r="J1698" s="987">
        <v>6214.1</v>
      </c>
      <c r="K1698" s="1548" t="s">
        <v>19</v>
      </c>
      <c r="L1698" s="1549"/>
      <c r="M1698" s="336" t="s">
        <v>17</v>
      </c>
      <c r="N1698" s="336">
        <v>76</v>
      </c>
      <c r="O1698" s="336">
        <v>76</v>
      </c>
      <c r="P1698" s="336">
        <v>76</v>
      </c>
      <c r="Q1698" s="336">
        <v>76</v>
      </c>
      <c r="R1698" s="1333">
        <v>76</v>
      </c>
    </row>
    <row r="1699" spans="2:18" x14ac:dyDescent="0.2">
      <c r="B1699" s="1461"/>
      <c r="C1699" s="1110">
        <v>2</v>
      </c>
      <c r="D1699" s="695"/>
      <c r="E1699" s="1112" t="s">
        <v>22</v>
      </c>
      <c r="F1699" s="987">
        <v>5098.2</v>
      </c>
      <c r="G1699" s="987">
        <v>5403.2</v>
      </c>
      <c r="H1699" s="987">
        <v>5694.6</v>
      </c>
      <c r="I1699" s="987">
        <v>5694.6</v>
      </c>
      <c r="J1699" s="987">
        <v>5694.6</v>
      </c>
      <c r="K1699" s="1548" t="s">
        <v>23</v>
      </c>
      <c r="L1699" s="1549"/>
      <c r="M1699" s="336" t="s">
        <v>17</v>
      </c>
      <c r="N1699" s="336">
        <v>100</v>
      </c>
      <c r="O1699" s="336">
        <v>100</v>
      </c>
      <c r="P1699" s="336">
        <v>100</v>
      </c>
      <c r="Q1699" s="336">
        <v>100</v>
      </c>
      <c r="R1699" s="1333">
        <v>100</v>
      </c>
    </row>
    <row r="1700" spans="2:18" x14ac:dyDescent="0.2">
      <c r="B1700" s="1461"/>
      <c r="C1700" s="1110">
        <v>3</v>
      </c>
      <c r="D1700" s="695"/>
      <c r="E1700" s="1112" t="s">
        <v>24</v>
      </c>
      <c r="F1700" s="987">
        <v>1548</v>
      </c>
      <c r="G1700" s="987">
        <v>1617.3</v>
      </c>
      <c r="H1700" s="987">
        <v>1756.3</v>
      </c>
      <c r="I1700" s="987">
        <v>1756.3</v>
      </c>
      <c r="J1700" s="987">
        <v>1756.3</v>
      </c>
      <c r="K1700" s="1548" t="s">
        <v>25</v>
      </c>
      <c r="L1700" s="1549"/>
      <c r="M1700" s="336" t="s">
        <v>17</v>
      </c>
      <c r="N1700" s="336">
        <v>100</v>
      </c>
      <c r="O1700" s="336">
        <v>100</v>
      </c>
      <c r="P1700" s="336">
        <v>100</v>
      </c>
      <c r="Q1700" s="336">
        <v>100</v>
      </c>
      <c r="R1700" s="1333">
        <v>100</v>
      </c>
    </row>
    <row r="1701" spans="2:18" x14ac:dyDescent="0.2">
      <c r="B1701" s="1461"/>
      <c r="C1701" s="1110">
        <v>4</v>
      </c>
      <c r="D1701" s="695"/>
      <c r="E1701" s="1112" t="s">
        <v>26</v>
      </c>
      <c r="F1701" s="987">
        <v>512.20000000000005</v>
      </c>
      <c r="G1701" s="987">
        <v>563.1</v>
      </c>
      <c r="H1701" s="987">
        <v>592.20000000000005</v>
      </c>
      <c r="I1701" s="987">
        <v>592.20000000000005</v>
      </c>
      <c r="J1701" s="987">
        <v>592.20000000000005</v>
      </c>
      <c r="K1701" s="1548" t="s">
        <v>27</v>
      </c>
      <c r="L1701" s="1549"/>
      <c r="M1701" s="336" t="s">
        <v>28</v>
      </c>
      <c r="N1701" s="606" t="s">
        <v>2289</v>
      </c>
      <c r="O1701" s="606" t="s">
        <v>2290</v>
      </c>
      <c r="P1701" s="606" t="s">
        <v>2291</v>
      </c>
      <c r="Q1701" s="606" t="s">
        <v>2291</v>
      </c>
      <c r="R1701" s="1462" t="s">
        <v>2291</v>
      </c>
    </row>
    <row r="1702" spans="2:18" x14ac:dyDescent="0.2">
      <c r="B1702" s="1461"/>
      <c r="C1702" s="1110">
        <v>5</v>
      </c>
      <c r="D1702" s="695"/>
      <c r="E1702" s="1112" t="s">
        <v>29</v>
      </c>
      <c r="F1702" s="987">
        <v>1343.4</v>
      </c>
      <c r="G1702" s="987">
        <v>1172.8</v>
      </c>
      <c r="H1702" s="987">
        <v>962.6</v>
      </c>
      <c r="I1702" s="987">
        <v>962.6</v>
      </c>
      <c r="J1702" s="987">
        <v>962.6</v>
      </c>
      <c r="K1702" s="1548" t="s">
        <v>333</v>
      </c>
      <c r="L1702" s="1549"/>
      <c r="M1702" s="336" t="s">
        <v>31</v>
      </c>
      <c r="N1702" s="336">
        <v>800</v>
      </c>
      <c r="O1702" s="336">
        <v>800</v>
      </c>
      <c r="P1702" s="336">
        <v>800</v>
      </c>
      <c r="Q1702" s="336">
        <v>800</v>
      </c>
      <c r="R1702" s="1333">
        <v>800</v>
      </c>
    </row>
    <row r="1703" spans="2:18" x14ac:dyDescent="0.2">
      <c r="B1703" s="1461"/>
      <c r="C1703" s="1110">
        <v>6</v>
      </c>
      <c r="D1703" s="695"/>
      <c r="E1703" s="557" t="s">
        <v>32</v>
      </c>
      <c r="F1703" s="987">
        <v>1884</v>
      </c>
      <c r="G1703" s="987">
        <v>1783.6</v>
      </c>
      <c r="H1703" s="987">
        <v>1918</v>
      </c>
      <c r="I1703" s="987">
        <v>1918</v>
      </c>
      <c r="J1703" s="987">
        <v>1918</v>
      </c>
      <c r="K1703" s="1548" t="s">
        <v>249</v>
      </c>
      <c r="L1703" s="1549"/>
      <c r="M1703" s="336" t="s">
        <v>17</v>
      </c>
      <c r="N1703" s="336">
        <v>1.7</v>
      </c>
      <c r="O1703" s="336">
        <v>1.7</v>
      </c>
      <c r="P1703" s="336">
        <v>1.7</v>
      </c>
      <c r="Q1703" s="336">
        <v>1.7</v>
      </c>
      <c r="R1703" s="1333">
        <v>1.7</v>
      </c>
    </row>
    <row r="1704" spans="2:18" ht="38.25" x14ac:dyDescent="0.2">
      <c r="B1704" s="1343" t="s">
        <v>138</v>
      </c>
      <c r="C1704" s="1113"/>
      <c r="D1704" s="1113"/>
      <c r="E1704" s="693" t="s">
        <v>2844</v>
      </c>
      <c r="F1704" s="959">
        <f>F1705+F1706+F1707+F1708+F1709+F1710</f>
        <v>212307.5</v>
      </c>
      <c r="G1704" s="959">
        <f>G1710+G1708+G1707+G1706+G1705</f>
        <v>234953.50000000003</v>
      </c>
      <c r="H1704" s="959">
        <f>H1705+H1706+H1707+H1708+H1710</f>
        <v>226906.1</v>
      </c>
      <c r="I1704" s="959">
        <f>I1705+I1706+I1707+I1708+I1710</f>
        <v>229393.1</v>
      </c>
      <c r="J1704" s="959">
        <f>J1705+J1706+J1707+J1708+J1710</f>
        <v>229393.1</v>
      </c>
      <c r="K1704" s="1556" t="s">
        <v>2845</v>
      </c>
      <c r="L1704" s="1557"/>
      <c r="M1704" s="1035"/>
      <c r="N1704" s="420"/>
      <c r="O1704" s="420"/>
      <c r="P1704" s="420"/>
      <c r="Q1704" s="420"/>
      <c r="R1704" s="1463"/>
    </row>
    <row r="1705" spans="2:18" x14ac:dyDescent="0.2">
      <c r="B1705" s="1464"/>
      <c r="C1705" s="1124" t="s">
        <v>123</v>
      </c>
      <c r="D1705" s="1124"/>
      <c r="E1705" s="557" t="s">
        <v>2292</v>
      </c>
      <c r="F1705" s="987">
        <v>2382.5</v>
      </c>
      <c r="G1705" s="987">
        <v>2656.1</v>
      </c>
      <c r="H1705" s="987">
        <v>2566.5</v>
      </c>
      <c r="I1705" s="987">
        <v>2566.5</v>
      </c>
      <c r="J1705" s="987">
        <v>2566.5</v>
      </c>
      <c r="K1705" s="1548" t="s">
        <v>2293</v>
      </c>
      <c r="L1705" s="1549"/>
      <c r="M1705" s="336" t="s">
        <v>17</v>
      </c>
      <c r="N1705" s="580">
        <v>100</v>
      </c>
      <c r="O1705" s="580">
        <v>100</v>
      </c>
      <c r="P1705" s="580">
        <v>100</v>
      </c>
      <c r="Q1705" s="580">
        <v>100</v>
      </c>
      <c r="R1705" s="1346">
        <v>100</v>
      </c>
    </row>
    <row r="1706" spans="2:18" ht="25.5" x14ac:dyDescent="0.2">
      <c r="B1706" s="1464"/>
      <c r="C1706" s="1124" t="s">
        <v>125</v>
      </c>
      <c r="D1706" s="1124"/>
      <c r="E1706" s="557" t="s">
        <v>2294</v>
      </c>
      <c r="F1706" s="987">
        <f>52523.9</f>
        <v>52523.9</v>
      </c>
      <c r="G1706" s="987">
        <v>53904.3</v>
      </c>
      <c r="H1706" s="987">
        <v>55640.2</v>
      </c>
      <c r="I1706" s="987">
        <v>55640.2</v>
      </c>
      <c r="J1706" s="987">
        <v>55640.2</v>
      </c>
      <c r="K1706" s="1548" t="s">
        <v>2295</v>
      </c>
      <c r="L1706" s="1549"/>
      <c r="M1706" s="336" t="s">
        <v>736</v>
      </c>
      <c r="N1706" s="606" t="s">
        <v>2296</v>
      </c>
      <c r="O1706" s="606" t="s">
        <v>2296</v>
      </c>
      <c r="P1706" s="606" t="s">
        <v>2296</v>
      </c>
      <c r="Q1706" s="606" t="s">
        <v>2296</v>
      </c>
      <c r="R1706" s="1462" t="s">
        <v>2296</v>
      </c>
    </row>
    <row r="1707" spans="2:18" x14ac:dyDescent="0.2">
      <c r="B1707" s="1464"/>
      <c r="C1707" s="1124" t="s">
        <v>127</v>
      </c>
      <c r="D1707" s="1124"/>
      <c r="E1707" s="557" t="s">
        <v>2297</v>
      </c>
      <c r="F1707" s="987">
        <f>51963.6</f>
        <v>51963.6</v>
      </c>
      <c r="G1707" s="987">
        <v>48206.400000000001</v>
      </c>
      <c r="H1707" s="987">
        <v>47413.3</v>
      </c>
      <c r="I1707" s="987">
        <v>49900.3</v>
      </c>
      <c r="J1707" s="987">
        <v>49900.3</v>
      </c>
      <c r="K1707" s="1548" t="s">
        <v>2295</v>
      </c>
      <c r="L1707" s="1549"/>
      <c r="M1707" s="336" t="s">
        <v>736</v>
      </c>
      <c r="N1707" s="606" t="s">
        <v>2298</v>
      </c>
      <c r="O1707" s="606" t="s">
        <v>2299</v>
      </c>
      <c r="P1707" s="606" t="s">
        <v>2299</v>
      </c>
      <c r="Q1707" s="606" t="s">
        <v>2299</v>
      </c>
      <c r="R1707" s="1462" t="s">
        <v>2299</v>
      </c>
    </row>
    <row r="1708" spans="2:18" x14ac:dyDescent="0.2">
      <c r="B1708" s="1464"/>
      <c r="C1708" s="1124" t="s">
        <v>132</v>
      </c>
      <c r="D1708" s="1124"/>
      <c r="E1708" s="557" t="s">
        <v>2300</v>
      </c>
      <c r="F1708" s="987">
        <v>5775.1</v>
      </c>
      <c r="G1708" s="987">
        <v>6490.1</v>
      </c>
      <c r="H1708" s="987">
        <v>7089.3</v>
      </c>
      <c r="I1708" s="987">
        <v>7089.3</v>
      </c>
      <c r="J1708" s="987">
        <v>7089.3</v>
      </c>
      <c r="K1708" s="1548" t="s">
        <v>2301</v>
      </c>
      <c r="L1708" s="1549"/>
      <c r="M1708" s="336" t="s">
        <v>2302</v>
      </c>
      <c r="N1708" s="606" t="s">
        <v>2303</v>
      </c>
      <c r="O1708" s="606" t="s">
        <v>2303</v>
      </c>
      <c r="P1708" s="606" t="s">
        <v>2303</v>
      </c>
      <c r="Q1708" s="606" t="s">
        <v>2303</v>
      </c>
      <c r="R1708" s="1462" t="s">
        <v>2303</v>
      </c>
    </row>
    <row r="1709" spans="2:18" x14ac:dyDescent="0.2">
      <c r="B1709" s="1464"/>
      <c r="C1709" s="1124" t="s">
        <v>74</v>
      </c>
      <c r="D1709" s="1124"/>
      <c r="E1709" s="557" t="s">
        <v>2304</v>
      </c>
      <c r="F1709" s="987"/>
      <c r="G1709" s="987"/>
      <c r="H1709" s="987"/>
      <c r="I1709" s="987"/>
      <c r="J1709" s="987"/>
      <c r="K1709" s="1548" t="s">
        <v>2305</v>
      </c>
      <c r="L1709" s="1549"/>
      <c r="M1709" s="336" t="s">
        <v>17</v>
      </c>
      <c r="N1709" s="580">
        <v>99</v>
      </c>
      <c r="O1709" s="580">
        <v>100</v>
      </c>
      <c r="P1709" s="580">
        <v>100</v>
      </c>
      <c r="Q1709" s="580">
        <v>100</v>
      </c>
      <c r="R1709" s="1346">
        <v>100</v>
      </c>
    </row>
    <row r="1710" spans="2:18" x14ac:dyDescent="0.2">
      <c r="B1710" s="1464"/>
      <c r="C1710" s="1124" t="s">
        <v>197</v>
      </c>
      <c r="D1710" s="1124"/>
      <c r="E1710" s="557" t="s">
        <v>2306</v>
      </c>
      <c r="F1710" s="987">
        <v>99662.399999999994</v>
      </c>
      <c r="G1710" s="987">
        <v>123696.6</v>
      </c>
      <c r="H1710" s="987">
        <v>114196.8</v>
      </c>
      <c r="I1710" s="987">
        <v>114196.8</v>
      </c>
      <c r="J1710" s="987">
        <v>114196.8</v>
      </c>
      <c r="K1710" s="1548" t="s">
        <v>2307</v>
      </c>
      <c r="L1710" s="1549"/>
      <c r="M1710" s="336" t="s">
        <v>17</v>
      </c>
      <c r="N1710" s="580">
        <v>100</v>
      </c>
      <c r="O1710" s="580">
        <v>100</v>
      </c>
      <c r="P1710" s="580">
        <v>100</v>
      </c>
      <c r="Q1710" s="580">
        <v>100</v>
      </c>
      <c r="R1710" s="1346">
        <v>100</v>
      </c>
    </row>
    <row r="1711" spans="2:18" ht="38.25" x14ac:dyDescent="0.2">
      <c r="B1711" s="1343" t="s">
        <v>161</v>
      </c>
      <c r="C1711" s="1113"/>
      <c r="D1711" s="1113"/>
      <c r="E1711" s="693" t="s">
        <v>2846</v>
      </c>
      <c r="F1711" s="959">
        <f>F1712+F1713+F1714+F1715+F1716+F1717</f>
        <v>157002.70000000001</v>
      </c>
      <c r="G1711" s="959">
        <f>G1717+G1716+G1715+G1713+G1712</f>
        <v>143770.30000000002</v>
      </c>
      <c r="H1711" s="959">
        <f>H1712+H1713+H1715+H1716+H1717</f>
        <v>129023.7</v>
      </c>
      <c r="I1711" s="959">
        <f>I1712+I1713+I1715+I1716+I1717</f>
        <v>133893</v>
      </c>
      <c r="J1711" s="959">
        <f>J1712+J1713+J1715+J1716+J1717</f>
        <v>137629.5</v>
      </c>
      <c r="K1711" s="1556" t="s">
        <v>2845</v>
      </c>
      <c r="L1711" s="1557"/>
      <c r="M1711" s="1035"/>
      <c r="N1711" s="420"/>
      <c r="O1711" s="420"/>
      <c r="P1711" s="420"/>
      <c r="Q1711" s="420"/>
      <c r="R1711" s="1463"/>
    </row>
    <row r="1712" spans="2:18" x14ac:dyDescent="0.2">
      <c r="B1712" s="1464"/>
      <c r="C1712" s="1124" t="s">
        <v>123</v>
      </c>
      <c r="D1712" s="1124"/>
      <c r="E1712" s="557" t="s">
        <v>2308</v>
      </c>
      <c r="F1712" s="987">
        <v>16260.8</v>
      </c>
      <c r="G1712" s="987">
        <v>13004.1</v>
      </c>
      <c r="H1712" s="987">
        <v>10509.1</v>
      </c>
      <c r="I1712" s="987">
        <v>13009.1</v>
      </c>
      <c r="J1712" s="987">
        <v>14509.1</v>
      </c>
      <c r="K1712" s="1548" t="s">
        <v>2295</v>
      </c>
      <c r="L1712" s="1549"/>
      <c r="M1712" s="336" t="s">
        <v>736</v>
      </c>
      <c r="N1712" s="606" t="s">
        <v>2309</v>
      </c>
      <c r="O1712" s="606" t="s">
        <v>2309</v>
      </c>
      <c r="P1712" s="606" t="s">
        <v>2309</v>
      </c>
      <c r="Q1712" s="606" t="s">
        <v>2309</v>
      </c>
      <c r="R1712" s="1462" t="s">
        <v>2309</v>
      </c>
    </row>
    <row r="1713" spans="2:18" x14ac:dyDescent="0.2">
      <c r="B1713" s="1464"/>
      <c r="C1713" s="1124" t="s">
        <v>125</v>
      </c>
      <c r="D1713" s="1124"/>
      <c r="E1713" s="557" t="s">
        <v>2310</v>
      </c>
      <c r="F1713" s="987">
        <v>22106</v>
      </c>
      <c r="G1713" s="987">
        <v>19395.900000000001</v>
      </c>
      <c r="H1713" s="987">
        <v>16058</v>
      </c>
      <c r="I1713" s="987">
        <v>17558</v>
      </c>
      <c r="J1713" s="987">
        <v>19058</v>
      </c>
      <c r="K1713" s="1548" t="s">
        <v>2295</v>
      </c>
      <c r="L1713" s="1549"/>
      <c r="M1713" s="336" t="s">
        <v>736</v>
      </c>
      <c r="N1713" s="606" t="s">
        <v>2296</v>
      </c>
      <c r="O1713" s="606" t="s">
        <v>2296</v>
      </c>
      <c r="P1713" s="606" t="s">
        <v>2296</v>
      </c>
      <c r="Q1713" s="606" t="s">
        <v>2296</v>
      </c>
      <c r="R1713" s="1462" t="s">
        <v>2296</v>
      </c>
    </row>
    <row r="1714" spans="2:18" ht="25.5" x14ac:dyDescent="0.2">
      <c r="B1714" s="1464"/>
      <c r="C1714" s="1124" t="s">
        <v>127</v>
      </c>
      <c r="D1714" s="1124"/>
      <c r="E1714" s="557" t="s">
        <v>2311</v>
      </c>
      <c r="F1714" s="987">
        <v>7631.5</v>
      </c>
      <c r="G1714" s="987"/>
      <c r="H1714" s="987"/>
      <c r="I1714" s="987"/>
      <c r="J1714" s="987"/>
      <c r="K1714" s="1548" t="s">
        <v>2293</v>
      </c>
      <c r="L1714" s="1549"/>
      <c r="M1714" s="336" t="s">
        <v>17</v>
      </c>
      <c r="N1714" s="580">
        <v>100</v>
      </c>
      <c r="O1714" s="580">
        <v>100</v>
      </c>
      <c r="P1714" s="580">
        <v>100</v>
      </c>
      <c r="Q1714" s="580">
        <v>100</v>
      </c>
      <c r="R1714" s="1346">
        <v>100</v>
      </c>
    </row>
    <row r="1715" spans="2:18" x14ac:dyDescent="0.2">
      <c r="B1715" s="1464"/>
      <c r="C1715" s="1124" t="s">
        <v>132</v>
      </c>
      <c r="D1715" s="1124"/>
      <c r="E1715" s="557" t="s">
        <v>2312</v>
      </c>
      <c r="F1715" s="987">
        <v>2625.1</v>
      </c>
      <c r="G1715" s="987">
        <v>8658.6</v>
      </c>
      <c r="H1715" s="987">
        <v>5753.1</v>
      </c>
      <c r="I1715" s="987">
        <v>6622.4</v>
      </c>
      <c r="J1715" s="987">
        <v>7358.9</v>
      </c>
      <c r="K1715" s="1548" t="s">
        <v>2301</v>
      </c>
      <c r="L1715" s="1549"/>
      <c r="M1715" s="336" t="s">
        <v>2302</v>
      </c>
      <c r="N1715" s="606" t="s">
        <v>2313</v>
      </c>
      <c r="O1715" s="606" t="s">
        <v>2313</v>
      </c>
      <c r="P1715" s="606" t="s">
        <v>2313</v>
      </c>
      <c r="Q1715" s="606" t="s">
        <v>2314</v>
      </c>
      <c r="R1715" s="1462" t="s">
        <v>2314</v>
      </c>
    </row>
    <row r="1716" spans="2:18" x14ac:dyDescent="0.2">
      <c r="B1716" s="1464"/>
      <c r="C1716" s="1124" t="s">
        <v>74</v>
      </c>
      <c r="D1716" s="1124"/>
      <c r="E1716" s="557" t="s">
        <v>2315</v>
      </c>
      <c r="F1716" s="987">
        <v>85134.3</v>
      </c>
      <c r="G1716" s="987">
        <v>75945.600000000006</v>
      </c>
      <c r="H1716" s="987">
        <v>72858.5</v>
      </c>
      <c r="I1716" s="987">
        <v>72858.5</v>
      </c>
      <c r="J1716" s="987">
        <v>72858.5</v>
      </c>
      <c r="K1716" s="1548" t="s">
        <v>2305</v>
      </c>
      <c r="L1716" s="1549"/>
      <c r="M1716" s="336" t="s">
        <v>17</v>
      </c>
      <c r="N1716" s="580">
        <v>100</v>
      </c>
      <c r="O1716" s="580">
        <v>100</v>
      </c>
      <c r="P1716" s="580">
        <v>100</v>
      </c>
      <c r="Q1716" s="580">
        <v>100</v>
      </c>
      <c r="R1716" s="1346">
        <v>100</v>
      </c>
    </row>
    <row r="1717" spans="2:18" x14ac:dyDescent="0.2">
      <c r="B1717" s="1464"/>
      <c r="C1717" s="1124" t="s">
        <v>197</v>
      </c>
      <c r="D1717" s="1124"/>
      <c r="E1717" s="557" t="s">
        <v>2316</v>
      </c>
      <c r="F1717" s="987">
        <v>23245</v>
      </c>
      <c r="G1717" s="987">
        <v>26766.1</v>
      </c>
      <c r="H1717" s="987">
        <v>23845</v>
      </c>
      <c r="I1717" s="987">
        <v>23845</v>
      </c>
      <c r="J1717" s="987">
        <v>23845</v>
      </c>
      <c r="K1717" s="1548" t="s">
        <v>2317</v>
      </c>
      <c r="L1717" s="1549"/>
      <c r="M1717" s="336" t="s">
        <v>17</v>
      </c>
      <c r="N1717" s="580">
        <v>100</v>
      </c>
      <c r="O1717" s="580">
        <v>100</v>
      </c>
      <c r="P1717" s="580">
        <v>100</v>
      </c>
      <c r="Q1717" s="580">
        <v>100</v>
      </c>
      <c r="R1717" s="1346">
        <v>100</v>
      </c>
    </row>
    <row r="1718" spans="2:18" ht="25.5" x14ac:dyDescent="0.2">
      <c r="B1718" s="1343" t="s">
        <v>169</v>
      </c>
      <c r="C1718" s="1113"/>
      <c r="D1718" s="1113"/>
      <c r="E1718" s="693" t="s">
        <v>2847</v>
      </c>
      <c r="F1718" s="959">
        <f>F1719</f>
        <v>11263.8</v>
      </c>
      <c r="G1718" s="959">
        <f>G1719</f>
        <v>11263.8</v>
      </c>
      <c r="H1718" s="959">
        <f>H1719</f>
        <v>11263.8</v>
      </c>
      <c r="I1718" s="959">
        <f>I1719</f>
        <v>11263.8</v>
      </c>
      <c r="J1718" s="959">
        <f>J1719</f>
        <v>11263.8</v>
      </c>
      <c r="K1718" s="1556" t="s">
        <v>2318</v>
      </c>
      <c r="L1718" s="1557"/>
      <c r="M1718" s="336" t="s">
        <v>93</v>
      </c>
      <c r="N1718" s="580">
        <v>37</v>
      </c>
      <c r="O1718" s="580">
        <v>37</v>
      </c>
      <c r="P1718" s="580">
        <v>37</v>
      </c>
      <c r="Q1718" s="580">
        <v>37</v>
      </c>
      <c r="R1718" s="1346">
        <v>37</v>
      </c>
    </row>
    <row r="1719" spans="2:18" ht="25.5" x14ac:dyDescent="0.2">
      <c r="B1719" s="1464"/>
      <c r="C1719" s="1124" t="s">
        <v>123</v>
      </c>
      <c r="D1719" s="1124"/>
      <c r="E1719" s="557" t="s">
        <v>2319</v>
      </c>
      <c r="F1719" s="987">
        <v>11263.8</v>
      </c>
      <c r="G1719" s="987">
        <v>11263.8</v>
      </c>
      <c r="H1719" s="987">
        <v>11263.8</v>
      </c>
      <c r="I1719" s="987">
        <v>11263.8</v>
      </c>
      <c r="J1719" s="987">
        <v>11263.8</v>
      </c>
      <c r="K1719" s="1548" t="s">
        <v>2320</v>
      </c>
      <c r="L1719" s="1549"/>
      <c r="M1719" s="336" t="s">
        <v>93</v>
      </c>
      <c r="N1719" s="580">
        <v>37</v>
      </c>
      <c r="O1719" s="580">
        <v>37</v>
      </c>
      <c r="P1719" s="580">
        <v>37</v>
      </c>
      <c r="Q1719" s="580">
        <v>37</v>
      </c>
      <c r="R1719" s="1346">
        <v>37</v>
      </c>
    </row>
    <row r="1720" spans="2:18" x14ac:dyDescent="0.2">
      <c r="B1720" s="1464"/>
      <c r="C1720" s="1124"/>
      <c r="D1720" s="1124"/>
      <c r="E1720" s="557"/>
      <c r="F1720" s="987"/>
      <c r="G1720" s="987"/>
      <c r="H1720" s="987"/>
      <c r="I1720" s="987"/>
      <c r="J1720" s="987"/>
      <c r="K1720" s="1548"/>
      <c r="L1720" s="1549"/>
      <c r="M1720" s="336"/>
      <c r="N1720" s="580"/>
      <c r="O1720" s="580"/>
      <c r="P1720" s="580"/>
      <c r="Q1720" s="580"/>
      <c r="R1720" s="1346"/>
    </row>
    <row r="1721" spans="2:18" ht="25.5" customHeight="1" x14ac:dyDescent="0.2">
      <c r="B1721" s="1609" t="s">
        <v>64</v>
      </c>
      <c r="C1721" s="1610"/>
      <c r="D1721" s="1610"/>
      <c r="E1721" s="1610"/>
      <c r="F1721" s="1107">
        <f>F1697+F1704+F1711+F1719</f>
        <v>396818.39999999997</v>
      </c>
      <c r="G1721" s="1107">
        <f>G1697+G1704+G1711+G1718</f>
        <v>406455.60000000003</v>
      </c>
      <c r="H1721" s="1107">
        <f>H1697+H1704+H1711+H1718</f>
        <v>384331.4</v>
      </c>
      <c r="I1721" s="1107">
        <f>I1697+I1704+I1711+I1718</f>
        <v>391687.7</v>
      </c>
      <c r="J1721" s="1107">
        <f>J1697+J1704+J1711+J1718</f>
        <v>395424.2</v>
      </c>
      <c r="K1721" s="1527"/>
      <c r="L1721" s="1528"/>
      <c r="M1721" s="590"/>
      <c r="N1721" s="810"/>
      <c r="O1721" s="810"/>
      <c r="P1721" s="810"/>
      <c r="Q1721" s="810"/>
      <c r="R1721" s="1347"/>
    </row>
    <row r="1722" spans="2:18" ht="23.25" customHeight="1" thickBot="1" x14ac:dyDescent="0.25">
      <c r="B1722" s="1541" t="s">
        <v>2321</v>
      </c>
      <c r="C1722" s="1542" t="s">
        <v>2321</v>
      </c>
      <c r="D1722" s="1542"/>
      <c r="E1722" s="1542"/>
      <c r="F1722" s="1542"/>
      <c r="G1722" s="1542"/>
      <c r="H1722" s="1542"/>
      <c r="I1722" s="1542"/>
      <c r="J1722" s="1542"/>
      <c r="K1722" s="1542"/>
      <c r="L1722" s="1542"/>
      <c r="M1722" s="1542"/>
      <c r="N1722" s="1542"/>
      <c r="O1722" s="1542"/>
      <c r="P1722" s="1542"/>
      <c r="Q1722" s="1542"/>
      <c r="R1722" s="1543"/>
    </row>
    <row r="1723" spans="2:18" ht="38.25" x14ac:dyDescent="0.2">
      <c r="B1723" s="1465">
        <v>1</v>
      </c>
      <c r="C1723" s="1336"/>
      <c r="D1723" s="1337"/>
      <c r="E1723" s="1321" t="s">
        <v>2792</v>
      </c>
      <c r="F1723" s="1034">
        <f>F1724+F1725+F1726+F1727+F1728+F1729</f>
        <v>17061.900000000001</v>
      </c>
      <c r="G1723" s="1034">
        <f>G1724+G1725+G1726+G1727+G1728+G1729</f>
        <v>20150.099999999999</v>
      </c>
      <c r="H1723" s="1034">
        <f>H1724+H1725+H1726+H1727+H1728+H1729</f>
        <v>17516.900000000001</v>
      </c>
      <c r="I1723" s="1034">
        <f t="shared" ref="I1723:J1723" si="109">I1724+I1725+I1726+I1727+I1728+I1729</f>
        <v>17716.900000000001</v>
      </c>
      <c r="J1723" s="1034">
        <f t="shared" si="109"/>
        <v>17716.900000000001</v>
      </c>
      <c r="K1723" s="1621" t="s">
        <v>16</v>
      </c>
      <c r="L1723" s="1622"/>
      <c r="M1723" s="1322" t="s">
        <v>17</v>
      </c>
      <c r="N1723" s="1322"/>
      <c r="O1723" s="1322"/>
      <c r="P1723" s="1322"/>
      <c r="Q1723" s="1322"/>
      <c r="R1723" s="1322"/>
    </row>
    <row r="1724" spans="2:18" x14ac:dyDescent="0.2">
      <c r="B1724" s="1338"/>
      <c r="C1724" s="1324">
        <v>1</v>
      </c>
      <c r="D1724" s="1336"/>
      <c r="E1724" s="1325" t="s">
        <v>18</v>
      </c>
      <c r="F1724" s="987">
        <v>3004.2</v>
      </c>
      <c r="G1724" s="933">
        <v>3717.7</v>
      </c>
      <c r="H1724" s="987">
        <v>3322.5</v>
      </c>
      <c r="I1724" s="987">
        <v>3322.5</v>
      </c>
      <c r="J1724" s="987">
        <v>3322.5</v>
      </c>
      <c r="K1724" s="1548" t="s">
        <v>19</v>
      </c>
      <c r="L1724" s="1549"/>
      <c r="M1724" s="336" t="s">
        <v>20</v>
      </c>
      <c r="N1724" s="1035"/>
      <c r="O1724" s="1035"/>
      <c r="P1724" s="1035"/>
      <c r="Q1724" s="1035"/>
      <c r="R1724" s="1035"/>
    </row>
    <row r="1725" spans="2:18" x14ac:dyDescent="0.2">
      <c r="B1725" s="1338"/>
      <c r="C1725" s="1326">
        <v>2</v>
      </c>
      <c r="D1725" s="1336"/>
      <c r="E1725" s="555" t="s">
        <v>22</v>
      </c>
      <c r="F1725" s="987">
        <v>3592.6</v>
      </c>
      <c r="G1725" s="933">
        <v>4435.6000000000004</v>
      </c>
      <c r="H1725" s="987">
        <v>3874.5</v>
      </c>
      <c r="I1725" s="987">
        <v>3874.5</v>
      </c>
      <c r="J1725" s="987">
        <v>3874.5</v>
      </c>
      <c r="K1725" s="1548" t="s">
        <v>23</v>
      </c>
      <c r="L1725" s="1549"/>
      <c r="M1725" s="336" t="s">
        <v>17</v>
      </c>
      <c r="N1725" s="1320">
        <v>1</v>
      </c>
      <c r="O1725" s="1320">
        <v>1</v>
      </c>
      <c r="P1725" s="1320">
        <v>1</v>
      </c>
      <c r="Q1725" s="1320">
        <v>1</v>
      </c>
      <c r="R1725" s="1320">
        <v>1</v>
      </c>
    </row>
    <row r="1726" spans="2:18" x14ac:dyDescent="0.2">
      <c r="B1726" s="1338"/>
      <c r="C1726" s="1326">
        <v>3</v>
      </c>
      <c r="D1726" s="1336"/>
      <c r="E1726" s="555" t="s">
        <v>24</v>
      </c>
      <c r="F1726" s="987">
        <v>1235.7</v>
      </c>
      <c r="G1726" s="933">
        <v>1280.7</v>
      </c>
      <c r="H1726" s="987">
        <v>1130.2</v>
      </c>
      <c r="I1726" s="987">
        <v>1130.2</v>
      </c>
      <c r="J1726" s="987">
        <v>1130.2</v>
      </c>
      <c r="K1726" s="1548" t="s">
        <v>25</v>
      </c>
      <c r="L1726" s="1549"/>
      <c r="M1726" s="336" t="s">
        <v>17</v>
      </c>
      <c r="N1726" s="1320">
        <v>1</v>
      </c>
      <c r="O1726" s="1320">
        <v>1</v>
      </c>
      <c r="P1726" s="1320">
        <v>1</v>
      </c>
      <c r="Q1726" s="1320">
        <v>1</v>
      </c>
      <c r="R1726" s="1320">
        <v>1</v>
      </c>
    </row>
    <row r="1727" spans="2:18" x14ac:dyDescent="0.2">
      <c r="B1727" s="1338"/>
      <c r="C1727" s="1326">
        <v>4</v>
      </c>
      <c r="D1727" s="1336"/>
      <c r="E1727" s="555" t="s">
        <v>26</v>
      </c>
      <c r="F1727" s="987">
        <v>627</v>
      </c>
      <c r="G1727" s="933">
        <v>677</v>
      </c>
      <c r="H1727" s="987">
        <v>581.9</v>
      </c>
      <c r="I1727" s="987">
        <v>581.9</v>
      </c>
      <c r="J1727" s="987">
        <v>581.9</v>
      </c>
      <c r="K1727" s="1548" t="s">
        <v>27</v>
      </c>
      <c r="L1727" s="1549"/>
      <c r="M1727" s="336" t="s">
        <v>28</v>
      </c>
      <c r="N1727" s="1320"/>
      <c r="O1727" s="1320"/>
      <c r="P1727" s="1320"/>
      <c r="Q1727" s="1320"/>
      <c r="R1727" s="1320"/>
    </row>
    <row r="1728" spans="2:18" x14ac:dyDescent="0.2">
      <c r="B1728" s="1338"/>
      <c r="C1728" s="1326">
        <v>5</v>
      </c>
      <c r="D1728" s="1336"/>
      <c r="E1728" s="555" t="s">
        <v>29</v>
      </c>
      <c r="F1728" s="987">
        <v>861.3</v>
      </c>
      <c r="G1728" s="933">
        <v>892.7</v>
      </c>
      <c r="H1728" s="987">
        <v>677.9</v>
      </c>
      <c r="I1728" s="987">
        <v>677.9</v>
      </c>
      <c r="J1728" s="987">
        <v>677.9</v>
      </c>
      <c r="K1728" s="1548" t="s">
        <v>30</v>
      </c>
      <c r="L1728" s="1549"/>
      <c r="M1728" s="336" t="s">
        <v>31</v>
      </c>
      <c r="N1728" s="1035"/>
      <c r="O1728" s="1035"/>
      <c r="P1728" s="1035"/>
      <c r="Q1728" s="1035"/>
      <c r="R1728" s="1035"/>
    </row>
    <row r="1729" spans="2:18" x14ac:dyDescent="0.2">
      <c r="B1729" s="1338"/>
      <c r="C1729" s="1110">
        <v>6</v>
      </c>
      <c r="D1729" s="1336"/>
      <c r="E1729" s="557" t="s">
        <v>32</v>
      </c>
      <c r="F1729" s="987">
        <v>7741.1</v>
      </c>
      <c r="G1729" s="933">
        <v>9146.4</v>
      </c>
      <c r="H1729" s="987">
        <v>7929.9</v>
      </c>
      <c r="I1729" s="987">
        <v>8129.9</v>
      </c>
      <c r="J1729" s="987">
        <v>8129.9</v>
      </c>
      <c r="K1729" s="1548" t="s">
        <v>249</v>
      </c>
      <c r="L1729" s="1549"/>
      <c r="M1729" s="336" t="s">
        <v>17</v>
      </c>
      <c r="N1729" s="1035"/>
      <c r="O1729" s="1035"/>
      <c r="P1729" s="1035"/>
      <c r="Q1729" s="1035"/>
      <c r="R1729" s="1035"/>
    </row>
    <row r="1730" spans="2:18" ht="25.5" x14ac:dyDescent="0.2">
      <c r="B1730" s="1338"/>
      <c r="C1730" s="1110">
        <v>7</v>
      </c>
      <c r="D1730" s="1336"/>
      <c r="E1730" s="557" t="s">
        <v>251</v>
      </c>
      <c r="F1730" s="959"/>
      <c r="G1730" s="959"/>
      <c r="H1730" s="959"/>
      <c r="I1730" s="959"/>
      <c r="J1730" s="959"/>
      <c r="K1730" s="1548"/>
      <c r="L1730" s="1549"/>
      <c r="M1730" s="336"/>
      <c r="N1730" s="1035"/>
      <c r="O1730" s="1035"/>
      <c r="P1730" s="1035"/>
      <c r="Q1730" s="1035"/>
      <c r="R1730" s="1035"/>
    </row>
    <row r="1731" spans="2:18" x14ac:dyDescent="0.2">
      <c r="B1731" s="1338"/>
      <c r="C1731" s="1110">
        <v>8</v>
      </c>
      <c r="D1731" s="1336"/>
      <c r="E1731" s="557" t="s">
        <v>247</v>
      </c>
      <c r="F1731" s="959"/>
      <c r="G1731" s="959"/>
      <c r="H1731" s="959"/>
      <c r="I1731" s="959"/>
      <c r="J1731" s="959"/>
      <c r="K1731" s="1548"/>
      <c r="L1731" s="1549"/>
      <c r="M1731" s="336"/>
      <c r="N1731" s="1035"/>
      <c r="O1731" s="1035"/>
      <c r="P1731" s="1035"/>
      <c r="Q1731" s="1035"/>
      <c r="R1731" s="1035"/>
    </row>
    <row r="1732" spans="2:18" ht="63.75" x14ac:dyDescent="0.2">
      <c r="B1732" s="1339" t="s">
        <v>152</v>
      </c>
      <c r="C1732" s="1340"/>
      <c r="D1732" s="1340"/>
      <c r="E1732" s="693" t="s">
        <v>2848</v>
      </c>
      <c r="F1732" s="959">
        <f>SUM(F1733:F1735)</f>
        <v>66677</v>
      </c>
      <c r="G1732" s="959">
        <f>SUM(G1733:G1735)</f>
        <v>76657.899999999994</v>
      </c>
      <c r="H1732" s="959">
        <f>SUM(H1733:H1735)</f>
        <v>70726.8</v>
      </c>
      <c r="I1732" s="959">
        <f>SUM(I1733:I1735)</f>
        <v>72295.7</v>
      </c>
      <c r="J1732" s="959">
        <f>SUM(J1733:J1735)</f>
        <v>73194.2</v>
      </c>
      <c r="K1732" s="1621" t="s">
        <v>2322</v>
      </c>
      <c r="L1732" s="1622"/>
      <c r="M1732" s="336" t="s">
        <v>17</v>
      </c>
      <c r="N1732" s="1466">
        <v>1</v>
      </c>
      <c r="O1732" s="1466">
        <v>1</v>
      </c>
      <c r="P1732" s="1466">
        <v>1</v>
      </c>
      <c r="Q1732" s="1466">
        <v>1</v>
      </c>
      <c r="R1732" s="1466">
        <v>1</v>
      </c>
    </row>
    <row r="1733" spans="2:18" x14ac:dyDescent="0.2">
      <c r="B1733" s="1339"/>
      <c r="C1733" s="1340" t="s">
        <v>123</v>
      </c>
      <c r="D1733" s="1340"/>
      <c r="E1733" s="557" t="s">
        <v>2323</v>
      </c>
      <c r="F1733" s="1327">
        <v>57377</v>
      </c>
      <c r="G1733" s="1291">
        <v>65415.7</v>
      </c>
      <c r="H1733" s="987">
        <v>61500.5</v>
      </c>
      <c r="I1733" s="987">
        <v>61679.4</v>
      </c>
      <c r="J1733" s="987">
        <v>61979.4</v>
      </c>
      <c r="K1733" s="1548" t="s">
        <v>2324</v>
      </c>
      <c r="L1733" s="1549"/>
      <c r="M1733" s="336" t="s">
        <v>17</v>
      </c>
      <c r="N1733" s="1466">
        <v>0.9</v>
      </c>
      <c r="O1733" s="1466">
        <v>0.9</v>
      </c>
      <c r="P1733" s="1466">
        <v>0.9</v>
      </c>
      <c r="Q1733" s="1466">
        <v>0.9</v>
      </c>
      <c r="R1733" s="1466">
        <v>0.9</v>
      </c>
    </row>
    <row r="1734" spans="2:18" x14ac:dyDescent="0.2">
      <c r="B1734" s="1339"/>
      <c r="C1734" s="1340" t="s">
        <v>125</v>
      </c>
      <c r="D1734" s="1340"/>
      <c r="E1734" s="557" t="s">
        <v>2325</v>
      </c>
      <c r="F1734" s="1327">
        <v>9300</v>
      </c>
      <c r="G1734" s="933">
        <v>11242.2</v>
      </c>
      <c r="H1734" s="987">
        <v>9226.2999999999993</v>
      </c>
      <c r="I1734" s="987">
        <v>10616.3</v>
      </c>
      <c r="J1734" s="987">
        <v>11214.8</v>
      </c>
      <c r="K1734" s="1548" t="s">
        <v>2326</v>
      </c>
      <c r="L1734" s="1549"/>
      <c r="M1734" s="336" t="s">
        <v>17</v>
      </c>
      <c r="N1734" s="1466">
        <v>0.95</v>
      </c>
      <c r="O1734" s="1466">
        <v>0.95</v>
      </c>
      <c r="P1734" s="1466">
        <v>0.95</v>
      </c>
      <c r="Q1734" s="1466">
        <v>0.95</v>
      </c>
      <c r="R1734" s="1466">
        <v>0.95</v>
      </c>
    </row>
    <row r="1735" spans="2:18" x14ac:dyDescent="0.2">
      <c r="B1735" s="1339"/>
      <c r="C1735" s="1340"/>
      <c r="D1735" s="1340"/>
      <c r="E1735" s="557" t="s">
        <v>1329</v>
      </c>
      <c r="F1735" s="1327"/>
      <c r="G1735" s="1327"/>
      <c r="H1735" s="987"/>
      <c r="I1735" s="987"/>
      <c r="J1735" s="987"/>
      <c r="K1735" s="1548"/>
      <c r="L1735" s="1549"/>
      <c r="M1735" s="336"/>
      <c r="N1735" s="557"/>
      <c r="O1735" s="1141"/>
      <c r="P1735" s="1141"/>
      <c r="Q1735" s="1141"/>
      <c r="R1735" s="1141"/>
    </row>
    <row r="1736" spans="2:18" ht="63.75" x14ac:dyDescent="0.2">
      <c r="B1736" s="1339" t="s">
        <v>314</v>
      </c>
      <c r="C1736" s="1340"/>
      <c r="D1736" s="1340"/>
      <c r="E1736" s="693" t="s">
        <v>2849</v>
      </c>
      <c r="F1736" s="959">
        <f>SUM(F1737:F1739)</f>
        <v>4900</v>
      </c>
      <c r="G1736" s="959">
        <f>SUM(G1737:G1739)</f>
        <v>4664.8999999999996</v>
      </c>
      <c r="H1736" s="959">
        <f>SUM(H1737:H1739)</f>
        <v>4171.8</v>
      </c>
      <c r="I1736" s="959">
        <f>SUM(I1737:I1739)</f>
        <v>4171.8</v>
      </c>
      <c r="J1736" s="959">
        <f>SUM(J1737:J1739)</f>
        <v>4171.8</v>
      </c>
      <c r="K1736" s="1621" t="s">
        <v>2327</v>
      </c>
      <c r="L1736" s="1622"/>
      <c r="M1736" s="336" t="s">
        <v>17</v>
      </c>
      <c r="N1736" s="1466">
        <v>1</v>
      </c>
      <c r="O1736" s="1466">
        <v>1</v>
      </c>
      <c r="P1736" s="1466">
        <v>1</v>
      </c>
      <c r="Q1736" s="1466">
        <v>1</v>
      </c>
      <c r="R1736" s="1466">
        <v>1</v>
      </c>
    </row>
    <row r="1737" spans="2:18" x14ac:dyDescent="0.2">
      <c r="B1737" s="1339"/>
      <c r="C1737" s="1340" t="s">
        <v>123</v>
      </c>
      <c r="D1737" s="1340"/>
      <c r="E1737" s="557" t="s">
        <v>2328</v>
      </c>
      <c r="F1737" s="1327">
        <v>4900</v>
      </c>
      <c r="G1737" s="1467">
        <v>4664.8999999999996</v>
      </c>
      <c r="H1737" s="987">
        <v>4171.8</v>
      </c>
      <c r="I1737" s="987">
        <v>4171.8</v>
      </c>
      <c r="J1737" s="987">
        <v>4171.8</v>
      </c>
      <c r="K1737" s="1548" t="s">
        <v>2329</v>
      </c>
      <c r="L1737" s="1549"/>
      <c r="M1737" s="336" t="s">
        <v>17</v>
      </c>
      <c r="N1737" s="1466">
        <v>0.8</v>
      </c>
      <c r="O1737" s="1466">
        <v>0.8</v>
      </c>
      <c r="P1737" s="1466">
        <v>0.8</v>
      </c>
      <c r="Q1737" s="1466">
        <v>0.8</v>
      </c>
      <c r="R1737" s="1466">
        <v>0.8</v>
      </c>
    </row>
    <row r="1738" spans="2:18" x14ac:dyDescent="0.2">
      <c r="B1738" s="1468"/>
      <c r="C1738" s="1469"/>
      <c r="D1738" s="1469"/>
      <c r="E1738" s="557" t="s">
        <v>1329</v>
      </c>
      <c r="F1738" s="1327"/>
      <c r="G1738" s="1327"/>
      <c r="H1738" s="987"/>
      <c r="I1738" s="987"/>
      <c r="J1738" s="987"/>
      <c r="K1738" s="2203"/>
      <c r="L1738" s="2204"/>
      <c r="M1738" s="336"/>
      <c r="N1738" s="1466"/>
      <c r="O1738" s="1466"/>
      <c r="P1738" s="1466"/>
      <c r="Q1738" s="1466"/>
      <c r="R1738" s="1466"/>
    </row>
    <row r="1739" spans="2:18" x14ac:dyDescent="0.2">
      <c r="B1739" s="1468"/>
      <c r="C1739" s="1469"/>
      <c r="D1739" s="1469"/>
      <c r="E1739" s="557" t="s">
        <v>1329</v>
      </c>
      <c r="F1739" s="1327"/>
      <c r="G1739" s="1327"/>
      <c r="H1739" s="987"/>
      <c r="I1739" s="987"/>
      <c r="J1739" s="987"/>
      <c r="K1739" s="2203"/>
      <c r="L1739" s="2204"/>
      <c r="M1739" s="336"/>
      <c r="N1739" s="557"/>
      <c r="O1739" s="1141"/>
      <c r="P1739" s="1141"/>
      <c r="Q1739" s="1141"/>
      <c r="R1739" s="1141"/>
    </row>
    <row r="1740" spans="2:18" ht="22.5" customHeight="1" x14ac:dyDescent="0.2">
      <c r="B1740" s="1609" t="s">
        <v>64</v>
      </c>
      <c r="C1740" s="1610"/>
      <c r="D1740" s="1610"/>
      <c r="E1740" s="1610"/>
      <c r="F1740" s="1107">
        <f>F1723+F1732+F1736</f>
        <v>88638.9</v>
      </c>
      <c r="G1740" s="1107">
        <f>G1723+G1732+G1736</f>
        <v>101472.9</v>
      </c>
      <c r="H1740" s="1107">
        <f>H1723+H1732+H1736</f>
        <v>92415.500000000015</v>
      </c>
      <c r="I1740" s="1107">
        <f>I1723+I1732+I1736</f>
        <v>94184.400000000009</v>
      </c>
      <c r="J1740" s="1107">
        <f>J1723+J1732+J1736</f>
        <v>95082.900000000009</v>
      </c>
      <c r="K1740" s="1527"/>
      <c r="L1740" s="1528"/>
      <c r="M1740" s="590"/>
      <c r="N1740" s="810"/>
      <c r="O1740" s="810"/>
      <c r="P1740" s="810"/>
      <c r="Q1740" s="810"/>
      <c r="R1740" s="1347"/>
    </row>
    <row r="1741" spans="2:18" ht="28.5" customHeight="1" x14ac:dyDescent="0.2">
      <c r="B1741" s="1541" t="s">
        <v>2330</v>
      </c>
      <c r="C1741" s="1542" t="s">
        <v>2321</v>
      </c>
      <c r="D1741" s="1542"/>
      <c r="E1741" s="1542"/>
      <c r="F1741" s="1542"/>
      <c r="G1741" s="1542"/>
      <c r="H1741" s="1542"/>
      <c r="I1741" s="1542"/>
      <c r="J1741" s="1542"/>
      <c r="K1741" s="1542"/>
      <c r="L1741" s="1542"/>
      <c r="M1741" s="1542"/>
      <c r="N1741" s="1542"/>
      <c r="O1741" s="1542"/>
      <c r="P1741" s="1542"/>
      <c r="Q1741" s="1542"/>
      <c r="R1741" s="1543"/>
    </row>
    <row r="1742" spans="2:18" ht="38.25" x14ac:dyDescent="0.2">
      <c r="B1742" s="684">
        <v>1</v>
      </c>
      <c r="C1742" s="1336"/>
      <c r="D1742" s="1337"/>
      <c r="E1742" s="1321" t="s">
        <v>2792</v>
      </c>
      <c r="F1742" s="1034">
        <f>F1743+F1744+F1745+F1746+F1747+F1748+F1749</f>
        <v>7044.2</v>
      </c>
      <c r="G1742" s="1034">
        <f>G1743+G1744+G1745+G1746+G1748</f>
        <v>7246.5</v>
      </c>
      <c r="H1742" s="1034">
        <f>H1743+H1744+H1745+H1746+H1748</f>
        <v>7661.5</v>
      </c>
      <c r="I1742" s="1034">
        <f>I1743+I1744+I1745+I1746+I1748</f>
        <v>7961.5</v>
      </c>
      <c r="J1742" s="1034">
        <f>J1743+J1744+J1745+J1746+J1748</f>
        <v>7961.5</v>
      </c>
      <c r="K1742" s="1621" t="s">
        <v>16</v>
      </c>
      <c r="L1742" s="1622"/>
      <c r="M1742" s="1322" t="s">
        <v>17</v>
      </c>
      <c r="N1742" s="1322">
        <v>48</v>
      </c>
      <c r="O1742" s="1322">
        <v>48</v>
      </c>
      <c r="P1742" s="1322">
        <v>48</v>
      </c>
      <c r="Q1742" s="1322">
        <v>48</v>
      </c>
      <c r="R1742" s="1322">
        <v>48</v>
      </c>
    </row>
    <row r="1743" spans="2:18" x14ac:dyDescent="0.2">
      <c r="B1743" s="1338"/>
      <c r="C1743" s="1324">
        <v>1</v>
      </c>
      <c r="D1743" s="1336"/>
      <c r="E1743" s="1325" t="s">
        <v>18</v>
      </c>
      <c r="F1743" s="987">
        <v>1602</v>
      </c>
      <c r="G1743" s="987">
        <v>1549.2</v>
      </c>
      <c r="H1743" s="987">
        <v>1574.2</v>
      </c>
      <c r="I1743" s="987">
        <v>1574.2</v>
      </c>
      <c r="J1743" s="987">
        <v>1574.2</v>
      </c>
      <c r="K1743" s="1625" t="s">
        <v>2331</v>
      </c>
      <c r="L1743" s="1625"/>
      <c r="M1743" s="336" t="s">
        <v>17</v>
      </c>
      <c r="N1743" s="1035">
        <v>98</v>
      </c>
      <c r="O1743" s="1035">
        <v>98</v>
      </c>
      <c r="P1743" s="1035">
        <v>98</v>
      </c>
      <c r="Q1743" s="1035">
        <v>98</v>
      </c>
      <c r="R1743" s="1035">
        <v>98</v>
      </c>
    </row>
    <row r="1744" spans="2:18" x14ac:dyDescent="0.2">
      <c r="B1744" s="1338"/>
      <c r="C1744" s="1326">
        <v>2</v>
      </c>
      <c r="D1744" s="1336"/>
      <c r="E1744" s="555" t="s">
        <v>22</v>
      </c>
      <c r="F1744" s="987">
        <v>1221</v>
      </c>
      <c r="G1744" s="987">
        <v>1162.3</v>
      </c>
      <c r="H1744" s="987">
        <v>1187.3</v>
      </c>
      <c r="I1744" s="987">
        <v>1187.3</v>
      </c>
      <c r="J1744" s="987">
        <v>1187.3</v>
      </c>
      <c r="K1744" s="1548" t="s">
        <v>23</v>
      </c>
      <c r="L1744" s="1549"/>
      <c r="M1744" s="336" t="s">
        <v>17</v>
      </c>
      <c r="N1744" s="1035">
        <v>0</v>
      </c>
      <c r="O1744" s="1035">
        <v>0</v>
      </c>
      <c r="P1744" s="1035">
        <v>0</v>
      </c>
      <c r="Q1744" s="1035">
        <v>0</v>
      </c>
      <c r="R1744" s="1035">
        <v>0</v>
      </c>
    </row>
    <row r="1745" spans="2:18" x14ac:dyDescent="0.2">
      <c r="B1745" s="1338"/>
      <c r="C1745" s="1326">
        <v>3</v>
      </c>
      <c r="D1745" s="1336"/>
      <c r="E1745" s="555" t="s">
        <v>24</v>
      </c>
      <c r="F1745" s="987">
        <v>445.6</v>
      </c>
      <c r="G1745" s="987">
        <v>466</v>
      </c>
      <c r="H1745" s="987">
        <v>460</v>
      </c>
      <c r="I1745" s="987">
        <v>460</v>
      </c>
      <c r="J1745" s="987">
        <v>460</v>
      </c>
      <c r="K1745" s="1548" t="s">
        <v>2332</v>
      </c>
      <c r="L1745" s="1549"/>
      <c r="M1745" s="336" t="s">
        <v>17</v>
      </c>
      <c r="N1745" s="1035">
        <v>100</v>
      </c>
      <c r="O1745" s="1035">
        <v>100</v>
      </c>
      <c r="P1745" s="1035">
        <v>100</v>
      </c>
      <c r="Q1745" s="1035">
        <v>100</v>
      </c>
      <c r="R1745" s="1035">
        <v>100</v>
      </c>
    </row>
    <row r="1746" spans="2:18" x14ac:dyDescent="0.2">
      <c r="B1746" s="1338"/>
      <c r="C1746" s="1326">
        <v>4</v>
      </c>
      <c r="D1746" s="1336"/>
      <c r="E1746" s="555" t="s">
        <v>26</v>
      </c>
      <c r="F1746" s="987">
        <v>367</v>
      </c>
      <c r="G1746" s="987">
        <v>352</v>
      </c>
      <c r="H1746" s="987">
        <v>352</v>
      </c>
      <c r="I1746" s="987">
        <v>352</v>
      </c>
      <c r="J1746" s="987">
        <v>352</v>
      </c>
      <c r="K1746" s="1548" t="s">
        <v>2333</v>
      </c>
      <c r="L1746" s="1549"/>
      <c r="M1746" s="336" t="s">
        <v>17</v>
      </c>
      <c r="N1746" s="1035">
        <v>100</v>
      </c>
      <c r="O1746" s="1035">
        <v>100</v>
      </c>
      <c r="P1746" s="1035">
        <v>100</v>
      </c>
      <c r="Q1746" s="1035">
        <v>100</v>
      </c>
      <c r="R1746" s="1035">
        <v>100</v>
      </c>
    </row>
    <row r="1747" spans="2:18" x14ac:dyDescent="0.2">
      <c r="B1747" s="1338"/>
      <c r="C1747" s="1326">
        <v>5</v>
      </c>
      <c r="D1747" s="1336"/>
      <c r="E1747" s="555" t="s">
        <v>29</v>
      </c>
      <c r="F1747" s="987"/>
      <c r="G1747" s="987"/>
      <c r="H1747" s="987"/>
      <c r="I1747" s="987"/>
      <c r="J1747" s="987"/>
      <c r="K1747" s="1548"/>
      <c r="L1747" s="1549"/>
      <c r="M1747" s="336" t="s">
        <v>31</v>
      </c>
      <c r="N1747" s="1035">
        <v>0</v>
      </c>
      <c r="O1747" s="1035">
        <v>0</v>
      </c>
      <c r="P1747" s="1035">
        <v>0</v>
      </c>
      <c r="Q1747" s="1035">
        <v>0</v>
      </c>
      <c r="R1747" s="1035">
        <v>0</v>
      </c>
    </row>
    <row r="1748" spans="2:18" x14ac:dyDescent="0.2">
      <c r="B1748" s="1338"/>
      <c r="C1748" s="1110">
        <v>6</v>
      </c>
      <c r="D1748" s="1336"/>
      <c r="E1748" s="557" t="s">
        <v>32</v>
      </c>
      <c r="F1748" s="987">
        <v>3408.6</v>
      </c>
      <c r="G1748" s="987">
        <v>3717</v>
      </c>
      <c r="H1748" s="987">
        <v>4088</v>
      </c>
      <c r="I1748" s="987">
        <v>4388</v>
      </c>
      <c r="J1748" s="987">
        <v>4388</v>
      </c>
      <c r="K1748" s="1548" t="s">
        <v>249</v>
      </c>
      <c r="L1748" s="1549"/>
      <c r="M1748" s="336" t="s">
        <v>17</v>
      </c>
      <c r="N1748" s="1035">
        <v>58</v>
      </c>
      <c r="O1748" s="1035">
        <v>58</v>
      </c>
      <c r="P1748" s="1035">
        <v>58</v>
      </c>
      <c r="Q1748" s="1035">
        <v>58</v>
      </c>
      <c r="R1748" s="1035">
        <v>58</v>
      </c>
    </row>
    <row r="1749" spans="2:18" ht="25.5" x14ac:dyDescent="0.2">
      <c r="B1749" s="1338"/>
      <c r="C1749" s="1110">
        <v>7</v>
      </c>
      <c r="D1749" s="1336"/>
      <c r="E1749" s="557" t="s">
        <v>251</v>
      </c>
      <c r="F1749" s="987"/>
      <c r="G1749" s="987"/>
      <c r="H1749" s="987"/>
      <c r="I1749" s="987"/>
      <c r="J1749" s="987"/>
      <c r="K1749" s="1548"/>
      <c r="L1749" s="1549"/>
      <c r="M1749" s="336"/>
      <c r="N1749" s="1035"/>
      <c r="O1749" s="1035"/>
      <c r="P1749" s="1035"/>
      <c r="Q1749" s="1035"/>
      <c r="R1749" s="1035"/>
    </row>
    <row r="1750" spans="2:18" x14ac:dyDescent="0.2">
      <c r="B1750" s="1338"/>
      <c r="C1750" s="1110">
        <v>8</v>
      </c>
      <c r="D1750" s="1336"/>
      <c r="E1750" s="557" t="s">
        <v>247</v>
      </c>
      <c r="F1750" s="987"/>
      <c r="G1750" s="987"/>
      <c r="H1750" s="987"/>
      <c r="I1750" s="987"/>
      <c r="J1750" s="987"/>
      <c r="K1750" s="1548"/>
      <c r="L1750" s="1549"/>
      <c r="M1750" s="336"/>
      <c r="N1750" s="1035"/>
      <c r="O1750" s="1035"/>
      <c r="P1750" s="1035"/>
      <c r="Q1750" s="1035"/>
      <c r="R1750" s="1035"/>
    </row>
    <row r="1751" spans="2:18" ht="25.5" x14ac:dyDescent="0.2">
      <c r="B1751" s="1339" t="s">
        <v>138</v>
      </c>
      <c r="C1751" s="1340"/>
      <c r="D1751" s="1339"/>
      <c r="E1751" s="693" t="s">
        <v>2744</v>
      </c>
      <c r="F1751" s="959">
        <f>F1752+F1753+F1754</f>
        <v>27891</v>
      </c>
      <c r="G1751" s="959">
        <f>G1752+G1753+G1754</f>
        <v>27688.7</v>
      </c>
      <c r="H1751" s="959">
        <f>H1752+H1753+H1754</f>
        <v>27273.7</v>
      </c>
      <c r="I1751" s="959">
        <f>I1752+I1753+I1754</f>
        <v>27642.3</v>
      </c>
      <c r="J1751" s="959">
        <f>J1752+J1753+J1754</f>
        <v>27982</v>
      </c>
      <c r="K1751" s="1548" t="s">
        <v>2334</v>
      </c>
      <c r="L1751" s="1549"/>
      <c r="M1751" s="336" t="s">
        <v>2302</v>
      </c>
      <c r="N1751" s="557" t="s">
        <v>2335</v>
      </c>
      <c r="O1751" s="557" t="s">
        <v>2335</v>
      </c>
      <c r="P1751" s="557" t="s">
        <v>2335</v>
      </c>
      <c r="Q1751" s="557" t="s">
        <v>2335</v>
      </c>
      <c r="R1751" s="557" t="s">
        <v>2335</v>
      </c>
    </row>
    <row r="1752" spans="2:18" x14ac:dyDescent="0.2">
      <c r="B1752" s="1339"/>
      <c r="C1752" s="1340" t="s">
        <v>123</v>
      </c>
      <c r="D1752" s="1340"/>
      <c r="E1752" s="557" t="s">
        <v>2336</v>
      </c>
      <c r="F1752" s="1470">
        <v>6121.7</v>
      </c>
      <c r="G1752" s="1470">
        <v>5805.7</v>
      </c>
      <c r="H1752" s="1470">
        <v>5960.7</v>
      </c>
      <c r="I1752" s="987">
        <v>6060.7</v>
      </c>
      <c r="J1752" s="987">
        <v>6060.7</v>
      </c>
      <c r="K1752" s="1548" t="s">
        <v>2337</v>
      </c>
      <c r="L1752" s="1549"/>
      <c r="M1752" s="336" t="s">
        <v>2302</v>
      </c>
      <c r="N1752" s="557" t="s">
        <v>2338</v>
      </c>
      <c r="O1752" s="557" t="s">
        <v>2338</v>
      </c>
      <c r="P1752" s="557" t="s">
        <v>2338</v>
      </c>
      <c r="Q1752" s="557" t="s">
        <v>2338</v>
      </c>
      <c r="R1752" s="557" t="s">
        <v>2338</v>
      </c>
    </row>
    <row r="1753" spans="2:18" x14ac:dyDescent="0.2">
      <c r="B1753" s="1339"/>
      <c r="C1753" s="1340" t="s">
        <v>125</v>
      </c>
      <c r="D1753" s="1340"/>
      <c r="E1753" s="557" t="s">
        <v>2339</v>
      </c>
      <c r="F1753" s="1470">
        <v>1024.7</v>
      </c>
      <c r="G1753" s="1470">
        <v>1113</v>
      </c>
      <c r="H1753" s="1470">
        <v>1138</v>
      </c>
      <c r="I1753" s="1470">
        <v>1138</v>
      </c>
      <c r="J1753" s="1470">
        <v>1138</v>
      </c>
      <c r="K1753" s="1548" t="s">
        <v>2340</v>
      </c>
      <c r="L1753" s="1549"/>
      <c r="M1753" s="336" t="s">
        <v>2302</v>
      </c>
      <c r="N1753" s="336" t="s">
        <v>2341</v>
      </c>
      <c r="O1753" s="336" t="s">
        <v>2341</v>
      </c>
      <c r="P1753" s="336" t="s">
        <v>2341</v>
      </c>
      <c r="Q1753" s="336" t="s">
        <v>2341</v>
      </c>
      <c r="R1753" s="336" t="s">
        <v>2341</v>
      </c>
    </row>
    <row r="1754" spans="2:18" ht="25.5" x14ac:dyDescent="0.2">
      <c r="B1754" s="1339"/>
      <c r="C1754" s="1340" t="s">
        <v>127</v>
      </c>
      <c r="D1754" s="1340"/>
      <c r="E1754" s="557" t="s">
        <v>2342</v>
      </c>
      <c r="F1754" s="1470">
        <v>20744.599999999999</v>
      </c>
      <c r="G1754" s="1470">
        <v>20770</v>
      </c>
      <c r="H1754" s="1470">
        <v>20175</v>
      </c>
      <c r="I1754" s="987">
        <v>20443.599999999999</v>
      </c>
      <c r="J1754" s="987">
        <v>20783.3</v>
      </c>
      <c r="K1754" s="1548" t="s">
        <v>2331</v>
      </c>
      <c r="L1754" s="1549"/>
      <c r="M1754" s="336" t="s">
        <v>17</v>
      </c>
      <c r="N1754" s="606" t="s">
        <v>2343</v>
      </c>
      <c r="O1754" s="606" t="s">
        <v>2343</v>
      </c>
      <c r="P1754" s="606" t="s">
        <v>2343</v>
      </c>
      <c r="Q1754" s="606" t="s">
        <v>2343</v>
      </c>
      <c r="R1754" s="606" t="s">
        <v>2343</v>
      </c>
    </row>
    <row r="1755" spans="2:18" x14ac:dyDescent="0.2">
      <c r="B1755" s="1609" t="s">
        <v>64</v>
      </c>
      <c r="C1755" s="1610"/>
      <c r="D1755" s="1610"/>
      <c r="E1755" s="1610"/>
      <c r="F1755" s="1107">
        <f>F1742+F1751</f>
        <v>34935.199999999997</v>
      </c>
      <c r="G1755" s="1107">
        <f>G1742+G1751</f>
        <v>34935.199999999997</v>
      </c>
      <c r="H1755" s="1107">
        <f>H1742+H1751</f>
        <v>34935.199999999997</v>
      </c>
      <c r="I1755" s="1107">
        <f>I1742+I1751</f>
        <v>35603.800000000003</v>
      </c>
      <c r="J1755" s="1107">
        <f>J1742+J1751</f>
        <v>35943.5</v>
      </c>
      <c r="K1755" s="1554"/>
      <c r="L1755" s="1555"/>
      <c r="M1755" s="590"/>
      <c r="N1755" s="810"/>
      <c r="O1755" s="810"/>
      <c r="P1755" s="810"/>
      <c r="Q1755" s="810"/>
      <c r="R1755" s="1347"/>
    </row>
    <row r="1756" spans="2:18" ht="22.5" customHeight="1" x14ac:dyDescent="0.2">
      <c r="B1756" s="1541" t="s">
        <v>2344</v>
      </c>
      <c r="C1756" s="1542"/>
      <c r="D1756" s="1542"/>
      <c r="E1756" s="1542"/>
      <c r="F1756" s="1542"/>
      <c r="G1756" s="1542"/>
      <c r="H1756" s="1542"/>
      <c r="I1756" s="1542"/>
      <c r="J1756" s="1542"/>
      <c r="K1756" s="1542"/>
      <c r="L1756" s="1542"/>
      <c r="M1756" s="1542"/>
      <c r="N1756" s="1542"/>
      <c r="O1756" s="1542"/>
      <c r="P1756" s="1542"/>
      <c r="Q1756" s="1542"/>
      <c r="R1756" s="1543"/>
    </row>
    <row r="1757" spans="2:18" ht="38.25" x14ac:dyDescent="0.2">
      <c r="B1757" s="1471" t="s">
        <v>120</v>
      </c>
      <c r="C1757" s="1100"/>
      <c r="D1757" s="1100"/>
      <c r="E1757" s="543" t="s">
        <v>2850</v>
      </c>
      <c r="F1757" s="955">
        <f>SUM(F1758:F1762)</f>
        <v>14984</v>
      </c>
      <c r="G1757" s="955">
        <f t="shared" ref="G1757:J1757" si="110">SUM(G1758:G1762)</f>
        <v>14984</v>
      </c>
      <c r="H1757" s="955">
        <f>SUM(H1758:H1762)</f>
        <v>14654.800000000001</v>
      </c>
      <c r="I1757" s="955">
        <f t="shared" si="110"/>
        <v>13688.1</v>
      </c>
      <c r="J1757" s="955">
        <f t="shared" si="110"/>
        <v>13688.1</v>
      </c>
      <c r="K1757" s="1539" t="s">
        <v>16</v>
      </c>
      <c r="L1757" s="1540"/>
      <c r="M1757" s="401" t="s">
        <v>17</v>
      </c>
      <c r="N1757" s="401">
        <v>33.700000000000003</v>
      </c>
      <c r="O1757" s="401">
        <v>33.700000000000003</v>
      </c>
      <c r="P1757" s="401">
        <v>33.700000000000003</v>
      </c>
      <c r="Q1757" s="401">
        <v>33.700000000000003</v>
      </c>
      <c r="R1757" s="1472">
        <v>33.700000000000003</v>
      </c>
    </row>
    <row r="1758" spans="2:18" x14ac:dyDescent="0.2">
      <c r="B1758" s="1471"/>
      <c r="C1758" s="888" t="s">
        <v>123</v>
      </c>
      <c r="D1758" s="1100"/>
      <c r="E1758" s="1094" t="s">
        <v>18</v>
      </c>
      <c r="F1758" s="954">
        <v>2488.9</v>
      </c>
      <c r="G1758" s="954">
        <v>2488.9</v>
      </c>
      <c r="H1758" s="954">
        <f>2488.9+520+89.7+116.4+90</f>
        <v>3305</v>
      </c>
      <c r="I1758" s="954">
        <v>2488.9</v>
      </c>
      <c r="J1758" s="954">
        <v>2488.9</v>
      </c>
      <c r="K1758" s="1539" t="s">
        <v>19</v>
      </c>
      <c r="L1758" s="1540"/>
      <c r="M1758" s="401" t="s">
        <v>20</v>
      </c>
      <c r="N1758" s="401">
        <v>0.92</v>
      </c>
      <c r="O1758" s="401">
        <v>0.92</v>
      </c>
      <c r="P1758" s="401">
        <v>0.92</v>
      </c>
      <c r="Q1758" s="401">
        <v>0.92</v>
      </c>
      <c r="R1758" s="1472">
        <v>0.92</v>
      </c>
    </row>
    <row r="1759" spans="2:18" x14ac:dyDescent="0.2">
      <c r="B1759" s="1471"/>
      <c r="C1759" s="888" t="s">
        <v>125</v>
      </c>
      <c r="D1759" s="1100"/>
      <c r="E1759" s="1095" t="s">
        <v>22</v>
      </c>
      <c r="F1759" s="1195">
        <v>9214.7000000000007</v>
      </c>
      <c r="G1759" s="1195">
        <v>9214.7000000000007</v>
      </c>
      <c r="H1759" s="1195">
        <f>7918.8+131.3+19.3</f>
        <v>8069.4000000000005</v>
      </c>
      <c r="I1759" s="1195">
        <v>7918.8</v>
      </c>
      <c r="J1759" s="1195">
        <v>7918.8</v>
      </c>
      <c r="K1759" s="1539" t="s">
        <v>23</v>
      </c>
      <c r="L1759" s="1540"/>
      <c r="M1759" s="401" t="s">
        <v>17</v>
      </c>
      <c r="N1759" s="401">
        <v>100</v>
      </c>
      <c r="O1759" s="401">
        <v>100</v>
      </c>
      <c r="P1759" s="401">
        <v>100</v>
      </c>
      <c r="Q1759" s="401">
        <v>100</v>
      </c>
      <c r="R1759" s="1472">
        <v>100</v>
      </c>
    </row>
    <row r="1760" spans="2:18" x14ac:dyDescent="0.2">
      <c r="B1760" s="1471"/>
      <c r="C1760" s="888" t="s">
        <v>127</v>
      </c>
      <c r="D1760" s="1100"/>
      <c r="E1760" s="1095" t="s">
        <v>24</v>
      </c>
      <c r="F1760" s="954">
        <v>675</v>
      </c>
      <c r="G1760" s="954">
        <v>675</v>
      </c>
      <c r="H1760" s="954">
        <v>675</v>
      </c>
      <c r="I1760" s="954">
        <v>675</v>
      </c>
      <c r="J1760" s="954">
        <v>675</v>
      </c>
      <c r="K1760" s="1539" t="s">
        <v>25</v>
      </c>
      <c r="L1760" s="1540"/>
      <c r="M1760" s="401" t="s">
        <v>17</v>
      </c>
      <c r="N1760" s="401"/>
      <c r="O1760" s="401"/>
      <c r="P1760" s="401"/>
      <c r="Q1760" s="401"/>
      <c r="R1760" s="1472"/>
    </row>
    <row r="1761" spans="2:18" x14ac:dyDescent="0.2">
      <c r="B1761" s="1471"/>
      <c r="C1761" s="888" t="s">
        <v>132</v>
      </c>
      <c r="D1761" s="1100"/>
      <c r="E1761" s="1095" t="s">
        <v>26</v>
      </c>
      <c r="F1761" s="954">
        <v>798.9</v>
      </c>
      <c r="G1761" s="954">
        <v>798.9</v>
      </c>
      <c r="H1761" s="954">
        <v>798.9</v>
      </c>
      <c r="I1761" s="954">
        <v>798.9</v>
      </c>
      <c r="J1761" s="954">
        <v>798.9</v>
      </c>
      <c r="K1761" s="1539" t="s">
        <v>27</v>
      </c>
      <c r="L1761" s="1540"/>
      <c r="M1761" s="401" t="s">
        <v>28</v>
      </c>
      <c r="N1761" s="401"/>
      <c r="O1761" s="401"/>
      <c r="P1761" s="401"/>
      <c r="Q1761" s="401"/>
      <c r="R1761" s="1472"/>
    </row>
    <row r="1762" spans="2:18" x14ac:dyDescent="0.2">
      <c r="B1762" s="1471"/>
      <c r="C1762" s="888" t="s">
        <v>74</v>
      </c>
      <c r="D1762" s="1100"/>
      <c r="E1762" s="543" t="s">
        <v>32</v>
      </c>
      <c r="F1762" s="954">
        <v>1806.5</v>
      </c>
      <c r="G1762" s="954">
        <v>1806.5</v>
      </c>
      <c r="H1762" s="954">
        <v>1806.5</v>
      </c>
      <c r="I1762" s="954">
        <v>1806.5</v>
      </c>
      <c r="J1762" s="954">
        <v>1806.5</v>
      </c>
      <c r="K1762" s="1539" t="s">
        <v>249</v>
      </c>
      <c r="L1762" s="1540"/>
      <c r="M1762" s="401" t="s">
        <v>17</v>
      </c>
      <c r="N1762" s="401">
        <v>16</v>
      </c>
      <c r="O1762" s="401">
        <v>16</v>
      </c>
      <c r="P1762" s="401">
        <v>16</v>
      </c>
      <c r="Q1762" s="401">
        <v>16</v>
      </c>
      <c r="R1762" s="1472">
        <v>16</v>
      </c>
    </row>
    <row r="1763" spans="2:18" ht="25.5" x14ac:dyDescent="0.2">
      <c r="B1763" s="1473" t="s">
        <v>138</v>
      </c>
      <c r="C1763" s="1100"/>
      <c r="D1763" s="1100"/>
      <c r="E1763" s="370" t="s">
        <v>2851</v>
      </c>
      <c r="F1763" s="955">
        <f>SUM(F1764:F1764)</f>
        <v>27201</v>
      </c>
      <c r="G1763" s="955">
        <f t="shared" ref="G1763:J1763" si="111">SUM(G1764:G1764)</f>
        <v>40377.1</v>
      </c>
      <c r="H1763" s="955">
        <f t="shared" si="111"/>
        <v>51673</v>
      </c>
      <c r="I1763" s="955">
        <f t="shared" si="111"/>
        <v>52973.599999999999</v>
      </c>
      <c r="J1763" s="955">
        <f t="shared" si="111"/>
        <v>53521.5</v>
      </c>
      <c r="K1763" s="1539" t="s">
        <v>2345</v>
      </c>
      <c r="L1763" s="1540"/>
      <c r="M1763" s="401" t="s">
        <v>17</v>
      </c>
      <c r="N1763" s="401">
        <v>100</v>
      </c>
      <c r="O1763" s="401">
        <v>100</v>
      </c>
      <c r="P1763" s="401">
        <v>100</v>
      </c>
      <c r="Q1763" s="401">
        <v>100</v>
      </c>
      <c r="R1763" s="1472">
        <v>100</v>
      </c>
    </row>
    <row r="1764" spans="2:18" x14ac:dyDescent="0.2">
      <c r="B1764" s="1473"/>
      <c r="C1764" s="1100" t="s">
        <v>123</v>
      </c>
      <c r="D1764" s="1100"/>
      <c r="E1764" s="543" t="s">
        <v>2346</v>
      </c>
      <c r="F1764" s="954">
        <v>27201</v>
      </c>
      <c r="G1764" s="954">
        <v>40377.1</v>
      </c>
      <c r="H1764" s="954">
        <f>51673</f>
        <v>51673</v>
      </c>
      <c r="I1764" s="954">
        <v>52973.599999999999</v>
      </c>
      <c r="J1764" s="954">
        <v>53521.5</v>
      </c>
      <c r="K1764" s="1539" t="s">
        <v>2347</v>
      </c>
      <c r="L1764" s="1540"/>
      <c r="M1764" s="401" t="s">
        <v>163</v>
      </c>
      <c r="N1764" s="607">
        <v>5700</v>
      </c>
      <c r="O1764" s="607">
        <v>5800</v>
      </c>
      <c r="P1764" s="607">
        <v>5900</v>
      </c>
      <c r="Q1764" s="607">
        <v>5900</v>
      </c>
      <c r="R1764" s="1474">
        <v>5950</v>
      </c>
    </row>
    <row r="1765" spans="2:18" ht="23.25" customHeight="1" x14ac:dyDescent="0.2">
      <c r="B1765" s="1609" t="s">
        <v>64</v>
      </c>
      <c r="C1765" s="1610"/>
      <c r="D1765" s="1610"/>
      <c r="E1765" s="1610"/>
      <c r="F1765" s="1107">
        <f>F1757+F1763</f>
        <v>42185</v>
      </c>
      <c r="G1765" s="1107">
        <f t="shared" ref="G1765:J1765" si="112">G1757+G1763</f>
        <v>55361.1</v>
      </c>
      <c r="H1765" s="1107">
        <f t="shared" si="112"/>
        <v>66327.8</v>
      </c>
      <c r="I1765" s="1107">
        <f t="shared" si="112"/>
        <v>66661.7</v>
      </c>
      <c r="J1765" s="1107">
        <f t="shared" si="112"/>
        <v>67209.600000000006</v>
      </c>
      <c r="K1765" s="1527"/>
      <c r="L1765" s="1528"/>
      <c r="M1765" s="590"/>
      <c r="N1765" s="810"/>
      <c r="O1765" s="810"/>
      <c r="P1765" s="810"/>
      <c r="Q1765" s="810"/>
      <c r="R1765" s="1347"/>
    </row>
    <row r="1766" spans="2:18" ht="22.5" customHeight="1" x14ac:dyDescent="0.2">
      <c r="B1766" s="1541" t="s">
        <v>2348</v>
      </c>
      <c r="C1766" s="1542"/>
      <c r="D1766" s="1542"/>
      <c r="E1766" s="1542"/>
      <c r="F1766" s="1542"/>
      <c r="G1766" s="1542"/>
      <c r="H1766" s="1542"/>
      <c r="I1766" s="1542"/>
      <c r="J1766" s="1542"/>
      <c r="K1766" s="1542"/>
      <c r="L1766" s="1542"/>
      <c r="M1766" s="1542"/>
      <c r="N1766" s="1542"/>
      <c r="O1766" s="1542"/>
      <c r="P1766" s="1542"/>
      <c r="Q1766" s="1542"/>
      <c r="R1766" s="1543"/>
    </row>
    <row r="1767" spans="2:18" ht="38.25" x14ac:dyDescent="0.2">
      <c r="B1767" s="1475" t="s">
        <v>120</v>
      </c>
      <c r="C1767" s="1476"/>
      <c r="D1767" s="1477"/>
      <c r="E1767" s="1478" t="s">
        <v>2852</v>
      </c>
      <c r="F1767" s="1479">
        <v>3092.3</v>
      </c>
      <c r="G1767" s="1479">
        <v>3092.3</v>
      </c>
      <c r="H1767" s="1479">
        <f>H1768+H1769+H1770</f>
        <v>3092.3</v>
      </c>
      <c r="I1767" s="1479">
        <f>I1768+I1769+I1770</f>
        <v>3092.3</v>
      </c>
      <c r="J1767" s="1479">
        <f>J1768+J1769+J1770</f>
        <v>3092.3</v>
      </c>
      <c r="K1767" s="1544"/>
      <c r="L1767" s="1545"/>
      <c r="M1767" s="1129"/>
      <c r="N1767" s="1480"/>
      <c r="O1767" s="1126"/>
      <c r="P1767" s="1126"/>
      <c r="Q1767" s="1126"/>
      <c r="R1767" s="1481"/>
    </row>
    <row r="1768" spans="2:18" x14ac:dyDescent="0.2">
      <c r="B1768" s="1482"/>
      <c r="C1768" s="1131" t="s">
        <v>123</v>
      </c>
      <c r="D1768" s="1131"/>
      <c r="E1768" s="1127" t="s">
        <v>18</v>
      </c>
      <c r="F1768" s="1142">
        <v>540</v>
      </c>
      <c r="G1768" s="1142">
        <v>691.8</v>
      </c>
      <c r="H1768" s="1142">
        <v>691.8</v>
      </c>
      <c r="I1768" s="1142">
        <v>691.8</v>
      </c>
      <c r="J1768" s="1142">
        <v>691.8</v>
      </c>
      <c r="K1768" s="1546" t="s">
        <v>19</v>
      </c>
      <c r="L1768" s="1547"/>
      <c r="M1768" s="1129" t="s">
        <v>17</v>
      </c>
      <c r="N1768" s="1480">
        <v>100</v>
      </c>
      <c r="O1768" s="1480">
        <v>100</v>
      </c>
      <c r="P1768" s="1480">
        <v>100</v>
      </c>
      <c r="Q1768" s="1480">
        <v>100</v>
      </c>
      <c r="R1768" s="1483">
        <v>100</v>
      </c>
    </row>
    <row r="1769" spans="2:18" x14ac:dyDescent="0.2">
      <c r="B1769" s="1482"/>
      <c r="C1769" s="1131" t="s">
        <v>125</v>
      </c>
      <c r="D1769" s="1131"/>
      <c r="E1769" s="1127" t="s">
        <v>22</v>
      </c>
      <c r="F1769" s="1142">
        <v>2441.1999999999998</v>
      </c>
      <c r="G1769" s="1142">
        <v>487.3</v>
      </c>
      <c r="H1769" s="1142">
        <v>487.3</v>
      </c>
      <c r="I1769" s="1142">
        <v>487.3</v>
      </c>
      <c r="J1769" s="1142">
        <v>487.3</v>
      </c>
      <c r="K1769" s="1546" t="s">
        <v>23</v>
      </c>
      <c r="L1769" s="1547"/>
      <c r="M1769" s="336" t="s">
        <v>17</v>
      </c>
      <c r="N1769" s="329">
        <v>100</v>
      </c>
      <c r="O1769" s="329">
        <v>100</v>
      </c>
      <c r="P1769" s="329">
        <v>100</v>
      </c>
      <c r="Q1769" s="329">
        <v>100</v>
      </c>
      <c r="R1769" s="1484">
        <v>100</v>
      </c>
    </row>
    <row r="1770" spans="2:18" x14ac:dyDescent="0.2">
      <c r="B1770" s="1482"/>
      <c r="C1770" s="1131" t="s">
        <v>197</v>
      </c>
      <c r="D1770" s="1131"/>
      <c r="E1770" s="1127" t="s">
        <v>32</v>
      </c>
      <c r="F1770" s="1142">
        <v>111.1</v>
      </c>
      <c r="G1770" s="1142">
        <v>1913.2</v>
      </c>
      <c r="H1770" s="1142">
        <v>1913.2</v>
      </c>
      <c r="I1770" s="1142">
        <v>1913.2</v>
      </c>
      <c r="J1770" s="1142">
        <v>1913.2</v>
      </c>
      <c r="K1770" s="1548" t="s">
        <v>2349</v>
      </c>
      <c r="L1770" s="1549"/>
      <c r="M1770" s="336" t="s">
        <v>17</v>
      </c>
      <c r="N1770" s="329">
        <v>100</v>
      </c>
      <c r="O1770" s="329">
        <v>100</v>
      </c>
      <c r="P1770" s="329">
        <v>100</v>
      </c>
      <c r="Q1770" s="329">
        <v>100</v>
      </c>
      <c r="R1770" s="1484">
        <v>100</v>
      </c>
    </row>
    <row r="1771" spans="2:18" ht="102" x14ac:dyDescent="0.2">
      <c r="B1771" s="1485" t="s">
        <v>138</v>
      </c>
      <c r="C1771" s="1476"/>
      <c r="D1771" s="1476"/>
      <c r="E1771" s="1478" t="s">
        <v>2853</v>
      </c>
      <c r="F1771" s="1486">
        <v>10754.6</v>
      </c>
      <c r="G1771" s="1486">
        <f>G1772+G1773+G1774+G1775+G1776+G1777+G1778</f>
        <v>9147.7999999999993</v>
      </c>
      <c r="H1771" s="1486">
        <f>H1772+H1773+H1774+H1775+H1776+H1777+H1778</f>
        <v>11147.8</v>
      </c>
      <c r="I1771" s="1486">
        <f>I1772+I1773+I1774+I1775+I1776+I1777+I1778</f>
        <v>9382.0999999999985</v>
      </c>
      <c r="J1771" s="1486">
        <f>J1772+J1773+J1774+J1775+J1776+J1777+J1778</f>
        <v>9501.0999999999985</v>
      </c>
      <c r="K1771" s="1487"/>
      <c r="L1771" s="1488"/>
      <c r="M1771" s="1316"/>
      <c r="N1771" s="1489"/>
      <c r="O1771" s="1490"/>
      <c r="P1771" s="1490"/>
      <c r="Q1771" s="1490"/>
      <c r="R1771" s="1348"/>
    </row>
    <row r="1772" spans="2:18" x14ac:dyDescent="0.2">
      <c r="B1772" s="1482"/>
      <c r="C1772" s="1131" t="s">
        <v>123</v>
      </c>
      <c r="D1772" s="1131"/>
      <c r="E1772" s="1127" t="s">
        <v>2350</v>
      </c>
      <c r="F1772" s="1142">
        <v>3000</v>
      </c>
      <c r="G1772" s="1142">
        <v>3086.4</v>
      </c>
      <c r="H1772" s="1142">
        <f>3086.4+1000+180</f>
        <v>4266.3999999999996</v>
      </c>
      <c r="I1772" s="1142">
        <v>3086.4</v>
      </c>
      <c r="J1772" s="1142">
        <v>3086.4</v>
      </c>
      <c r="K1772" s="1548" t="s">
        <v>2351</v>
      </c>
      <c r="L1772" s="1549"/>
      <c r="M1772" s="336" t="s">
        <v>31</v>
      </c>
      <c r="N1772" s="336">
        <v>50000</v>
      </c>
      <c r="O1772" s="336">
        <v>4000</v>
      </c>
      <c r="P1772" s="336">
        <v>30000</v>
      </c>
      <c r="Q1772" s="336">
        <v>30000</v>
      </c>
      <c r="R1772" s="1333">
        <v>40000</v>
      </c>
    </row>
    <row r="1773" spans="2:18" ht="25.5" x14ac:dyDescent="0.2">
      <c r="B1773" s="1491"/>
      <c r="C1773" s="1138" t="s">
        <v>125</v>
      </c>
      <c r="D1773" s="1138"/>
      <c r="E1773" s="1127" t="s">
        <v>2352</v>
      </c>
      <c r="F1773" s="1142">
        <v>500</v>
      </c>
      <c r="G1773" s="1142">
        <v>1562.3</v>
      </c>
      <c r="H1773" s="1142">
        <f>1562.3+100</f>
        <v>1662.3</v>
      </c>
      <c r="I1773" s="1142">
        <v>1796.6</v>
      </c>
      <c r="J1773" s="1142">
        <v>1915.6</v>
      </c>
      <c r="K1773" s="1546" t="s">
        <v>2745</v>
      </c>
      <c r="L1773" s="1547"/>
      <c r="M1773" s="1129" t="s">
        <v>31</v>
      </c>
      <c r="N1773" s="558">
        <v>25000</v>
      </c>
      <c r="O1773" s="558">
        <v>0</v>
      </c>
      <c r="P1773" s="558">
        <v>0</v>
      </c>
      <c r="Q1773" s="558">
        <v>0</v>
      </c>
      <c r="R1773" s="1344">
        <v>0</v>
      </c>
    </row>
    <row r="1774" spans="2:18" ht="25.5" x14ac:dyDescent="0.2">
      <c r="B1774" s="1491"/>
      <c r="C1774" s="1138" t="s">
        <v>127</v>
      </c>
      <c r="D1774" s="1138"/>
      <c r="E1774" s="1140" t="s">
        <v>2353</v>
      </c>
      <c r="F1774" s="1142">
        <v>592</v>
      </c>
      <c r="G1774" s="1142">
        <v>1878.3</v>
      </c>
      <c r="H1774" s="1142">
        <f>1878.3+300</f>
        <v>2178.3000000000002</v>
      </c>
      <c r="I1774" s="1142">
        <v>1878.3</v>
      </c>
      <c r="J1774" s="1142">
        <v>1878.3</v>
      </c>
      <c r="K1774" s="1546" t="s">
        <v>2746</v>
      </c>
      <c r="L1774" s="1547"/>
      <c r="M1774" s="1129" t="s">
        <v>31</v>
      </c>
      <c r="N1774" s="559">
        <v>20000</v>
      </c>
      <c r="O1774" s="559">
        <v>30000</v>
      </c>
      <c r="P1774" s="559">
        <v>30000</v>
      </c>
      <c r="Q1774" s="559">
        <v>30000</v>
      </c>
      <c r="R1774" s="1352">
        <v>40000</v>
      </c>
    </row>
    <row r="1775" spans="2:18" ht="25.5" x14ac:dyDescent="0.2">
      <c r="B1775" s="1491"/>
      <c r="C1775" s="1138" t="s">
        <v>132</v>
      </c>
      <c r="D1775" s="1138"/>
      <c r="E1775" s="1140" t="s">
        <v>2354</v>
      </c>
      <c r="F1775" s="1142">
        <v>500</v>
      </c>
      <c r="G1775" s="1142">
        <v>1272.5</v>
      </c>
      <c r="H1775" s="1142">
        <v>1272.5</v>
      </c>
      <c r="I1775" s="1142">
        <v>1272.5</v>
      </c>
      <c r="J1775" s="1142">
        <v>1272.5</v>
      </c>
      <c r="K1775" s="1548" t="s">
        <v>2355</v>
      </c>
      <c r="L1775" s="1549"/>
      <c r="M1775" s="336" t="s">
        <v>31</v>
      </c>
      <c r="N1775" s="1349">
        <v>2</v>
      </c>
      <c r="O1775" s="1349">
        <v>2</v>
      </c>
      <c r="P1775" s="1349">
        <v>2</v>
      </c>
      <c r="Q1775" s="1349">
        <v>2</v>
      </c>
      <c r="R1775" s="1492">
        <v>2</v>
      </c>
    </row>
    <row r="1776" spans="2:18" ht="25.5" x14ac:dyDescent="0.2">
      <c r="B1776" s="1491"/>
      <c r="C1776" s="1138" t="s">
        <v>74</v>
      </c>
      <c r="D1776" s="1138"/>
      <c r="E1776" s="1140" t="s">
        <v>2356</v>
      </c>
      <c r="F1776" s="1142">
        <v>300</v>
      </c>
      <c r="G1776" s="1142">
        <v>1172.5</v>
      </c>
      <c r="H1776" s="1142">
        <f>1172.5+120</f>
        <v>1292.5</v>
      </c>
      <c r="I1776" s="1142">
        <v>1172.5</v>
      </c>
      <c r="J1776" s="1142">
        <v>1172.5</v>
      </c>
      <c r="K1776" s="1548" t="s">
        <v>2357</v>
      </c>
      <c r="L1776" s="1549"/>
      <c r="M1776" s="336" t="s">
        <v>17</v>
      </c>
      <c r="N1776" s="1141">
        <v>100</v>
      </c>
      <c r="O1776" s="1141">
        <v>100</v>
      </c>
      <c r="P1776" s="1141">
        <v>100</v>
      </c>
      <c r="Q1776" s="1141">
        <v>100</v>
      </c>
      <c r="R1776" s="1352">
        <v>100</v>
      </c>
    </row>
    <row r="1777" spans="2:18" ht="25.5" x14ac:dyDescent="0.2">
      <c r="B1777" s="1491"/>
      <c r="C1777" s="1138" t="s">
        <v>197</v>
      </c>
      <c r="D1777" s="1138"/>
      <c r="E1777" s="1127" t="s">
        <v>2358</v>
      </c>
      <c r="F1777" s="1142">
        <v>200</v>
      </c>
      <c r="G1777" s="1142">
        <v>0</v>
      </c>
      <c r="H1777" s="1142">
        <v>100</v>
      </c>
      <c r="I1777" s="1142">
        <v>0</v>
      </c>
      <c r="J1777" s="1142">
        <v>0</v>
      </c>
      <c r="K1777" s="1550" t="s">
        <v>2351</v>
      </c>
      <c r="L1777" s="1551"/>
      <c r="M1777" s="685" t="s">
        <v>31</v>
      </c>
      <c r="N1777" s="1493">
        <v>50000</v>
      </c>
      <c r="O1777" s="1493">
        <v>4000</v>
      </c>
      <c r="P1777" s="1493">
        <v>30000</v>
      </c>
      <c r="Q1777" s="1493">
        <v>30000</v>
      </c>
      <c r="R1777" s="1494">
        <v>40000</v>
      </c>
    </row>
    <row r="1778" spans="2:18" ht="25.5" x14ac:dyDescent="0.2">
      <c r="B1778" s="1491"/>
      <c r="C1778" s="1138" t="s">
        <v>155</v>
      </c>
      <c r="D1778" s="1138"/>
      <c r="E1778" s="1127" t="s">
        <v>2359</v>
      </c>
      <c r="F1778" s="1142">
        <v>200</v>
      </c>
      <c r="G1778" s="1142">
        <v>175.8</v>
      </c>
      <c r="H1778" s="1142">
        <f>175.8+200</f>
        <v>375.8</v>
      </c>
      <c r="I1778" s="1142">
        <v>175.8</v>
      </c>
      <c r="J1778" s="1142">
        <v>175.8</v>
      </c>
      <c r="K1778" s="1552" t="s">
        <v>2747</v>
      </c>
      <c r="L1778" s="1553"/>
      <c r="M1778" s="1145" t="s">
        <v>17</v>
      </c>
      <c r="N1778" s="1146">
        <v>100</v>
      </c>
      <c r="O1778" s="1146">
        <v>100</v>
      </c>
      <c r="P1778" s="1146">
        <v>100</v>
      </c>
      <c r="Q1778" s="1146">
        <v>100</v>
      </c>
      <c r="R1778" s="1342">
        <v>100</v>
      </c>
    </row>
    <row r="1779" spans="2:18" x14ac:dyDescent="0.2">
      <c r="B1779" s="1609" t="s">
        <v>64</v>
      </c>
      <c r="C1779" s="1610"/>
      <c r="D1779" s="1610"/>
      <c r="E1779" s="1610"/>
      <c r="F1779" s="1107">
        <v>19046.900000000001</v>
      </c>
      <c r="G1779" s="1107">
        <f>G1771+G1767</f>
        <v>12240.099999999999</v>
      </c>
      <c r="H1779" s="1107">
        <f>H1771+H1767</f>
        <v>14240.099999999999</v>
      </c>
      <c r="I1779" s="1107">
        <f>I1767+I1771</f>
        <v>12474.399999999998</v>
      </c>
      <c r="J1779" s="1107">
        <f>J1771+J1767</f>
        <v>12593.399999999998</v>
      </c>
      <c r="K1779" s="1554"/>
      <c r="L1779" s="1555"/>
      <c r="M1779" s="590"/>
      <c r="N1779" s="810"/>
      <c r="O1779" s="810"/>
      <c r="P1779" s="810"/>
      <c r="Q1779" s="810"/>
      <c r="R1779" s="1347"/>
    </row>
    <row r="1780" spans="2:18" ht="21.75" customHeight="1" thickBot="1" x14ac:dyDescent="0.25">
      <c r="B1780" s="1541" t="s">
        <v>2360</v>
      </c>
      <c r="C1780" s="1542"/>
      <c r="D1780" s="1542"/>
      <c r="E1780" s="1542"/>
      <c r="F1780" s="1542"/>
      <c r="G1780" s="1542"/>
      <c r="H1780" s="1542"/>
      <c r="I1780" s="1542"/>
      <c r="J1780" s="1542"/>
      <c r="K1780" s="1542"/>
      <c r="L1780" s="1542"/>
      <c r="M1780" s="1542"/>
      <c r="N1780" s="1542"/>
      <c r="O1780" s="1542"/>
      <c r="P1780" s="1542"/>
      <c r="Q1780" s="1542"/>
      <c r="R1780" s="1543"/>
    </row>
    <row r="1781" spans="2:18" ht="54" customHeight="1" x14ac:dyDescent="0.2">
      <c r="B1781" s="536">
        <v>1</v>
      </c>
      <c r="C1781" s="537"/>
      <c r="D1781" s="538"/>
      <c r="E1781" s="539" t="s">
        <v>2790</v>
      </c>
      <c r="F1781" s="980">
        <f>F1782+F1783</f>
        <v>2520.8000000000002</v>
      </c>
      <c r="G1781" s="980">
        <f>G1782+G1783</f>
        <v>6056.4000000000005</v>
      </c>
      <c r="H1781" s="980">
        <f>H1782+H1783</f>
        <v>8303.8130000000001</v>
      </c>
      <c r="I1781" s="980">
        <f t="shared" ref="I1781:J1781" si="113">I1782+I1783</f>
        <v>5096.8999999999996</v>
      </c>
      <c r="J1781" s="980">
        <f t="shared" si="113"/>
        <v>5146.5999999999995</v>
      </c>
      <c r="K1781" s="1573" t="s">
        <v>16</v>
      </c>
      <c r="L1781" s="1574"/>
      <c r="M1781" s="540" t="s">
        <v>17</v>
      </c>
      <c r="N1781" s="540">
        <v>100</v>
      </c>
      <c r="O1781" s="540">
        <v>100</v>
      </c>
      <c r="P1781" s="540">
        <v>100</v>
      </c>
      <c r="Q1781" s="540">
        <v>100</v>
      </c>
      <c r="R1781" s="540">
        <v>100</v>
      </c>
    </row>
    <row r="1782" spans="2:18" x14ac:dyDescent="0.2">
      <c r="B1782" s="1495"/>
      <c r="C1782" s="1496" t="s">
        <v>125</v>
      </c>
      <c r="D1782" s="1497"/>
      <c r="E1782" s="1095" t="s">
        <v>2361</v>
      </c>
      <c r="F1782" s="954">
        <v>1977.6</v>
      </c>
      <c r="G1782" s="954">
        <f>864.6+149.2+2200+155.3+48.5+1532.3</f>
        <v>4949.9000000000005</v>
      </c>
      <c r="H1782" s="954">
        <f>1973.6+340.5+1479+111.4+87.9+150.1+1898.4+299.447+13.605+330</f>
        <v>6683.9519999999993</v>
      </c>
      <c r="I1782" s="954">
        <f>2007.8+346.4+1504.6+120.8+89.6+152.9</f>
        <v>4222.0999999999995</v>
      </c>
      <c r="J1782" s="954">
        <f>2027+349.7+1520.6+121.2+90.4+154.4</f>
        <v>4263.2999999999993</v>
      </c>
      <c r="K1782" s="1620" t="s">
        <v>23</v>
      </c>
      <c r="L1782" s="1620"/>
      <c r="M1782" s="401" t="s">
        <v>17</v>
      </c>
      <c r="N1782" s="401">
        <v>73</v>
      </c>
      <c r="O1782" s="401">
        <v>78</v>
      </c>
      <c r="P1782" s="401">
        <v>80</v>
      </c>
      <c r="Q1782" s="401">
        <v>79</v>
      </c>
      <c r="R1782" s="401">
        <v>79</v>
      </c>
    </row>
    <row r="1783" spans="2:18" x14ac:dyDescent="0.2">
      <c r="B1783" s="1495"/>
      <c r="C1783" s="1496" t="s">
        <v>127</v>
      </c>
      <c r="D1783" s="1498"/>
      <c r="E1783" s="1095" t="s">
        <v>24</v>
      </c>
      <c r="F1783" s="1499">
        <v>543.20000000000005</v>
      </c>
      <c r="G1783" s="1499">
        <f>331.5+57.2+650+51.7+16.1</f>
        <v>1106.5</v>
      </c>
      <c r="H1783" s="1499">
        <f>251.2+43.3+435.7+37.1+29.3+50+559+99.726+4.535+110</f>
        <v>1619.8610000000001</v>
      </c>
      <c r="I1783" s="1499">
        <f>253.9+43.8+455.9+40.3+29.9+51</f>
        <v>874.79999999999984</v>
      </c>
      <c r="J1783" s="954">
        <f>256.3+44.2+460.8+40.4+30.1+51.5</f>
        <v>883.3</v>
      </c>
      <c r="K1783" s="1539" t="s">
        <v>23</v>
      </c>
      <c r="L1783" s="1540"/>
      <c r="M1783" s="401" t="s">
        <v>17</v>
      </c>
      <c r="N1783" s="1500">
        <v>27</v>
      </c>
      <c r="O1783" s="1500">
        <v>22</v>
      </c>
      <c r="P1783" s="1500">
        <v>20</v>
      </c>
      <c r="Q1783" s="1500">
        <v>21</v>
      </c>
      <c r="R1783" s="1500">
        <v>21</v>
      </c>
    </row>
    <row r="1784" spans="2:18" x14ac:dyDescent="0.2">
      <c r="B1784" s="1611" t="s">
        <v>138</v>
      </c>
      <c r="C1784" s="1613"/>
      <c r="D1784" s="1615"/>
      <c r="E1784" s="1617" t="s">
        <v>2854</v>
      </c>
      <c r="F1784" s="1618">
        <v>11864.7</v>
      </c>
      <c r="G1784" s="1618">
        <f>G1786</f>
        <v>18030.3</v>
      </c>
      <c r="H1784" s="1618">
        <f>H1786</f>
        <v>27625.286999999997</v>
      </c>
      <c r="I1784" s="1618">
        <f t="shared" ref="I1784:J1784" si="114">I1786</f>
        <v>15417.500000000002</v>
      </c>
      <c r="J1784" s="1618">
        <f t="shared" si="114"/>
        <v>15563.5</v>
      </c>
      <c r="K1784" s="1576" t="s">
        <v>23</v>
      </c>
      <c r="L1784" s="1577"/>
      <c r="M1784" s="1525" t="s">
        <v>17</v>
      </c>
      <c r="N1784" s="1501">
        <v>100</v>
      </c>
      <c r="O1784" s="1501">
        <v>100</v>
      </c>
      <c r="P1784" s="1501">
        <v>100</v>
      </c>
      <c r="Q1784" s="1501">
        <v>100</v>
      </c>
      <c r="R1784" s="1501">
        <v>100</v>
      </c>
    </row>
    <row r="1785" spans="2:18" x14ac:dyDescent="0.2">
      <c r="B1785" s="1612"/>
      <c r="C1785" s="1614"/>
      <c r="D1785" s="1616"/>
      <c r="E1785" s="1617"/>
      <c r="F1785" s="1619"/>
      <c r="G1785" s="1619"/>
      <c r="H1785" s="1619"/>
      <c r="I1785" s="1619"/>
      <c r="J1785" s="1619"/>
      <c r="K1785" s="1578"/>
      <c r="L1785" s="1579"/>
      <c r="M1785" s="1526"/>
      <c r="N1785" s="664"/>
      <c r="O1785" s="664"/>
      <c r="P1785" s="664"/>
      <c r="Q1785" s="664"/>
      <c r="R1785" s="664"/>
    </row>
    <row r="1786" spans="2:18" x14ac:dyDescent="0.2">
      <c r="B1786" s="1611"/>
      <c r="C1786" s="2205" t="s">
        <v>123</v>
      </c>
      <c r="D1786" s="1615"/>
      <c r="E1786" s="2207" t="s">
        <v>2362</v>
      </c>
      <c r="F1786" s="2213">
        <v>11864.7</v>
      </c>
      <c r="G1786" s="2208">
        <v>18030.3</v>
      </c>
      <c r="H1786" s="2208">
        <f>5325.9+918.7+7032.7+593.9+468.8+800+8556.3+2096.427+72.56+1760</f>
        <v>27625.286999999997</v>
      </c>
      <c r="I1786" s="2208">
        <f>5431.2+936.9+7112.1+644.1+477.7+815.5</f>
        <v>15417.500000000002</v>
      </c>
      <c r="J1786" s="1581">
        <f>5483+945.8+7182.8+646.2+482.3+823.4</f>
        <v>15563.5</v>
      </c>
      <c r="K1786" s="1576" t="s">
        <v>23</v>
      </c>
      <c r="L1786" s="1577"/>
      <c r="M1786" s="1525" t="s">
        <v>17</v>
      </c>
      <c r="N1786" s="1502">
        <v>100</v>
      </c>
      <c r="O1786" s="1502">
        <v>100</v>
      </c>
      <c r="P1786" s="1502">
        <v>100</v>
      </c>
      <c r="Q1786" s="1502">
        <v>100</v>
      </c>
      <c r="R1786" s="1502">
        <v>100</v>
      </c>
    </row>
    <row r="1787" spans="2:18" x14ac:dyDescent="0.2">
      <c r="B1787" s="1612"/>
      <c r="C1787" s="2206"/>
      <c r="D1787" s="1616"/>
      <c r="E1787" s="2207"/>
      <c r="F1787" s="1619"/>
      <c r="G1787" s="2209"/>
      <c r="H1787" s="2209"/>
      <c r="I1787" s="2209"/>
      <c r="J1787" s="1581"/>
      <c r="K1787" s="1578"/>
      <c r="L1787" s="1579"/>
      <c r="M1787" s="1526"/>
      <c r="N1787" s="666"/>
      <c r="O1787" s="666"/>
      <c r="P1787" s="666"/>
      <c r="Q1787" s="666"/>
      <c r="R1787" s="666"/>
    </row>
    <row r="1788" spans="2:18" ht="24.75" customHeight="1" x14ac:dyDescent="0.2">
      <c r="B1788" s="2210" t="s">
        <v>64</v>
      </c>
      <c r="C1788" s="2211"/>
      <c r="D1788" s="2211"/>
      <c r="E1788" s="2212"/>
      <c r="F1788" s="1107">
        <v>14385.5</v>
      </c>
      <c r="G1788" s="1107">
        <f>G1781+G1784</f>
        <v>24086.7</v>
      </c>
      <c r="H1788" s="1107">
        <f>H1781+H1784</f>
        <v>35929.1</v>
      </c>
      <c r="I1788" s="1107">
        <f t="shared" ref="I1788:J1788" si="115">I1781+I1784</f>
        <v>20514.400000000001</v>
      </c>
      <c r="J1788" s="1107">
        <f t="shared" si="115"/>
        <v>20710.099999999999</v>
      </c>
      <c r="K1788" s="1527"/>
      <c r="L1788" s="1528"/>
      <c r="M1788" s="590"/>
      <c r="N1788" s="810"/>
      <c r="O1788" s="810"/>
      <c r="P1788" s="810"/>
      <c r="Q1788" s="810"/>
      <c r="R1788" s="1347"/>
    </row>
  </sheetData>
  <mergeCells count="2834">
    <mergeCell ref="C67:C73"/>
    <mergeCell ref="D67:D73"/>
    <mergeCell ref="E67:E73"/>
    <mergeCell ref="B590:E590"/>
    <mergeCell ref="B642:E642"/>
    <mergeCell ref="B1786:B1787"/>
    <mergeCell ref="C1786:C1787"/>
    <mergeCell ref="D1786:D1787"/>
    <mergeCell ref="E1786:E1787"/>
    <mergeCell ref="G1786:G1787"/>
    <mergeCell ref="H1786:H1787"/>
    <mergeCell ref="I1786:I1787"/>
    <mergeCell ref="J1786:J1787"/>
    <mergeCell ref="B1788:E1788"/>
    <mergeCell ref="F1786:F1787"/>
    <mergeCell ref="K1786:L1787"/>
    <mergeCell ref="C241:C242"/>
    <mergeCell ref="D241:D242"/>
    <mergeCell ref="B234:B235"/>
    <mergeCell ref="C234:C235"/>
    <mergeCell ref="D234:D235"/>
    <mergeCell ref="E234:E235"/>
    <mergeCell ref="B236:B238"/>
    <mergeCell ref="C236:C238"/>
    <mergeCell ref="D236:D238"/>
    <mergeCell ref="B1695:R1695"/>
    <mergeCell ref="K1728:L1728"/>
    <mergeCell ref="K1729:L1729"/>
    <mergeCell ref="K1730:L1730"/>
    <mergeCell ref="K1731:L1731"/>
    <mergeCell ref="K1732:L1732"/>
    <mergeCell ref="K1733:L1733"/>
    <mergeCell ref="K1734:L1734"/>
    <mergeCell ref="B1755:E1755"/>
    <mergeCell ref="K1735:L1735"/>
    <mergeCell ref="K1736:L1736"/>
    <mergeCell ref="K1737:L1737"/>
    <mergeCell ref="K1738:L1738"/>
    <mergeCell ref="K1739:L1739"/>
    <mergeCell ref="K1740:L1740"/>
    <mergeCell ref="B1741:R1741"/>
    <mergeCell ref="K1742:L1742"/>
    <mergeCell ref="K1743:L1743"/>
    <mergeCell ref="B1643:E1643"/>
    <mergeCell ref="K1643:L1643"/>
    <mergeCell ref="B1644:R1644"/>
    <mergeCell ref="K1645:L1645"/>
    <mergeCell ref="K1646:L1646"/>
    <mergeCell ref="K1647:L1647"/>
    <mergeCell ref="K1648:L1648"/>
    <mergeCell ref="K1649:L1649"/>
    <mergeCell ref="K1650:L1650"/>
    <mergeCell ref="K1651:L1651"/>
    <mergeCell ref="K1652:L1652"/>
    <mergeCell ref="K1653:L1653"/>
    <mergeCell ref="B1662:E1662"/>
    <mergeCell ref="K1677:L1677"/>
    <mergeCell ref="K1678:L1678"/>
    <mergeCell ref="B1690:E1690"/>
    <mergeCell ref="B1694:E1694"/>
    <mergeCell ref="K1618:L1618"/>
    <mergeCell ref="K1619:L1619"/>
    <mergeCell ref="B1624:E1624"/>
    <mergeCell ref="K1620:L1620"/>
    <mergeCell ref="K1621:L1621"/>
    <mergeCell ref="K1622:L1622"/>
    <mergeCell ref="K1623:L1623"/>
    <mergeCell ref="K1624:L1624"/>
    <mergeCell ref="B1625:R1625"/>
    <mergeCell ref="G1630:G1631"/>
    <mergeCell ref="B1630:B1631"/>
    <mergeCell ref="C1630:C1631"/>
    <mergeCell ref="D1630:D1631"/>
    <mergeCell ref="B1638:E1638"/>
    <mergeCell ref="B1641:B1642"/>
    <mergeCell ref="C1641:C1642"/>
    <mergeCell ref="D1641:D1642"/>
    <mergeCell ref="E1641:E1642"/>
    <mergeCell ref="G1641:G1642"/>
    <mergeCell ref="H1641:H1642"/>
    <mergeCell ref="I1641:I1642"/>
    <mergeCell ref="J1641:J1642"/>
    <mergeCell ref="B1639:R1639"/>
    <mergeCell ref="F1641:F1642"/>
    <mergeCell ref="K1641:L1641"/>
    <mergeCell ref="K1642:L1642"/>
    <mergeCell ref="B1604:B1608"/>
    <mergeCell ref="C1604:C1608"/>
    <mergeCell ref="D1604:D1608"/>
    <mergeCell ref="E1604:E1608"/>
    <mergeCell ref="G1604:G1608"/>
    <mergeCell ref="H1604:H1608"/>
    <mergeCell ref="I1604:I1608"/>
    <mergeCell ref="J1604:J1608"/>
    <mergeCell ref="B1610:E1610"/>
    <mergeCell ref="K1610:L1610"/>
    <mergeCell ref="B1611:R1611"/>
    <mergeCell ref="K1612:L1612"/>
    <mergeCell ref="K1613:L1613"/>
    <mergeCell ref="K1614:L1614"/>
    <mergeCell ref="K1615:L1615"/>
    <mergeCell ref="K1616:L1616"/>
    <mergeCell ref="K1617:L1617"/>
    <mergeCell ref="D1596:D1597"/>
    <mergeCell ref="E1596:E1597"/>
    <mergeCell ref="G1596:G1597"/>
    <mergeCell ref="H1596:H1597"/>
    <mergeCell ref="I1596:I1597"/>
    <mergeCell ref="J1596:J1597"/>
    <mergeCell ref="B1598:E1598"/>
    <mergeCell ref="K1587:L1587"/>
    <mergeCell ref="K1588:L1588"/>
    <mergeCell ref="K1589:L1589"/>
    <mergeCell ref="K1590:L1590"/>
    <mergeCell ref="B1601:B1603"/>
    <mergeCell ref="C1601:C1603"/>
    <mergeCell ref="D1601:D1603"/>
    <mergeCell ref="E1601:E1603"/>
    <mergeCell ref="G1601:G1603"/>
    <mergeCell ref="H1601:H1603"/>
    <mergeCell ref="I1601:I1603"/>
    <mergeCell ref="J1601:J1603"/>
    <mergeCell ref="M1470:R1470"/>
    <mergeCell ref="B1471:R1471"/>
    <mergeCell ref="K1472:L1472"/>
    <mergeCell ref="K1473:L1473"/>
    <mergeCell ref="K1474:L1474"/>
    <mergeCell ref="K1475:L1475"/>
    <mergeCell ref="B1476:B1477"/>
    <mergeCell ref="B1494:E1494"/>
    <mergeCell ref="K1492:L1492"/>
    <mergeCell ref="K1493:L1493"/>
    <mergeCell ref="B1515:E1515"/>
    <mergeCell ref="K1529:L1529"/>
    <mergeCell ref="B1545:B1546"/>
    <mergeCell ref="C1545:C1546"/>
    <mergeCell ref="D1545:D1546"/>
    <mergeCell ref="E1545:E1546"/>
    <mergeCell ref="G1545:G1546"/>
    <mergeCell ref="H1545:H1546"/>
    <mergeCell ref="I1545:I1546"/>
    <mergeCell ref="J1545:J1546"/>
    <mergeCell ref="B1466:B1467"/>
    <mergeCell ref="C1466:C1467"/>
    <mergeCell ref="D1466:D1467"/>
    <mergeCell ref="E1466:E1467"/>
    <mergeCell ref="G1466:G1467"/>
    <mergeCell ref="H1466:H1467"/>
    <mergeCell ref="I1466:I1467"/>
    <mergeCell ref="J1466:J1467"/>
    <mergeCell ref="K1463:L1463"/>
    <mergeCell ref="K1464:L1464"/>
    <mergeCell ref="K1465:L1465"/>
    <mergeCell ref="K1466:L1466"/>
    <mergeCell ref="K1467:L1467"/>
    <mergeCell ref="C1476:C1477"/>
    <mergeCell ref="E1476:E1477"/>
    <mergeCell ref="B1468:B1469"/>
    <mergeCell ref="K1468:L1468"/>
    <mergeCell ref="K1469:L1469"/>
    <mergeCell ref="K1470:L1470"/>
    <mergeCell ref="B1379:R1379"/>
    <mergeCell ref="K1380:L1380"/>
    <mergeCell ref="K1381:L1381"/>
    <mergeCell ref="C1383:C1384"/>
    <mergeCell ref="D1383:D1384"/>
    <mergeCell ref="E1383:E1384"/>
    <mergeCell ref="C1422:C1425"/>
    <mergeCell ref="D1422:D1425"/>
    <mergeCell ref="E1422:E1425"/>
    <mergeCell ref="F1422:F1425"/>
    <mergeCell ref="H1422:H1425"/>
    <mergeCell ref="I1422:I1425"/>
    <mergeCell ref="J1422:J1425"/>
    <mergeCell ref="C1426:C1429"/>
    <mergeCell ref="D1426:D1429"/>
    <mergeCell ref="E1426:E1429"/>
    <mergeCell ref="F1426:F1429"/>
    <mergeCell ref="H1426:H1429"/>
    <mergeCell ref="I1426:I1429"/>
    <mergeCell ref="J1426:J1429"/>
    <mergeCell ref="E1300:E1301"/>
    <mergeCell ref="F1300:F1301"/>
    <mergeCell ref="H1300:H1301"/>
    <mergeCell ref="I1300:I1301"/>
    <mergeCell ref="J1300:J1301"/>
    <mergeCell ref="C1309:C1310"/>
    <mergeCell ref="D1309:D1310"/>
    <mergeCell ref="E1309:E1310"/>
    <mergeCell ref="F1309:F1310"/>
    <mergeCell ref="H1309:H1310"/>
    <mergeCell ref="I1309:I1310"/>
    <mergeCell ref="J1309:J1310"/>
    <mergeCell ref="K1309:K1310"/>
    <mergeCell ref="G1323:G1324"/>
    <mergeCell ref="B1323:B1324"/>
    <mergeCell ref="B1376:B1377"/>
    <mergeCell ref="C1376:C1377"/>
    <mergeCell ref="D1376:D1377"/>
    <mergeCell ref="E1376:E1377"/>
    <mergeCell ref="G1376:G1377"/>
    <mergeCell ref="H1376:H1377"/>
    <mergeCell ref="I1376:I1377"/>
    <mergeCell ref="J1376:J1377"/>
    <mergeCell ref="C1143:C1145"/>
    <mergeCell ref="C1167:C1170"/>
    <mergeCell ref="D1167:D1170"/>
    <mergeCell ref="E1167:E1170"/>
    <mergeCell ref="F1167:F1170"/>
    <mergeCell ref="H1167:H1170"/>
    <mergeCell ref="I1167:I1170"/>
    <mergeCell ref="J1167:J1170"/>
    <mergeCell ref="C1171:C1174"/>
    <mergeCell ref="D1171:D1174"/>
    <mergeCell ref="E1171:E1174"/>
    <mergeCell ref="F1171:F1174"/>
    <mergeCell ref="H1171:H1174"/>
    <mergeCell ref="I1171:I1174"/>
    <mergeCell ref="J1171:J1174"/>
    <mergeCell ref="C1183:C1189"/>
    <mergeCell ref="D1183:D1189"/>
    <mergeCell ref="E1183:E1189"/>
    <mergeCell ref="F1183:F1189"/>
    <mergeCell ref="K1109:L1109"/>
    <mergeCell ref="K1110:L1110"/>
    <mergeCell ref="K1111:L1111"/>
    <mergeCell ref="K1112:L1112"/>
    <mergeCell ref="C1129:C1130"/>
    <mergeCell ref="D1129:D1130"/>
    <mergeCell ref="E1129:E1130"/>
    <mergeCell ref="F1129:F1130"/>
    <mergeCell ref="H1129:H1130"/>
    <mergeCell ref="I1129:I1130"/>
    <mergeCell ref="J1129:J1130"/>
    <mergeCell ref="C1138:C1142"/>
    <mergeCell ref="D1138:D1142"/>
    <mergeCell ref="E1138:E1142"/>
    <mergeCell ref="F1138:F1142"/>
    <mergeCell ref="H1138:H1142"/>
    <mergeCell ref="I1138:I1142"/>
    <mergeCell ref="J1138:J1142"/>
    <mergeCell ref="K8:K10"/>
    <mergeCell ref="M8:M10"/>
    <mergeCell ref="N8:N9"/>
    <mergeCell ref="O8:R9"/>
    <mergeCell ref="F9:J9"/>
    <mergeCell ref="A11:R11"/>
    <mergeCell ref="C34:C36"/>
    <mergeCell ref="D34:D36"/>
    <mergeCell ref="E34:E36"/>
    <mergeCell ref="F34:F36"/>
    <mergeCell ref="G34:G36"/>
    <mergeCell ref="H34:H36"/>
    <mergeCell ref="I34:I36"/>
    <mergeCell ref="J34:J36"/>
    <mergeCell ref="I37:I38"/>
    <mergeCell ref="J37:J38"/>
    <mergeCell ref="A39:E39"/>
    <mergeCell ref="M39:R39"/>
    <mergeCell ref="A6:J6"/>
    <mergeCell ref="A8:A10"/>
    <mergeCell ref="B8:B10"/>
    <mergeCell ref="C8:C10"/>
    <mergeCell ref="D8:D10"/>
    <mergeCell ref="E8:E10"/>
    <mergeCell ref="F8:J8"/>
    <mergeCell ref="I25:I26"/>
    <mergeCell ref="J25:J26"/>
    <mergeCell ref="B30:B31"/>
    <mergeCell ref="C30:C31"/>
    <mergeCell ref="D30:D31"/>
    <mergeCell ref="E30:E31"/>
    <mergeCell ref="F30:F31"/>
    <mergeCell ref="G30:G31"/>
    <mergeCell ref="H30:H31"/>
    <mergeCell ref="I30:I31"/>
    <mergeCell ref="C25:C26"/>
    <mergeCell ref="D25:D26"/>
    <mergeCell ref="E25:E26"/>
    <mergeCell ref="F25:F26"/>
    <mergeCell ref="G25:G26"/>
    <mergeCell ref="H25:H26"/>
    <mergeCell ref="J30:J31"/>
    <mergeCell ref="A40:E40"/>
    <mergeCell ref="A41:E41"/>
    <mergeCell ref="C37:C38"/>
    <mergeCell ref="D37:D38"/>
    <mergeCell ref="E37:E38"/>
    <mergeCell ref="F37:F38"/>
    <mergeCell ref="G37:G38"/>
    <mergeCell ref="H37:H38"/>
    <mergeCell ref="M50:M51"/>
    <mergeCell ref="A54:E54"/>
    <mergeCell ref="A55:R55"/>
    <mergeCell ref="A45:E45"/>
    <mergeCell ref="A46:R46"/>
    <mergeCell ref="A48:E48"/>
    <mergeCell ref="A49:R49"/>
    <mergeCell ref="C50:C51"/>
    <mergeCell ref="E50:E51"/>
    <mergeCell ref="J50:J51"/>
    <mergeCell ref="F50:F51"/>
    <mergeCell ref="G50:G51"/>
    <mergeCell ref="H50:H51"/>
    <mergeCell ref="I50:I51"/>
    <mergeCell ref="D50:D51"/>
    <mergeCell ref="K68:K73"/>
    <mergeCell ref="K50:K51"/>
    <mergeCell ref="B85:B86"/>
    <mergeCell ref="C85:C86"/>
    <mergeCell ref="D85:D86"/>
    <mergeCell ref="E85:E86"/>
    <mergeCell ref="A87:E87"/>
    <mergeCell ref="A88:R88"/>
    <mergeCell ref="B74:B82"/>
    <mergeCell ref="C74:C82"/>
    <mergeCell ref="D74:D82"/>
    <mergeCell ref="E74:E82"/>
    <mergeCell ref="B83:B84"/>
    <mergeCell ref="C83:C84"/>
    <mergeCell ref="D83:D84"/>
    <mergeCell ref="E83:E84"/>
    <mergeCell ref="A230:R230"/>
    <mergeCell ref="B151:B152"/>
    <mergeCell ref="C151:C152"/>
    <mergeCell ref="D151:D152"/>
    <mergeCell ref="E151:E152"/>
    <mergeCell ref="A160:E160"/>
    <mergeCell ref="A161:R161"/>
    <mergeCell ref="A114:E114"/>
    <mergeCell ref="A115:R115"/>
    <mergeCell ref="A135:E135"/>
    <mergeCell ref="A136:R136"/>
    <mergeCell ref="B147:B148"/>
    <mergeCell ref="C147:C148"/>
    <mergeCell ref="D147:D148"/>
    <mergeCell ref="E147:E148"/>
    <mergeCell ref="K204:K205"/>
    <mergeCell ref="M204:M205"/>
    <mergeCell ref="N204:N205"/>
    <mergeCell ref="O204:O205"/>
    <mergeCell ref="A228:E228"/>
    <mergeCell ref="A229:E229"/>
    <mergeCell ref="K163:K164"/>
    <mergeCell ref="K173:K175"/>
    <mergeCell ref="K190:K192"/>
    <mergeCell ref="M190:M192"/>
    <mergeCell ref="N190:N192"/>
    <mergeCell ref="O190:O192"/>
    <mergeCell ref="A244:R244"/>
    <mergeCell ref="F245:F246"/>
    <mergeCell ref="G245:G246"/>
    <mergeCell ref="H245:H246"/>
    <mergeCell ref="I245:I246"/>
    <mergeCell ref="J245:J246"/>
    <mergeCell ref="K245:K246"/>
    <mergeCell ref="M245:M246"/>
    <mergeCell ref="A243:E243"/>
    <mergeCell ref="I241:I242"/>
    <mergeCell ref="J241:J242"/>
    <mergeCell ref="I236:I238"/>
    <mergeCell ref="J236:J238"/>
    <mergeCell ref="I234:I235"/>
    <mergeCell ref="J234:J235"/>
    <mergeCell ref="H234:H235"/>
    <mergeCell ref="H236:H238"/>
    <mergeCell ref="H241:H242"/>
    <mergeCell ref="E236:E238"/>
    <mergeCell ref="E241:E242"/>
    <mergeCell ref="B241:B242"/>
    <mergeCell ref="N248:N249"/>
    <mergeCell ref="O248:O249"/>
    <mergeCell ref="P248:P249"/>
    <mergeCell ref="Q248:Q249"/>
    <mergeCell ref="R248:R249"/>
    <mergeCell ref="O245:O246"/>
    <mergeCell ref="P245:P246"/>
    <mergeCell ref="Q245:Q246"/>
    <mergeCell ref="R245:R246"/>
    <mergeCell ref="B251:E251"/>
    <mergeCell ref="B276:E276"/>
    <mergeCell ref="B277:E277"/>
    <mergeCell ref="B294:E294"/>
    <mergeCell ref="B317:B318"/>
    <mergeCell ref="C317:C318"/>
    <mergeCell ref="D317:D318"/>
    <mergeCell ref="E317:E318"/>
    <mergeCell ref="M248:M249"/>
    <mergeCell ref="F248:F249"/>
    <mergeCell ref="G248:G249"/>
    <mergeCell ref="H248:H249"/>
    <mergeCell ref="I248:I249"/>
    <mergeCell ref="J248:J249"/>
    <mergeCell ref="K248:K249"/>
    <mergeCell ref="F317:F318"/>
    <mergeCell ref="G317:G318"/>
    <mergeCell ref="H317:H318"/>
    <mergeCell ref="J317:J318"/>
    <mergeCell ref="M369:R369"/>
    <mergeCell ref="B370:E370"/>
    <mergeCell ref="B378:E378"/>
    <mergeCell ref="B379:E379"/>
    <mergeCell ref="F340:F348"/>
    <mergeCell ref="G340:G348"/>
    <mergeCell ref="J340:J348"/>
    <mergeCell ref="B341:B342"/>
    <mergeCell ref="C341:C342"/>
    <mergeCell ref="D341:D342"/>
    <mergeCell ref="E341:E342"/>
    <mergeCell ref="B343:B347"/>
    <mergeCell ref="C343:C347"/>
    <mergeCell ref="D343:D347"/>
    <mergeCell ref="B319:B322"/>
    <mergeCell ref="C319:C322"/>
    <mergeCell ref="D319:D322"/>
    <mergeCell ref="E319:E322"/>
    <mergeCell ref="F319:F322"/>
    <mergeCell ref="G319:G322"/>
    <mergeCell ref="H319:H322"/>
    <mergeCell ref="J319:J322"/>
    <mergeCell ref="F331:F332"/>
    <mergeCell ref="G331:G332"/>
    <mergeCell ref="J331:J332"/>
    <mergeCell ref="C334:C335"/>
    <mergeCell ref="E334:E335"/>
    <mergeCell ref="F334:F335"/>
    <mergeCell ref="G334:G335"/>
    <mergeCell ref="J334:J335"/>
    <mergeCell ref="E343:E347"/>
    <mergeCell ref="F389:F392"/>
    <mergeCell ref="G389:G392"/>
    <mergeCell ref="H389:H392"/>
    <mergeCell ref="I389:I392"/>
    <mergeCell ref="J389:J392"/>
    <mergeCell ref="C391:C392"/>
    <mergeCell ref="D391:D392"/>
    <mergeCell ref="E391:E392"/>
    <mergeCell ref="C395:C396"/>
    <mergeCell ref="D395:D396"/>
    <mergeCell ref="E395:E396"/>
    <mergeCell ref="F395:F396"/>
    <mergeCell ref="G395:G396"/>
    <mergeCell ref="H395:H396"/>
    <mergeCell ref="I395:I396"/>
    <mergeCell ref="J395:J396"/>
    <mergeCell ref="B369:E369"/>
    <mergeCell ref="C399:C400"/>
    <mergeCell ref="E399:E400"/>
    <mergeCell ref="F399:F401"/>
    <mergeCell ref="G399:G401"/>
    <mergeCell ref="H399:H401"/>
    <mergeCell ref="C406:C407"/>
    <mergeCell ref="D406:D407"/>
    <mergeCell ref="E406:E407"/>
    <mergeCell ref="C408:C410"/>
    <mergeCell ref="D408:D410"/>
    <mergeCell ref="E408:E410"/>
    <mergeCell ref="I399:I401"/>
    <mergeCell ref="J399:J401"/>
    <mergeCell ref="F405:F410"/>
    <mergeCell ref="G405:G410"/>
    <mergeCell ref="H405:H410"/>
    <mergeCell ref="I405:I410"/>
    <mergeCell ref="J405:J410"/>
    <mergeCell ref="F412:F418"/>
    <mergeCell ref="G412:G418"/>
    <mergeCell ref="H412:H418"/>
    <mergeCell ref="I412:I418"/>
    <mergeCell ref="J412:J418"/>
    <mergeCell ref="R434:R435"/>
    <mergeCell ref="C436:C438"/>
    <mergeCell ref="D436:D438"/>
    <mergeCell ref="E436:E438"/>
    <mergeCell ref="C415:C417"/>
    <mergeCell ref="D415:D417"/>
    <mergeCell ref="E415:E417"/>
    <mergeCell ref="C412:C413"/>
    <mergeCell ref="D412:D413"/>
    <mergeCell ref="E412:E413"/>
    <mergeCell ref="I420:I424"/>
    <mergeCell ref="J420:J424"/>
    <mergeCell ref="C420:C422"/>
    <mergeCell ref="D420:D422"/>
    <mergeCell ref="E420:E422"/>
    <mergeCell ref="F420:F424"/>
    <mergeCell ref="G420:G424"/>
    <mergeCell ref="H420:H424"/>
    <mergeCell ref="F439:F440"/>
    <mergeCell ref="G439:G440"/>
    <mergeCell ref="H439:H440"/>
    <mergeCell ref="I439:I440"/>
    <mergeCell ref="J439:J440"/>
    <mergeCell ref="K434:K435"/>
    <mergeCell ref="M434:M435"/>
    <mergeCell ref="N434:N435"/>
    <mergeCell ref="O434:O435"/>
    <mergeCell ref="P434:P435"/>
    <mergeCell ref="Q434:Q435"/>
    <mergeCell ref="B448:B449"/>
    <mergeCell ref="C448:C449"/>
    <mergeCell ref="D448:D449"/>
    <mergeCell ref="E448:E449"/>
    <mergeCell ref="D432:D433"/>
    <mergeCell ref="E432:E433"/>
    <mergeCell ref="F432:F433"/>
    <mergeCell ref="G432:G433"/>
    <mergeCell ref="H432:H433"/>
    <mergeCell ref="I432:I433"/>
    <mergeCell ref="J432:J433"/>
    <mergeCell ref="F434:F438"/>
    <mergeCell ref="G434:G438"/>
    <mergeCell ref="H434:H438"/>
    <mergeCell ref="I434:I438"/>
    <mergeCell ref="J434:J438"/>
    <mergeCell ref="B453:B454"/>
    <mergeCell ref="C453:C454"/>
    <mergeCell ref="D453:D454"/>
    <mergeCell ref="E453:E454"/>
    <mergeCell ref="B445:E445"/>
    <mergeCell ref="B446:E446"/>
    <mergeCell ref="B447:E447"/>
    <mergeCell ref="F453:F454"/>
    <mergeCell ref="G453:G454"/>
    <mergeCell ref="H453:H454"/>
    <mergeCell ref="I453:I454"/>
    <mergeCell ref="J453:J454"/>
    <mergeCell ref="B456:B458"/>
    <mergeCell ref="C456:C458"/>
    <mergeCell ref="D456:D458"/>
    <mergeCell ref="E456:E458"/>
    <mergeCell ref="F456:F458"/>
    <mergeCell ref="G456:G458"/>
    <mergeCell ref="H456:H458"/>
    <mergeCell ref="I456:I458"/>
    <mergeCell ref="J456:J458"/>
    <mergeCell ref="B460:B461"/>
    <mergeCell ref="C460:C461"/>
    <mergeCell ref="D460:D461"/>
    <mergeCell ref="E460:E461"/>
    <mergeCell ref="F460:F461"/>
    <mergeCell ref="G460:G461"/>
    <mergeCell ref="I463:I465"/>
    <mergeCell ref="J463:J465"/>
    <mergeCell ref="B467:B469"/>
    <mergeCell ref="C467:C469"/>
    <mergeCell ref="D467:D469"/>
    <mergeCell ref="E467:E470"/>
    <mergeCell ref="H460:H461"/>
    <mergeCell ref="I460:I461"/>
    <mergeCell ref="J460:J461"/>
    <mergeCell ref="B463:B465"/>
    <mergeCell ref="C463:C465"/>
    <mergeCell ref="D463:D465"/>
    <mergeCell ref="E463:E465"/>
    <mergeCell ref="F463:F465"/>
    <mergeCell ref="G463:G465"/>
    <mergeCell ref="H463:H465"/>
    <mergeCell ref="I473:I475"/>
    <mergeCell ref="J473:J475"/>
    <mergeCell ref="B476:B479"/>
    <mergeCell ref="C476:C479"/>
    <mergeCell ref="D476:D479"/>
    <mergeCell ref="E476:E479"/>
    <mergeCell ref="F476:F479"/>
    <mergeCell ref="G476:G479"/>
    <mergeCell ref="H476:H479"/>
    <mergeCell ref="I476:I479"/>
    <mergeCell ref="H492:H496"/>
    <mergeCell ref="I492:I496"/>
    <mergeCell ref="J492:J496"/>
    <mergeCell ref="H471:H472"/>
    <mergeCell ref="I471:I472"/>
    <mergeCell ref="J471:J472"/>
    <mergeCell ref="B473:B475"/>
    <mergeCell ref="C473:C475"/>
    <mergeCell ref="D473:D475"/>
    <mergeCell ref="E473:E475"/>
    <mergeCell ref="F473:F475"/>
    <mergeCell ref="G473:G475"/>
    <mergeCell ref="H473:H475"/>
    <mergeCell ref="B471:B472"/>
    <mergeCell ref="C471:C472"/>
    <mergeCell ref="D471:D472"/>
    <mergeCell ref="E471:E472"/>
    <mergeCell ref="F471:F472"/>
    <mergeCell ref="G471:G472"/>
    <mergeCell ref="J476:J479"/>
    <mergeCell ref="B492:B496"/>
    <mergeCell ref="C492:C496"/>
    <mergeCell ref="D492:D496"/>
    <mergeCell ref="E492:E496"/>
    <mergeCell ref="F492:F496"/>
    <mergeCell ref="G492:G496"/>
    <mergeCell ref="B553:B554"/>
    <mergeCell ref="C553:C554"/>
    <mergeCell ref="D553:D554"/>
    <mergeCell ref="F553:F554"/>
    <mergeCell ref="G553:G554"/>
    <mergeCell ref="H553:H554"/>
    <mergeCell ref="B487:B489"/>
    <mergeCell ref="C487:C489"/>
    <mergeCell ref="D487:D489"/>
    <mergeCell ref="E487:E491"/>
    <mergeCell ref="M489:M491"/>
    <mergeCell ref="I509:I510"/>
    <mergeCell ref="J509:J510"/>
    <mergeCell ref="K514:P514"/>
    <mergeCell ref="K515:P515"/>
    <mergeCell ref="B544:R544"/>
    <mergeCell ref="I553:I554"/>
    <mergeCell ref="J553:J554"/>
    <mergeCell ref="K553:K554"/>
    <mergeCell ref="M553:M554"/>
    <mergeCell ref="O553:R553"/>
    <mergeCell ref="B550:E550"/>
    <mergeCell ref="C555:C556"/>
    <mergeCell ref="D555:D556"/>
    <mergeCell ref="E555:E556"/>
    <mergeCell ref="F555:F556"/>
    <mergeCell ref="G555:G556"/>
    <mergeCell ref="H555:H556"/>
    <mergeCell ref="I555:I556"/>
    <mergeCell ref="J555:J556"/>
    <mergeCell ref="B509:B510"/>
    <mergeCell ref="C509:C510"/>
    <mergeCell ref="D509:D510"/>
    <mergeCell ref="E509:E510"/>
    <mergeCell ref="F509:F510"/>
    <mergeCell ref="G509:G510"/>
    <mergeCell ref="H509:H510"/>
    <mergeCell ref="E557:E558"/>
    <mergeCell ref="F557:F558"/>
    <mergeCell ref="G557:G558"/>
    <mergeCell ref="H557:H558"/>
    <mergeCell ref="I557:I558"/>
    <mergeCell ref="J557:J558"/>
    <mergeCell ref="M557:M558"/>
    <mergeCell ref="B561:B563"/>
    <mergeCell ref="C561:C563"/>
    <mergeCell ref="D561:D563"/>
    <mergeCell ref="E561:E563"/>
    <mergeCell ref="F561:F563"/>
    <mergeCell ref="G561:G563"/>
    <mergeCell ref="H561:H563"/>
    <mergeCell ref="I561:I563"/>
    <mergeCell ref="J561:J563"/>
    <mergeCell ref="I566:I567"/>
    <mergeCell ref="J566:J567"/>
    <mergeCell ref="B568:B569"/>
    <mergeCell ref="C568:C569"/>
    <mergeCell ref="D568:D569"/>
    <mergeCell ref="F568:F569"/>
    <mergeCell ref="G568:G569"/>
    <mergeCell ref="H568:H569"/>
    <mergeCell ref="I568:I569"/>
    <mergeCell ref="J568:J569"/>
    <mergeCell ref="B566:B567"/>
    <mergeCell ref="C566:C567"/>
    <mergeCell ref="D566:D567"/>
    <mergeCell ref="E566:E567"/>
    <mergeCell ref="F566:F567"/>
    <mergeCell ref="H566:H567"/>
    <mergeCell ref="K568:K569"/>
    <mergeCell ref="M568:M569"/>
    <mergeCell ref="O568:R568"/>
    <mergeCell ref="C570:C571"/>
    <mergeCell ref="D570:D571"/>
    <mergeCell ref="E570:E571"/>
    <mergeCell ref="F570:F571"/>
    <mergeCell ref="G570:G571"/>
    <mergeCell ref="H570:H571"/>
    <mergeCell ref="I570:I571"/>
    <mergeCell ref="J570:J571"/>
    <mergeCell ref="C573:C574"/>
    <mergeCell ref="D573:D574"/>
    <mergeCell ref="E573:E574"/>
    <mergeCell ref="F573:F574"/>
    <mergeCell ref="G573:G574"/>
    <mergeCell ref="H573:H574"/>
    <mergeCell ref="I573:I574"/>
    <mergeCell ref="J573:J574"/>
    <mergeCell ref="H575:H576"/>
    <mergeCell ref="I575:I576"/>
    <mergeCell ref="J575:J576"/>
    <mergeCell ref="C579:C583"/>
    <mergeCell ref="D579:D583"/>
    <mergeCell ref="E579:E583"/>
    <mergeCell ref="F579:F583"/>
    <mergeCell ref="G579:G583"/>
    <mergeCell ref="H579:H583"/>
    <mergeCell ref="B575:B576"/>
    <mergeCell ref="C575:C576"/>
    <mergeCell ref="D575:D576"/>
    <mergeCell ref="E575:E576"/>
    <mergeCell ref="F575:F576"/>
    <mergeCell ref="G575:G576"/>
    <mergeCell ref="I579:I583"/>
    <mergeCell ref="J579:J583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B591:R591"/>
    <mergeCell ref="B599:B600"/>
    <mergeCell ref="C599:C600"/>
    <mergeCell ref="D599:D600"/>
    <mergeCell ref="E599:E600"/>
    <mergeCell ref="I604:I605"/>
    <mergeCell ref="J604:J605"/>
    <mergeCell ref="B606:B607"/>
    <mergeCell ref="C606:C607"/>
    <mergeCell ref="D606:D607"/>
    <mergeCell ref="E606:E607"/>
    <mergeCell ref="I606:I607"/>
    <mergeCell ref="J606:J607"/>
    <mergeCell ref="B601:B602"/>
    <mergeCell ref="C601:C602"/>
    <mergeCell ref="D601:D602"/>
    <mergeCell ref="E601:E602"/>
    <mergeCell ref="B604:B605"/>
    <mergeCell ref="C604:C605"/>
    <mergeCell ref="D604:D605"/>
    <mergeCell ref="E604:E605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Q608:Q609"/>
    <mergeCell ref="R608:R609"/>
    <mergeCell ref="B610:E610"/>
    <mergeCell ref="B611:E611"/>
    <mergeCell ref="B637:E637"/>
    <mergeCell ref="J608:J609"/>
    <mergeCell ref="K608:K609"/>
    <mergeCell ref="M608:M609"/>
    <mergeCell ref="N608:N609"/>
    <mergeCell ref="O608:O609"/>
    <mergeCell ref="P608:P609"/>
    <mergeCell ref="C672:C673"/>
    <mergeCell ref="D672:D673"/>
    <mergeCell ref="C645:C652"/>
    <mergeCell ref="D645:D652"/>
    <mergeCell ref="C654:C656"/>
    <mergeCell ref="D654:D656"/>
    <mergeCell ref="C657:C658"/>
    <mergeCell ref="D657:D658"/>
    <mergeCell ref="C682:C685"/>
    <mergeCell ref="D682:D685"/>
    <mergeCell ref="B689:E689"/>
    <mergeCell ref="B690:E690"/>
    <mergeCell ref="C693:C694"/>
    <mergeCell ref="D693:D694"/>
    <mergeCell ref="E693:E694"/>
    <mergeCell ref="C674:C675"/>
    <mergeCell ref="D674:D675"/>
    <mergeCell ref="C676:C678"/>
    <mergeCell ref="D676:D678"/>
    <mergeCell ref="C680:C681"/>
    <mergeCell ref="D680:D681"/>
    <mergeCell ref="B674:B675"/>
    <mergeCell ref="E674:E675"/>
    <mergeCell ref="B682:B685"/>
    <mergeCell ref="E682:E685"/>
    <mergeCell ref="F693:F694"/>
    <mergeCell ref="G693:G694"/>
    <mergeCell ref="H693:H694"/>
    <mergeCell ref="I693:I694"/>
    <mergeCell ref="J693:J694"/>
    <mergeCell ref="C696:C697"/>
    <mergeCell ref="D696:D697"/>
    <mergeCell ref="E696:E697"/>
    <mergeCell ref="F696:F697"/>
    <mergeCell ref="G696:G697"/>
    <mergeCell ref="H696:H697"/>
    <mergeCell ref="I696:I697"/>
    <mergeCell ref="J696:J697"/>
    <mergeCell ref="C698:C700"/>
    <mergeCell ref="D698:D700"/>
    <mergeCell ref="E698:E700"/>
    <mergeCell ref="F698:F700"/>
    <mergeCell ref="G698:G700"/>
    <mergeCell ref="H698:H700"/>
    <mergeCell ref="I698:I700"/>
    <mergeCell ref="J698:J700"/>
    <mergeCell ref="B704:B705"/>
    <mergeCell ref="C704:C705"/>
    <mergeCell ref="D704:D705"/>
    <mergeCell ref="E704:E705"/>
    <mergeCell ref="F704:F705"/>
    <mergeCell ref="G704:G705"/>
    <mergeCell ref="H704:H705"/>
    <mergeCell ref="I704:I705"/>
    <mergeCell ref="J704:J705"/>
    <mergeCell ref="B717:B718"/>
    <mergeCell ref="C717:C718"/>
    <mergeCell ref="D717:D718"/>
    <mergeCell ref="E717:E718"/>
    <mergeCell ref="F717:F718"/>
    <mergeCell ref="G717:G718"/>
    <mergeCell ref="B706:B716"/>
    <mergeCell ref="C706:C716"/>
    <mergeCell ref="D706:D716"/>
    <mergeCell ref="E706:E716"/>
    <mergeCell ref="F706:F716"/>
    <mergeCell ref="G706:G716"/>
    <mergeCell ref="K719:K720"/>
    <mergeCell ref="M719:M720"/>
    <mergeCell ref="N719:N720"/>
    <mergeCell ref="O719:O720"/>
    <mergeCell ref="P719:P720"/>
    <mergeCell ref="Q719:Q720"/>
    <mergeCell ref="B719:B720"/>
    <mergeCell ref="C719:C720"/>
    <mergeCell ref="D719:D720"/>
    <mergeCell ref="E719:E720"/>
    <mergeCell ref="F719:F720"/>
    <mergeCell ref="G719:G720"/>
    <mergeCell ref="H743:H744"/>
    <mergeCell ref="H775:H776"/>
    <mergeCell ref="H777:H778"/>
    <mergeCell ref="B733:B735"/>
    <mergeCell ref="C733:C735"/>
    <mergeCell ref="D733:D735"/>
    <mergeCell ref="E733:E735"/>
    <mergeCell ref="F733:F735"/>
    <mergeCell ref="G733:G735"/>
    <mergeCell ref="H733:H735"/>
    <mergeCell ref="I733:I735"/>
    <mergeCell ref="J733:J735"/>
    <mergeCell ref="B736:B739"/>
    <mergeCell ref="C736:C739"/>
    <mergeCell ref="P803:P804"/>
    <mergeCell ref="Q803:Q804"/>
    <mergeCell ref="R803:R804"/>
    <mergeCell ref="B806:E806"/>
    <mergeCell ref="B807:E807"/>
    <mergeCell ref="I803:I804"/>
    <mergeCell ref="J803:J804"/>
    <mergeCell ref="K803:K804"/>
    <mergeCell ref="N803:N804"/>
    <mergeCell ref="O803:O804"/>
    <mergeCell ref="B803:B804"/>
    <mergeCell ref="C803:C804"/>
    <mergeCell ref="D803:D804"/>
    <mergeCell ref="E803:E804"/>
    <mergeCell ref="G803:G804"/>
    <mergeCell ref="H803:H804"/>
    <mergeCell ref="B724:E724"/>
    <mergeCell ref="B782:E782"/>
    <mergeCell ref="B783:K783"/>
    <mergeCell ref="B801:E801"/>
    <mergeCell ref="H906:H909"/>
    <mergeCell ref="I906:I909"/>
    <mergeCell ref="J906:J909"/>
    <mergeCell ref="C911:C916"/>
    <mergeCell ref="E911:E916"/>
    <mergeCell ref="H911:H916"/>
    <mergeCell ref="I911:I916"/>
    <mergeCell ref="J911:J916"/>
    <mergeCell ref="C818:C824"/>
    <mergeCell ref="D818:D824"/>
    <mergeCell ref="F818:F824"/>
    <mergeCell ref="H818:H824"/>
    <mergeCell ref="I818:I824"/>
    <mergeCell ref="J818:J824"/>
    <mergeCell ref="D825:D830"/>
    <mergeCell ref="E825:E830"/>
    <mergeCell ref="F825:F830"/>
    <mergeCell ref="H825:H830"/>
    <mergeCell ref="B933:B937"/>
    <mergeCell ref="C933:C937"/>
    <mergeCell ref="D933:D937"/>
    <mergeCell ref="E933:E937"/>
    <mergeCell ref="G933:G937"/>
    <mergeCell ref="H933:H937"/>
    <mergeCell ref="I933:I937"/>
    <mergeCell ref="J933:J937"/>
    <mergeCell ref="B938:B939"/>
    <mergeCell ref="C938:C939"/>
    <mergeCell ref="D938:D939"/>
    <mergeCell ref="E938:E939"/>
    <mergeCell ref="N938:N939"/>
    <mergeCell ref="O938:O939"/>
    <mergeCell ref="F938:F939"/>
    <mergeCell ref="M938:M939"/>
    <mergeCell ref="J922:J923"/>
    <mergeCell ref="C922:C923"/>
    <mergeCell ref="E922:E923"/>
    <mergeCell ref="B928:E928"/>
    <mergeCell ref="B930:B932"/>
    <mergeCell ref="C930:C932"/>
    <mergeCell ref="D930:D932"/>
    <mergeCell ref="E930:E932"/>
    <mergeCell ref="G922:G923"/>
    <mergeCell ref="H922:H923"/>
    <mergeCell ref="I922:I923"/>
    <mergeCell ref="G930:G932"/>
    <mergeCell ref="H930:H932"/>
    <mergeCell ref="I930:I932"/>
    <mergeCell ref="J930:J932"/>
    <mergeCell ref="P938:P939"/>
    <mergeCell ref="Q938:Q939"/>
    <mergeCell ref="R938:R939"/>
    <mergeCell ref="G938:G939"/>
    <mergeCell ref="H938:H939"/>
    <mergeCell ref="I938:I939"/>
    <mergeCell ref="J938:J939"/>
    <mergeCell ref="K938:K939"/>
    <mergeCell ref="C940:C941"/>
    <mergeCell ref="D940:D941"/>
    <mergeCell ref="E940:E941"/>
    <mergeCell ref="G940:G941"/>
    <mergeCell ref="H940:H941"/>
    <mergeCell ref="B944:B947"/>
    <mergeCell ref="C944:C947"/>
    <mergeCell ref="D944:D947"/>
    <mergeCell ref="E944:E947"/>
    <mergeCell ref="I940:I941"/>
    <mergeCell ref="J940:J941"/>
    <mergeCell ref="E942:E943"/>
    <mergeCell ref="G942:G943"/>
    <mergeCell ref="H942:H943"/>
    <mergeCell ref="I942:I943"/>
    <mergeCell ref="J942:J943"/>
    <mergeCell ref="Q946:Q947"/>
    <mergeCell ref="R946:R947"/>
    <mergeCell ref="G944:G947"/>
    <mergeCell ref="H944:H947"/>
    <mergeCell ref="I944:I947"/>
    <mergeCell ref="J944:J947"/>
    <mergeCell ref="E948:E950"/>
    <mergeCell ref="G948:G950"/>
    <mergeCell ref="H948:H950"/>
    <mergeCell ref="I948:I950"/>
    <mergeCell ref="J948:J950"/>
    <mergeCell ref="N946:N947"/>
    <mergeCell ref="O946:O947"/>
    <mergeCell ref="P946:P947"/>
    <mergeCell ref="H951:H953"/>
    <mergeCell ref="I951:I953"/>
    <mergeCell ref="J951:J953"/>
    <mergeCell ref="F955:F957"/>
    <mergeCell ref="F959:F961"/>
    <mergeCell ref="C974:C977"/>
    <mergeCell ref="D974:D977"/>
    <mergeCell ref="E974:E977"/>
    <mergeCell ref="B983:E983"/>
    <mergeCell ref="J964:J966"/>
    <mergeCell ref="B972:E972"/>
    <mergeCell ref="B974:B977"/>
    <mergeCell ref="B955:B957"/>
    <mergeCell ref="C955:C957"/>
    <mergeCell ref="D955:D957"/>
    <mergeCell ref="E955:E957"/>
    <mergeCell ref="G955:G957"/>
    <mergeCell ref="B951:B953"/>
    <mergeCell ref="C951:C953"/>
    <mergeCell ref="D951:D953"/>
    <mergeCell ref="E951:E953"/>
    <mergeCell ref="G951:G953"/>
    <mergeCell ref="H955:H957"/>
    <mergeCell ref="I955:I957"/>
    <mergeCell ref="J955:J957"/>
    <mergeCell ref="B959:B961"/>
    <mergeCell ref="C959:C961"/>
    <mergeCell ref="D959:D961"/>
    <mergeCell ref="E959:E961"/>
    <mergeCell ref="G959:G961"/>
    <mergeCell ref="H959:H961"/>
    <mergeCell ref="I959:I961"/>
    <mergeCell ref="J959:J961"/>
    <mergeCell ref="B1037:B1038"/>
    <mergeCell ref="C1037:C1038"/>
    <mergeCell ref="D1037:D1038"/>
    <mergeCell ref="E1037:E1038"/>
    <mergeCell ref="G1037:G1038"/>
    <mergeCell ref="H1037:H1038"/>
    <mergeCell ref="I1037:I1038"/>
    <mergeCell ref="J1037:J1038"/>
    <mergeCell ref="F1035:F1036"/>
    <mergeCell ref="H1035:H1036"/>
    <mergeCell ref="I1035:I1036"/>
    <mergeCell ref="F1037:F1038"/>
    <mergeCell ref="C1017:C1018"/>
    <mergeCell ref="D1017:D1018"/>
    <mergeCell ref="E1017:E1018"/>
    <mergeCell ref="M1017:M1018"/>
    <mergeCell ref="O1017:O1018"/>
    <mergeCell ref="B1089:B1090"/>
    <mergeCell ref="B636:E636"/>
    <mergeCell ref="B645:B652"/>
    <mergeCell ref="E645:E652"/>
    <mergeCell ref="F645:F652"/>
    <mergeCell ref="G645:G652"/>
    <mergeCell ref="H645:H652"/>
    <mergeCell ref="I645:I652"/>
    <mergeCell ref="J645:J652"/>
    <mergeCell ref="B654:B656"/>
    <mergeCell ref="E654:E656"/>
    <mergeCell ref="F654:F656"/>
    <mergeCell ref="G654:G656"/>
    <mergeCell ref="H654:H656"/>
    <mergeCell ref="I654:I656"/>
    <mergeCell ref="J654:J656"/>
    <mergeCell ref="E657:E658"/>
    <mergeCell ref="B657:B658"/>
    <mergeCell ref="F657:F658"/>
    <mergeCell ref="G657:G658"/>
    <mergeCell ref="H657:H658"/>
    <mergeCell ref="I657:I658"/>
    <mergeCell ref="C1069:C1070"/>
    <mergeCell ref="D1069:D1070"/>
    <mergeCell ref="E1069:E1070"/>
    <mergeCell ref="F1069:F1070"/>
    <mergeCell ref="H1069:H1070"/>
    <mergeCell ref="I1069:I1070"/>
    <mergeCell ref="J1069:J1070"/>
    <mergeCell ref="B1035:B1036"/>
    <mergeCell ref="C1035:C1036"/>
    <mergeCell ref="D1035:D1036"/>
    <mergeCell ref="B680:B681"/>
    <mergeCell ref="F680:F681"/>
    <mergeCell ref="G680:G681"/>
    <mergeCell ref="H680:H681"/>
    <mergeCell ref="I680:I681"/>
    <mergeCell ref="J680:J681"/>
    <mergeCell ref="J657:J658"/>
    <mergeCell ref="B660:B664"/>
    <mergeCell ref="E660:E664"/>
    <mergeCell ref="F660:F664"/>
    <mergeCell ref="G660:G664"/>
    <mergeCell ref="H660:H664"/>
    <mergeCell ref="I660:I664"/>
    <mergeCell ref="J660:J664"/>
    <mergeCell ref="E668:E669"/>
    <mergeCell ref="B668:B669"/>
    <mergeCell ref="F668:F669"/>
    <mergeCell ref="G668:G669"/>
    <mergeCell ref="H668:H669"/>
    <mergeCell ref="I668:I669"/>
    <mergeCell ref="J668:J669"/>
    <mergeCell ref="B672:B673"/>
    <mergeCell ref="E672:E673"/>
    <mergeCell ref="F672:F673"/>
    <mergeCell ref="G672:G673"/>
    <mergeCell ref="H672:H673"/>
    <mergeCell ref="I672:I673"/>
    <mergeCell ref="J672:J673"/>
    <mergeCell ref="C660:C664"/>
    <mergeCell ref="D660:D664"/>
    <mergeCell ref="C668:C669"/>
    <mergeCell ref="D668:D669"/>
    <mergeCell ref="F682:F685"/>
    <mergeCell ref="G682:G685"/>
    <mergeCell ref="H682:H685"/>
    <mergeCell ref="I682:I685"/>
    <mergeCell ref="J682:J685"/>
    <mergeCell ref="B50:B51"/>
    <mergeCell ref="B67:B73"/>
    <mergeCell ref="B391:B392"/>
    <mergeCell ref="B395:B396"/>
    <mergeCell ref="B399:B400"/>
    <mergeCell ref="D399:D400"/>
    <mergeCell ref="B405:B407"/>
    <mergeCell ref="B408:B410"/>
    <mergeCell ref="B412:B413"/>
    <mergeCell ref="B415:B417"/>
    <mergeCell ref="B420:B422"/>
    <mergeCell ref="B432:B433"/>
    <mergeCell ref="C432:C433"/>
    <mergeCell ref="B436:B438"/>
    <mergeCell ref="F674:F675"/>
    <mergeCell ref="G674:G675"/>
    <mergeCell ref="H674:H675"/>
    <mergeCell ref="I674:I675"/>
    <mergeCell ref="J674:J675"/>
    <mergeCell ref="B676:B678"/>
    <mergeCell ref="E676:E678"/>
    <mergeCell ref="F676:F678"/>
    <mergeCell ref="G676:G678"/>
    <mergeCell ref="H676:H678"/>
    <mergeCell ref="I676:I678"/>
    <mergeCell ref="J676:J678"/>
    <mergeCell ref="E680:E681"/>
    <mergeCell ref="D736:D739"/>
    <mergeCell ref="E736:E739"/>
    <mergeCell ref="F736:F739"/>
    <mergeCell ref="G736:G739"/>
    <mergeCell ref="H736:H739"/>
    <mergeCell ref="I736:I739"/>
    <mergeCell ref="J736:J739"/>
    <mergeCell ref="B740:B741"/>
    <mergeCell ref="C740:C741"/>
    <mergeCell ref="D740:D741"/>
    <mergeCell ref="E740:E741"/>
    <mergeCell ref="F740:F741"/>
    <mergeCell ref="G740:G741"/>
    <mergeCell ref="H740:H741"/>
    <mergeCell ref="I740:I741"/>
    <mergeCell ref="J740:J741"/>
    <mergeCell ref="B743:B744"/>
    <mergeCell ref="C743:C744"/>
    <mergeCell ref="D743:D744"/>
    <mergeCell ref="E743:E744"/>
    <mergeCell ref="F743:F744"/>
    <mergeCell ref="G743:G744"/>
    <mergeCell ref="I743:I744"/>
    <mergeCell ref="J743:J744"/>
    <mergeCell ref="B748:B749"/>
    <mergeCell ref="C748:C749"/>
    <mergeCell ref="D748:D749"/>
    <mergeCell ref="E748:E749"/>
    <mergeCell ref="F748:F749"/>
    <mergeCell ref="G748:G749"/>
    <mergeCell ref="H748:H749"/>
    <mergeCell ref="I748:I749"/>
    <mergeCell ref="J748:J749"/>
    <mergeCell ref="B750:B751"/>
    <mergeCell ref="C750:C751"/>
    <mergeCell ref="D750:D751"/>
    <mergeCell ref="E750:E751"/>
    <mergeCell ref="F750:F751"/>
    <mergeCell ref="G750:G751"/>
    <mergeCell ref="H750:H751"/>
    <mergeCell ref="I750:I751"/>
    <mergeCell ref="J750:J751"/>
    <mergeCell ref="B752:B754"/>
    <mergeCell ref="C752:C754"/>
    <mergeCell ref="D752:D754"/>
    <mergeCell ref="E752:E754"/>
    <mergeCell ref="F752:F754"/>
    <mergeCell ref="G752:G754"/>
    <mergeCell ref="H752:H754"/>
    <mergeCell ref="I752:I754"/>
    <mergeCell ref="J752:J754"/>
    <mergeCell ref="B755:B757"/>
    <mergeCell ref="C755:C757"/>
    <mergeCell ref="D755:D757"/>
    <mergeCell ref="E755:E757"/>
    <mergeCell ref="F755:F757"/>
    <mergeCell ref="G755:G757"/>
    <mergeCell ref="H755:H757"/>
    <mergeCell ref="I755:I757"/>
    <mergeCell ref="J755:J757"/>
    <mergeCell ref="B758:B760"/>
    <mergeCell ref="C758:C760"/>
    <mergeCell ref="D758:D760"/>
    <mergeCell ref="E758:E760"/>
    <mergeCell ref="F758:F760"/>
    <mergeCell ref="G758:G760"/>
    <mergeCell ref="H758:H760"/>
    <mergeCell ref="I758:I760"/>
    <mergeCell ref="J758:J760"/>
    <mergeCell ref="B762:B763"/>
    <mergeCell ref="C762:C763"/>
    <mergeCell ref="D762:D763"/>
    <mergeCell ref="E762:E763"/>
    <mergeCell ref="F762:F763"/>
    <mergeCell ref="G762:G763"/>
    <mergeCell ref="H762:H763"/>
    <mergeCell ref="I762:I763"/>
    <mergeCell ref="J762:J763"/>
    <mergeCell ref="B765:B766"/>
    <mergeCell ref="C765:C766"/>
    <mergeCell ref="D765:D766"/>
    <mergeCell ref="E765:E766"/>
    <mergeCell ref="F765:F766"/>
    <mergeCell ref="G765:G766"/>
    <mergeCell ref="H765:H766"/>
    <mergeCell ref="I765:I766"/>
    <mergeCell ref="J765:J766"/>
    <mergeCell ref="B767:B768"/>
    <mergeCell ref="C767:C768"/>
    <mergeCell ref="D767:D768"/>
    <mergeCell ref="E767:E768"/>
    <mergeCell ref="F767:F768"/>
    <mergeCell ref="G767:G768"/>
    <mergeCell ref="H767:H768"/>
    <mergeCell ref="I767:I768"/>
    <mergeCell ref="J767:J768"/>
    <mergeCell ref="B771:B774"/>
    <mergeCell ref="C771:C774"/>
    <mergeCell ref="D771:D774"/>
    <mergeCell ref="E771:E774"/>
    <mergeCell ref="F771:F774"/>
    <mergeCell ref="G771:G774"/>
    <mergeCell ref="H771:H774"/>
    <mergeCell ref="I771:I774"/>
    <mergeCell ref="J771:J774"/>
    <mergeCell ref="B775:B776"/>
    <mergeCell ref="C775:C776"/>
    <mergeCell ref="D775:D776"/>
    <mergeCell ref="E775:E776"/>
    <mergeCell ref="F775:F776"/>
    <mergeCell ref="G775:G776"/>
    <mergeCell ref="I775:I776"/>
    <mergeCell ref="J775:J776"/>
    <mergeCell ref="J825:J830"/>
    <mergeCell ref="C833:C837"/>
    <mergeCell ref="D833:D837"/>
    <mergeCell ref="E833:E837"/>
    <mergeCell ref="F833:F837"/>
    <mergeCell ref="H833:H837"/>
    <mergeCell ref="I833:I837"/>
    <mergeCell ref="J833:J837"/>
    <mergeCell ref="C839:C844"/>
    <mergeCell ref="D839:D844"/>
    <mergeCell ref="E839:E844"/>
    <mergeCell ref="F839:F844"/>
    <mergeCell ref="H839:H844"/>
    <mergeCell ref="I839:I844"/>
    <mergeCell ref="J839:J844"/>
    <mergeCell ref="B777:B778"/>
    <mergeCell ref="C777:C778"/>
    <mergeCell ref="D777:D778"/>
    <mergeCell ref="E777:E778"/>
    <mergeCell ref="F777:F778"/>
    <mergeCell ref="G777:G778"/>
    <mergeCell ref="I777:I778"/>
    <mergeCell ref="J777:J778"/>
    <mergeCell ref="E818:E824"/>
    <mergeCell ref="F860:F863"/>
    <mergeCell ref="H860:H863"/>
    <mergeCell ref="I860:I863"/>
    <mergeCell ref="J860:J863"/>
    <mergeCell ref="C864:C865"/>
    <mergeCell ref="D864:D865"/>
    <mergeCell ref="E864:E865"/>
    <mergeCell ref="F864:F865"/>
    <mergeCell ref="H864:H865"/>
    <mergeCell ref="I864:I865"/>
    <mergeCell ref="J864:J865"/>
    <mergeCell ref="C852:C853"/>
    <mergeCell ref="D852:D853"/>
    <mergeCell ref="E852:E853"/>
    <mergeCell ref="F852:F853"/>
    <mergeCell ref="H852:H853"/>
    <mergeCell ref="I852:I853"/>
    <mergeCell ref="J852:J853"/>
    <mergeCell ref="C854:C856"/>
    <mergeCell ref="D854:D856"/>
    <mergeCell ref="E854:E856"/>
    <mergeCell ref="F854:F856"/>
    <mergeCell ref="H854:H856"/>
    <mergeCell ref="I854:I856"/>
    <mergeCell ref="J854:J856"/>
    <mergeCell ref="F874:F877"/>
    <mergeCell ref="H874:H877"/>
    <mergeCell ref="I874:I877"/>
    <mergeCell ref="J874:J877"/>
    <mergeCell ref="C878:C880"/>
    <mergeCell ref="D878:D880"/>
    <mergeCell ref="E878:E880"/>
    <mergeCell ref="F878:F880"/>
    <mergeCell ref="H878:H880"/>
    <mergeCell ref="I878:I880"/>
    <mergeCell ref="J878:J880"/>
    <mergeCell ref="C866:C869"/>
    <mergeCell ref="D866:D869"/>
    <mergeCell ref="E866:E869"/>
    <mergeCell ref="F866:F869"/>
    <mergeCell ref="H866:H869"/>
    <mergeCell ref="I866:I869"/>
    <mergeCell ref="J866:J869"/>
    <mergeCell ref="C870:C873"/>
    <mergeCell ref="D870:D873"/>
    <mergeCell ref="E870:E873"/>
    <mergeCell ref="F870:F873"/>
    <mergeCell ref="H870:H873"/>
    <mergeCell ref="I870:I873"/>
    <mergeCell ref="J870:J873"/>
    <mergeCell ref="F930:F932"/>
    <mergeCell ref="F933:F937"/>
    <mergeCell ref="C891:C899"/>
    <mergeCell ref="D891:D899"/>
    <mergeCell ref="F891:F899"/>
    <mergeCell ref="H891:H899"/>
    <mergeCell ref="I891:I899"/>
    <mergeCell ref="J891:J899"/>
    <mergeCell ref="F902:F903"/>
    <mergeCell ref="H902:H903"/>
    <mergeCell ref="I902:I903"/>
    <mergeCell ref="J902:J903"/>
    <mergeCell ref="G891:G899"/>
    <mergeCell ref="G902:G903"/>
    <mergeCell ref="C884:C886"/>
    <mergeCell ref="D884:D886"/>
    <mergeCell ref="E884:E886"/>
    <mergeCell ref="F884:F886"/>
    <mergeCell ref="H884:H886"/>
    <mergeCell ref="I884:I886"/>
    <mergeCell ref="J884:J886"/>
    <mergeCell ref="C888:C890"/>
    <mergeCell ref="D888:D890"/>
    <mergeCell ref="E888:E890"/>
    <mergeCell ref="F888:F890"/>
    <mergeCell ref="H888:H890"/>
    <mergeCell ref="I888:I890"/>
    <mergeCell ref="J888:J890"/>
    <mergeCell ref="E891:E899"/>
    <mergeCell ref="B904:E904"/>
    <mergeCell ref="E906:E909"/>
    <mergeCell ref="G906:G909"/>
    <mergeCell ref="Q1007:Q1008"/>
    <mergeCell ref="R1007:R1008"/>
    <mergeCell ref="C1012:C1015"/>
    <mergeCell ref="D1012:D1015"/>
    <mergeCell ref="H1012:H1014"/>
    <mergeCell ref="I1012:I1014"/>
    <mergeCell ref="J1012:J1014"/>
    <mergeCell ref="M1014:M1015"/>
    <mergeCell ref="O1014:O1015"/>
    <mergeCell ref="P1014:P1015"/>
    <mergeCell ref="Q1014:Q1015"/>
    <mergeCell ref="R1014:R1015"/>
    <mergeCell ref="N1007:N1008"/>
    <mergeCell ref="F964:F966"/>
    <mergeCell ref="F974:F977"/>
    <mergeCell ref="H974:H977"/>
    <mergeCell ref="I974:I977"/>
    <mergeCell ref="J974:J977"/>
    <mergeCell ref="G974:G977"/>
    <mergeCell ref="M971:R971"/>
    <mergeCell ref="M978:R978"/>
    <mergeCell ref="B979:R979"/>
    <mergeCell ref="M983:R983"/>
    <mergeCell ref="B984:R984"/>
    <mergeCell ref="B998:E998"/>
    <mergeCell ref="M998:R998"/>
    <mergeCell ref="C964:C966"/>
    <mergeCell ref="D964:D966"/>
    <mergeCell ref="E964:E966"/>
    <mergeCell ref="G964:G966"/>
    <mergeCell ref="H964:H966"/>
    <mergeCell ref="I964:I966"/>
    <mergeCell ref="C1065:C1066"/>
    <mergeCell ref="D1065:D1066"/>
    <mergeCell ref="E1065:E1066"/>
    <mergeCell ref="F1065:F1066"/>
    <mergeCell ref="H1065:H1066"/>
    <mergeCell ref="I1065:I1066"/>
    <mergeCell ref="J1065:J1066"/>
    <mergeCell ref="K1065:K1066"/>
    <mergeCell ref="Q1017:Q1018"/>
    <mergeCell ref="R1017:R1018"/>
    <mergeCell ref="C1031:C1032"/>
    <mergeCell ref="D1031:D1032"/>
    <mergeCell ref="E1031:E1032"/>
    <mergeCell ref="F1031:F1032"/>
    <mergeCell ref="H1031:H1032"/>
    <mergeCell ref="I1031:I1032"/>
    <mergeCell ref="J1031:J1032"/>
    <mergeCell ref="C1033:C1034"/>
    <mergeCell ref="D1033:D1034"/>
    <mergeCell ref="E1033:E1034"/>
    <mergeCell ref="F1033:F1034"/>
    <mergeCell ref="H1033:H1034"/>
    <mergeCell ref="I1033:I1034"/>
    <mergeCell ref="J1033:J1034"/>
    <mergeCell ref="E1035:E1036"/>
    <mergeCell ref="J1035:J1036"/>
    <mergeCell ref="P1017:P1018"/>
    <mergeCell ref="C1080:C1081"/>
    <mergeCell ref="D1080:D1081"/>
    <mergeCell ref="E1080:E1081"/>
    <mergeCell ref="F1080:F1081"/>
    <mergeCell ref="H1080:H1081"/>
    <mergeCell ref="I1080:I1081"/>
    <mergeCell ref="J1080:J1081"/>
    <mergeCell ref="G1077:G1079"/>
    <mergeCell ref="G1080:G1081"/>
    <mergeCell ref="C1073:C1074"/>
    <mergeCell ref="D1073:D1074"/>
    <mergeCell ref="E1073:E1074"/>
    <mergeCell ref="F1073:F1074"/>
    <mergeCell ref="H1073:H1074"/>
    <mergeCell ref="I1073:I1074"/>
    <mergeCell ref="J1073:J1074"/>
    <mergeCell ref="C1075:C1076"/>
    <mergeCell ref="D1075:D1076"/>
    <mergeCell ref="E1075:E1076"/>
    <mergeCell ref="F1075:F1076"/>
    <mergeCell ref="H1075:H1076"/>
    <mergeCell ref="I1075:I1076"/>
    <mergeCell ref="J1075:J1076"/>
    <mergeCell ref="G1075:G1076"/>
    <mergeCell ref="K1101:L1101"/>
    <mergeCell ref="K1102:L1102"/>
    <mergeCell ref="K1103:L1103"/>
    <mergeCell ref="B1104:E1104"/>
    <mergeCell ref="K1104:L1104"/>
    <mergeCell ref="M1104:R1104"/>
    <mergeCell ref="B1105:R1105"/>
    <mergeCell ref="K1106:L1106"/>
    <mergeCell ref="K1107:L1107"/>
    <mergeCell ref="K1108:L1108"/>
    <mergeCell ref="C1091:C1092"/>
    <mergeCell ref="D1091:D1092"/>
    <mergeCell ref="H1091:H1092"/>
    <mergeCell ref="I1091:I1092"/>
    <mergeCell ref="J1091:J1092"/>
    <mergeCell ref="G1091:G1092"/>
    <mergeCell ref="F1091:F1092"/>
    <mergeCell ref="K1096:L1096"/>
    <mergeCell ref="K1097:L1097"/>
    <mergeCell ref="K1098:L1098"/>
    <mergeCell ref="K1099:L1099"/>
    <mergeCell ref="K1100:L1100"/>
    <mergeCell ref="I1180:I1182"/>
    <mergeCell ref="J1180:J1182"/>
    <mergeCell ref="C1159:C1160"/>
    <mergeCell ref="D1159:D1160"/>
    <mergeCell ref="E1159:E1160"/>
    <mergeCell ref="F1159:F1160"/>
    <mergeCell ref="H1159:H1160"/>
    <mergeCell ref="I1159:I1160"/>
    <mergeCell ref="J1159:J1160"/>
    <mergeCell ref="C1152:C1153"/>
    <mergeCell ref="D1152:D1153"/>
    <mergeCell ref="E1152:E1153"/>
    <mergeCell ref="F1152:F1153"/>
    <mergeCell ref="H1152:H1153"/>
    <mergeCell ref="I1152:I1153"/>
    <mergeCell ref="J1152:J1153"/>
    <mergeCell ref="C1155:C1157"/>
    <mergeCell ref="D1155:D1157"/>
    <mergeCell ref="E1155:E1157"/>
    <mergeCell ref="F1155:F1157"/>
    <mergeCell ref="H1155:H1157"/>
    <mergeCell ref="I1155:I1157"/>
    <mergeCell ref="J1155:J1157"/>
    <mergeCell ref="J1234:J1235"/>
    <mergeCell ref="K1223:L1223"/>
    <mergeCell ref="K1224:L1224"/>
    <mergeCell ref="K1225:L1225"/>
    <mergeCell ref="K1226:L1226"/>
    <mergeCell ref="K1227:L1227"/>
    <mergeCell ref="K1228:L1228"/>
    <mergeCell ref="K1229:L1229"/>
    <mergeCell ref="K1218:L1218"/>
    <mergeCell ref="K1219:L1219"/>
    <mergeCell ref="K1220:L1220"/>
    <mergeCell ref="K1221:L1221"/>
    <mergeCell ref="K1222:L1222"/>
    <mergeCell ref="F1196:F1199"/>
    <mergeCell ref="C1200:C1203"/>
    <mergeCell ref="D1200:D1203"/>
    <mergeCell ref="E1200:E1203"/>
    <mergeCell ref="F1200:F1203"/>
    <mergeCell ref="H1200:H1203"/>
    <mergeCell ref="I1200:I1203"/>
    <mergeCell ref="J1200:J1203"/>
    <mergeCell ref="C1196:C1199"/>
    <mergeCell ref="D1196:D1199"/>
    <mergeCell ref="E1196:E1199"/>
    <mergeCell ref="G1196:G1199"/>
    <mergeCell ref="H1196:H1199"/>
    <mergeCell ref="I1196:I1199"/>
    <mergeCell ref="J1196:J1199"/>
    <mergeCell ref="C1204:C1210"/>
    <mergeCell ref="D1204:D1210"/>
    <mergeCell ref="E1204:E1210"/>
    <mergeCell ref="F1204:F1210"/>
    <mergeCell ref="D1271:D1274"/>
    <mergeCell ref="H1271:H1274"/>
    <mergeCell ref="I1271:I1274"/>
    <mergeCell ref="J1271:J1274"/>
    <mergeCell ref="G1267:G1269"/>
    <mergeCell ref="G1271:G1274"/>
    <mergeCell ref="C1257:C1260"/>
    <mergeCell ref="D1257:D1260"/>
    <mergeCell ref="E1257:E1260"/>
    <mergeCell ref="F1257:F1260"/>
    <mergeCell ref="H1257:H1260"/>
    <mergeCell ref="I1257:I1260"/>
    <mergeCell ref="J1257:J1260"/>
    <mergeCell ref="C1261:C1263"/>
    <mergeCell ref="D1261:D1263"/>
    <mergeCell ref="E1261:E1263"/>
    <mergeCell ref="F1261:F1263"/>
    <mergeCell ref="H1261:H1263"/>
    <mergeCell ref="I1261:I1263"/>
    <mergeCell ref="J1261:J1263"/>
    <mergeCell ref="G1257:G1260"/>
    <mergeCell ref="G1261:G1263"/>
    <mergeCell ref="C1291:C1293"/>
    <mergeCell ref="D1291:D1293"/>
    <mergeCell ref="E1291:E1293"/>
    <mergeCell ref="F1291:F1293"/>
    <mergeCell ref="H1291:H1293"/>
    <mergeCell ref="I1291:I1293"/>
    <mergeCell ref="J1291:J1293"/>
    <mergeCell ref="D1278:D1279"/>
    <mergeCell ref="E1278:E1279"/>
    <mergeCell ref="F1278:F1279"/>
    <mergeCell ref="H1278:H1279"/>
    <mergeCell ref="I1278:I1279"/>
    <mergeCell ref="J1278:J1279"/>
    <mergeCell ref="C1281:C1283"/>
    <mergeCell ref="D1281:D1283"/>
    <mergeCell ref="E1281:E1283"/>
    <mergeCell ref="F1281:F1283"/>
    <mergeCell ref="H1281:H1283"/>
    <mergeCell ref="I1281:I1283"/>
    <mergeCell ref="J1281:J1283"/>
    <mergeCell ref="C1284:C1286"/>
    <mergeCell ref="D1284:D1286"/>
    <mergeCell ref="E1284:E1286"/>
    <mergeCell ref="G1284:G1286"/>
    <mergeCell ref="H1284:H1286"/>
    <mergeCell ref="I1284:I1286"/>
    <mergeCell ref="J1284:J1286"/>
    <mergeCell ref="C1278:C1279"/>
    <mergeCell ref="C1311:C1312"/>
    <mergeCell ref="D1311:D1312"/>
    <mergeCell ref="E1311:E1312"/>
    <mergeCell ref="F1311:F1312"/>
    <mergeCell ref="H1311:H1312"/>
    <mergeCell ref="I1311:I1312"/>
    <mergeCell ref="J1311:J1312"/>
    <mergeCell ref="K1311:K1312"/>
    <mergeCell ref="C1323:C1324"/>
    <mergeCell ref="D1323:D1324"/>
    <mergeCell ref="E1323:E1324"/>
    <mergeCell ref="F1323:F1324"/>
    <mergeCell ref="H1323:H1324"/>
    <mergeCell ref="I1323:I1324"/>
    <mergeCell ref="J1323:J1324"/>
    <mergeCell ref="O1314:Q1314"/>
    <mergeCell ref="C1296:C1297"/>
    <mergeCell ref="D1296:D1297"/>
    <mergeCell ref="F1296:F1297"/>
    <mergeCell ref="H1296:H1297"/>
    <mergeCell ref="I1296:I1297"/>
    <mergeCell ref="J1296:J1297"/>
    <mergeCell ref="C1298:C1299"/>
    <mergeCell ref="D1298:D1299"/>
    <mergeCell ref="E1298:E1299"/>
    <mergeCell ref="F1298:F1299"/>
    <mergeCell ref="H1298:H1299"/>
    <mergeCell ref="I1298:I1299"/>
    <mergeCell ref="J1298:J1299"/>
    <mergeCell ref="E1296:E1297"/>
    <mergeCell ref="C1300:C1301"/>
    <mergeCell ref="D1300:D1301"/>
    <mergeCell ref="C1331:C1337"/>
    <mergeCell ref="D1331:D1337"/>
    <mergeCell ref="E1331:E1337"/>
    <mergeCell ref="F1331:F1337"/>
    <mergeCell ref="H1331:H1337"/>
    <mergeCell ref="I1331:I1337"/>
    <mergeCell ref="J1331:J1337"/>
    <mergeCell ref="G1331:G1337"/>
    <mergeCell ref="M1328:R1328"/>
    <mergeCell ref="B1329:R1329"/>
    <mergeCell ref="K1330:L1330"/>
    <mergeCell ref="B1331:B1337"/>
    <mergeCell ref="K1331:K1334"/>
    <mergeCell ref="K1335:L1335"/>
    <mergeCell ref="K1336:L1336"/>
    <mergeCell ref="K1337:L1337"/>
    <mergeCell ref="K1338:L1338"/>
    <mergeCell ref="R1367:R1368"/>
    <mergeCell ref="G1367:G1368"/>
    <mergeCell ref="N1367:N1368"/>
    <mergeCell ref="K1354:L1354"/>
    <mergeCell ref="K1355:L1355"/>
    <mergeCell ref="K1356:L1356"/>
    <mergeCell ref="K1357:L1357"/>
    <mergeCell ref="K1358:L1358"/>
    <mergeCell ref="K1359:L1359"/>
    <mergeCell ref="K1360:L1360"/>
    <mergeCell ref="C1341:C1342"/>
    <mergeCell ref="D1341:D1342"/>
    <mergeCell ref="E1341:E1342"/>
    <mergeCell ref="F1341:F1342"/>
    <mergeCell ref="H1341:H1342"/>
    <mergeCell ref="I1341:I1342"/>
    <mergeCell ref="J1341:J1342"/>
    <mergeCell ref="O1341:O1342"/>
    <mergeCell ref="P1341:P1342"/>
    <mergeCell ref="Q1341:Q1342"/>
    <mergeCell ref="R1341:R1342"/>
    <mergeCell ref="G1341:G1342"/>
    <mergeCell ref="N1341:N1342"/>
    <mergeCell ref="F1409:F1410"/>
    <mergeCell ref="H1409:H1410"/>
    <mergeCell ref="I1409:I1410"/>
    <mergeCell ref="J1409:J1410"/>
    <mergeCell ref="C1394:C1395"/>
    <mergeCell ref="D1394:D1395"/>
    <mergeCell ref="E1394:E1395"/>
    <mergeCell ref="F1394:F1395"/>
    <mergeCell ref="H1394:H1395"/>
    <mergeCell ref="I1394:I1395"/>
    <mergeCell ref="J1394:J1395"/>
    <mergeCell ref="O1373:O1374"/>
    <mergeCell ref="P1373:P1374"/>
    <mergeCell ref="Q1373:Q1374"/>
    <mergeCell ref="R1373:R1374"/>
    <mergeCell ref="F1376:F1377"/>
    <mergeCell ref="O1376:O1377"/>
    <mergeCell ref="P1376:P1377"/>
    <mergeCell ref="Q1376:Q1377"/>
    <mergeCell ref="R1376:R1377"/>
    <mergeCell ref="G1373:G1374"/>
    <mergeCell ref="N1373:N1374"/>
    <mergeCell ref="N1376:N1377"/>
    <mergeCell ref="K1375:L1375"/>
    <mergeCell ref="K1376:L1377"/>
    <mergeCell ref="M1376:M1377"/>
    <mergeCell ref="K1378:L1378"/>
    <mergeCell ref="M1378:R1378"/>
    <mergeCell ref="C1373:C1374"/>
    <mergeCell ref="D1373:D1374"/>
    <mergeCell ref="H1373:H1374"/>
    <mergeCell ref="I1373:I1374"/>
    <mergeCell ref="K1461:L1461"/>
    <mergeCell ref="K1462:L1462"/>
    <mergeCell ref="C1442:C1443"/>
    <mergeCell ref="D1442:D1443"/>
    <mergeCell ref="H1442:H1443"/>
    <mergeCell ref="I1442:I1443"/>
    <mergeCell ref="J1442:J1443"/>
    <mergeCell ref="C1411:C1413"/>
    <mergeCell ref="D1411:D1413"/>
    <mergeCell ref="E1411:E1413"/>
    <mergeCell ref="H1411:H1415"/>
    <mergeCell ref="I1411:I1415"/>
    <mergeCell ref="J1411:J1415"/>
    <mergeCell ref="C1414:C1415"/>
    <mergeCell ref="D1414:D1415"/>
    <mergeCell ref="E1414:E1415"/>
    <mergeCell ref="C1416:C1420"/>
    <mergeCell ref="D1416:D1420"/>
    <mergeCell ref="H1416:H1420"/>
    <mergeCell ref="I1416:I1420"/>
    <mergeCell ref="J1416:J1420"/>
    <mergeCell ref="C1431:C1433"/>
    <mergeCell ref="D1431:D1433"/>
    <mergeCell ref="E1431:E1433"/>
    <mergeCell ref="F1431:F1433"/>
    <mergeCell ref="H1431:H1433"/>
    <mergeCell ref="I1431:I1433"/>
    <mergeCell ref="J1431:J1433"/>
    <mergeCell ref="C1434:C1435"/>
    <mergeCell ref="D1434:D1435"/>
    <mergeCell ref="H1434:H1435"/>
    <mergeCell ref="I1434:I1435"/>
    <mergeCell ref="G860:G863"/>
    <mergeCell ref="G864:G865"/>
    <mergeCell ref="G866:G869"/>
    <mergeCell ref="G870:G873"/>
    <mergeCell ref="G874:G877"/>
    <mergeCell ref="G878:G880"/>
    <mergeCell ref="G884:G886"/>
    <mergeCell ref="G888:G890"/>
    <mergeCell ref="D1476:D1477"/>
    <mergeCell ref="F1476:F1477"/>
    <mergeCell ref="H1476:H1477"/>
    <mergeCell ref="I1476:I1477"/>
    <mergeCell ref="J1476:J1477"/>
    <mergeCell ref="C1478:C1479"/>
    <mergeCell ref="D1478:D1479"/>
    <mergeCell ref="E1478:E1479"/>
    <mergeCell ref="F1478:F1479"/>
    <mergeCell ref="H1478:H1479"/>
    <mergeCell ref="I1478:I1479"/>
    <mergeCell ref="J1478:J1479"/>
    <mergeCell ref="F1466:F1467"/>
    <mergeCell ref="C1468:C1469"/>
    <mergeCell ref="D1468:D1469"/>
    <mergeCell ref="E1468:E1469"/>
    <mergeCell ref="F1468:F1469"/>
    <mergeCell ref="H1468:H1469"/>
    <mergeCell ref="I1468:I1469"/>
    <mergeCell ref="J1468:J1469"/>
    <mergeCell ref="G1468:G1469"/>
    <mergeCell ref="C1404:C1406"/>
    <mergeCell ref="D1404:D1406"/>
    <mergeCell ref="E1404:E1406"/>
    <mergeCell ref="F803:F804"/>
    <mergeCell ref="C809:C817"/>
    <mergeCell ref="D809:D817"/>
    <mergeCell ref="E809:E817"/>
    <mergeCell ref="F809:F817"/>
    <mergeCell ref="G809:G817"/>
    <mergeCell ref="H809:H817"/>
    <mergeCell ref="I809:I817"/>
    <mergeCell ref="J809:J817"/>
    <mergeCell ref="G818:G824"/>
    <mergeCell ref="G825:G830"/>
    <mergeCell ref="G833:G837"/>
    <mergeCell ref="G839:G844"/>
    <mergeCell ref="G845:G846"/>
    <mergeCell ref="G847:G851"/>
    <mergeCell ref="G852:G853"/>
    <mergeCell ref="G854:G856"/>
    <mergeCell ref="C845:C846"/>
    <mergeCell ref="D845:D846"/>
    <mergeCell ref="E845:E846"/>
    <mergeCell ref="F845:F846"/>
    <mergeCell ref="H845:H846"/>
    <mergeCell ref="I845:I846"/>
    <mergeCell ref="J845:J846"/>
    <mergeCell ref="C847:C851"/>
    <mergeCell ref="D847:D851"/>
    <mergeCell ref="E847:E851"/>
    <mergeCell ref="F847:F851"/>
    <mergeCell ref="H847:H851"/>
    <mergeCell ref="I847:I851"/>
    <mergeCell ref="J847:J851"/>
    <mergeCell ref="I825:I830"/>
    <mergeCell ref="K1161:L1161"/>
    <mergeCell ref="K1162:L1162"/>
    <mergeCell ref="K1163:L1163"/>
    <mergeCell ref="K1164:L1164"/>
    <mergeCell ref="K1165:L1165"/>
    <mergeCell ref="K1166:L1166"/>
    <mergeCell ref="K1198:L1198"/>
    <mergeCell ref="K1199:L1199"/>
    <mergeCell ref="B1214:R1214"/>
    <mergeCell ref="K1215:L1215"/>
    <mergeCell ref="K1216:L1216"/>
    <mergeCell ref="K1217:L1217"/>
    <mergeCell ref="G1012:G1014"/>
    <mergeCell ref="N1014:N1015"/>
    <mergeCell ref="N1017:N1018"/>
    <mergeCell ref="G1031:G1032"/>
    <mergeCell ref="G1033:G1034"/>
    <mergeCell ref="G1035:G1036"/>
    <mergeCell ref="G1047:G1048"/>
    <mergeCell ref="G1065:G1066"/>
    <mergeCell ref="G1069:G1070"/>
    <mergeCell ref="G1073:G1074"/>
    <mergeCell ref="M1054:R1054"/>
    <mergeCell ref="B1055:E1055"/>
    <mergeCell ref="B1065:B1066"/>
    <mergeCell ref="B1069:B1070"/>
    <mergeCell ref="B1071:E1071"/>
    <mergeCell ref="M1071:R1071"/>
    <mergeCell ref="B1072:E1072"/>
    <mergeCell ref="B1073:B1074"/>
    <mergeCell ref="H1183:H1189"/>
    <mergeCell ref="I1183:I1189"/>
    <mergeCell ref="G1291:G1293"/>
    <mergeCell ref="G1296:G1297"/>
    <mergeCell ref="G1298:G1299"/>
    <mergeCell ref="G1300:G1301"/>
    <mergeCell ref="G1309:G1310"/>
    <mergeCell ref="G1311:G1312"/>
    <mergeCell ref="G1138:G1142"/>
    <mergeCell ref="G1143:G1145"/>
    <mergeCell ref="G1146:G1149"/>
    <mergeCell ref="G1152:G1153"/>
    <mergeCell ref="G1155:G1157"/>
    <mergeCell ref="G1159:G1160"/>
    <mergeCell ref="G1167:G1170"/>
    <mergeCell ref="G1171:G1174"/>
    <mergeCell ref="G1175:G1178"/>
    <mergeCell ref="G1180:G1182"/>
    <mergeCell ref="G1183:G1189"/>
    <mergeCell ref="G1190:G1194"/>
    <mergeCell ref="G1200:G1203"/>
    <mergeCell ref="G1204:G1210"/>
    <mergeCell ref="G1234:G1235"/>
    <mergeCell ref="G1247:G1248"/>
    <mergeCell ref="G1250:G1252"/>
    <mergeCell ref="G1236:G1237"/>
    <mergeCell ref="K1458:L1458"/>
    <mergeCell ref="K1459:L1459"/>
    <mergeCell ref="K1460:L1460"/>
    <mergeCell ref="G1394:G1395"/>
    <mergeCell ref="G1404:G1406"/>
    <mergeCell ref="G1409:G1410"/>
    <mergeCell ref="G1411:G1415"/>
    <mergeCell ref="G1416:G1420"/>
    <mergeCell ref="G1422:G1425"/>
    <mergeCell ref="G1426:G1429"/>
    <mergeCell ref="K1397:L1397"/>
    <mergeCell ref="K1398:L1398"/>
    <mergeCell ref="K1399:L1399"/>
    <mergeCell ref="M1399:R1399"/>
    <mergeCell ref="B1400:R1400"/>
    <mergeCell ref="B1404:B1406"/>
    <mergeCell ref="B1409:B1410"/>
    <mergeCell ref="B1411:B1413"/>
    <mergeCell ref="F1411:F1415"/>
    <mergeCell ref="B1414:B1415"/>
    <mergeCell ref="B1416:B1420"/>
    <mergeCell ref="E1416:E1418"/>
    <mergeCell ref="E1419:E1420"/>
    <mergeCell ref="B1422:B1425"/>
    <mergeCell ref="K1422:K1423"/>
    <mergeCell ref="F1404:F1406"/>
    <mergeCell ref="H1404:H1406"/>
    <mergeCell ref="I1404:I1406"/>
    <mergeCell ref="J1404:J1406"/>
    <mergeCell ref="C1409:C1410"/>
    <mergeCell ref="D1409:D1410"/>
    <mergeCell ref="E1409:E1410"/>
    <mergeCell ref="F1416:F1420"/>
    <mergeCell ref="M1287:R1287"/>
    <mergeCell ref="B1288:P1288"/>
    <mergeCell ref="B1291:B1293"/>
    <mergeCell ref="B1296:B1297"/>
    <mergeCell ref="B1298:B1299"/>
    <mergeCell ref="B1300:B1301"/>
    <mergeCell ref="B1309:B1310"/>
    <mergeCell ref="O1309:P1309"/>
    <mergeCell ref="O1310:P1310"/>
    <mergeCell ref="B1311:B1312"/>
    <mergeCell ref="O1311:Q1311"/>
    <mergeCell ref="O1312:Q1312"/>
    <mergeCell ref="O1313:Q1313"/>
    <mergeCell ref="G1476:G1477"/>
    <mergeCell ref="G1478:G1479"/>
    <mergeCell ref="M803:M804"/>
    <mergeCell ref="E902:E903"/>
    <mergeCell ref="G911:G916"/>
    <mergeCell ref="G1434:G1435"/>
    <mergeCell ref="G1437:G1439"/>
    <mergeCell ref="G1442:G1443"/>
    <mergeCell ref="F1434:F1435"/>
    <mergeCell ref="F1442:F1443"/>
    <mergeCell ref="K1450:L1450"/>
    <mergeCell ref="K1451:L1451"/>
    <mergeCell ref="K1452:L1452"/>
    <mergeCell ref="K1453:L1453"/>
    <mergeCell ref="K1455:L1455"/>
    <mergeCell ref="M1455:R1455"/>
    <mergeCell ref="B1456:R1456"/>
    <mergeCell ref="K1457:L1457"/>
    <mergeCell ref="B802:E802"/>
    <mergeCell ref="B809:B817"/>
    <mergeCell ref="B818:B824"/>
    <mergeCell ref="B825:B830"/>
    <mergeCell ref="C825:C830"/>
    <mergeCell ref="B833:B837"/>
    <mergeCell ref="B839:B844"/>
    <mergeCell ref="B845:B846"/>
    <mergeCell ref="B847:B851"/>
    <mergeCell ref="B852:B853"/>
    <mergeCell ref="B854:B856"/>
    <mergeCell ref="B860:B863"/>
    <mergeCell ref="B864:B865"/>
    <mergeCell ref="B866:B869"/>
    <mergeCell ref="B870:B873"/>
    <mergeCell ref="B874:B877"/>
    <mergeCell ref="B878:B880"/>
    <mergeCell ref="C874:C877"/>
    <mergeCell ref="D874:D877"/>
    <mergeCell ref="E874:E877"/>
    <mergeCell ref="C860:C863"/>
    <mergeCell ref="D860:D863"/>
    <mergeCell ref="E860:E863"/>
    <mergeCell ref="B884:B886"/>
    <mergeCell ref="B888:B890"/>
    <mergeCell ref="B891:B899"/>
    <mergeCell ref="C902:C903"/>
    <mergeCell ref="B905:P905"/>
    <mergeCell ref="B906:B909"/>
    <mergeCell ref="C906:C909"/>
    <mergeCell ref="B911:B916"/>
    <mergeCell ref="F911:F914"/>
    <mergeCell ref="F915:F916"/>
    <mergeCell ref="B922:B923"/>
    <mergeCell ref="M927:Q927"/>
    <mergeCell ref="B940:B941"/>
    <mergeCell ref="B942:B943"/>
    <mergeCell ref="K946:K947"/>
    <mergeCell ref="B948:B950"/>
    <mergeCell ref="B964:B966"/>
    <mergeCell ref="F940:F941"/>
    <mergeCell ref="C942:C943"/>
    <mergeCell ref="D942:D943"/>
    <mergeCell ref="F942:F943"/>
    <mergeCell ref="F944:F947"/>
    <mergeCell ref="M946:M947"/>
    <mergeCell ref="C948:C950"/>
    <mergeCell ref="D948:D950"/>
    <mergeCell ref="F948:F950"/>
    <mergeCell ref="F951:F953"/>
    <mergeCell ref="D906:D909"/>
    <mergeCell ref="F906:F909"/>
    <mergeCell ref="D911:D916"/>
    <mergeCell ref="D922:D923"/>
    <mergeCell ref="F922:F923"/>
    <mergeCell ref="M999:R999"/>
    <mergeCell ref="B1000:E1000"/>
    <mergeCell ref="B1007:B1008"/>
    <mergeCell ref="K1007:K1008"/>
    <mergeCell ref="B1012:B1015"/>
    <mergeCell ref="F1012:F1014"/>
    <mergeCell ref="E1014:E1015"/>
    <mergeCell ref="K1014:K1015"/>
    <mergeCell ref="B1017:B1018"/>
    <mergeCell ref="K1017:K1018"/>
    <mergeCell ref="M1019:R1019"/>
    <mergeCell ref="B1020:E1020"/>
    <mergeCell ref="B1031:B1032"/>
    <mergeCell ref="B1033:B1034"/>
    <mergeCell ref="M1039:R1039"/>
    <mergeCell ref="B1040:E1040"/>
    <mergeCell ref="B1047:B1048"/>
    <mergeCell ref="C1047:C1048"/>
    <mergeCell ref="D1047:D1048"/>
    <mergeCell ref="E1047:E1048"/>
    <mergeCell ref="F1047:F1048"/>
    <mergeCell ref="H1047:H1048"/>
    <mergeCell ref="I1047:I1048"/>
    <mergeCell ref="J1047:J1048"/>
    <mergeCell ref="K1047:K1048"/>
    <mergeCell ref="M1047:M1048"/>
    <mergeCell ref="C1007:C1008"/>
    <mergeCell ref="D1007:D1008"/>
    <mergeCell ref="E1007:E1008"/>
    <mergeCell ref="M1007:M1008"/>
    <mergeCell ref="O1007:O1008"/>
    <mergeCell ref="P1007:P1008"/>
    <mergeCell ref="B1075:B1076"/>
    <mergeCell ref="B1077:B1079"/>
    <mergeCell ref="B1080:B1081"/>
    <mergeCell ref="B1082:B1083"/>
    <mergeCell ref="B1085:E1085"/>
    <mergeCell ref="K1085:L1085"/>
    <mergeCell ref="M1085:R1085"/>
    <mergeCell ref="B1086:R1086"/>
    <mergeCell ref="K1087:L1087"/>
    <mergeCell ref="K1088:L1088"/>
    <mergeCell ref="K1089:L1089"/>
    <mergeCell ref="K1090:L1090"/>
    <mergeCell ref="B1091:B1092"/>
    <mergeCell ref="K1091:L1092"/>
    <mergeCell ref="K1093:L1093"/>
    <mergeCell ref="K1094:L1094"/>
    <mergeCell ref="K1095:L1095"/>
    <mergeCell ref="C1082:C1083"/>
    <mergeCell ref="D1082:D1083"/>
    <mergeCell ref="E1082:E1083"/>
    <mergeCell ref="F1082:F1083"/>
    <mergeCell ref="H1082:H1083"/>
    <mergeCell ref="I1082:I1083"/>
    <mergeCell ref="J1082:J1083"/>
    <mergeCell ref="G1082:G1083"/>
    <mergeCell ref="C1077:C1079"/>
    <mergeCell ref="D1077:D1079"/>
    <mergeCell ref="E1077:E1079"/>
    <mergeCell ref="F1077:F1079"/>
    <mergeCell ref="H1077:H1079"/>
    <mergeCell ref="I1077:I1079"/>
    <mergeCell ref="J1077:J1079"/>
    <mergeCell ref="K1113:L1113"/>
    <mergeCell ref="K1114:L1114"/>
    <mergeCell ref="K1115:L1115"/>
    <mergeCell ref="K1118:L1118"/>
    <mergeCell ref="M1118:R1118"/>
    <mergeCell ref="B1119:P1119"/>
    <mergeCell ref="K1120:L1120"/>
    <mergeCell ref="K1121:L1121"/>
    <mergeCell ref="K1122:L1122"/>
    <mergeCell ref="K1123:L1123"/>
    <mergeCell ref="K1124:L1124"/>
    <mergeCell ref="K1125:L1125"/>
    <mergeCell ref="K1126:L1126"/>
    <mergeCell ref="K1127:L1127"/>
    <mergeCell ref="K1128:L1128"/>
    <mergeCell ref="B1129:B1130"/>
    <mergeCell ref="K1129:L1129"/>
    <mergeCell ref="K1130:L1130"/>
    <mergeCell ref="G1129:G1130"/>
    <mergeCell ref="B1118:E1118"/>
    <mergeCell ref="B1131:B1137"/>
    <mergeCell ref="K1131:L1131"/>
    <mergeCell ref="K1132:L1132"/>
    <mergeCell ref="K1133:L1133"/>
    <mergeCell ref="K1134:L1134"/>
    <mergeCell ref="K1135:L1135"/>
    <mergeCell ref="K1136:L1136"/>
    <mergeCell ref="K1137:L1137"/>
    <mergeCell ref="B1138:B1142"/>
    <mergeCell ref="K1138:L1138"/>
    <mergeCell ref="K1139:L1139"/>
    <mergeCell ref="K1140:L1140"/>
    <mergeCell ref="K1141:L1141"/>
    <mergeCell ref="K1142:L1142"/>
    <mergeCell ref="B1143:B1145"/>
    <mergeCell ref="K1143:L1143"/>
    <mergeCell ref="K1144:L1144"/>
    <mergeCell ref="K1145:L1145"/>
    <mergeCell ref="D1143:D1145"/>
    <mergeCell ref="E1143:E1145"/>
    <mergeCell ref="F1143:F1145"/>
    <mergeCell ref="H1143:H1145"/>
    <mergeCell ref="I1143:I1145"/>
    <mergeCell ref="J1143:J1145"/>
    <mergeCell ref="C1131:C1137"/>
    <mergeCell ref="D1131:D1137"/>
    <mergeCell ref="E1131:E1137"/>
    <mergeCell ref="F1131:F1137"/>
    <mergeCell ref="H1131:H1137"/>
    <mergeCell ref="I1131:I1137"/>
    <mergeCell ref="J1131:J1137"/>
    <mergeCell ref="G1131:G1137"/>
    <mergeCell ref="B1146:B1149"/>
    <mergeCell ref="K1146:L1146"/>
    <mergeCell ref="K1147:L1147"/>
    <mergeCell ref="K1148:L1148"/>
    <mergeCell ref="K1149:L1149"/>
    <mergeCell ref="K1150:L1150"/>
    <mergeCell ref="K1151:L1151"/>
    <mergeCell ref="B1152:B1153"/>
    <mergeCell ref="K1152:L1152"/>
    <mergeCell ref="K1153:L1153"/>
    <mergeCell ref="K1154:L1154"/>
    <mergeCell ref="B1155:B1157"/>
    <mergeCell ref="K1155:L1155"/>
    <mergeCell ref="K1156:L1156"/>
    <mergeCell ref="K1157:L1157"/>
    <mergeCell ref="K1158:L1158"/>
    <mergeCell ref="B1159:B1160"/>
    <mergeCell ref="K1159:L1159"/>
    <mergeCell ref="K1160:L1160"/>
    <mergeCell ref="C1146:C1149"/>
    <mergeCell ref="D1146:D1149"/>
    <mergeCell ref="E1146:E1149"/>
    <mergeCell ref="F1146:F1149"/>
    <mergeCell ref="H1146:H1149"/>
    <mergeCell ref="I1146:I1149"/>
    <mergeCell ref="J1146:J1149"/>
    <mergeCell ref="B1167:B1170"/>
    <mergeCell ref="K1167:L1167"/>
    <mergeCell ref="K1168:L1168"/>
    <mergeCell ref="K1169:L1169"/>
    <mergeCell ref="K1170:L1170"/>
    <mergeCell ref="B1171:B1174"/>
    <mergeCell ref="K1171:L1171"/>
    <mergeCell ref="K1172:L1172"/>
    <mergeCell ref="K1173:L1173"/>
    <mergeCell ref="K1174:L1174"/>
    <mergeCell ref="B1175:B1178"/>
    <mergeCell ref="K1175:L1175"/>
    <mergeCell ref="K1176:L1176"/>
    <mergeCell ref="K1177:L1177"/>
    <mergeCell ref="K1178:L1178"/>
    <mergeCell ref="K1179:L1179"/>
    <mergeCell ref="B1180:B1182"/>
    <mergeCell ref="K1180:L1180"/>
    <mergeCell ref="K1181:L1181"/>
    <mergeCell ref="K1182:L1182"/>
    <mergeCell ref="C1175:C1178"/>
    <mergeCell ref="D1175:D1178"/>
    <mergeCell ref="E1175:E1178"/>
    <mergeCell ref="F1175:F1178"/>
    <mergeCell ref="H1175:H1178"/>
    <mergeCell ref="I1175:I1178"/>
    <mergeCell ref="J1175:J1178"/>
    <mergeCell ref="C1180:C1182"/>
    <mergeCell ref="D1180:D1182"/>
    <mergeCell ref="E1180:E1182"/>
    <mergeCell ref="F1180:F1182"/>
    <mergeCell ref="H1180:H1182"/>
    <mergeCell ref="B1183:B1189"/>
    <mergeCell ref="K1183:L1183"/>
    <mergeCell ref="K1184:L1184"/>
    <mergeCell ref="K1185:L1185"/>
    <mergeCell ref="K1186:L1186"/>
    <mergeCell ref="K1187:L1187"/>
    <mergeCell ref="K1188:L1188"/>
    <mergeCell ref="K1189:L1189"/>
    <mergeCell ref="B1190:B1194"/>
    <mergeCell ref="K1190:L1190"/>
    <mergeCell ref="K1191:L1191"/>
    <mergeCell ref="K1192:L1192"/>
    <mergeCell ref="K1193:L1193"/>
    <mergeCell ref="K1194:L1194"/>
    <mergeCell ref="K1195:L1195"/>
    <mergeCell ref="K1196:L1196"/>
    <mergeCell ref="K1197:L1197"/>
    <mergeCell ref="J1183:J1189"/>
    <mergeCell ref="C1190:C1194"/>
    <mergeCell ref="D1190:D1194"/>
    <mergeCell ref="E1190:E1194"/>
    <mergeCell ref="F1190:F1194"/>
    <mergeCell ref="H1190:H1194"/>
    <mergeCell ref="I1190:I1194"/>
    <mergeCell ref="J1190:J1194"/>
    <mergeCell ref="B1196:B1199"/>
    <mergeCell ref="B1200:B1203"/>
    <mergeCell ref="K1200:L1200"/>
    <mergeCell ref="K1201:L1201"/>
    <mergeCell ref="K1202:L1202"/>
    <mergeCell ref="K1203:L1203"/>
    <mergeCell ref="B1204:B1210"/>
    <mergeCell ref="K1204:L1204"/>
    <mergeCell ref="K1205:L1205"/>
    <mergeCell ref="K1206:L1206"/>
    <mergeCell ref="K1207:L1207"/>
    <mergeCell ref="K1208:L1208"/>
    <mergeCell ref="K1209:L1209"/>
    <mergeCell ref="K1210:L1210"/>
    <mergeCell ref="K1211:L1211"/>
    <mergeCell ref="K1212:L1212"/>
    <mergeCell ref="B1213:E1213"/>
    <mergeCell ref="M1213:R1213"/>
    <mergeCell ref="H1204:H1210"/>
    <mergeCell ref="I1204:I1210"/>
    <mergeCell ref="J1204:J1210"/>
    <mergeCell ref="B1230:B1231"/>
    <mergeCell ref="K1230:L1230"/>
    <mergeCell ref="K1231:L1231"/>
    <mergeCell ref="K1232:L1232"/>
    <mergeCell ref="K1233:L1233"/>
    <mergeCell ref="B1234:B1235"/>
    <mergeCell ref="K1234:L1234"/>
    <mergeCell ref="K1235:L1235"/>
    <mergeCell ref="B1236:B1237"/>
    <mergeCell ref="K1236:L1236"/>
    <mergeCell ref="K1237:L1237"/>
    <mergeCell ref="K1238:L1238"/>
    <mergeCell ref="K1239:L1239"/>
    <mergeCell ref="K1240:L1240"/>
    <mergeCell ref="B1241:E1241"/>
    <mergeCell ref="K1241:L1241"/>
    <mergeCell ref="B1242:R1242"/>
    <mergeCell ref="C1236:C1237"/>
    <mergeCell ref="D1236:D1237"/>
    <mergeCell ref="E1236:E1237"/>
    <mergeCell ref="F1236:F1237"/>
    <mergeCell ref="H1236:H1237"/>
    <mergeCell ref="I1236:I1237"/>
    <mergeCell ref="J1236:J1237"/>
    <mergeCell ref="C1230:C1231"/>
    <mergeCell ref="D1230:D1231"/>
    <mergeCell ref="C1234:C1235"/>
    <mergeCell ref="D1234:D1235"/>
    <mergeCell ref="E1234:E1235"/>
    <mergeCell ref="F1234:F1235"/>
    <mergeCell ref="H1234:H1235"/>
    <mergeCell ref="I1234:I1235"/>
    <mergeCell ref="K1243:L1243"/>
    <mergeCell ref="K1244:L1244"/>
    <mergeCell ref="K1245:L1245"/>
    <mergeCell ref="K1246:L1246"/>
    <mergeCell ref="B1247:B1248"/>
    <mergeCell ref="K1247:L1247"/>
    <mergeCell ref="K1248:L1248"/>
    <mergeCell ref="K1249:L1249"/>
    <mergeCell ref="B1250:B1253"/>
    <mergeCell ref="F1250:F1252"/>
    <mergeCell ref="K1250:L1250"/>
    <mergeCell ref="K1251:L1251"/>
    <mergeCell ref="K1252:L1252"/>
    <mergeCell ref="K1253:L1253"/>
    <mergeCell ref="K1254:L1254"/>
    <mergeCell ref="K1255:L1255"/>
    <mergeCell ref="K1256:L1256"/>
    <mergeCell ref="C1250:C1253"/>
    <mergeCell ref="D1250:D1253"/>
    <mergeCell ref="E1250:E1253"/>
    <mergeCell ref="H1250:H1252"/>
    <mergeCell ref="I1250:I1252"/>
    <mergeCell ref="J1250:J1252"/>
    <mergeCell ref="C1247:C1248"/>
    <mergeCell ref="D1247:D1248"/>
    <mergeCell ref="E1247:E1248"/>
    <mergeCell ref="F1247:F1248"/>
    <mergeCell ref="H1247:H1248"/>
    <mergeCell ref="I1247:I1248"/>
    <mergeCell ref="J1247:J1248"/>
    <mergeCell ref="B1257:B1260"/>
    <mergeCell ref="K1257:L1257"/>
    <mergeCell ref="K1259:L1259"/>
    <mergeCell ref="K1260:L1260"/>
    <mergeCell ref="B1261:B1263"/>
    <mergeCell ref="K1261:L1261"/>
    <mergeCell ref="K1262:L1262"/>
    <mergeCell ref="K1263:L1263"/>
    <mergeCell ref="K1264:L1264"/>
    <mergeCell ref="K1265:L1265"/>
    <mergeCell ref="K1266:L1266"/>
    <mergeCell ref="B1267:B1269"/>
    <mergeCell ref="K1267:L1267"/>
    <mergeCell ref="K1268:L1268"/>
    <mergeCell ref="K1269:L1269"/>
    <mergeCell ref="K1270:L1270"/>
    <mergeCell ref="B1271:B1274"/>
    <mergeCell ref="E1271:E1272"/>
    <mergeCell ref="K1271:L1271"/>
    <mergeCell ref="K1272:L1272"/>
    <mergeCell ref="E1273:E1274"/>
    <mergeCell ref="K1273:L1273"/>
    <mergeCell ref="K1274:L1274"/>
    <mergeCell ref="F1271:F1274"/>
    <mergeCell ref="C1267:C1269"/>
    <mergeCell ref="D1267:D1269"/>
    <mergeCell ref="E1267:E1269"/>
    <mergeCell ref="F1267:F1269"/>
    <mergeCell ref="H1267:H1269"/>
    <mergeCell ref="I1267:I1269"/>
    <mergeCell ref="J1267:J1269"/>
    <mergeCell ref="C1271:C1274"/>
    <mergeCell ref="B1275:B1277"/>
    <mergeCell ref="K1275:L1275"/>
    <mergeCell ref="K1276:L1276"/>
    <mergeCell ref="K1277:L1277"/>
    <mergeCell ref="B1278:B1279"/>
    <mergeCell ref="K1278:L1278"/>
    <mergeCell ref="K1279:L1279"/>
    <mergeCell ref="K1280:L1280"/>
    <mergeCell ref="B1281:B1283"/>
    <mergeCell ref="K1281:L1281"/>
    <mergeCell ref="K1282:L1282"/>
    <mergeCell ref="K1283:L1283"/>
    <mergeCell ref="K1284:L1284"/>
    <mergeCell ref="K1285:L1285"/>
    <mergeCell ref="K1286:L1286"/>
    <mergeCell ref="B1287:E1287"/>
    <mergeCell ref="K1287:L1287"/>
    <mergeCell ref="G1275:G1277"/>
    <mergeCell ref="G1278:G1279"/>
    <mergeCell ref="G1281:G1283"/>
    <mergeCell ref="F1284:F1286"/>
    <mergeCell ref="C1275:C1277"/>
    <mergeCell ref="D1275:D1277"/>
    <mergeCell ref="E1275:E1277"/>
    <mergeCell ref="F1275:F1277"/>
    <mergeCell ref="H1275:H1277"/>
    <mergeCell ref="I1275:I1277"/>
    <mergeCell ref="B1284:B1286"/>
    <mergeCell ref="J1275:J1277"/>
    <mergeCell ref="K1339:L1339"/>
    <mergeCell ref="K1340:L1340"/>
    <mergeCell ref="B1341:B1342"/>
    <mergeCell ref="K1341:L1342"/>
    <mergeCell ref="M1341:M1342"/>
    <mergeCell ref="K1343:L1343"/>
    <mergeCell ref="M1343:R1343"/>
    <mergeCell ref="B1344:R1344"/>
    <mergeCell ref="K1345:L1345"/>
    <mergeCell ref="K1346:L1346"/>
    <mergeCell ref="K1347:L1347"/>
    <mergeCell ref="K1348:L1348"/>
    <mergeCell ref="K1349:L1349"/>
    <mergeCell ref="K1350:L1350"/>
    <mergeCell ref="K1351:L1351"/>
    <mergeCell ref="K1352:L1352"/>
    <mergeCell ref="K1353:L1353"/>
    <mergeCell ref="K1361:L1361"/>
    <mergeCell ref="K1362:L1362"/>
    <mergeCell ref="K1363:L1363"/>
    <mergeCell ref="K1364:L1364"/>
    <mergeCell ref="K1365:L1365"/>
    <mergeCell ref="M1365:R1365"/>
    <mergeCell ref="B1366:R1366"/>
    <mergeCell ref="B1367:B1368"/>
    <mergeCell ref="K1367:L1368"/>
    <mergeCell ref="M1367:M1368"/>
    <mergeCell ref="K1369:L1369"/>
    <mergeCell ref="B1370:B1372"/>
    <mergeCell ref="K1370:L1370"/>
    <mergeCell ref="K1371:L1371"/>
    <mergeCell ref="K1372:L1372"/>
    <mergeCell ref="B1373:B1374"/>
    <mergeCell ref="K1373:L1374"/>
    <mergeCell ref="M1373:M1374"/>
    <mergeCell ref="F1367:F1368"/>
    <mergeCell ref="F1373:F1374"/>
    <mergeCell ref="C1370:C1372"/>
    <mergeCell ref="D1370:D1372"/>
    <mergeCell ref="E1370:E1372"/>
    <mergeCell ref="J1373:J1374"/>
    <mergeCell ref="C1367:C1368"/>
    <mergeCell ref="D1367:D1368"/>
    <mergeCell ref="H1367:H1368"/>
    <mergeCell ref="I1367:I1368"/>
    <mergeCell ref="J1367:J1368"/>
    <mergeCell ref="O1367:O1368"/>
    <mergeCell ref="P1367:P1368"/>
    <mergeCell ref="Q1367:Q1368"/>
    <mergeCell ref="K1382:L1382"/>
    <mergeCell ref="B1383:B1384"/>
    <mergeCell ref="K1383:L1383"/>
    <mergeCell ref="K1384:L1384"/>
    <mergeCell ref="K1385:L1385"/>
    <mergeCell ref="K1386:L1386"/>
    <mergeCell ref="K1387:L1387"/>
    <mergeCell ref="K1388:L1388"/>
    <mergeCell ref="K1389:L1389"/>
    <mergeCell ref="K1390:L1390"/>
    <mergeCell ref="K1391:L1391"/>
    <mergeCell ref="K1392:L1392"/>
    <mergeCell ref="K1393:L1393"/>
    <mergeCell ref="B1394:B1395"/>
    <mergeCell ref="K1394:L1394"/>
    <mergeCell ref="K1395:L1395"/>
    <mergeCell ref="K1396:L1396"/>
    <mergeCell ref="B1426:B1429"/>
    <mergeCell ref="B1431:B1433"/>
    <mergeCell ref="K1431:K1432"/>
    <mergeCell ref="B1434:B1435"/>
    <mergeCell ref="B1437:B1439"/>
    <mergeCell ref="K1440:L1440"/>
    <mergeCell ref="M1440:R1440"/>
    <mergeCell ref="B1441:R1441"/>
    <mergeCell ref="B1442:B1443"/>
    <mergeCell ref="K1442:L1443"/>
    <mergeCell ref="M1442:M1443"/>
    <mergeCell ref="K1444:L1444"/>
    <mergeCell ref="K1445:L1445"/>
    <mergeCell ref="K1446:L1446"/>
    <mergeCell ref="K1447:L1447"/>
    <mergeCell ref="K1448:L1448"/>
    <mergeCell ref="K1449:L1449"/>
    <mergeCell ref="J1434:J1435"/>
    <mergeCell ref="G1431:G1433"/>
    <mergeCell ref="C1437:C1439"/>
    <mergeCell ref="D1437:D1439"/>
    <mergeCell ref="E1437:E1439"/>
    <mergeCell ref="F1437:F1439"/>
    <mergeCell ref="H1437:H1439"/>
    <mergeCell ref="I1437:I1439"/>
    <mergeCell ref="J1437:J1439"/>
    <mergeCell ref="K1476:L1477"/>
    <mergeCell ref="B1478:B1479"/>
    <mergeCell ref="K1478:L1478"/>
    <mergeCell ref="K1479:L1479"/>
    <mergeCell ref="K1480:L1480"/>
    <mergeCell ref="K1481:L1481"/>
    <mergeCell ref="M1481:R1481"/>
    <mergeCell ref="B1482:R1482"/>
    <mergeCell ref="K1483:L1483"/>
    <mergeCell ref="K1484:L1484"/>
    <mergeCell ref="K1485:L1485"/>
    <mergeCell ref="K1486:L1486"/>
    <mergeCell ref="K1487:L1487"/>
    <mergeCell ref="K1488:L1488"/>
    <mergeCell ref="K1489:L1489"/>
    <mergeCell ref="K1490:L1490"/>
    <mergeCell ref="K1491:L1491"/>
    <mergeCell ref="B1499:E1499"/>
    <mergeCell ref="B1506:B1507"/>
    <mergeCell ref="C1506:C1507"/>
    <mergeCell ref="D1506:D1507"/>
    <mergeCell ref="E1506:E1507"/>
    <mergeCell ref="I1506:I1507"/>
    <mergeCell ref="J1506:J1507"/>
    <mergeCell ref="K1506:K1507"/>
    <mergeCell ref="N1506:N1507"/>
    <mergeCell ref="O1506:O1507"/>
    <mergeCell ref="P1506:P1507"/>
    <mergeCell ref="Q1506:Q1507"/>
    <mergeCell ref="R1506:R1507"/>
    <mergeCell ref="K1494:L1494"/>
    <mergeCell ref="M1494:R1494"/>
    <mergeCell ref="B1495:R1495"/>
    <mergeCell ref="K1496:L1496"/>
    <mergeCell ref="K1497:L1497"/>
    <mergeCell ref="K1498:L1498"/>
    <mergeCell ref="K1499:L1499"/>
    <mergeCell ref="M1499:R1499"/>
    <mergeCell ref="B1500:R1500"/>
    <mergeCell ref="K1501:L1501"/>
    <mergeCell ref="K1517:L1517"/>
    <mergeCell ref="K1518:L1518"/>
    <mergeCell ref="K1519:L1519"/>
    <mergeCell ref="K1520:L1520"/>
    <mergeCell ref="K1521:L1521"/>
    <mergeCell ref="M1521:R1521"/>
    <mergeCell ref="B1522:R1522"/>
    <mergeCell ref="K1523:L1523"/>
    <mergeCell ref="K1524:L1524"/>
    <mergeCell ref="K1525:L1525"/>
    <mergeCell ref="K1526:L1526"/>
    <mergeCell ref="K1527:L1527"/>
    <mergeCell ref="K1528:L1528"/>
    <mergeCell ref="B1508:B1509"/>
    <mergeCell ref="C1508:C1509"/>
    <mergeCell ref="D1508:D1509"/>
    <mergeCell ref="E1508:E1509"/>
    <mergeCell ref="I1508:I1509"/>
    <mergeCell ref="J1508:J1509"/>
    <mergeCell ref="K1508:K1509"/>
    <mergeCell ref="N1508:N1509"/>
    <mergeCell ref="O1508:O1509"/>
    <mergeCell ref="P1508:P1509"/>
    <mergeCell ref="Q1508:Q1509"/>
    <mergeCell ref="R1508:R1509"/>
    <mergeCell ref="B1510:E1510"/>
    <mergeCell ref="C1551:C1554"/>
    <mergeCell ref="D1551:D1554"/>
    <mergeCell ref="E1551:E1554"/>
    <mergeCell ref="G1551:G1554"/>
    <mergeCell ref="H1551:H1554"/>
    <mergeCell ref="I1551:I1554"/>
    <mergeCell ref="J1551:J1554"/>
    <mergeCell ref="B1555:B1560"/>
    <mergeCell ref="C1555:C1560"/>
    <mergeCell ref="D1555:D1560"/>
    <mergeCell ref="E1555:E1560"/>
    <mergeCell ref="G1555:G1560"/>
    <mergeCell ref="H1555:H1560"/>
    <mergeCell ref="I1555:I1560"/>
    <mergeCell ref="J1555:J1560"/>
    <mergeCell ref="B1543:B1544"/>
    <mergeCell ref="C1543:C1544"/>
    <mergeCell ref="D1543:D1544"/>
    <mergeCell ref="E1543:E1544"/>
    <mergeCell ref="G1543:G1544"/>
    <mergeCell ref="H1543:H1544"/>
    <mergeCell ref="I1543:I1544"/>
    <mergeCell ref="J1543:J1544"/>
    <mergeCell ref="B1549:B1550"/>
    <mergeCell ref="C1549:C1550"/>
    <mergeCell ref="D1549:D1550"/>
    <mergeCell ref="E1549:E1550"/>
    <mergeCell ref="G1549:G1550"/>
    <mergeCell ref="H1549:H1550"/>
    <mergeCell ref="I1549:I1550"/>
    <mergeCell ref="J1549:J1550"/>
    <mergeCell ref="B1551:B1554"/>
    <mergeCell ref="K1577:L1577"/>
    <mergeCell ref="K1578:L1578"/>
    <mergeCell ref="K1579:L1579"/>
    <mergeCell ref="F1580:F1581"/>
    <mergeCell ref="K1580:L1580"/>
    <mergeCell ref="K1581:L1581"/>
    <mergeCell ref="K1582:L1582"/>
    <mergeCell ref="D1567:D1571"/>
    <mergeCell ref="E1567:E1571"/>
    <mergeCell ref="G1567:G1571"/>
    <mergeCell ref="H1567:H1571"/>
    <mergeCell ref="I1567:I1571"/>
    <mergeCell ref="J1567:J1571"/>
    <mergeCell ref="B1575:B1576"/>
    <mergeCell ref="C1575:C1576"/>
    <mergeCell ref="D1575:D1576"/>
    <mergeCell ref="E1575:E1576"/>
    <mergeCell ref="G1575:G1576"/>
    <mergeCell ref="H1575:H1576"/>
    <mergeCell ref="I1575:I1576"/>
    <mergeCell ref="J1575:J1576"/>
    <mergeCell ref="B1567:B1571"/>
    <mergeCell ref="C1567:C1571"/>
    <mergeCell ref="B1577:B1579"/>
    <mergeCell ref="C1577:C1579"/>
    <mergeCell ref="D1577:D1579"/>
    <mergeCell ref="E1577:E1579"/>
    <mergeCell ref="G1577:G1579"/>
    <mergeCell ref="H1577:H1579"/>
    <mergeCell ref="I1577:I1579"/>
    <mergeCell ref="J1577:J1579"/>
    <mergeCell ref="B1580:B1581"/>
    <mergeCell ref="C1580:C1581"/>
    <mergeCell ref="D1580:D1581"/>
    <mergeCell ref="E1580:E1581"/>
    <mergeCell ref="G1580:G1581"/>
    <mergeCell ref="H1580:H1581"/>
    <mergeCell ref="I1580:I1581"/>
    <mergeCell ref="J1580:J1581"/>
    <mergeCell ref="B1582:E1582"/>
    <mergeCell ref="B1585:B1586"/>
    <mergeCell ref="C1585:C1586"/>
    <mergeCell ref="D1585:D1586"/>
    <mergeCell ref="E1585:E1586"/>
    <mergeCell ref="G1585:G1586"/>
    <mergeCell ref="H1585:H1586"/>
    <mergeCell ref="I1585:I1586"/>
    <mergeCell ref="J1585:J1586"/>
    <mergeCell ref="F1577:F1579"/>
    <mergeCell ref="B1583:R1583"/>
    <mergeCell ref="K1584:L1584"/>
    <mergeCell ref="F1585:F1586"/>
    <mergeCell ref="K1585:L1585"/>
    <mergeCell ref="K1586:L1586"/>
    <mergeCell ref="P1636:P1637"/>
    <mergeCell ref="Q1636:Q1637"/>
    <mergeCell ref="R1636:R1637"/>
    <mergeCell ref="E1630:E1631"/>
    <mergeCell ref="H1630:H1631"/>
    <mergeCell ref="I1630:I1631"/>
    <mergeCell ref="J1630:J1631"/>
    <mergeCell ref="N1630:N1631"/>
    <mergeCell ref="O1630:O1631"/>
    <mergeCell ref="P1630:P1631"/>
    <mergeCell ref="Q1630:Q1631"/>
    <mergeCell ref="R1630:R1631"/>
    <mergeCell ref="B1632:B1633"/>
    <mergeCell ref="C1632:C1633"/>
    <mergeCell ref="D1632:D1633"/>
    <mergeCell ref="E1632:E1633"/>
    <mergeCell ref="G1632:G1633"/>
    <mergeCell ref="H1632:H1633"/>
    <mergeCell ref="I1632:I1633"/>
    <mergeCell ref="J1632:J1633"/>
    <mergeCell ref="N1632:N1633"/>
    <mergeCell ref="O1632:O1633"/>
    <mergeCell ref="P1632:P1633"/>
    <mergeCell ref="Q1632:Q1633"/>
    <mergeCell ref="R1632:R1633"/>
    <mergeCell ref="J1686:J1687"/>
    <mergeCell ref="N1686:N1687"/>
    <mergeCell ref="O1686:O1687"/>
    <mergeCell ref="P1686:P1687"/>
    <mergeCell ref="Q1686:Q1687"/>
    <mergeCell ref="R1686:R1687"/>
    <mergeCell ref="K1674:L1674"/>
    <mergeCell ref="K1675:L1675"/>
    <mergeCell ref="K1676:L1676"/>
    <mergeCell ref="B1634:B1635"/>
    <mergeCell ref="C1634:C1635"/>
    <mergeCell ref="D1634:D1635"/>
    <mergeCell ref="E1634:E1635"/>
    <mergeCell ref="G1634:G1635"/>
    <mergeCell ref="H1634:H1635"/>
    <mergeCell ref="I1634:I1635"/>
    <mergeCell ref="J1634:J1635"/>
    <mergeCell ref="N1634:N1635"/>
    <mergeCell ref="O1634:O1635"/>
    <mergeCell ref="P1634:P1635"/>
    <mergeCell ref="Q1634:Q1635"/>
    <mergeCell ref="R1634:R1635"/>
    <mergeCell ref="B1636:B1637"/>
    <mergeCell ref="C1636:C1637"/>
    <mergeCell ref="D1636:D1637"/>
    <mergeCell ref="E1636:E1637"/>
    <mergeCell ref="G1636:G1637"/>
    <mergeCell ref="H1636:H1637"/>
    <mergeCell ref="I1636:I1637"/>
    <mergeCell ref="J1636:J1637"/>
    <mergeCell ref="N1636:N1637"/>
    <mergeCell ref="O1636:O1637"/>
    <mergeCell ref="B1721:E1721"/>
    <mergeCell ref="B1740:E1740"/>
    <mergeCell ref="K1713:L1713"/>
    <mergeCell ref="K1714:L1714"/>
    <mergeCell ref="K1715:L1715"/>
    <mergeCell ref="K1716:L1716"/>
    <mergeCell ref="K1717:L1717"/>
    <mergeCell ref="K1718:L1718"/>
    <mergeCell ref="K1719:L1719"/>
    <mergeCell ref="K1720:L1720"/>
    <mergeCell ref="K1721:L1721"/>
    <mergeCell ref="B1722:R1722"/>
    <mergeCell ref="K1723:L1723"/>
    <mergeCell ref="K1724:L1724"/>
    <mergeCell ref="K1725:L1725"/>
    <mergeCell ref="K1726:L1726"/>
    <mergeCell ref="K1727:L1727"/>
    <mergeCell ref="B1765:E1765"/>
    <mergeCell ref="B1779:E1779"/>
    <mergeCell ref="B1784:B1785"/>
    <mergeCell ref="C1784:C1785"/>
    <mergeCell ref="D1784:D1785"/>
    <mergeCell ref="E1784:E1785"/>
    <mergeCell ref="G1784:G1785"/>
    <mergeCell ref="H1784:H1785"/>
    <mergeCell ref="I1784:I1785"/>
    <mergeCell ref="J1784:J1785"/>
    <mergeCell ref="K1779:L1779"/>
    <mergeCell ref="B1780:R1780"/>
    <mergeCell ref="K1781:L1781"/>
    <mergeCell ref="K1782:L1782"/>
    <mergeCell ref="K1783:L1783"/>
    <mergeCell ref="F1784:F1785"/>
    <mergeCell ref="K1784:L1785"/>
    <mergeCell ref="M1784:M1785"/>
    <mergeCell ref="K1502:L1502"/>
    <mergeCell ref="K1503:L1503"/>
    <mergeCell ref="K1504:L1504"/>
    <mergeCell ref="K1505:L1505"/>
    <mergeCell ref="H1506:H1507"/>
    <mergeCell ref="M1506:M1507"/>
    <mergeCell ref="H1508:H1509"/>
    <mergeCell ref="M1508:M1509"/>
    <mergeCell ref="K1510:L1510"/>
    <mergeCell ref="M1510:R1510"/>
    <mergeCell ref="B1511:R1511"/>
    <mergeCell ref="K1512:L1512"/>
    <mergeCell ref="K1513:L1513"/>
    <mergeCell ref="K1514:L1514"/>
    <mergeCell ref="K1515:L1515"/>
    <mergeCell ref="M1515:R1515"/>
    <mergeCell ref="B1516:R1516"/>
    <mergeCell ref="K1530:L1530"/>
    <mergeCell ref="K1531:L1531"/>
    <mergeCell ref="K1532:L1532"/>
    <mergeCell ref="K1533:L1533"/>
    <mergeCell ref="K1534:L1534"/>
    <mergeCell ref="K1535:L1535"/>
    <mergeCell ref="M1535:R1535"/>
    <mergeCell ref="B1536:R1536"/>
    <mergeCell ref="F1537:F1538"/>
    <mergeCell ref="K1537:L1537"/>
    <mergeCell ref="K1538:L1538"/>
    <mergeCell ref="F1539:F1540"/>
    <mergeCell ref="K1539:L1539"/>
    <mergeCell ref="K1540:L1540"/>
    <mergeCell ref="F1541:F1542"/>
    <mergeCell ref="K1541:L1541"/>
    <mergeCell ref="K1542:L1542"/>
    <mergeCell ref="F1543:F1544"/>
    <mergeCell ref="K1543:L1543"/>
    <mergeCell ref="K1544:L1544"/>
    <mergeCell ref="F1545:F1546"/>
    <mergeCell ref="K1545:L1545"/>
    <mergeCell ref="K1546:L1546"/>
    <mergeCell ref="K1547:L1547"/>
    <mergeCell ref="K1548:L1548"/>
    <mergeCell ref="F1549:F1550"/>
    <mergeCell ref="K1549:L1549"/>
    <mergeCell ref="K1550:L1550"/>
    <mergeCell ref="F1551:F1554"/>
    <mergeCell ref="K1551:L1551"/>
    <mergeCell ref="K1552:L1552"/>
    <mergeCell ref="K1553:L1553"/>
    <mergeCell ref="K1554:L1554"/>
    <mergeCell ref="F1555:F1560"/>
    <mergeCell ref="K1555:L1555"/>
    <mergeCell ref="K1556:L1556"/>
    <mergeCell ref="K1557:L1557"/>
    <mergeCell ref="K1558:L1558"/>
    <mergeCell ref="K1559:L1559"/>
    <mergeCell ref="K1560:L1560"/>
    <mergeCell ref="F1561:F1563"/>
    <mergeCell ref="K1561:L1561"/>
    <mergeCell ref="K1562:L1562"/>
    <mergeCell ref="K1563:L1563"/>
    <mergeCell ref="K1564:L1564"/>
    <mergeCell ref="B1565:R1565"/>
    <mergeCell ref="K1566:L1566"/>
    <mergeCell ref="F1567:F1571"/>
    <mergeCell ref="K1567:L1567"/>
    <mergeCell ref="K1568:L1568"/>
    <mergeCell ref="K1569:L1569"/>
    <mergeCell ref="K1570:L1570"/>
    <mergeCell ref="K1571:L1571"/>
    <mergeCell ref="K1572:L1572"/>
    <mergeCell ref="K1573:L1573"/>
    <mergeCell ref="K1574:L1574"/>
    <mergeCell ref="F1575:F1576"/>
    <mergeCell ref="K1575:L1575"/>
    <mergeCell ref="K1576:L1576"/>
    <mergeCell ref="B1561:B1563"/>
    <mergeCell ref="C1561:C1563"/>
    <mergeCell ref="D1561:D1563"/>
    <mergeCell ref="E1561:E1563"/>
    <mergeCell ref="G1561:G1563"/>
    <mergeCell ref="H1561:H1563"/>
    <mergeCell ref="I1561:I1563"/>
    <mergeCell ref="J1561:J1563"/>
    <mergeCell ref="B1564:E1564"/>
    <mergeCell ref="K1591:L1591"/>
    <mergeCell ref="F1592:F1593"/>
    <mergeCell ref="K1592:L1592"/>
    <mergeCell ref="K1593:L1593"/>
    <mergeCell ref="K1594:L1594"/>
    <mergeCell ref="K1595:L1595"/>
    <mergeCell ref="F1596:F1597"/>
    <mergeCell ref="K1596:L1596"/>
    <mergeCell ref="K1597:L1597"/>
    <mergeCell ref="K1598:L1598"/>
    <mergeCell ref="B1599:R1599"/>
    <mergeCell ref="K1600:L1600"/>
    <mergeCell ref="F1601:F1603"/>
    <mergeCell ref="K1601:L1601"/>
    <mergeCell ref="K1602:L1602"/>
    <mergeCell ref="K1603:L1603"/>
    <mergeCell ref="F1604:F1608"/>
    <mergeCell ref="K1604:L1604"/>
    <mergeCell ref="K1605:L1605"/>
    <mergeCell ref="K1606:L1606"/>
    <mergeCell ref="K1607:L1607"/>
    <mergeCell ref="K1608:L1608"/>
    <mergeCell ref="B1592:B1593"/>
    <mergeCell ref="C1592:C1593"/>
    <mergeCell ref="D1592:D1593"/>
    <mergeCell ref="E1592:E1593"/>
    <mergeCell ref="G1592:G1593"/>
    <mergeCell ref="H1592:H1593"/>
    <mergeCell ref="I1592:I1593"/>
    <mergeCell ref="J1592:J1593"/>
    <mergeCell ref="B1596:B1597"/>
    <mergeCell ref="C1596:C1597"/>
    <mergeCell ref="K1626:L1626"/>
    <mergeCell ref="K1627:L1627"/>
    <mergeCell ref="K1628:L1628"/>
    <mergeCell ref="K1629:L1629"/>
    <mergeCell ref="F1630:F1631"/>
    <mergeCell ref="K1630:L1631"/>
    <mergeCell ref="M1630:M1631"/>
    <mergeCell ref="F1632:F1633"/>
    <mergeCell ref="K1632:L1633"/>
    <mergeCell ref="M1632:M1633"/>
    <mergeCell ref="F1634:F1635"/>
    <mergeCell ref="K1634:L1635"/>
    <mergeCell ref="M1634:M1635"/>
    <mergeCell ref="F1636:F1637"/>
    <mergeCell ref="K1636:L1637"/>
    <mergeCell ref="M1636:M1637"/>
    <mergeCell ref="K1638:L1638"/>
    <mergeCell ref="K1654:L1654"/>
    <mergeCell ref="K1655:L1655"/>
    <mergeCell ref="K1656:L1656"/>
    <mergeCell ref="K1657:L1657"/>
    <mergeCell ref="K1658:L1658"/>
    <mergeCell ref="K1659:L1659"/>
    <mergeCell ref="K1660:L1660"/>
    <mergeCell ref="K1661:L1661"/>
    <mergeCell ref="K1662:L1662"/>
    <mergeCell ref="B1663:R1663"/>
    <mergeCell ref="B1667:R1667"/>
    <mergeCell ref="K1668:L1668"/>
    <mergeCell ref="K1669:L1669"/>
    <mergeCell ref="K1670:L1670"/>
    <mergeCell ref="K1671:L1671"/>
    <mergeCell ref="K1672:L1672"/>
    <mergeCell ref="K1673:L1673"/>
    <mergeCell ref="B1666:E1666"/>
    <mergeCell ref="K1679:L1679"/>
    <mergeCell ref="K1680:L1680"/>
    <mergeCell ref="K1681:L1681"/>
    <mergeCell ref="O1681:O1682"/>
    <mergeCell ref="K1682:L1682"/>
    <mergeCell ref="K1683:L1683"/>
    <mergeCell ref="K1684:L1684"/>
    <mergeCell ref="B1685:R1685"/>
    <mergeCell ref="F1686:F1687"/>
    <mergeCell ref="K1686:L1687"/>
    <mergeCell ref="M1686:M1687"/>
    <mergeCell ref="K1688:L1688"/>
    <mergeCell ref="K1689:L1689"/>
    <mergeCell ref="K1690:L1690"/>
    <mergeCell ref="B1691:R1691"/>
    <mergeCell ref="K1692:L1692"/>
    <mergeCell ref="K1693:L1693"/>
    <mergeCell ref="B1681:B1682"/>
    <mergeCell ref="C1681:C1682"/>
    <mergeCell ref="D1681:D1682"/>
    <mergeCell ref="E1681:E1682"/>
    <mergeCell ref="P1681:P1682"/>
    <mergeCell ref="Q1681:Q1682"/>
    <mergeCell ref="R1681:R1682"/>
    <mergeCell ref="B1684:E1684"/>
    <mergeCell ref="B1686:B1687"/>
    <mergeCell ref="C1686:C1687"/>
    <mergeCell ref="D1686:D1687"/>
    <mergeCell ref="E1686:E1687"/>
    <mergeCell ref="G1686:G1687"/>
    <mergeCell ref="H1686:H1687"/>
    <mergeCell ref="I1686:I1687"/>
    <mergeCell ref="B1696:R1696"/>
    <mergeCell ref="K1697:L1697"/>
    <mergeCell ref="K1698:L1698"/>
    <mergeCell ref="K1699:L1699"/>
    <mergeCell ref="K1700:L1700"/>
    <mergeCell ref="K1701:L1701"/>
    <mergeCell ref="K1702:L1702"/>
    <mergeCell ref="K1703:L1703"/>
    <mergeCell ref="K1704:L1704"/>
    <mergeCell ref="K1705:L1705"/>
    <mergeCell ref="K1706:L1706"/>
    <mergeCell ref="K1707:L1707"/>
    <mergeCell ref="K1708:L1708"/>
    <mergeCell ref="K1709:L1709"/>
    <mergeCell ref="K1710:L1710"/>
    <mergeCell ref="K1711:L1711"/>
    <mergeCell ref="K1712:L1712"/>
    <mergeCell ref="K1744:L1744"/>
    <mergeCell ref="K1745:L1745"/>
    <mergeCell ref="K1746:L1746"/>
    <mergeCell ref="K1747:L1747"/>
    <mergeCell ref="K1748:L1748"/>
    <mergeCell ref="K1749:L1749"/>
    <mergeCell ref="K1750:L1750"/>
    <mergeCell ref="K1751:L1751"/>
    <mergeCell ref="K1752:L1752"/>
    <mergeCell ref="K1753:L1753"/>
    <mergeCell ref="K1754:L1754"/>
    <mergeCell ref="K1755:L1755"/>
    <mergeCell ref="B1756:R1756"/>
    <mergeCell ref="K1757:L1757"/>
    <mergeCell ref="K1758:L1758"/>
    <mergeCell ref="K1759:L1759"/>
    <mergeCell ref="K1760:L1760"/>
    <mergeCell ref="M1786:M1787"/>
    <mergeCell ref="K1788:L1788"/>
    <mergeCell ref="B334:B335"/>
    <mergeCell ref="D334:D335"/>
    <mergeCell ref="H331:H332"/>
    <mergeCell ref="I331:I332"/>
    <mergeCell ref="H340:H348"/>
    <mergeCell ref="I340:I348"/>
    <mergeCell ref="C557:C558"/>
    <mergeCell ref="D557:D558"/>
    <mergeCell ref="B555:B556"/>
    <mergeCell ref="B557:B558"/>
    <mergeCell ref="B570:B571"/>
    <mergeCell ref="B573:B574"/>
    <mergeCell ref="B579:B583"/>
    <mergeCell ref="K1761:L1761"/>
    <mergeCell ref="K1762:L1762"/>
    <mergeCell ref="K1763:L1763"/>
    <mergeCell ref="K1764:L1764"/>
    <mergeCell ref="K1765:L1765"/>
    <mergeCell ref="B1766:R1766"/>
    <mergeCell ref="K1767:L1767"/>
    <mergeCell ref="K1768:L1768"/>
    <mergeCell ref="K1769:L1769"/>
    <mergeCell ref="K1770:L1770"/>
    <mergeCell ref="K1772:L1772"/>
    <mergeCell ref="K1773:L1773"/>
    <mergeCell ref="K1774:L1774"/>
    <mergeCell ref="K1775:L1775"/>
    <mergeCell ref="K1776:L1776"/>
    <mergeCell ref="K1777:L1777"/>
    <mergeCell ref="K1778:L1778"/>
  </mergeCells>
  <printOptions horizontalCentered="1"/>
  <pageMargins left="0.39370078740157483" right="0.39370078740157483" top="0.39370078740157483" bottom="0.39370078740157483" header="0" footer="0.19685039370078741"/>
  <pageSetup paperSize="9" scale="48" fitToHeight="0" orientation="landscape" r:id="rId1"/>
  <headerFooter>
    <oddFooter>&amp;R&amp;P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165"/>
  <sheetViews>
    <sheetView tabSelected="1" view="pageBreakPreview" topLeftCell="A155" zoomScale="80" zoomScaleNormal="60" zoomScaleSheetLayoutView="80" workbookViewId="0">
      <selection activeCell="E12" sqref="E12:E15"/>
    </sheetView>
  </sheetViews>
  <sheetFormatPr defaultColWidth="9.140625" defaultRowHeight="12.75" x14ac:dyDescent="0.2"/>
  <cols>
    <col min="1" max="3" width="6.42578125" style="345" customWidth="1"/>
    <col min="4" max="4" width="43.42578125" style="345" customWidth="1"/>
    <col min="5" max="6" width="16.42578125" style="583" bestFit="1" customWidth="1"/>
    <col min="7" max="7" width="16" style="583" customWidth="1"/>
    <col min="8" max="8" width="14.85546875" style="583" bestFit="1" customWidth="1"/>
    <col min="9" max="9" width="16.42578125" style="583" bestFit="1" customWidth="1"/>
    <col min="10" max="10" width="43.7109375" style="584" customWidth="1"/>
    <col min="11" max="11" width="15.42578125" style="583" customWidth="1"/>
    <col min="12" max="16" width="12" style="345" bestFit="1" customWidth="1"/>
    <col min="17" max="16384" width="9.140625" style="345"/>
  </cols>
  <sheetData>
    <row r="1" spans="1:16" s="9" customFormat="1" x14ac:dyDescent="0.2">
      <c r="A1" s="1"/>
      <c r="B1" s="2"/>
      <c r="C1" s="3"/>
      <c r="D1" s="2"/>
      <c r="E1" s="5"/>
      <c r="F1" s="5"/>
      <c r="G1" s="5"/>
      <c r="H1" s="1"/>
      <c r="I1" s="1"/>
      <c r="J1" s="604"/>
      <c r="K1" s="1"/>
      <c r="L1" s="17"/>
      <c r="M1" s="7"/>
      <c r="N1" s="7"/>
      <c r="O1" s="17"/>
      <c r="P1" s="8" t="s">
        <v>1630</v>
      </c>
    </row>
    <row r="2" spans="1:16" s="9" customFormat="1" x14ac:dyDescent="0.2">
      <c r="A2" s="1"/>
      <c r="B2" s="2"/>
      <c r="C2" s="3"/>
      <c r="D2" s="2"/>
      <c r="E2" s="5"/>
      <c r="F2" s="10" t="s">
        <v>1</v>
      </c>
      <c r="G2" s="5"/>
      <c r="H2" s="1"/>
      <c r="I2" s="1"/>
      <c r="J2" s="604"/>
      <c r="K2" s="1"/>
      <c r="L2" s="17"/>
      <c r="M2" s="7"/>
      <c r="N2" s="17"/>
      <c r="O2" s="17"/>
      <c r="P2" s="8" t="s">
        <v>2379</v>
      </c>
    </row>
    <row r="3" spans="1:16" s="9" customFormat="1" x14ac:dyDescent="0.2">
      <c r="A3" s="1"/>
      <c r="B3" s="2"/>
      <c r="C3" s="3"/>
      <c r="D3" s="2"/>
      <c r="E3" s="5"/>
      <c r="F3" s="5"/>
      <c r="G3" s="5"/>
      <c r="H3" s="1"/>
      <c r="I3" s="1"/>
      <c r="J3" s="604"/>
      <c r="K3" s="1"/>
      <c r="L3" s="17"/>
      <c r="M3" s="7"/>
      <c r="N3" s="7"/>
      <c r="O3" s="17"/>
      <c r="P3" s="8" t="s">
        <v>2</v>
      </c>
    </row>
    <row r="4" spans="1:16" s="9" customFormat="1" x14ac:dyDescent="0.2">
      <c r="A4" s="1"/>
      <c r="B4" s="2"/>
      <c r="C4" s="3"/>
      <c r="D4" s="2"/>
      <c r="E4" s="5"/>
      <c r="F4" s="5"/>
      <c r="G4" s="5"/>
      <c r="H4" s="1"/>
      <c r="I4" s="1"/>
      <c r="J4" s="604"/>
      <c r="K4" s="1"/>
      <c r="L4" s="17"/>
      <c r="M4" s="17"/>
      <c r="N4" s="7"/>
      <c r="O4" s="17"/>
      <c r="P4" s="8" t="s">
        <v>3</v>
      </c>
    </row>
    <row r="5" spans="1:16" s="9" customFormat="1" x14ac:dyDescent="0.2">
      <c r="A5" s="11"/>
      <c r="B5" s="12"/>
      <c r="C5" s="12"/>
      <c r="D5" s="13"/>
      <c r="E5" s="5"/>
      <c r="F5" s="5"/>
      <c r="G5" s="5"/>
      <c r="H5" s="1"/>
      <c r="I5" s="1"/>
      <c r="J5" s="604"/>
      <c r="K5" s="1"/>
      <c r="L5" s="17"/>
      <c r="M5" s="17"/>
      <c r="N5" s="7"/>
      <c r="O5" s="7"/>
      <c r="P5" s="17"/>
    </row>
    <row r="6" spans="1:16" s="9" customFormat="1" x14ac:dyDescent="0.2">
      <c r="A6" s="2273" t="s">
        <v>4</v>
      </c>
      <c r="B6" s="2273"/>
      <c r="C6" s="2273"/>
      <c r="D6" s="2273"/>
      <c r="E6" s="5"/>
      <c r="F6" s="5"/>
      <c r="G6" s="5"/>
      <c r="H6" s="1"/>
      <c r="I6" s="1"/>
      <c r="J6" s="604"/>
      <c r="K6" s="1"/>
      <c r="L6" s="17"/>
      <c r="M6" s="17"/>
      <c r="N6" s="7"/>
      <c r="O6" s="7"/>
      <c r="P6" s="17"/>
    </row>
    <row r="7" spans="1:16" s="9" customFormat="1" x14ac:dyDescent="0.2">
      <c r="A7" s="15"/>
      <c r="B7" s="126"/>
      <c r="C7" s="127"/>
      <c r="D7" s="126"/>
      <c r="E7" s="129"/>
      <c r="F7" s="129"/>
      <c r="G7" s="129"/>
      <c r="H7" s="15"/>
      <c r="I7" s="15"/>
      <c r="J7" s="366"/>
      <c r="K7" s="15"/>
    </row>
    <row r="8" spans="1:16" s="20" customFormat="1" ht="12.75" customHeight="1" x14ac:dyDescent="0.2">
      <c r="A8" s="2274" t="s">
        <v>5</v>
      </c>
      <c r="B8" s="2274" t="s">
        <v>6</v>
      </c>
      <c r="C8" s="2274" t="s">
        <v>7</v>
      </c>
      <c r="D8" s="1846" t="s">
        <v>8</v>
      </c>
      <c r="E8" s="1846" t="s">
        <v>1629</v>
      </c>
      <c r="F8" s="1846"/>
      <c r="G8" s="1846"/>
      <c r="H8" s="1846"/>
      <c r="I8" s="1846"/>
      <c r="J8" s="2276" t="s">
        <v>10</v>
      </c>
      <c r="K8" s="1846" t="s">
        <v>11</v>
      </c>
      <c r="L8" s="1846" t="s">
        <v>1628</v>
      </c>
      <c r="M8" s="1846" t="s">
        <v>12</v>
      </c>
      <c r="N8" s="1846"/>
      <c r="O8" s="1846"/>
      <c r="P8" s="1846"/>
    </row>
    <row r="9" spans="1:16" s="20" customFormat="1" x14ac:dyDescent="0.2">
      <c r="A9" s="2274"/>
      <c r="B9" s="2274"/>
      <c r="C9" s="2274"/>
      <c r="D9" s="1846"/>
      <c r="E9" s="1846"/>
      <c r="F9" s="1846"/>
      <c r="G9" s="1846"/>
      <c r="H9" s="1846"/>
      <c r="I9" s="1846"/>
      <c r="J9" s="2277"/>
      <c r="K9" s="1846"/>
      <c r="L9" s="1846"/>
      <c r="M9" s="1846"/>
      <c r="N9" s="1846"/>
      <c r="O9" s="1846"/>
      <c r="P9" s="1846"/>
    </row>
    <row r="10" spans="1:16" s="603" customFormat="1" ht="36" customHeight="1" x14ac:dyDescent="0.2">
      <c r="A10" s="2274"/>
      <c r="B10" s="2274"/>
      <c r="C10" s="2274"/>
      <c r="D10" s="1846"/>
      <c r="E10" s="519" t="s">
        <v>1627</v>
      </c>
      <c r="F10" s="688" t="s">
        <v>1626</v>
      </c>
      <c r="G10" s="688" t="s">
        <v>1625</v>
      </c>
      <c r="H10" s="688" t="s">
        <v>1624</v>
      </c>
      <c r="I10" s="688" t="s">
        <v>1623</v>
      </c>
      <c r="J10" s="1806"/>
      <c r="K10" s="1846"/>
      <c r="L10" s="519" t="s">
        <v>1627</v>
      </c>
      <c r="M10" s="519" t="s">
        <v>1626</v>
      </c>
      <c r="N10" s="519" t="s">
        <v>1625</v>
      </c>
      <c r="O10" s="519" t="s">
        <v>1624</v>
      </c>
      <c r="P10" s="519" t="s">
        <v>1623</v>
      </c>
    </row>
    <row r="11" spans="1:16" s="597" customFormat="1" ht="23.25" customHeight="1" x14ac:dyDescent="0.2">
      <c r="A11" s="1730" t="s">
        <v>1622</v>
      </c>
      <c r="B11" s="1730"/>
      <c r="C11" s="1730"/>
      <c r="D11" s="1730"/>
      <c r="E11" s="1730"/>
      <c r="F11" s="1730"/>
      <c r="G11" s="1730"/>
      <c r="H11" s="1730"/>
      <c r="I11" s="1730"/>
      <c r="J11" s="1730"/>
      <c r="K11" s="1730"/>
      <c r="L11" s="1730"/>
      <c r="M11" s="1730"/>
      <c r="N11" s="1730"/>
      <c r="O11" s="1730"/>
      <c r="P11" s="1730"/>
    </row>
    <row r="12" spans="1:16" s="517" customFormat="1" x14ac:dyDescent="0.2">
      <c r="A12" s="2305">
        <v>1</v>
      </c>
      <c r="B12" s="1807"/>
      <c r="C12" s="1709"/>
      <c r="D12" s="1807" t="s">
        <v>2493</v>
      </c>
      <c r="E12" s="2268">
        <v>76366.996510000026</v>
      </c>
      <c r="F12" s="2268">
        <v>91934.341</v>
      </c>
      <c r="G12" s="2268">
        <f>G16+G17+G18+G19+G20</f>
        <v>95669.540999999983</v>
      </c>
      <c r="H12" s="2268">
        <f t="shared" ref="H12:I12" si="0">H16+H17+H18+H19+H20</f>
        <v>95520.841</v>
      </c>
      <c r="I12" s="2268">
        <f t="shared" si="0"/>
        <v>95520.841</v>
      </c>
      <c r="J12" s="1807" t="s">
        <v>1621</v>
      </c>
      <c r="K12" s="1712" t="s">
        <v>1551</v>
      </c>
      <c r="L12" s="1712"/>
      <c r="M12" s="1712"/>
      <c r="N12" s="1712"/>
      <c r="O12" s="1712"/>
      <c r="P12" s="1712"/>
    </row>
    <row r="13" spans="1:16" s="517" customFormat="1" x14ac:dyDescent="0.2">
      <c r="A13" s="2305"/>
      <c r="B13" s="1807"/>
      <c r="C13" s="1709"/>
      <c r="D13" s="1807"/>
      <c r="E13" s="2268"/>
      <c r="F13" s="2268"/>
      <c r="G13" s="2268"/>
      <c r="H13" s="2268"/>
      <c r="I13" s="2268"/>
      <c r="J13" s="1807"/>
      <c r="K13" s="1712"/>
      <c r="L13" s="1712"/>
      <c r="M13" s="1712"/>
      <c r="N13" s="1712"/>
      <c r="O13" s="1712"/>
      <c r="P13" s="1712"/>
    </row>
    <row r="14" spans="1:16" s="517" customFormat="1" ht="21.75" customHeight="1" x14ac:dyDescent="0.2">
      <c r="A14" s="1646"/>
      <c r="B14" s="1646"/>
      <c r="C14" s="1709"/>
      <c r="D14" s="1807"/>
      <c r="E14" s="2268"/>
      <c r="F14" s="2268"/>
      <c r="G14" s="2268"/>
      <c r="H14" s="2268"/>
      <c r="I14" s="2268"/>
      <c r="J14" s="812" t="s">
        <v>1620</v>
      </c>
      <c r="K14" s="668" t="s">
        <v>1619</v>
      </c>
      <c r="L14" s="668"/>
      <c r="M14" s="668"/>
      <c r="N14" s="668"/>
      <c r="O14" s="668"/>
      <c r="P14" s="668"/>
    </row>
    <row r="15" spans="1:16" s="517" customFormat="1" ht="28.5" customHeight="1" x14ac:dyDescent="0.2">
      <c r="A15" s="1646"/>
      <c r="B15" s="1646"/>
      <c r="C15" s="1709"/>
      <c r="D15" s="1807"/>
      <c r="E15" s="2268"/>
      <c r="F15" s="2268"/>
      <c r="G15" s="2268"/>
      <c r="H15" s="2268"/>
      <c r="I15" s="2268"/>
      <c r="J15" s="673" t="s">
        <v>2456</v>
      </c>
      <c r="K15" s="668" t="s">
        <v>1619</v>
      </c>
      <c r="L15" s="668"/>
      <c r="M15" s="668"/>
      <c r="N15" s="668"/>
      <c r="O15" s="668"/>
      <c r="P15" s="668"/>
    </row>
    <row r="16" spans="1:16" s="517" customFormat="1" ht="19.5" customHeight="1" x14ac:dyDescent="0.2">
      <c r="A16" s="795"/>
      <c r="B16" s="783">
        <v>1</v>
      </c>
      <c r="C16" s="467"/>
      <c r="D16" s="65" t="s">
        <v>18</v>
      </c>
      <c r="E16" s="671">
        <v>3685.6</v>
      </c>
      <c r="F16" s="671">
        <v>0</v>
      </c>
      <c r="G16" s="671">
        <v>4695.5</v>
      </c>
      <c r="H16" s="671">
        <v>4695.5</v>
      </c>
      <c r="I16" s="671">
        <v>4695.5</v>
      </c>
      <c r="J16" s="812"/>
      <c r="K16" s="708"/>
      <c r="L16" s="668"/>
      <c r="M16" s="668"/>
      <c r="N16" s="668"/>
      <c r="O16" s="668"/>
      <c r="P16" s="668"/>
    </row>
    <row r="17" spans="1:16" s="517" customFormat="1" ht="19.5" customHeight="1" x14ac:dyDescent="0.2">
      <c r="A17" s="795"/>
      <c r="B17" s="783">
        <v>2</v>
      </c>
      <c r="C17" s="818"/>
      <c r="D17" s="741" t="s">
        <v>22</v>
      </c>
      <c r="E17" s="671">
        <v>3349.8</v>
      </c>
      <c r="F17" s="671">
        <v>3899.3</v>
      </c>
      <c r="G17" s="671">
        <v>3899.9</v>
      </c>
      <c r="H17" s="671">
        <v>3899.9</v>
      </c>
      <c r="I17" s="671">
        <v>3899.9</v>
      </c>
      <c r="J17" s="812"/>
      <c r="K17" s="708"/>
      <c r="L17" s="709"/>
      <c r="M17" s="709"/>
      <c r="N17" s="709"/>
      <c r="O17" s="709"/>
      <c r="P17" s="709"/>
    </row>
    <row r="18" spans="1:16" s="517" customFormat="1" ht="19.5" customHeight="1" x14ac:dyDescent="0.2">
      <c r="A18" s="795"/>
      <c r="B18" s="783">
        <v>3</v>
      </c>
      <c r="C18" s="818"/>
      <c r="D18" s="741" t="s">
        <v>24</v>
      </c>
      <c r="E18" s="671">
        <v>1677.1</v>
      </c>
      <c r="F18" s="671">
        <v>1705.2</v>
      </c>
      <c r="G18" s="671">
        <v>1705.2000000000003</v>
      </c>
      <c r="H18" s="671">
        <v>1705.2000000000003</v>
      </c>
      <c r="I18" s="671">
        <v>1705.2000000000003</v>
      </c>
      <c r="J18" s="812"/>
      <c r="K18" s="708"/>
      <c r="L18" s="709"/>
      <c r="M18" s="709"/>
      <c r="N18" s="709"/>
      <c r="O18" s="709"/>
      <c r="P18" s="709"/>
    </row>
    <row r="19" spans="1:16" s="517" customFormat="1" ht="25.5" x14ac:dyDescent="0.2">
      <c r="A19" s="795"/>
      <c r="B19" s="783">
        <v>4</v>
      </c>
      <c r="C19" s="818"/>
      <c r="D19" s="741" t="s">
        <v>1618</v>
      </c>
      <c r="E19" s="671">
        <v>1314.2</v>
      </c>
      <c r="F19" s="671">
        <v>1531.8</v>
      </c>
      <c r="G19" s="671">
        <v>1531.7</v>
      </c>
      <c r="H19" s="671">
        <v>1531.7</v>
      </c>
      <c r="I19" s="671">
        <v>1531.7</v>
      </c>
      <c r="J19" s="673"/>
      <c r="K19" s="668"/>
      <c r="L19" s="460"/>
      <c r="M19" s="460"/>
      <c r="N19" s="460"/>
      <c r="O19" s="460"/>
      <c r="P19" s="460"/>
    </row>
    <row r="20" spans="1:16" s="517" customFormat="1" x14ac:dyDescent="0.2">
      <c r="A20" s="795"/>
      <c r="B20" s="783">
        <v>5</v>
      </c>
      <c r="C20" s="818"/>
      <c r="D20" s="741" t="s">
        <v>1617</v>
      </c>
      <c r="E20" s="671">
        <v>66340.296510000015</v>
      </c>
      <c r="F20" s="671">
        <v>84798.040999999997</v>
      </c>
      <c r="G20" s="671">
        <v>83837.24099999998</v>
      </c>
      <c r="H20" s="671">
        <v>83688.540999999997</v>
      </c>
      <c r="I20" s="671">
        <v>83688.540999999997</v>
      </c>
      <c r="J20" s="673"/>
      <c r="K20" s="668"/>
      <c r="L20" s="668"/>
      <c r="M20" s="668"/>
      <c r="N20" s="668"/>
      <c r="O20" s="668"/>
      <c r="P20" s="668"/>
    </row>
    <row r="21" spans="1:16" s="517" customFormat="1" ht="128.25" customHeight="1" x14ac:dyDescent="0.2">
      <c r="A21" s="669" t="s">
        <v>138</v>
      </c>
      <c r="B21" s="669"/>
      <c r="C21" s="669"/>
      <c r="D21" s="670" t="s">
        <v>2494</v>
      </c>
      <c r="E21" s="671">
        <v>973468.28964999982</v>
      </c>
      <c r="F21" s="671">
        <v>1008363.8111</v>
      </c>
      <c r="G21" s="671">
        <f>G22+G27+G29+G38+G39</f>
        <v>4601218.91</v>
      </c>
      <c r="H21" s="671">
        <f t="shared" ref="H21:I21" si="1">H22+H27+H29+H38+H39</f>
        <v>1160096.3</v>
      </c>
      <c r="I21" s="671">
        <f t="shared" si="1"/>
        <v>1003557.5000000001</v>
      </c>
      <c r="J21" s="673"/>
      <c r="K21" s="668"/>
      <c r="L21" s="116"/>
      <c r="M21" s="116"/>
      <c r="N21" s="116"/>
      <c r="O21" s="116"/>
      <c r="P21" s="116"/>
    </row>
    <row r="22" spans="1:16" s="517" customFormat="1" ht="3" hidden="1" customHeight="1" x14ac:dyDescent="0.2">
      <c r="A22" s="2246"/>
      <c r="B22" s="2246" t="s">
        <v>123</v>
      </c>
      <c r="C22" s="2246"/>
      <c r="D22" s="2275" t="s">
        <v>1616</v>
      </c>
      <c r="E22" s="2240">
        <v>41896.90857</v>
      </c>
      <c r="F22" s="2240">
        <v>18429.3</v>
      </c>
      <c r="G22" s="2240">
        <v>31819.7</v>
      </c>
      <c r="H22" s="671">
        <v>31819.7</v>
      </c>
      <c r="I22" s="671">
        <v>31819.7</v>
      </c>
      <c r="J22" s="812"/>
      <c r="K22" s="708"/>
      <c r="L22" s="708"/>
      <c r="M22" s="599"/>
      <c r="N22" s="599"/>
      <c r="O22" s="599"/>
      <c r="P22" s="599"/>
    </row>
    <row r="23" spans="1:16" s="517" customFormat="1" ht="28.5" customHeight="1" x14ac:dyDescent="0.2">
      <c r="A23" s="2012"/>
      <c r="B23" s="2012"/>
      <c r="C23" s="2012"/>
      <c r="D23" s="2103"/>
      <c r="E23" s="2241"/>
      <c r="F23" s="2241"/>
      <c r="G23" s="2241"/>
      <c r="H23" s="2240">
        <v>31819.7</v>
      </c>
      <c r="I23" s="2240">
        <v>31819.7</v>
      </c>
      <c r="J23" s="812" t="s">
        <v>1615</v>
      </c>
      <c r="K23" s="708"/>
      <c r="L23" s="708"/>
      <c r="M23" s="599"/>
      <c r="N23" s="599"/>
      <c r="O23" s="599"/>
      <c r="P23" s="599"/>
    </row>
    <row r="24" spans="1:16" s="517" customFormat="1" ht="32.25" customHeight="1" x14ac:dyDescent="0.2">
      <c r="A24" s="2012"/>
      <c r="B24" s="2012"/>
      <c r="C24" s="2012"/>
      <c r="D24" s="2103"/>
      <c r="E24" s="2241"/>
      <c r="F24" s="2241"/>
      <c r="G24" s="2241"/>
      <c r="H24" s="2241">
        <v>31819.7</v>
      </c>
      <c r="I24" s="2241">
        <v>31819.7</v>
      </c>
      <c r="J24" s="812" t="s">
        <v>1614</v>
      </c>
      <c r="K24" s="708" t="s">
        <v>1591</v>
      </c>
      <c r="L24" s="599">
        <v>4</v>
      </c>
      <c r="M24" s="599">
        <v>5</v>
      </c>
      <c r="N24" s="599">
        <v>6</v>
      </c>
      <c r="O24" s="599">
        <v>7</v>
      </c>
      <c r="P24" s="599">
        <v>8</v>
      </c>
    </row>
    <row r="25" spans="1:16" s="517" customFormat="1" ht="31.5" customHeight="1" x14ac:dyDescent="0.2">
      <c r="A25" s="2012"/>
      <c r="B25" s="2012"/>
      <c r="C25" s="2012"/>
      <c r="D25" s="2103"/>
      <c r="E25" s="2241"/>
      <c r="F25" s="2241"/>
      <c r="G25" s="2241"/>
      <c r="H25" s="2241">
        <v>31819.7</v>
      </c>
      <c r="I25" s="2241">
        <v>31819.7</v>
      </c>
      <c r="J25" s="812" t="s">
        <v>1613</v>
      </c>
      <c r="K25" s="708" t="s">
        <v>1612</v>
      </c>
      <c r="L25" s="599">
        <v>3</v>
      </c>
      <c r="M25" s="599">
        <v>3</v>
      </c>
      <c r="N25" s="599">
        <v>3</v>
      </c>
      <c r="O25" s="599">
        <v>3</v>
      </c>
      <c r="P25" s="599">
        <v>3</v>
      </c>
    </row>
    <row r="26" spans="1:16" s="517" customFormat="1" ht="25.5" x14ac:dyDescent="0.2">
      <c r="A26" s="1851"/>
      <c r="B26" s="1851"/>
      <c r="C26" s="1851"/>
      <c r="D26" s="2104"/>
      <c r="E26" s="1797"/>
      <c r="F26" s="1797"/>
      <c r="G26" s="1797"/>
      <c r="H26" s="2241">
        <v>31819.7</v>
      </c>
      <c r="I26" s="2241">
        <v>31819.7</v>
      </c>
      <c r="J26" s="812" t="s">
        <v>1611</v>
      </c>
      <c r="K26" s="708" t="s">
        <v>1610</v>
      </c>
      <c r="L26" s="599">
        <v>10</v>
      </c>
      <c r="M26" s="599">
        <v>10</v>
      </c>
      <c r="N26" s="599">
        <v>10</v>
      </c>
      <c r="O26" s="599">
        <v>15</v>
      </c>
      <c r="P26" s="599">
        <v>15</v>
      </c>
    </row>
    <row r="27" spans="1:16" s="517" customFormat="1" ht="25.5" x14ac:dyDescent="0.2">
      <c r="A27" s="2246"/>
      <c r="B27" s="2246" t="s">
        <v>125</v>
      </c>
      <c r="C27" s="2246"/>
      <c r="D27" s="2275" t="s">
        <v>1609</v>
      </c>
      <c r="E27" s="2240">
        <v>89743.628800000006</v>
      </c>
      <c r="F27" s="2240">
        <v>115229.2</v>
      </c>
      <c r="G27" s="2240">
        <v>115229.2</v>
      </c>
      <c r="H27" s="1796">
        <v>115229.2</v>
      </c>
      <c r="I27" s="1796">
        <v>115229.2</v>
      </c>
      <c r="J27" s="812" t="s">
        <v>2458</v>
      </c>
      <c r="K27" s="708" t="s">
        <v>1522</v>
      </c>
      <c r="L27" s="80" t="s">
        <v>1608</v>
      </c>
      <c r="M27" s="80" t="s">
        <v>1608</v>
      </c>
      <c r="N27" s="80" t="s">
        <v>1608</v>
      </c>
      <c r="O27" s="80" t="s">
        <v>1608</v>
      </c>
      <c r="P27" s="80" t="s">
        <v>1608</v>
      </c>
    </row>
    <row r="28" spans="1:16" s="517" customFormat="1" ht="61.5" customHeight="1" x14ac:dyDescent="0.2">
      <c r="A28" s="1851"/>
      <c r="B28" s="1851"/>
      <c r="C28" s="1851"/>
      <c r="D28" s="2104"/>
      <c r="E28" s="1797"/>
      <c r="F28" s="1797"/>
      <c r="G28" s="1797"/>
      <c r="H28" s="1797"/>
      <c r="I28" s="1797"/>
      <c r="J28" s="812" t="s">
        <v>1607</v>
      </c>
      <c r="K28" s="708" t="s">
        <v>1026</v>
      </c>
      <c r="L28" s="80"/>
      <c r="M28" s="80"/>
      <c r="N28" s="80"/>
      <c r="O28" s="80"/>
      <c r="P28" s="80"/>
    </row>
    <row r="29" spans="1:16" s="517" customFormat="1" ht="63.75" x14ac:dyDescent="0.2">
      <c r="A29" s="2246"/>
      <c r="B29" s="2246" t="s">
        <v>127</v>
      </c>
      <c r="C29" s="2246"/>
      <c r="D29" s="2269" t="s">
        <v>2457</v>
      </c>
      <c r="E29" s="2270">
        <v>595476.11597999989</v>
      </c>
      <c r="F29" s="2270">
        <v>629971.88828000007</v>
      </c>
      <c r="G29" s="2270">
        <v>4036497.7100000004</v>
      </c>
      <c r="H29" s="2270">
        <v>653984.10000000009</v>
      </c>
      <c r="I29" s="2270">
        <v>653986.10000000009</v>
      </c>
      <c r="J29" s="812" t="s">
        <v>1606</v>
      </c>
      <c r="K29" s="708" t="s">
        <v>1605</v>
      </c>
      <c r="L29" s="80" t="s">
        <v>1604</v>
      </c>
      <c r="M29" s="80" t="s">
        <v>1604</v>
      </c>
      <c r="N29" s="80" t="s">
        <v>1604</v>
      </c>
      <c r="O29" s="80" t="s">
        <v>1604</v>
      </c>
      <c r="P29" s="80" t="s">
        <v>1604</v>
      </c>
    </row>
    <row r="30" spans="1:16" s="517" customFormat="1" ht="25.5" x14ac:dyDescent="0.2">
      <c r="A30" s="2012"/>
      <c r="B30" s="2012"/>
      <c r="C30" s="2012"/>
      <c r="D30" s="1646"/>
      <c r="E30" s="2271"/>
      <c r="F30" s="2271"/>
      <c r="G30" s="2271"/>
      <c r="H30" s="2271">
        <v>653984.10000000009</v>
      </c>
      <c r="I30" s="2271">
        <v>653986.10000000009</v>
      </c>
      <c r="J30" s="812" t="s">
        <v>1603</v>
      </c>
      <c r="K30" s="708" t="s">
        <v>1602</v>
      </c>
      <c r="L30" s="708">
        <v>92.7</v>
      </c>
      <c r="M30" s="708">
        <v>92.7</v>
      </c>
      <c r="N30" s="708">
        <v>90.9</v>
      </c>
      <c r="O30" s="708">
        <v>89.2</v>
      </c>
      <c r="P30" s="708">
        <v>87.5</v>
      </c>
    </row>
    <row r="31" spans="1:16" s="517" customFormat="1" ht="37.5" customHeight="1" x14ac:dyDescent="0.2">
      <c r="A31" s="2012"/>
      <c r="B31" s="2012"/>
      <c r="C31" s="2012"/>
      <c r="D31" s="1646"/>
      <c r="E31" s="2271"/>
      <c r="F31" s="2271"/>
      <c r="G31" s="2271"/>
      <c r="H31" s="2271">
        <v>653984.10000000009</v>
      </c>
      <c r="I31" s="2271">
        <v>653986.10000000009</v>
      </c>
      <c r="J31" s="812" t="s">
        <v>2459</v>
      </c>
      <c r="K31" s="708" t="s">
        <v>1601</v>
      </c>
      <c r="L31" s="708">
        <v>250</v>
      </c>
      <c r="M31" s="115">
        <v>250</v>
      </c>
      <c r="N31" s="115">
        <v>250</v>
      </c>
      <c r="O31" s="115">
        <v>250</v>
      </c>
      <c r="P31" s="115">
        <v>250</v>
      </c>
    </row>
    <row r="32" spans="1:16" s="517" customFormat="1" ht="47.25" customHeight="1" x14ac:dyDescent="0.2">
      <c r="A32" s="2012"/>
      <c r="B32" s="2012"/>
      <c r="C32" s="2012"/>
      <c r="D32" s="1646"/>
      <c r="E32" s="2271"/>
      <c r="F32" s="2271"/>
      <c r="G32" s="2271"/>
      <c r="H32" s="2271">
        <v>653984.10000000009</v>
      </c>
      <c r="I32" s="2271">
        <v>653986.10000000009</v>
      </c>
      <c r="J32" s="812" t="s">
        <v>1600</v>
      </c>
      <c r="K32" s="708" t="s">
        <v>1551</v>
      </c>
      <c r="L32" s="708">
        <v>85</v>
      </c>
      <c r="M32" s="78">
        <v>85</v>
      </c>
      <c r="N32" s="78">
        <v>85</v>
      </c>
      <c r="O32" s="78">
        <v>85</v>
      </c>
      <c r="P32" s="78">
        <v>85</v>
      </c>
    </row>
    <row r="33" spans="1:16" s="517" customFormat="1" ht="54" customHeight="1" x14ac:dyDescent="0.2">
      <c r="A33" s="2012"/>
      <c r="B33" s="2012"/>
      <c r="C33" s="2012"/>
      <c r="D33" s="1646"/>
      <c r="E33" s="2271"/>
      <c r="F33" s="2271"/>
      <c r="G33" s="2271"/>
      <c r="H33" s="2271">
        <v>653984.10000000009</v>
      </c>
      <c r="I33" s="2271">
        <v>653986.10000000009</v>
      </c>
      <c r="J33" s="812" t="s">
        <v>2460</v>
      </c>
      <c r="K33" s="708" t="s">
        <v>1551</v>
      </c>
      <c r="L33" s="708">
        <v>56</v>
      </c>
      <c r="M33" s="78">
        <v>60</v>
      </c>
      <c r="N33" s="78">
        <v>67</v>
      </c>
      <c r="O33" s="78">
        <v>75</v>
      </c>
      <c r="P33" s="78">
        <v>90</v>
      </c>
    </row>
    <row r="34" spans="1:16" s="517" customFormat="1" ht="25.5" x14ac:dyDescent="0.2">
      <c r="A34" s="2012"/>
      <c r="B34" s="2012"/>
      <c r="C34" s="2012"/>
      <c r="D34" s="1646"/>
      <c r="E34" s="2271"/>
      <c r="F34" s="2271"/>
      <c r="G34" s="2271"/>
      <c r="H34" s="2271">
        <v>653984.10000000009</v>
      </c>
      <c r="I34" s="2271">
        <v>653986.10000000009</v>
      </c>
      <c r="J34" s="812" t="s">
        <v>2461</v>
      </c>
      <c r="K34" s="708" t="s">
        <v>1551</v>
      </c>
      <c r="L34" s="114">
        <v>82</v>
      </c>
      <c r="M34" s="114">
        <v>82</v>
      </c>
      <c r="N34" s="114">
        <v>82</v>
      </c>
      <c r="O34" s="114">
        <v>82</v>
      </c>
      <c r="P34" s="114">
        <v>82</v>
      </c>
    </row>
    <row r="35" spans="1:16" s="517" customFormat="1" x14ac:dyDescent="0.2">
      <c r="A35" s="2012"/>
      <c r="B35" s="2012"/>
      <c r="C35" s="2012"/>
      <c r="D35" s="1646"/>
      <c r="E35" s="2271"/>
      <c r="F35" s="2271"/>
      <c r="G35" s="2271"/>
      <c r="H35" s="2271">
        <v>653984.10000000009</v>
      </c>
      <c r="I35" s="2271">
        <v>653986.10000000009</v>
      </c>
      <c r="J35" s="673" t="s">
        <v>1599</v>
      </c>
      <c r="K35" s="668" t="s">
        <v>1551</v>
      </c>
      <c r="L35" s="708"/>
      <c r="M35" s="78"/>
      <c r="N35" s="78"/>
      <c r="O35" s="78"/>
      <c r="P35" s="78"/>
    </row>
    <row r="36" spans="1:16" s="517" customFormat="1" x14ac:dyDescent="0.2">
      <c r="A36" s="2012"/>
      <c r="B36" s="2012"/>
      <c r="C36" s="2012"/>
      <c r="D36" s="1646"/>
      <c r="E36" s="2271"/>
      <c r="F36" s="2271"/>
      <c r="G36" s="2271"/>
      <c r="H36" s="2271">
        <v>653984.10000000009</v>
      </c>
      <c r="I36" s="2271">
        <v>653986.10000000009</v>
      </c>
      <c r="J36" s="673" t="s">
        <v>1598</v>
      </c>
      <c r="K36" s="668" t="s">
        <v>1551</v>
      </c>
      <c r="L36" s="708"/>
      <c r="M36" s="78"/>
      <c r="N36" s="78"/>
      <c r="O36" s="78"/>
      <c r="P36" s="78"/>
    </row>
    <row r="37" spans="1:16" s="517" customFormat="1" ht="58.5" customHeight="1" x14ac:dyDescent="0.2">
      <c r="A37" s="1851"/>
      <c r="B37" s="1851"/>
      <c r="C37" s="1851"/>
      <c r="D37" s="1646"/>
      <c r="E37" s="2272"/>
      <c r="F37" s="2272"/>
      <c r="G37" s="2272"/>
      <c r="H37" s="2272">
        <v>653984.10000000009</v>
      </c>
      <c r="I37" s="2272">
        <v>653986.10000000009</v>
      </c>
      <c r="J37" s="812" t="s">
        <v>1597</v>
      </c>
      <c r="K37" s="708" t="s">
        <v>1522</v>
      </c>
      <c r="L37" s="114"/>
      <c r="M37" s="114"/>
      <c r="N37" s="114"/>
      <c r="O37" s="114"/>
      <c r="P37" s="114"/>
    </row>
    <row r="38" spans="1:16" s="517" customFormat="1" ht="57.75" customHeight="1" x14ac:dyDescent="0.2">
      <c r="A38" s="697"/>
      <c r="B38" s="697" t="s">
        <v>132</v>
      </c>
      <c r="C38" s="697"/>
      <c r="D38" s="670" t="s">
        <v>1596</v>
      </c>
      <c r="E38" s="602">
        <v>156461.12479000003</v>
      </c>
      <c r="F38" s="671">
        <v>150754.02943999998</v>
      </c>
      <c r="G38" s="671">
        <v>412672.30000000005</v>
      </c>
      <c r="H38" s="671">
        <v>354063.3</v>
      </c>
      <c r="I38" s="671">
        <v>197522.5</v>
      </c>
      <c r="J38" s="812" t="s">
        <v>1595</v>
      </c>
      <c r="K38" s="708" t="s">
        <v>1594</v>
      </c>
      <c r="L38" s="708">
        <v>100</v>
      </c>
      <c r="M38" s="599">
        <v>120</v>
      </c>
      <c r="N38" s="599">
        <v>180</v>
      </c>
      <c r="O38" s="599">
        <v>200</v>
      </c>
      <c r="P38" s="599">
        <v>200</v>
      </c>
    </row>
    <row r="39" spans="1:16" s="517" customFormat="1" ht="60" customHeight="1" x14ac:dyDescent="0.2">
      <c r="A39" s="2246"/>
      <c r="B39" s="2246" t="s">
        <v>74</v>
      </c>
      <c r="C39" s="2246"/>
      <c r="D39" s="1864" t="s">
        <v>1593</v>
      </c>
      <c r="E39" s="2246">
        <v>3000</v>
      </c>
      <c r="F39" s="2246">
        <v>3000</v>
      </c>
      <c r="G39" s="2246">
        <v>5000</v>
      </c>
      <c r="H39" s="2246">
        <v>5000</v>
      </c>
      <c r="I39" s="2246">
        <v>5000</v>
      </c>
      <c r="J39" s="812" t="s">
        <v>1592</v>
      </c>
      <c r="K39" s="708" t="s">
        <v>1591</v>
      </c>
      <c r="L39" s="708" t="s">
        <v>1590</v>
      </c>
      <c r="M39" s="78" t="s">
        <v>1590</v>
      </c>
      <c r="N39" s="78" t="s">
        <v>1590</v>
      </c>
      <c r="O39" s="78" t="s">
        <v>1589</v>
      </c>
      <c r="P39" s="78" t="s">
        <v>1588</v>
      </c>
    </row>
    <row r="40" spans="1:16" s="517" customFormat="1" ht="36.75" customHeight="1" x14ac:dyDescent="0.2">
      <c r="A40" s="2012"/>
      <c r="B40" s="2012"/>
      <c r="C40" s="2012"/>
      <c r="D40" s="2252"/>
      <c r="E40" s="2012"/>
      <c r="F40" s="2012"/>
      <c r="G40" s="2012"/>
      <c r="H40" s="2012"/>
      <c r="I40" s="2012"/>
      <c r="J40" s="812" t="s">
        <v>1587</v>
      </c>
      <c r="K40" s="708" t="s">
        <v>1026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</row>
    <row r="41" spans="1:16" s="517" customFormat="1" ht="39.75" customHeight="1" x14ac:dyDescent="0.2">
      <c r="A41" s="2012"/>
      <c r="B41" s="2012"/>
      <c r="C41" s="2012"/>
      <c r="D41" s="2252"/>
      <c r="E41" s="2012"/>
      <c r="F41" s="2012"/>
      <c r="G41" s="2012"/>
      <c r="H41" s="2012"/>
      <c r="I41" s="2012"/>
      <c r="J41" s="812" t="s">
        <v>1586</v>
      </c>
      <c r="K41" s="708" t="s">
        <v>1026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1:16" s="517" customFormat="1" ht="39" customHeight="1" x14ac:dyDescent="0.2">
      <c r="A42" s="2012"/>
      <c r="B42" s="2012"/>
      <c r="C42" s="2012"/>
      <c r="D42" s="2252"/>
      <c r="E42" s="2012"/>
      <c r="F42" s="2012"/>
      <c r="G42" s="2012"/>
      <c r="H42" s="2012"/>
      <c r="I42" s="2012"/>
      <c r="J42" s="812" t="s">
        <v>1585</v>
      </c>
      <c r="K42" s="708" t="s">
        <v>1026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</row>
    <row r="43" spans="1:16" s="517" customFormat="1" ht="83.25" customHeight="1" x14ac:dyDescent="0.2">
      <c r="A43" s="1851"/>
      <c r="B43" s="1851"/>
      <c r="C43" s="1851"/>
      <c r="D43" s="2253"/>
      <c r="E43" s="1851"/>
      <c r="F43" s="1851"/>
      <c r="G43" s="1851"/>
      <c r="H43" s="1851"/>
      <c r="I43" s="1851"/>
      <c r="J43" s="812" t="s">
        <v>2462</v>
      </c>
      <c r="K43" s="708" t="s">
        <v>1582</v>
      </c>
      <c r="L43" s="67"/>
      <c r="M43" s="67"/>
      <c r="N43" s="67"/>
      <c r="O43" s="67"/>
      <c r="P43" s="67"/>
    </row>
    <row r="44" spans="1:16" s="517" customFormat="1" ht="98.25" customHeight="1" x14ac:dyDescent="0.2">
      <c r="A44" s="697" t="s">
        <v>161</v>
      </c>
      <c r="B44" s="697"/>
      <c r="C44" s="697"/>
      <c r="D44" s="670" t="s">
        <v>2495</v>
      </c>
      <c r="E44" s="602">
        <v>1675801.4937000002</v>
      </c>
      <c r="F44" s="602">
        <v>1421245.6996299999</v>
      </c>
      <c r="G44" s="828">
        <f>G45+G49+G50+G51+G56+G68+G69+G70</f>
        <v>2186237.5</v>
      </c>
      <c r="H44" s="828">
        <f t="shared" ref="H44:I44" si="2">H45+H49+H50+H51+H56+H68+H69+H70</f>
        <v>2544063.6</v>
      </c>
      <c r="I44" s="828">
        <f t="shared" si="2"/>
        <v>3324931.7999999993</v>
      </c>
      <c r="J44" s="812"/>
      <c r="K44" s="708"/>
      <c r="L44" s="78"/>
      <c r="M44" s="78"/>
      <c r="N44" s="78"/>
      <c r="O44" s="78"/>
      <c r="P44" s="78"/>
    </row>
    <row r="45" spans="1:16" s="517" customFormat="1" ht="43.5" customHeight="1" x14ac:dyDescent="0.2">
      <c r="A45" s="2246"/>
      <c r="B45" s="2246" t="s">
        <v>123</v>
      </c>
      <c r="C45" s="2246"/>
      <c r="D45" s="2250" t="s">
        <v>1581</v>
      </c>
      <c r="E45" s="2246">
        <v>67053.492839999992</v>
      </c>
      <c r="F45" s="2246">
        <v>33594.1</v>
      </c>
      <c r="G45" s="2254">
        <v>229884.69999999998</v>
      </c>
      <c r="H45" s="2254">
        <v>873934.70000000007</v>
      </c>
      <c r="I45" s="2254">
        <v>1630215.9</v>
      </c>
      <c r="J45" s="812" t="s">
        <v>1580</v>
      </c>
      <c r="K45" s="708" t="s">
        <v>17</v>
      </c>
      <c r="L45" s="708">
        <v>4.3</v>
      </c>
      <c r="M45" s="708" t="s">
        <v>1538</v>
      </c>
      <c r="N45" s="708" t="s">
        <v>1538</v>
      </c>
      <c r="O45" s="708" t="s">
        <v>1538</v>
      </c>
      <c r="P45" s="708" t="s">
        <v>1538</v>
      </c>
    </row>
    <row r="46" spans="1:16" s="517" customFormat="1" ht="48" customHeight="1" x14ac:dyDescent="0.2">
      <c r="A46" s="2012"/>
      <c r="B46" s="2012"/>
      <c r="C46" s="2012"/>
      <c r="D46" s="2251"/>
      <c r="E46" s="2012"/>
      <c r="F46" s="2012"/>
      <c r="G46" s="2255"/>
      <c r="H46" s="2255">
        <v>873934.70000000007</v>
      </c>
      <c r="I46" s="2255">
        <v>1630215.9</v>
      </c>
      <c r="J46" s="812" t="s">
        <v>1579</v>
      </c>
      <c r="K46" s="708" t="s">
        <v>17</v>
      </c>
      <c r="L46" s="708"/>
      <c r="M46" s="708"/>
      <c r="N46" s="708"/>
      <c r="O46" s="708"/>
      <c r="P46" s="708"/>
    </row>
    <row r="47" spans="1:16" s="517" customFormat="1" ht="45" customHeight="1" x14ac:dyDescent="0.2">
      <c r="A47" s="2012"/>
      <c r="B47" s="2012"/>
      <c r="C47" s="2012"/>
      <c r="D47" s="2251"/>
      <c r="E47" s="2012"/>
      <c r="F47" s="2012"/>
      <c r="G47" s="2255"/>
      <c r="H47" s="2255">
        <v>873934.70000000007</v>
      </c>
      <c r="I47" s="2255">
        <v>1630215.9</v>
      </c>
      <c r="J47" s="812" t="s">
        <v>1578</v>
      </c>
      <c r="K47" s="708" t="s">
        <v>17</v>
      </c>
      <c r="L47" s="708"/>
      <c r="M47" s="708"/>
      <c r="N47" s="708"/>
      <c r="O47" s="708"/>
      <c r="P47" s="708"/>
    </row>
    <row r="48" spans="1:16" s="517" customFormat="1" ht="41.25" customHeight="1" x14ac:dyDescent="0.2">
      <c r="A48" s="1851"/>
      <c r="B48" s="1851"/>
      <c r="C48" s="1851"/>
      <c r="D48" s="1676"/>
      <c r="E48" s="1851"/>
      <c r="F48" s="1851"/>
      <c r="G48" s="2256"/>
      <c r="H48" s="2256">
        <v>873934.70000000007</v>
      </c>
      <c r="I48" s="2256">
        <v>1630215.9</v>
      </c>
      <c r="J48" s="812" t="s">
        <v>1577</v>
      </c>
      <c r="K48" s="708" t="s">
        <v>17</v>
      </c>
      <c r="L48" s="708"/>
      <c r="M48" s="708"/>
      <c r="N48" s="708"/>
      <c r="O48" s="708"/>
      <c r="P48" s="708"/>
    </row>
    <row r="49" spans="1:16" s="517" customFormat="1" ht="51" customHeight="1" x14ac:dyDescent="0.2">
      <c r="A49" s="697"/>
      <c r="B49" s="697" t="s">
        <v>125</v>
      </c>
      <c r="C49" s="697"/>
      <c r="D49" s="670" t="s">
        <v>1576</v>
      </c>
      <c r="E49" s="671">
        <v>126223.98419999998</v>
      </c>
      <c r="F49" s="671">
        <v>145402.30000000002</v>
      </c>
      <c r="G49" s="671">
        <v>145402.30000000002</v>
      </c>
      <c r="H49" s="671">
        <v>145402.30000000002</v>
      </c>
      <c r="I49" s="671">
        <v>145402.30000000002</v>
      </c>
      <c r="J49" s="600" t="s">
        <v>1575</v>
      </c>
      <c r="K49" s="671" t="s">
        <v>1522</v>
      </c>
      <c r="L49" s="671">
        <v>0.5</v>
      </c>
      <c r="M49" s="671">
        <v>0.75</v>
      </c>
      <c r="N49" s="671">
        <v>1</v>
      </c>
      <c r="O49" s="598">
        <v>1</v>
      </c>
      <c r="P49" s="598">
        <v>1</v>
      </c>
    </row>
    <row r="50" spans="1:16" s="517" customFormat="1" ht="28.5" customHeight="1" x14ac:dyDescent="0.2">
      <c r="A50" s="697"/>
      <c r="B50" s="697" t="s">
        <v>127</v>
      </c>
      <c r="C50" s="697"/>
      <c r="D50" s="670" t="s">
        <v>1574</v>
      </c>
      <c r="E50" s="671">
        <v>112958.79432000002</v>
      </c>
      <c r="F50" s="671">
        <v>108913.9</v>
      </c>
      <c r="G50" s="671">
        <v>115675.9</v>
      </c>
      <c r="H50" s="671">
        <v>115675.9</v>
      </c>
      <c r="I50" s="671">
        <v>115675.9</v>
      </c>
      <c r="J50" s="812" t="s">
        <v>1573</v>
      </c>
      <c r="K50" s="708" t="s">
        <v>1572</v>
      </c>
      <c r="L50" s="599">
        <v>22000</v>
      </c>
      <c r="M50" s="599">
        <v>23000</v>
      </c>
      <c r="N50" s="599">
        <v>24000</v>
      </c>
      <c r="O50" s="599">
        <v>24000</v>
      </c>
      <c r="P50" s="599">
        <v>24000</v>
      </c>
    </row>
    <row r="51" spans="1:16" s="517" customFormat="1" ht="24.75" customHeight="1" x14ac:dyDescent="0.2">
      <c r="A51" s="2246"/>
      <c r="B51" s="2246" t="s">
        <v>132</v>
      </c>
      <c r="C51" s="2246"/>
      <c r="D51" s="1864" t="s">
        <v>1571</v>
      </c>
      <c r="E51" s="2246">
        <v>874313.73645000008</v>
      </c>
      <c r="F51" s="2246">
        <v>585730.19999999995</v>
      </c>
      <c r="G51" s="2246">
        <v>738629</v>
      </c>
      <c r="H51" s="2246">
        <v>761916.5</v>
      </c>
      <c r="I51" s="2246">
        <v>785503.5</v>
      </c>
      <c r="J51" s="673" t="s">
        <v>2463</v>
      </c>
      <c r="K51" s="668" t="s">
        <v>1509</v>
      </c>
      <c r="L51" s="460">
        <v>21139</v>
      </c>
      <c r="M51" s="460">
        <v>21139</v>
      </c>
      <c r="N51" s="460">
        <v>21139</v>
      </c>
      <c r="O51" s="460">
        <v>21139</v>
      </c>
      <c r="P51" s="460">
        <v>21139</v>
      </c>
    </row>
    <row r="52" spans="1:16" s="517" customFormat="1" ht="42.75" customHeight="1" x14ac:dyDescent="0.2">
      <c r="A52" s="2012"/>
      <c r="B52" s="2012"/>
      <c r="C52" s="2012"/>
      <c r="D52" s="2252"/>
      <c r="E52" s="2012"/>
      <c r="F52" s="2012"/>
      <c r="G52" s="2012"/>
      <c r="H52" s="2012">
        <v>761916.5</v>
      </c>
      <c r="I52" s="2012">
        <v>785503.5</v>
      </c>
      <c r="J52" s="673" t="s">
        <v>1570</v>
      </c>
      <c r="K52" s="668" t="s">
        <v>1569</v>
      </c>
      <c r="L52" s="670" t="s">
        <v>1568</v>
      </c>
      <c r="M52" s="670" t="s">
        <v>1568</v>
      </c>
      <c r="N52" s="670" t="s">
        <v>1568</v>
      </c>
      <c r="O52" s="670" t="s">
        <v>1568</v>
      </c>
      <c r="P52" s="670" t="s">
        <v>1568</v>
      </c>
    </row>
    <row r="53" spans="1:16" s="517" customFormat="1" ht="45" customHeight="1" x14ac:dyDescent="0.2">
      <c r="A53" s="2012"/>
      <c r="B53" s="2012"/>
      <c r="C53" s="2012"/>
      <c r="D53" s="2252"/>
      <c r="E53" s="2012"/>
      <c r="F53" s="2012"/>
      <c r="G53" s="2012"/>
      <c r="H53" s="2012">
        <v>761916.5</v>
      </c>
      <c r="I53" s="2012">
        <v>785503.5</v>
      </c>
      <c r="J53" s="673" t="s">
        <v>1567</v>
      </c>
      <c r="K53" s="668" t="s">
        <v>1522</v>
      </c>
      <c r="L53" s="91">
        <v>0</v>
      </c>
      <c r="M53" s="91">
        <v>0</v>
      </c>
      <c r="N53" s="91">
        <v>0.1</v>
      </c>
      <c r="O53" s="91">
        <v>0.2</v>
      </c>
      <c r="P53" s="91">
        <v>0.3</v>
      </c>
    </row>
    <row r="54" spans="1:16" s="517" customFormat="1" ht="33" customHeight="1" x14ac:dyDescent="0.2">
      <c r="A54" s="2012"/>
      <c r="B54" s="2012"/>
      <c r="C54" s="2012"/>
      <c r="D54" s="2252"/>
      <c r="E54" s="2012"/>
      <c r="F54" s="2012"/>
      <c r="G54" s="2012"/>
      <c r="H54" s="2012">
        <v>761916.5</v>
      </c>
      <c r="I54" s="2012">
        <v>785503.5</v>
      </c>
      <c r="J54" s="673" t="s">
        <v>1566</v>
      </c>
      <c r="K54" s="668" t="s">
        <v>1522</v>
      </c>
      <c r="L54" s="91">
        <v>0.1</v>
      </c>
      <c r="M54" s="91">
        <v>0.2</v>
      </c>
      <c r="N54" s="91">
        <v>0.3</v>
      </c>
      <c r="O54" s="91">
        <v>0.4</v>
      </c>
      <c r="P54" s="91">
        <v>0.5</v>
      </c>
    </row>
    <row r="55" spans="1:16" s="517" customFormat="1" x14ac:dyDescent="0.2">
      <c r="A55" s="1851"/>
      <c r="B55" s="1851"/>
      <c r="C55" s="1851"/>
      <c r="D55" s="2253"/>
      <c r="E55" s="1851"/>
      <c r="F55" s="1851"/>
      <c r="G55" s="1851"/>
      <c r="H55" s="1851">
        <v>761916.5</v>
      </c>
      <c r="I55" s="1851">
        <v>785503.5</v>
      </c>
      <c r="J55" s="673" t="s">
        <v>2464</v>
      </c>
      <c r="K55" s="668" t="s">
        <v>1522</v>
      </c>
      <c r="L55" s="91">
        <v>0.3</v>
      </c>
      <c r="M55" s="71">
        <v>0.9</v>
      </c>
      <c r="N55" s="71">
        <v>0.95</v>
      </c>
      <c r="O55" s="71">
        <v>1</v>
      </c>
      <c r="P55" s="71">
        <v>1</v>
      </c>
    </row>
    <row r="56" spans="1:16" s="517" customFormat="1" ht="42.75" customHeight="1" x14ac:dyDescent="0.2">
      <c r="A56" s="2246"/>
      <c r="B56" s="2246" t="s">
        <v>74</v>
      </c>
      <c r="C56" s="2246"/>
      <c r="D56" s="2247" t="s">
        <v>1565</v>
      </c>
      <c r="E56" s="2246">
        <v>71079.779720000006</v>
      </c>
      <c r="F56" s="2246">
        <v>76626</v>
      </c>
      <c r="G56" s="2246">
        <v>387743.2</v>
      </c>
      <c r="H56" s="1850">
        <v>78231.799999999988</v>
      </c>
      <c r="I56" s="1850">
        <v>79231.799999999988</v>
      </c>
      <c r="J56" s="673" t="s">
        <v>1564</v>
      </c>
      <c r="K56" s="668" t="s">
        <v>1563</v>
      </c>
      <c r="L56" s="668" t="s">
        <v>1508</v>
      </c>
      <c r="M56" s="671" t="s">
        <v>1508</v>
      </c>
      <c r="N56" s="671" t="s">
        <v>1508</v>
      </c>
      <c r="O56" s="671" t="s">
        <v>1508</v>
      </c>
      <c r="P56" s="671" t="s">
        <v>1562</v>
      </c>
    </row>
    <row r="57" spans="1:16" s="517" customFormat="1" ht="48" customHeight="1" x14ac:dyDescent="0.2">
      <c r="A57" s="2012"/>
      <c r="B57" s="2012"/>
      <c r="C57" s="2012"/>
      <c r="D57" s="2248"/>
      <c r="E57" s="2012"/>
      <c r="F57" s="2012"/>
      <c r="G57" s="2012"/>
      <c r="H57" s="2012"/>
      <c r="I57" s="2012"/>
      <c r="J57" s="673" t="s">
        <v>1561</v>
      </c>
      <c r="K57" s="668" t="s">
        <v>1558</v>
      </c>
      <c r="L57" s="668" t="s">
        <v>1508</v>
      </c>
      <c r="M57" s="671" t="s">
        <v>1508</v>
      </c>
      <c r="N57" s="671" t="s">
        <v>1508</v>
      </c>
      <c r="O57" s="671" t="s">
        <v>1508</v>
      </c>
      <c r="P57" s="671" t="s">
        <v>1560</v>
      </c>
    </row>
    <row r="58" spans="1:16" s="517" customFormat="1" ht="54.75" customHeight="1" x14ac:dyDescent="0.2">
      <c r="A58" s="2012"/>
      <c r="B58" s="2012"/>
      <c r="C58" s="2012"/>
      <c r="D58" s="2248"/>
      <c r="E58" s="2012"/>
      <c r="F58" s="2012"/>
      <c r="G58" s="2012"/>
      <c r="H58" s="2012"/>
      <c r="I58" s="2012"/>
      <c r="J58" s="673" t="s">
        <v>1559</v>
      </c>
      <c r="K58" s="668" t="s">
        <v>1558</v>
      </c>
      <c r="L58" s="668" t="s">
        <v>1508</v>
      </c>
      <c r="M58" s="671" t="s">
        <v>1508</v>
      </c>
      <c r="N58" s="671" t="s">
        <v>1508</v>
      </c>
      <c r="O58" s="671" t="s">
        <v>1508</v>
      </c>
      <c r="P58" s="671" t="s">
        <v>1557</v>
      </c>
    </row>
    <row r="59" spans="1:16" s="517" customFormat="1" ht="42.75" customHeight="1" x14ac:dyDescent="0.2">
      <c r="A59" s="2012"/>
      <c r="B59" s="2012"/>
      <c r="C59" s="2012"/>
      <c r="D59" s="2248"/>
      <c r="E59" s="2012"/>
      <c r="F59" s="2012"/>
      <c r="G59" s="2012"/>
      <c r="H59" s="2012"/>
      <c r="I59" s="2012"/>
      <c r="J59" s="673" t="s">
        <v>1556</v>
      </c>
      <c r="K59" s="668" t="s">
        <v>1551</v>
      </c>
      <c r="L59" s="91">
        <v>0.99</v>
      </c>
      <c r="M59" s="91">
        <v>0.99</v>
      </c>
      <c r="N59" s="91">
        <v>0.99</v>
      </c>
      <c r="O59" s="91">
        <v>0.99</v>
      </c>
      <c r="P59" s="91">
        <v>0.99</v>
      </c>
    </row>
    <row r="60" spans="1:16" s="517" customFormat="1" ht="25.5" x14ac:dyDescent="0.2">
      <c r="A60" s="2012"/>
      <c r="B60" s="2012"/>
      <c r="C60" s="2012"/>
      <c r="D60" s="2248"/>
      <c r="E60" s="2012"/>
      <c r="F60" s="2012"/>
      <c r="G60" s="2012"/>
      <c r="H60" s="2012"/>
      <c r="I60" s="2012"/>
      <c r="J60" s="673" t="s">
        <v>1555</v>
      </c>
      <c r="K60" s="668" t="s">
        <v>1026</v>
      </c>
      <c r="L60" s="668"/>
      <c r="M60" s="671"/>
      <c r="N60" s="671"/>
      <c r="O60" s="671"/>
      <c r="P60" s="671"/>
    </row>
    <row r="61" spans="1:16" s="517" customFormat="1" ht="25.5" x14ac:dyDescent="0.2">
      <c r="A61" s="2012"/>
      <c r="B61" s="2012"/>
      <c r="C61" s="2012"/>
      <c r="D61" s="2248"/>
      <c r="E61" s="2012"/>
      <c r="F61" s="2012"/>
      <c r="G61" s="2012"/>
      <c r="H61" s="2012"/>
      <c r="I61" s="2012"/>
      <c r="J61" s="673" t="s">
        <v>1554</v>
      </c>
      <c r="K61" s="668" t="s">
        <v>1553</v>
      </c>
      <c r="L61" s="668"/>
      <c r="M61" s="671"/>
      <c r="N61" s="671"/>
      <c r="O61" s="671"/>
      <c r="P61" s="671"/>
    </row>
    <row r="62" spans="1:16" s="517" customFormat="1" ht="21.75" customHeight="1" x14ac:dyDescent="0.2">
      <c r="A62" s="2012"/>
      <c r="B62" s="2012"/>
      <c r="C62" s="2012"/>
      <c r="D62" s="2248"/>
      <c r="E62" s="2012"/>
      <c r="F62" s="2012"/>
      <c r="G62" s="2012"/>
      <c r="H62" s="2012"/>
      <c r="I62" s="2012"/>
      <c r="J62" s="673" t="s">
        <v>1552</v>
      </c>
      <c r="K62" s="668" t="s">
        <v>1551</v>
      </c>
      <c r="L62" s="668" t="s">
        <v>1508</v>
      </c>
      <c r="M62" s="460" t="s">
        <v>1508</v>
      </c>
      <c r="N62" s="460" t="s">
        <v>1508</v>
      </c>
      <c r="O62" s="460" t="s">
        <v>1508</v>
      </c>
      <c r="P62" s="460" t="s">
        <v>1508</v>
      </c>
    </row>
    <row r="63" spans="1:16" s="517" customFormat="1" ht="36.75" customHeight="1" x14ac:dyDescent="0.2">
      <c r="A63" s="2012"/>
      <c r="B63" s="2012"/>
      <c r="C63" s="2012"/>
      <c r="D63" s="2248"/>
      <c r="E63" s="2012"/>
      <c r="F63" s="2012"/>
      <c r="G63" s="2012"/>
      <c r="H63" s="2012"/>
      <c r="I63" s="2012"/>
      <c r="J63" s="673" t="s">
        <v>1550</v>
      </c>
      <c r="K63" s="668" t="s">
        <v>1509</v>
      </c>
      <c r="L63" s="668"/>
      <c r="M63" s="460"/>
      <c r="N63" s="460"/>
      <c r="O63" s="460"/>
      <c r="P63" s="460"/>
    </row>
    <row r="64" spans="1:16" s="517" customFormat="1" ht="25.5" x14ac:dyDescent="0.2">
      <c r="A64" s="2012"/>
      <c r="B64" s="2012"/>
      <c r="C64" s="2012"/>
      <c r="D64" s="2248"/>
      <c r="E64" s="2012"/>
      <c r="F64" s="2012"/>
      <c r="G64" s="2012"/>
      <c r="H64" s="2012"/>
      <c r="I64" s="2012"/>
      <c r="J64" s="673" t="s">
        <v>1549</v>
      </c>
      <c r="K64" s="668" t="s">
        <v>1522</v>
      </c>
      <c r="L64" s="668"/>
      <c r="M64" s="460"/>
      <c r="N64" s="460"/>
      <c r="O64" s="460"/>
      <c r="P64" s="460"/>
    </row>
    <row r="65" spans="1:16" s="517" customFormat="1" ht="25.5" x14ac:dyDescent="0.2">
      <c r="A65" s="2012"/>
      <c r="B65" s="2012"/>
      <c r="C65" s="2012"/>
      <c r="D65" s="2248"/>
      <c r="E65" s="2012"/>
      <c r="F65" s="2012"/>
      <c r="G65" s="2012"/>
      <c r="H65" s="2012"/>
      <c r="I65" s="2012"/>
      <c r="J65" s="673" t="s">
        <v>1548</v>
      </c>
      <c r="K65" s="668" t="s">
        <v>1546</v>
      </c>
      <c r="L65" s="668"/>
      <c r="M65" s="460"/>
      <c r="N65" s="460"/>
      <c r="O65" s="460"/>
      <c r="P65" s="460"/>
    </row>
    <row r="66" spans="1:16" s="517" customFormat="1" ht="25.5" x14ac:dyDescent="0.2">
      <c r="A66" s="2012"/>
      <c r="B66" s="2012"/>
      <c r="C66" s="2012"/>
      <c r="D66" s="2248"/>
      <c r="E66" s="2012"/>
      <c r="F66" s="2012"/>
      <c r="G66" s="2012"/>
      <c r="H66" s="2012"/>
      <c r="I66" s="2012"/>
      <c r="J66" s="673" t="s">
        <v>1547</v>
      </c>
      <c r="K66" s="668" t="s">
        <v>1546</v>
      </c>
      <c r="L66" s="668"/>
      <c r="M66" s="460"/>
      <c r="N66" s="460"/>
      <c r="O66" s="460"/>
      <c r="P66" s="460"/>
    </row>
    <row r="67" spans="1:16" s="517" customFormat="1" ht="54" customHeight="1" x14ac:dyDescent="0.2">
      <c r="A67" s="1851"/>
      <c r="B67" s="1851"/>
      <c r="C67" s="1851"/>
      <c r="D67" s="2249"/>
      <c r="E67" s="1851"/>
      <c r="F67" s="1851"/>
      <c r="G67" s="1851"/>
      <c r="H67" s="1851"/>
      <c r="I67" s="1851"/>
      <c r="J67" s="673" t="s">
        <v>2467</v>
      </c>
      <c r="K67" s="668" t="s">
        <v>1545</v>
      </c>
      <c r="L67" s="668"/>
      <c r="M67" s="460"/>
      <c r="N67" s="460"/>
      <c r="O67" s="460"/>
      <c r="P67" s="460"/>
    </row>
    <row r="68" spans="1:16" s="517" customFormat="1" ht="44.25" customHeight="1" x14ac:dyDescent="0.2">
      <c r="A68" s="697"/>
      <c r="B68" s="697" t="s">
        <v>197</v>
      </c>
      <c r="C68" s="697"/>
      <c r="D68" s="670" t="s">
        <v>2465</v>
      </c>
      <c r="E68" s="671">
        <v>327875.03817000001</v>
      </c>
      <c r="F68" s="671">
        <v>349452.59962999995</v>
      </c>
      <c r="G68" s="671">
        <v>355156.89999999997</v>
      </c>
      <c r="H68" s="671">
        <v>355156.89999999997</v>
      </c>
      <c r="I68" s="671">
        <v>355156.89999999997</v>
      </c>
      <c r="J68" s="673" t="s">
        <v>2466</v>
      </c>
      <c r="K68" s="668" t="s">
        <v>1509</v>
      </c>
      <c r="L68" s="668" t="s">
        <v>1508</v>
      </c>
      <c r="M68" s="671" t="s">
        <v>1508</v>
      </c>
      <c r="N68" s="671" t="s">
        <v>1508</v>
      </c>
      <c r="O68" s="671" t="s">
        <v>1508</v>
      </c>
      <c r="P68" s="671" t="s">
        <v>1508</v>
      </c>
    </row>
    <row r="69" spans="1:16" s="517" customFormat="1" ht="97.5" customHeight="1" x14ac:dyDescent="0.2">
      <c r="A69" s="697"/>
      <c r="B69" s="697" t="s">
        <v>155</v>
      </c>
      <c r="C69" s="697"/>
      <c r="D69" s="670" t="s">
        <v>1544</v>
      </c>
      <c r="E69" s="671">
        <v>96296.668000000005</v>
      </c>
      <c r="F69" s="671">
        <v>121526.6</v>
      </c>
      <c r="G69" s="671">
        <v>121526.6</v>
      </c>
      <c r="H69" s="671">
        <v>121526.6</v>
      </c>
      <c r="I69" s="671">
        <v>121526.6</v>
      </c>
      <c r="J69" s="673" t="s">
        <v>1543</v>
      </c>
      <c r="K69" s="668" t="s">
        <v>1509</v>
      </c>
      <c r="L69" s="66">
        <v>1200</v>
      </c>
      <c r="M69" s="66">
        <v>1200</v>
      </c>
      <c r="N69" s="66">
        <v>1200</v>
      </c>
      <c r="O69" s="66">
        <v>1200</v>
      </c>
      <c r="P69" s="66">
        <v>1200</v>
      </c>
    </row>
    <row r="70" spans="1:16" s="517" customFormat="1" ht="97.5" customHeight="1" x14ac:dyDescent="0.2">
      <c r="A70" s="697"/>
      <c r="B70" s="697" t="s">
        <v>158</v>
      </c>
      <c r="C70" s="697"/>
      <c r="D70" s="670" t="s">
        <v>1584</v>
      </c>
      <c r="E70" s="602">
        <v>86890.511510000011</v>
      </c>
      <c r="F70" s="671">
        <v>90979.393379999994</v>
      </c>
      <c r="G70" s="671">
        <v>92218.9</v>
      </c>
      <c r="H70" s="671">
        <v>92218.9</v>
      </c>
      <c r="I70" s="671">
        <v>92218.9</v>
      </c>
      <c r="J70" s="812" t="s">
        <v>1583</v>
      </c>
      <c r="K70" s="708" t="s">
        <v>1582</v>
      </c>
      <c r="L70" s="709"/>
      <c r="M70" s="599"/>
      <c r="N70" s="599"/>
      <c r="O70" s="599"/>
      <c r="P70" s="599"/>
    </row>
    <row r="71" spans="1:16" s="517" customFormat="1" ht="75.75" customHeight="1" x14ac:dyDescent="0.2">
      <c r="A71" s="697" t="s">
        <v>169</v>
      </c>
      <c r="B71" s="697"/>
      <c r="C71" s="697"/>
      <c r="D71" s="670" t="s">
        <v>2496</v>
      </c>
      <c r="E71" s="671">
        <v>1088048.3697299999</v>
      </c>
      <c r="F71" s="671">
        <v>1256224.5000000002</v>
      </c>
      <c r="G71" s="671">
        <f>G72+G79+G82+G89+G93</f>
        <v>1253034.6000000001</v>
      </c>
      <c r="H71" s="671">
        <f t="shared" ref="H71:I71" si="3">H72+H79+H82+H89+H93</f>
        <v>1253036.6000000001</v>
      </c>
      <c r="I71" s="671">
        <f t="shared" si="3"/>
        <v>1253038.6000000001</v>
      </c>
      <c r="J71" s="812"/>
      <c r="K71" s="668"/>
      <c r="L71" s="460"/>
      <c r="M71" s="460"/>
      <c r="N71" s="460"/>
      <c r="O71" s="460"/>
      <c r="P71" s="460"/>
    </row>
    <row r="72" spans="1:16" s="517" customFormat="1" ht="27" customHeight="1" x14ac:dyDescent="0.2">
      <c r="A72" s="1752"/>
      <c r="B72" s="1752" t="s">
        <v>123</v>
      </c>
      <c r="C72" s="1752"/>
      <c r="D72" s="1646" t="s">
        <v>1542</v>
      </c>
      <c r="E72" s="2268">
        <v>135312.15487000003</v>
      </c>
      <c r="F72" s="2268">
        <v>164591.1</v>
      </c>
      <c r="G72" s="1796">
        <v>164096.9</v>
      </c>
      <c r="H72" s="2268">
        <v>164096.9</v>
      </c>
      <c r="I72" s="2268">
        <v>164096.9</v>
      </c>
      <c r="J72" s="600" t="s">
        <v>1541</v>
      </c>
      <c r="K72" s="671" t="s">
        <v>1539</v>
      </c>
      <c r="L72" s="671">
        <v>12.9</v>
      </c>
      <c r="M72" s="671">
        <v>13</v>
      </c>
      <c r="N72" s="671">
        <v>13</v>
      </c>
      <c r="O72" s="671">
        <v>14</v>
      </c>
      <c r="P72" s="671">
        <v>14</v>
      </c>
    </row>
    <row r="73" spans="1:16" s="517" customFormat="1" ht="31.5" customHeight="1" x14ac:dyDescent="0.2">
      <c r="A73" s="1752"/>
      <c r="B73" s="1752"/>
      <c r="C73" s="1752"/>
      <c r="D73" s="1646"/>
      <c r="E73" s="2268"/>
      <c r="F73" s="2268"/>
      <c r="G73" s="2241"/>
      <c r="H73" s="2268"/>
      <c r="I73" s="2268"/>
      <c r="J73" s="600" t="s">
        <v>1540</v>
      </c>
      <c r="K73" s="671" t="s">
        <v>1539</v>
      </c>
      <c r="L73" s="671">
        <v>2.5</v>
      </c>
      <c r="M73" s="671" t="s">
        <v>1538</v>
      </c>
      <c r="N73" s="671" t="s">
        <v>1538</v>
      </c>
      <c r="O73" s="671" t="s">
        <v>1538</v>
      </c>
      <c r="P73" s="671" t="s">
        <v>1538</v>
      </c>
    </row>
    <row r="74" spans="1:16" s="585" customFormat="1" ht="60" customHeight="1" x14ac:dyDescent="0.2">
      <c r="A74" s="1752"/>
      <c r="B74" s="1752"/>
      <c r="C74" s="1752"/>
      <c r="D74" s="1646"/>
      <c r="E74" s="2268"/>
      <c r="F74" s="2268"/>
      <c r="G74" s="2241"/>
      <c r="H74" s="2268"/>
      <c r="I74" s="2268"/>
      <c r="J74" s="600" t="s">
        <v>2468</v>
      </c>
      <c r="K74" s="671" t="s">
        <v>1509</v>
      </c>
      <c r="L74" s="671">
        <v>150</v>
      </c>
      <c r="M74" s="671">
        <v>150</v>
      </c>
      <c r="N74" s="671">
        <v>150</v>
      </c>
      <c r="O74" s="671">
        <v>160</v>
      </c>
      <c r="P74" s="671">
        <v>170</v>
      </c>
    </row>
    <row r="75" spans="1:16" s="517" customFormat="1" ht="37.5" customHeight="1" x14ac:dyDescent="0.2">
      <c r="A75" s="1752"/>
      <c r="B75" s="1752"/>
      <c r="C75" s="1752"/>
      <c r="D75" s="1646"/>
      <c r="E75" s="2268"/>
      <c r="F75" s="2268"/>
      <c r="G75" s="2241"/>
      <c r="H75" s="2268"/>
      <c r="I75" s="2268"/>
      <c r="J75" s="600" t="s">
        <v>1537</v>
      </c>
      <c r="K75" s="671" t="s">
        <v>1522</v>
      </c>
      <c r="L75" s="671"/>
      <c r="M75" s="671"/>
      <c r="N75" s="671"/>
      <c r="O75" s="671"/>
      <c r="P75" s="671"/>
    </row>
    <row r="76" spans="1:16" ht="60.75" customHeight="1" x14ac:dyDescent="0.2">
      <c r="A76" s="1752"/>
      <c r="B76" s="1752"/>
      <c r="C76" s="1752"/>
      <c r="D76" s="1646"/>
      <c r="E76" s="2268"/>
      <c r="F76" s="2268"/>
      <c r="G76" s="2241"/>
      <c r="H76" s="2268"/>
      <c r="I76" s="2268"/>
      <c r="J76" s="600" t="s">
        <v>1536</v>
      </c>
      <c r="K76" s="671" t="s">
        <v>1535</v>
      </c>
      <c r="L76" s="671"/>
      <c r="M76" s="671"/>
      <c r="N76" s="671"/>
      <c r="O76" s="671"/>
      <c r="P76" s="671"/>
    </row>
    <row r="77" spans="1:16" ht="48.75" customHeight="1" x14ac:dyDescent="0.2">
      <c r="A77" s="1752"/>
      <c r="B77" s="1752"/>
      <c r="C77" s="1752"/>
      <c r="D77" s="1646"/>
      <c r="E77" s="2268"/>
      <c r="F77" s="2268"/>
      <c r="G77" s="2241"/>
      <c r="H77" s="2268"/>
      <c r="I77" s="2268"/>
      <c r="J77" s="600" t="s">
        <v>1534</v>
      </c>
      <c r="K77" s="671" t="s">
        <v>1533</v>
      </c>
      <c r="L77" s="671"/>
      <c r="M77" s="671"/>
      <c r="N77" s="671"/>
      <c r="O77" s="671"/>
      <c r="P77" s="671"/>
    </row>
    <row r="78" spans="1:16" ht="190.5" customHeight="1" x14ac:dyDescent="0.2">
      <c r="A78" s="1752"/>
      <c r="B78" s="1752"/>
      <c r="C78" s="1752"/>
      <c r="D78" s="1646"/>
      <c r="E78" s="2268"/>
      <c r="F78" s="2268"/>
      <c r="G78" s="1797"/>
      <c r="H78" s="2268"/>
      <c r="I78" s="2268"/>
      <c r="J78" s="600" t="s">
        <v>1532</v>
      </c>
      <c r="K78" s="671" t="s">
        <v>1531</v>
      </c>
      <c r="L78" s="671" t="s">
        <v>1530</v>
      </c>
      <c r="M78" s="671" t="s">
        <v>1529</v>
      </c>
      <c r="N78" s="671"/>
      <c r="O78" s="671"/>
      <c r="P78" s="671"/>
    </row>
    <row r="79" spans="1:16" ht="25.5" x14ac:dyDescent="0.2">
      <c r="A79" s="1752"/>
      <c r="B79" s="1752" t="s">
        <v>125</v>
      </c>
      <c r="C79" s="1752"/>
      <c r="D79" s="1807" t="s">
        <v>1528</v>
      </c>
      <c r="E79" s="2268">
        <v>21474.059999999998</v>
      </c>
      <c r="F79" s="2268">
        <v>27192.699999999997</v>
      </c>
      <c r="G79" s="2268">
        <v>27192.699999999997</v>
      </c>
      <c r="H79" s="2268">
        <v>27193.7</v>
      </c>
      <c r="I79" s="2268">
        <v>27194.7</v>
      </c>
      <c r="J79" s="812" t="s">
        <v>1527</v>
      </c>
      <c r="K79" s="668" t="s">
        <v>1509</v>
      </c>
      <c r="L79" s="668">
        <v>626</v>
      </c>
      <c r="M79" s="668">
        <v>519</v>
      </c>
      <c r="N79" s="460">
        <v>367</v>
      </c>
      <c r="O79" s="460">
        <v>353</v>
      </c>
      <c r="P79" s="460">
        <v>345</v>
      </c>
    </row>
    <row r="80" spans="1:16" ht="55.5" customHeight="1" x14ac:dyDescent="0.2">
      <c r="A80" s="1752"/>
      <c r="B80" s="1752"/>
      <c r="C80" s="1752"/>
      <c r="D80" s="1807"/>
      <c r="E80" s="2268"/>
      <c r="F80" s="2268"/>
      <c r="G80" s="2268"/>
      <c r="H80" s="2268"/>
      <c r="I80" s="2268"/>
      <c r="J80" s="812" t="s">
        <v>1526</v>
      </c>
      <c r="K80" s="668" t="s">
        <v>1509</v>
      </c>
      <c r="L80" s="91"/>
      <c r="M80" s="601"/>
      <c r="N80" s="601"/>
      <c r="O80" s="601"/>
      <c r="P80" s="601"/>
    </row>
    <row r="81" spans="1:16" ht="52.5" customHeight="1" x14ac:dyDescent="0.2">
      <c r="A81" s="1752"/>
      <c r="B81" s="1752"/>
      <c r="C81" s="1752"/>
      <c r="D81" s="1807"/>
      <c r="E81" s="2268"/>
      <c r="F81" s="2268"/>
      <c r="G81" s="2268"/>
      <c r="H81" s="2268"/>
      <c r="I81" s="2268"/>
      <c r="J81" s="812" t="s">
        <v>1525</v>
      </c>
      <c r="K81" s="668" t="s">
        <v>1522</v>
      </c>
      <c r="L81" s="91"/>
      <c r="M81" s="601"/>
      <c r="N81" s="601"/>
      <c r="O81" s="601"/>
      <c r="P81" s="601"/>
    </row>
    <row r="82" spans="1:16" ht="68.25" customHeight="1" x14ac:dyDescent="0.2">
      <c r="A82" s="1752"/>
      <c r="B82" s="1752" t="s">
        <v>127</v>
      </c>
      <c r="C82" s="1752"/>
      <c r="D82" s="1807" t="s">
        <v>1524</v>
      </c>
      <c r="E82" s="2268">
        <v>719084.99864999996</v>
      </c>
      <c r="F82" s="2268">
        <v>808056.3</v>
      </c>
      <c r="G82" s="2268">
        <v>808056.3</v>
      </c>
      <c r="H82" s="2268">
        <v>808056.3</v>
      </c>
      <c r="I82" s="2268">
        <v>808056.3</v>
      </c>
      <c r="J82" s="600" t="s">
        <v>1523</v>
      </c>
      <c r="K82" s="671" t="s">
        <v>1522</v>
      </c>
      <c r="L82" s="671" t="s">
        <v>1508</v>
      </c>
      <c r="M82" s="671" t="s">
        <v>1508</v>
      </c>
      <c r="N82" s="668" t="s">
        <v>1508</v>
      </c>
      <c r="O82" s="668" t="s">
        <v>1508</v>
      </c>
      <c r="P82" s="668" t="s">
        <v>1508</v>
      </c>
    </row>
    <row r="83" spans="1:16" ht="49.5" customHeight="1" x14ac:dyDescent="0.2">
      <c r="A83" s="1752"/>
      <c r="B83" s="1752"/>
      <c r="C83" s="1752"/>
      <c r="D83" s="1807"/>
      <c r="E83" s="2268"/>
      <c r="F83" s="2268"/>
      <c r="G83" s="2268"/>
      <c r="H83" s="2268"/>
      <c r="I83" s="2268"/>
      <c r="J83" s="600" t="s">
        <v>1521</v>
      </c>
      <c r="K83" s="671" t="s">
        <v>1509</v>
      </c>
      <c r="L83" s="671">
        <v>200</v>
      </c>
      <c r="M83" s="671">
        <v>200</v>
      </c>
      <c r="N83" s="460">
        <v>252</v>
      </c>
      <c r="O83" s="460">
        <v>277</v>
      </c>
      <c r="P83" s="460">
        <v>378</v>
      </c>
    </row>
    <row r="84" spans="1:16" ht="52.5" customHeight="1" x14ac:dyDescent="0.2">
      <c r="A84" s="1752"/>
      <c r="B84" s="1752"/>
      <c r="C84" s="1752"/>
      <c r="D84" s="1807"/>
      <c r="E84" s="2268"/>
      <c r="F84" s="2268"/>
      <c r="G84" s="2268"/>
      <c r="H84" s="2268"/>
      <c r="I84" s="2268"/>
      <c r="J84" s="600" t="s">
        <v>1520</v>
      </c>
      <c r="K84" s="671" t="s">
        <v>1509</v>
      </c>
      <c r="L84" s="671">
        <v>221</v>
      </c>
      <c r="M84" s="671">
        <v>141</v>
      </c>
      <c r="N84" s="460">
        <v>298</v>
      </c>
      <c r="O84" s="460">
        <v>305</v>
      </c>
      <c r="P84" s="460">
        <v>367</v>
      </c>
    </row>
    <row r="85" spans="1:16" ht="25.5" x14ac:dyDescent="0.2">
      <c r="A85" s="1752"/>
      <c r="B85" s="1752"/>
      <c r="C85" s="1752"/>
      <c r="D85" s="1807"/>
      <c r="E85" s="2268"/>
      <c r="F85" s="2268"/>
      <c r="G85" s="2268"/>
      <c r="H85" s="2268"/>
      <c r="I85" s="2268"/>
      <c r="J85" s="673" t="s">
        <v>1519</v>
      </c>
      <c r="K85" s="668" t="s">
        <v>1518</v>
      </c>
      <c r="L85" s="670"/>
      <c r="M85" s="671"/>
      <c r="N85" s="460"/>
      <c r="O85" s="460"/>
      <c r="P85" s="460"/>
    </row>
    <row r="86" spans="1:16" ht="46.5" customHeight="1" x14ac:dyDescent="0.2">
      <c r="A86" s="1752"/>
      <c r="B86" s="1752"/>
      <c r="C86" s="1752"/>
      <c r="D86" s="1807"/>
      <c r="E86" s="2268"/>
      <c r="F86" s="2268"/>
      <c r="G86" s="2268"/>
      <c r="H86" s="2268"/>
      <c r="I86" s="2268"/>
      <c r="J86" s="673" t="s">
        <v>1517</v>
      </c>
      <c r="K86" s="668" t="s">
        <v>1509</v>
      </c>
      <c r="L86" s="670"/>
      <c r="M86" s="671"/>
      <c r="N86" s="460"/>
      <c r="O86" s="460"/>
      <c r="P86" s="460"/>
    </row>
    <row r="87" spans="1:16" ht="48.75" customHeight="1" x14ac:dyDescent="0.2">
      <c r="A87" s="1752"/>
      <c r="B87" s="1752"/>
      <c r="C87" s="1752"/>
      <c r="D87" s="1807"/>
      <c r="E87" s="2268"/>
      <c r="F87" s="2268"/>
      <c r="G87" s="2268"/>
      <c r="H87" s="2268"/>
      <c r="I87" s="2268"/>
      <c r="J87" s="673" t="s">
        <v>1516</v>
      </c>
      <c r="K87" s="668" t="s">
        <v>1509</v>
      </c>
      <c r="L87" s="670"/>
      <c r="M87" s="671"/>
      <c r="N87" s="599"/>
      <c r="O87" s="599"/>
      <c r="P87" s="599"/>
    </row>
    <row r="88" spans="1:16" ht="63" customHeight="1" x14ac:dyDescent="0.2">
      <c r="A88" s="1752"/>
      <c r="B88" s="1752"/>
      <c r="C88" s="1752"/>
      <c r="D88" s="1807"/>
      <c r="E88" s="2268"/>
      <c r="F88" s="2268"/>
      <c r="G88" s="2268"/>
      <c r="H88" s="2268"/>
      <c r="I88" s="2268"/>
      <c r="J88" s="673" t="s">
        <v>1515</v>
      </c>
      <c r="K88" s="668" t="s">
        <v>1514</v>
      </c>
      <c r="L88" s="670"/>
      <c r="M88" s="671"/>
      <c r="N88" s="599"/>
      <c r="O88" s="599"/>
      <c r="P88" s="599"/>
    </row>
    <row r="89" spans="1:16" ht="51" customHeight="1" x14ac:dyDescent="0.2">
      <c r="A89" s="1752"/>
      <c r="B89" s="1752" t="s">
        <v>132</v>
      </c>
      <c r="C89" s="1752"/>
      <c r="D89" s="1807" t="s">
        <v>1513</v>
      </c>
      <c r="E89" s="2268">
        <v>211061.95620999997</v>
      </c>
      <c r="F89" s="2268">
        <v>254751.30000000002</v>
      </c>
      <c r="G89" s="2268">
        <v>252055.60000000003</v>
      </c>
      <c r="H89" s="2268">
        <v>252055.60000000003</v>
      </c>
      <c r="I89" s="2268">
        <v>252055.60000000003</v>
      </c>
      <c r="J89" s="673" t="s">
        <v>1512</v>
      </c>
      <c r="K89" s="668" t="s">
        <v>1509</v>
      </c>
      <c r="L89" s="708">
        <v>1210</v>
      </c>
      <c r="M89" s="708">
        <v>1210</v>
      </c>
      <c r="N89" s="599">
        <v>1110</v>
      </c>
      <c r="O89" s="599">
        <v>900</v>
      </c>
      <c r="P89" s="599">
        <v>900</v>
      </c>
    </row>
    <row r="90" spans="1:16" ht="43.5" customHeight="1" x14ac:dyDescent="0.2">
      <c r="A90" s="1752"/>
      <c r="B90" s="1752"/>
      <c r="C90" s="1752"/>
      <c r="D90" s="1807"/>
      <c r="E90" s="2268"/>
      <c r="F90" s="2268"/>
      <c r="G90" s="2268"/>
      <c r="H90" s="2268"/>
      <c r="I90" s="2268"/>
      <c r="J90" s="673" t="s">
        <v>1511</v>
      </c>
      <c r="K90" s="668" t="s">
        <v>1509</v>
      </c>
      <c r="L90" s="708" t="s">
        <v>1508</v>
      </c>
      <c r="M90" s="708" t="s">
        <v>1508</v>
      </c>
      <c r="N90" s="708" t="s">
        <v>1508</v>
      </c>
      <c r="O90" s="708" t="s">
        <v>1508</v>
      </c>
      <c r="P90" s="708" t="s">
        <v>1508</v>
      </c>
    </row>
    <row r="91" spans="1:16" ht="54" customHeight="1" x14ac:dyDescent="0.2">
      <c r="A91" s="1752"/>
      <c r="B91" s="1752"/>
      <c r="C91" s="1752"/>
      <c r="D91" s="1807"/>
      <c r="E91" s="2268"/>
      <c r="F91" s="2268"/>
      <c r="G91" s="2268"/>
      <c r="H91" s="2268"/>
      <c r="I91" s="2268"/>
      <c r="J91" s="673" t="s">
        <v>1510</v>
      </c>
      <c r="K91" s="668" t="s">
        <v>1509</v>
      </c>
      <c r="L91" s="708" t="s">
        <v>1508</v>
      </c>
      <c r="M91" s="708" t="s">
        <v>1508</v>
      </c>
      <c r="N91" s="708" t="s">
        <v>1508</v>
      </c>
      <c r="O91" s="708" t="s">
        <v>1508</v>
      </c>
      <c r="P91" s="708" t="s">
        <v>1508</v>
      </c>
    </row>
    <row r="92" spans="1:16" ht="39.75" customHeight="1" x14ac:dyDescent="0.2">
      <c r="A92" s="1752"/>
      <c r="B92" s="1752"/>
      <c r="C92" s="1752"/>
      <c r="D92" s="1807"/>
      <c r="E92" s="2268"/>
      <c r="F92" s="2268"/>
      <c r="G92" s="2268"/>
      <c r="H92" s="2268"/>
      <c r="I92" s="2268"/>
      <c r="J92" s="673" t="s">
        <v>1507</v>
      </c>
      <c r="K92" s="668" t="s">
        <v>1506</v>
      </c>
      <c r="L92" s="708"/>
      <c r="M92" s="708"/>
      <c r="N92" s="708"/>
      <c r="O92" s="708"/>
      <c r="P92" s="708"/>
    </row>
    <row r="93" spans="1:16" ht="90.75" customHeight="1" x14ac:dyDescent="0.2">
      <c r="A93" s="1752"/>
      <c r="B93" s="1752" t="s">
        <v>74</v>
      </c>
      <c r="C93" s="1752"/>
      <c r="D93" s="1807" t="s">
        <v>1505</v>
      </c>
      <c r="E93" s="2268">
        <v>1115.2</v>
      </c>
      <c r="F93" s="2268">
        <v>1633.1</v>
      </c>
      <c r="G93" s="2268">
        <v>1633.1</v>
      </c>
      <c r="H93" s="2268">
        <v>1634.1</v>
      </c>
      <c r="I93" s="2268">
        <v>1635.1</v>
      </c>
      <c r="J93" s="673" t="s">
        <v>1504</v>
      </c>
      <c r="K93" s="668" t="s">
        <v>1503</v>
      </c>
      <c r="L93" s="80"/>
      <c r="M93" s="598"/>
      <c r="N93" s="598"/>
      <c r="O93" s="598"/>
      <c r="P93" s="598"/>
    </row>
    <row r="94" spans="1:16" ht="38.25" x14ac:dyDescent="0.2">
      <c r="A94" s="1752"/>
      <c r="B94" s="1752"/>
      <c r="C94" s="1752"/>
      <c r="D94" s="1807"/>
      <c r="E94" s="2268"/>
      <c r="F94" s="2268"/>
      <c r="G94" s="2268"/>
      <c r="H94" s="2268"/>
      <c r="I94" s="2268"/>
      <c r="J94" s="673" t="s">
        <v>2469</v>
      </c>
      <c r="K94" s="668" t="s">
        <v>1502</v>
      </c>
      <c r="L94" s="84"/>
      <c r="M94" s="84"/>
      <c r="N94" s="84"/>
      <c r="O94" s="84"/>
      <c r="P94" s="84"/>
    </row>
    <row r="95" spans="1:16" s="585" customFormat="1" x14ac:dyDescent="0.2">
      <c r="A95" s="2266" t="s">
        <v>64</v>
      </c>
      <c r="B95" s="2266"/>
      <c r="C95" s="2266"/>
      <c r="D95" s="2266"/>
      <c r="E95" s="1524">
        <v>3813685.1495899996</v>
      </c>
      <c r="F95" s="1524">
        <v>3777768.3517300002</v>
      </c>
      <c r="G95" s="1524">
        <f>G12+G21+G44+G71</f>
        <v>8136160.5510000009</v>
      </c>
      <c r="H95" s="1524">
        <f t="shared" ref="H95:I95" si="4">H12+H21+H44+H71</f>
        <v>5052717.341</v>
      </c>
      <c r="I95" s="1524">
        <f t="shared" si="4"/>
        <v>5677048.7409999985</v>
      </c>
      <c r="J95" s="525"/>
      <c r="K95" s="2267"/>
      <c r="L95" s="2267"/>
      <c r="M95" s="2267"/>
      <c r="N95" s="2267"/>
      <c r="O95" s="2267"/>
      <c r="P95" s="2267"/>
    </row>
    <row r="96" spans="1:16" s="597" customFormat="1" ht="23.25" customHeight="1" thickBot="1" x14ac:dyDescent="0.25">
      <c r="A96" s="1730" t="s">
        <v>2879</v>
      </c>
      <c r="B96" s="1730"/>
      <c r="C96" s="1730"/>
      <c r="D96" s="1730"/>
      <c r="E96" s="1730"/>
      <c r="F96" s="1730"/>
      <c r="G96" s="1730"/>
      <c r="H96" s="1730"/>
      <c r="I96" s="1730"/>
      <c r="J96" s="1730"/>
      <c r="K96" s="1730"/>
      <c r="L96" s="1730"/>
      <c r="M96" s="1730"/>
      <c r="N96" s="1730"/>
      <c r="O96" s="1730"/>
      <c r="P96" s="1730"/>
    </row>
    <row r="97" spans="1:16" s="596" customFormat="1" ht="12.75" customHeight="1" x14ac:dyDescent="0.2">
      <c r="A97" s="2278">
        <v>1</v>
      </c>
      <c r="B97" s="2290"/>
      <c r="C97" s="2283"/>
      <c r="D97" s="2294" t="s">
        <v>2748</v>
      </c>
      <c r="E97" s="2287">
        <v>42563.3</v>
      </c>
      <c r="F97" s="2287">
        <v>45438</v>
      </c>
      <c r="G97" s="2287">
        <v>43483.822</v>
      </c>
      <c r="H97" s="2287">
        <v>43707.022000000004</v>
      </c>
      <c r="I97" s="2287">
        <v>44081.922000000006</v>
      </c>
      <c r="J97" s="2260" t="s">
        <v>1501</v>
      </c>
      <c r="K97" s="2242" t="s">
        <v>1500</v>
      </c>
      <c r="L97" s="2242">
        <v>87</v>
      </c>
      <c r="M97" s="2242">
        <v>93</v>
      </c>
      <c r="N97" s="2242">
        <v>94</v>
      </c>
      <c r="O97" s="2242">
        <v>95</v>
      </c>
      <c r="P97" s="2242">
        <v>96</v>
      </c>
    </row>
    <row r="98" spans="1:16" s="596" customFormat="1" ht="14.25" customHeight="1" x14ac:dyDescent="0.2">
      <c r="A98" s="2279"/>
      <c r="B98" s="2291"/>
      <c r="C98" s="2284"/>
      <c r="D98" s="2295"/>
      <c r="E98" s="2288"/>
      <c r="F98" s="2288"/>
      <c r="G98" s="2288"/>
      <c r="H98" s="2288"/>
      <c r="I98" s="2288"/>
      <c r="J98" s="2261"/>
      <c r="K98" s="2243"/>
      <c r="L98" s="2243"/>
      <c r="M98" s="2243"/>
      <c r="N98" s="2243"/>
      <c r="O98" s="2243"/>
      <c r="P98" s="2243"/>
    </row>
    <row r="99" spans="1:16" s="517" customFormat="1" ht="12.75" customHeight="1" x14ac:dyDescent="0.2">
      <c r="A99" s="2279"/>
      <c r="B99" s="2291"/>
      <c r="C99" s="2284"/>
      <c r="D99" s="2296" t="s">
        <v>1499</v>
      </c>
      <c r="E99" s="2288"/>
      <c r="F99" s="2288"/>
      <c r="G99" s="2288"/>
      <c r="H99" s="2288"/>
      <c r="I99" s="2288"/>
      <c r="J99" s="2262"/>
      <c r="K99" s="2035"/>
      <c r="L99" s="2035"/>
      <c r="M99" s="2035">
        <v>32</v>
      </c>
      <c r="N99" s="2035">
        <v>32</v>
      </c>
      <c r="O99" s="2035">
        <v>32</v>
      </c>
      <c r="P99" s="2035"/>
    </row>
    <row r="100" spans="1:16" s="517" customFormat="1" ht="68.25" customHeight="1" x14ac:dyDescent="0.2">
      <c r="A100" s="2280"/>
      <c r="B100" s="2292"/>
      <c r="C100" s="2293"/>
      <c r="D100" s="2297"/>
      <c r="E100" s="2289"/>
      <c r="F100" s="2289"/>
      <c r="G100" s="2289"/>
      <c r="H100" s="2289"/>
      <c r="I100" s="2289"/>
      <c r="J100" s="1019" t="s">
        <v>19</v>
      </c>
      <c r="K100" s="733" t="s">
        <v>1498</v>
      </c>
      <c r="L100" s="1020">
        <v>0.623</v>
      </c>
      <c r="M100" s="1020">
        <v>0.623</v>
      </c>
      <c r="N100" s="1020">
        <v>0.623</v>
      </c>
      <c r="O100" s="733">
        <v>63</v>
      </c>
      <c r="P100" s="733">
        <v>63</v>
      </c>
    </row>
    <row r="101" spans="1:16" s="517" customFormat="1" ht="62.25" customHeight="1" x14ac:dyDescent="0.2">
      <c r="A101" s="750"/>
      <c r="B101" s="694" t="s">
        <v>123</v>
      </c>
      <c r="C101" s="816"/>
      <c r="D101" s="1021" t="s">
        <v>2749</v>
      </c>
      <c r="E101" s="2258">
        <v>42563.3</v>
      </c>
      <c r="F101" s="322">
        <v>29064</v>
      </c>
      <c r="G101" s="780">
        <v>29421.9</v>
      </c>
      <c r="H101" s="780">
        <v>29791.9</v>
      </c>
      <c r="I101" s="780">
        <v>30161.9</v>
      </c>
      <c r="J101" s="768" t="s">
        <v>1497</v>
      </c>
      <c r="K101" s="688" t="s">
        <v>31</v>
      </c>
      <c r="L101" s="736">
        <v>1</v>
      </c>
      <c r="M101" s="736">
        <v>2</v>
      </c>
      <c r="N101" s="736">
        <v>1</v>
      </c>
      <c r="O101" s="736">
        <v>1</v>
      </c>
      <c r="P101" s="736">
        <v>1</v>
      </c>
    </row>
    <row r="102" spans="1:16" s="517" customFormat="1" ht="68.25" customHeight="1" x14ac:dyDescent="0.2">
      <c r="A102" s="750"/>
      <c r="B102" s="694" t="s">
        <v>125</v>
      </c>
      <c r="C102" s="816"/>
      <c r="D102" s="1022" t="s">
        <v>2750</v>
      </c>
      <c r="E102" s="2298"/>
      <c r="F102" s="816">
        <v>10511.5</v>
      </c>
      <c r="G102" s="780">
        <v>12150.722</v>
      </c>
      <c r="H102" s="780">
        <v>11646.722</v>
      </c>
      <c r="I102" s="780">
        <v>11646.722</v>
      </c>
      <c r="J102" s="594" t="s">
        <v>1496</v>
      </c>
      <c r="K102" s="816" t="s">
        <v>130</v>
      </c>
      <c r="L102" s="816">
        <v>34</v>
      </c>
      <c r="M102" s="816">
        <v>15</v>
      </c>
      <c r="N102" s="816">
        <v>16</v>
      </c>
      <c r="O102" s="816">
        <v>17</v>
      </c>
      <c r="P102" s="816">
        <v>18</v>
      </c>
    </row>
    <row r="103" spans="1:16" s="517" customFormat="1" ht="70.5" customHeight="1" x14ac:dyDescent="0.2">
      <c r="A103" s="750"/>
      <c r="B103" s="694" t="s">
        <v>127</v>
      </c>
      <c r="C103" s="816"/>
      <c r="D103" s="1023" t="s">
        <v>2751</v>
      </c>
      <c r="E103" s="2259"/>
      <c r="F103" s="816">
        <v>5862.5</v>
      </c>
      <c r="G103" s="780">
        <v>1911.1999999999998</v>
      </c>
      <c r="H103" s="780">
        <v>2268.3999999999996</v>
      </c>
      <c r="I103" s="780">
        <v>2273.3000000000002</v>
      </c>
      <c r="J103" s="311" t="s">
        <v>1495</v>
      </c>
      <c r="K103" s="736" t="s">
        <v>17</v>
      </c>
      <c r="L103" s="736">
        <v>85</v>
      </c>
      <c r="M103" s="736">
        <v>87</v>
      </c>
      <c r="N103" s="736">
        <v>93</v>
      </c>
      <c r="O103" s="736">
        <v>96</v>
      </c>
      <c r="P103" s="736">
        <v>96</v>
      </c>
    </row>
    <row r="104" spans="1:16" s="517" customFormat="1" ht="12.75" customHeight="1" x14ac:dyDescent="0.2">
      <c r="A104" s="2278">
        <v>2</v>
      </c>
      <c r="B104" s="2281"/>
      <c r="C104" s="2283"/>
      <c r="D104" s="2285" t="s">
        <v>2752</v>
      </c>
      <c r="E104" s="2299">
        <v>1939714</v>
      </c>
      <c r="F104" s="2287">
        <v>1961713.4000000001</v>
      </c>
      <c r="G104" s="2287">
        <v>690043.9</v>
      </c>
      <c r="H104" s="2287">
        <v>670944.9</v>
      </c>
      <c r="I104" s="2287">
        <v>676482.9</v>
      </c>
      <c r="J104" s="2260" t="s">
        <v>1494</v>
      </c>
      <c r="K104" s="2242" t="s">
        <v>17</v>
      </c>
      <c r="L104" s="2244">
        <v>66.958111437882522</v>
      </c>
      <c r="M104" s="2242">
        <v>54</v>
      </c>
      <c r="N104" s="2242">
        <v>55</v>
      </c>
      <c r="O104" s="2242">
        <v>53</v>
      </c>
      <c r="P104" s="2242">
        <v>51</v>
      </c>
    </row>
    <row r="105" spans="1:16" s="517" customFormat="1" ht="12.75" customHeight="1" x14ac:dyDescent="0.2">
      <c r="A105" s="2279"/>
      <c r="B105" s="2282"/>
      <c r="C105" s="2284"/>
      <c r="D105" s="2286"/>
      <c r="E105" s="2300"/>
      <c r="F105" s="2288"/>
      <c r="G105" s="2288"/>
      <c r="H105" s="2288"/>
      <c r="I105" s="2288"/>
      <c r="J105" s="2262"/>
      <c r="K105" s="2035"/>
      <c r="L105" s="2245"/>
      <c r="M105" s="2035"/>
      <c r="N105" s="2035"/>
      <c r="O105" s="2035"/>
      <c r="P105" s="2035"/>
    </row>
    <row r="106" spans="1:16" s="517" customFormat="1" ht="82.5" customHeight="1" x14ac:dyDescent="0.2">
      <c r="A106" s="2280"/>
      <c r="B106" s="2282"/>
      <c r="C106" s="2284"/>
      <c r="D106" s="1024" t="s">
        <v>1493</v>
      </c>
      <c r="E106" s="2301"/>
      <c r="F106" s="2243"/>
      <c r="G106" s="2243"/>
      <c r="H106" s="2243"/>
      <c r="I106" s="2243"/>
      <c r="J106" s="310" t="s">
        <v>1492</v>
      </c>
      <c r="K106" s="1025" t="s">
        <v>1218</v>
      </c>
      <c r="L106" s="1026">
        <v>12636</v>
      </c>
      <c r="M106" s="1026">
        <v>448.1</v>
      </c>
      <c r="N106" s="1026">
        <v>0</v>
      </c>
      <c r="O106" s="1026">
        <v>0</v>
      </c>
      <c r="P106" s="1026">
        <v>0</v>
      </c>
    </row>
    <row r="107" spans="1:16" s="517" customFormat="1" ht="12.75" customHeight="1" x14ac:dyDescent="0.2">
      <c r="A107" s="1874"/>
      <c r="B107" s="2303">
        <v>1</v>
      </c>
      <c r="C107" s="1774"/>
      <c r="D107" s="1879" t="s">
        <v>2753</v>
      </c>
      <c r="E107" s="2258">
        <v>7028</v>
      </c>
      <c r="F107" s="2258">
        <v>12900</v>
      </c>
      <c r="G107" s="2258">
        <v>0</v>
      </c>
      <c r="H107" s="2258">
        <v>0</v>
      </c>
      <c r="I107" s="2258">
        <v>0</v>
      </c>
      <c r="J107" s="2263" t="s">
        <v>1491</v>
      </c>
      <c r="K107" s="2231" t="s">
        <v>1490</v>
      </c>
      <c r="L107" s="1726" t="s">
        <v>2754</v>
      </c>
      <c r="M107" s="1726" t="s">
        <v>121</v>
      </c>
      <c r="N107" s="1726" t="s">
        <v>121</v>
      </c>
      <c r="O107" s="1726" t="s">
        <v>121</v>
      </c>
      <c r="P107" s="1726" t="s">
        <v>121</v>
      </c>
    </row>
    <row r="108" spans="1:16" s="517" customFormat="1" ht="32.25" customHeight="1" x14ac:dyDescent="0.2">
      <c r="A108" s="2302"/>
      <c r="B108" s="2053"/>
      <c r="C108" s="1776"/>
      <c r="D108" s="1880"/>
      <c r="E108" s="2259"/>
      <c r="F108" s="2259"/>
      <c r="G108" s="2259"/>
      <c r="H108" s="2259"/>
      <c r="I108" s="2259"/>
      <c r="J108" s="2264"/>
      <c r="K108" s="2231"/>
      <c r="L108" s="1726"/>
      <c r="M108" s="1726"/>
      <c r="N108" s="1726"/>
      <c r="O108" s="1726"/>
      <c r="P108" s="1726"/>
    </row>
    <row r="109" spans="1:16" s="517" customFormat="1" ht="42.75" customHeight="1" x14ac:dyDescent="0.2">
      <c r="A109" s="1027"/>
      <c r="B109" s="748">
        <v>2</v>
      </c>
      <c r="C109" s="54"/>
      <c r="D109" s="687" t="s">
        <v>2755</v>
      </c>
      <c r="E109" s="781">
        <v>28950</v>
      </c>
      <c r="F109" s="781">
        <v>46000</v>
      </c>
      <c r="G109" s="781">
        <v>0</v>
      </c>
      <c r="H109" s="781">
        <v>0</v>
      </c>
      <c r="I109" s="781">
        <v>0</v>
      </c>
      <c r="J109" s="2264"/>
      <c r="K109" s="688" t="s">
        <v>1489</v>
      </c>
      <c r="L109" s="809"/>
      <c r="M109" s="809"/>
      <c r="N109" s="809"/>
      <c r="O109" s="809"/>
      <c r="P109" s="809"/>
    </row>
    <row r="110" spans="1:16" s="517" customFormat="1" ht="44.25" customHeight="1" x14ac:dyDescent="0.2">
      <c r="A110" s="1027"/>
      <c r="B110" s="694" t="s">
        <v>127</v>
      </c>
      <c r="C110" s="514"/>
      <c r="D110" s="593" t="s">
        <v>2756</v>
      </c>
      <c r="E110" s="781">
        <v>939591.8</v>
      </c>
      <c r="F110" s="781">
        <v>1156372.1000000001</v>
      </c>
      <c r="G110" s="781">
        <v>120000</v>
      </c>
      <c r="H110" s="781">
        <v>90000</v>
      </c>
      <c r="I110" s="781">
        <v>90000</v>
      </c>
      <c r="J110" s="2264"/>
      <c r="K110" s="1017" t="s">
        <v>1488</v>
      </c>
      <c r="L110" s="1017"/>
      <c r="M110" s="1017"/>
      <c r="N110" s="1017"/>
      <c r="O110" s="1017"/>
      <c r="P110" s="1017"/>
    </row>
    <row r="111" spans="1:16" s="517" customFormat="1" ht="12.75" customHeight="1" x14ac:dyDescent="0.2">
      <c r="A111" s="1874"/>
      <c r="B111" s="1748" t="s">
        <v>132</v>
      </c>
      <c r="C111" s="1748"/>
      <c r="D111" s="1907" t="s">
        <v>2757</v>
      </c>
      <c r="E111" s="2258">
        <v>497102.89999999997</v>
      </c>
      <c r="F111" s="2258">
        <v>301000</v>
      </c>
      <c r="G111" s="2258">
        <v>227050.8</v>
      </c>
      <c r="H111" s="2258">
        <v>237951.8</v>
      </c>
      <c r="I111" s="2258">
        <v>243489.8</v>
      </c>
      <c r="J111" s="2264"/>
      <c r="K111" s="1805" t="s">
        <v>1487</v>
      </c>
      <c r="L111" s="1854" t="s">
        <v>2758</v>
      </c>
      <c r="M111" s="1854" t="s">
        <v>1486</v>
      </c>
      <c r="N111" s="1854" t="s">
        <v>1485</v>
      </c>
      <c r="O111" s="1854" t="s">
        <v>1485</v>
      </c>
      <c r="P111" s="1854" t="s">
        <v>1485</v>
      </c>
    </row>
    <row r="112" spans="1:16" s="517" customFormat="1" ht="21" customHeight="1" x14ac:dyDescent="0.2">
      <c r="A112" s="2302"/>
      <c r="B112" s="1750"/>
      <c r="C112" s="1750"/>
      <c r="D112" s="1880"/>
      <c r="E112" s="2259"/>
      <c r="F112" s="2259"/>
      <c r="G112" s="2259"/>
      <c r="H112" s="2259"/>
      <c r="I112" s="2259"/>
      <c r="J112" s="2265"/>
      <c r="K112" s="1806"/>
      <c r="L112" s="1806"/>
      <c r="M112" s="1806"/>
      <c r="N112" s="1806"/>
      <c r="O112" s="1806"/>
      <c r="P112" s="1806"/>
    </row>
    <row r="113" spans="1:16" s="517" customFormat="1" ht="12.75" customHeight="1" x14ac:dyDescent="0.2">
      <c r="A113" s="1874"/>
      <c r="B113" s="1748" t="s">
        <v>74</v>
      </c>
      <c r="C113" s="1748"/>
      <c r="D113" s="1907" t="s">
        <v>2759</v>
      </c>
      <c r="E113" s="2258">
        <v>266929.8</v>
      </c>
      <c r="F113" s="2258">
        <v>190000</v>
      </c>
      <c r="G113" s="2258">
        <v>198000</v>
      </c>
      <c r="H113" s="2258">
        <v>198000</v>
      </c>
      <c r="I113" s="2258">
        <v>198000</v>
      </c>
      <c r="J113" s="239" t="s">
        <v>1484</v>
      </c>
      <c r="K113" s="688" t="s">
        <v>17</v>
      </c>
      <c r="L113" s="688">
        <v>100</v>
      </c>
      <c r="M113" s="688">
        <v>100</v>
      </c>
      <c r="N113" s="688">
        <v>70</v>
      </c>
      <c r="O113" s="688">
        <v>70</v>
      </c>
      <c r="P113" s="688">
        <v>70</v>
      </c>
    </row>
    <row r="114" spans="1:16" s="517" customFormat="1" x14ac:dyDescent="0.2">
      <c r="A114" s="2302"/>
      <c r="B114" s="1750"/>
      <c r="C114" s="1750"/>
      <c r="D114" s="1880"/>
      <c r="E114" s="2259"/>
      <c r="F114" s="2259"/>
      <c r="G114" s="2259"/>
      <c r="H114" s="2259"/>
      <c r="I114" s="2259"/>
      <c r="J114" s="239" t="s">
        <v>2760</v>
      </c>
      <c r="K114" s="688" t="s">
        <v>517</v>
      </c>
      <c r="L114" s="688">
        <v>5</v>
      </c>
      <c r="M114" s="688">
        <v>90</v>
      </c>
      <c r="N114" s="688">
        <v>120</v>
      </c>
      <c r="O114" s="688">
        <v>150</v>
      </c>
      <c r="P114" s="688">
        <v>200</v>
      </c>
    </row>
    <row r="115" spans="1:16" s="517" customFormat="1" ht="12.75" customHeight="1" x14ac:dyDescent="0.2">
      <c r="A115" s="1874"/>
      <c r="B115" s="1748" t="s">
        <v>197</v>
      </c>
      <c r="C115" s="1748"/>
      <c r="D115" s="1907" t="s">
        <v>2761</v>
      </c>
      <c r="E115" s="2258">
        <v>12642</v>
      </c>
      <c r="F115" s="2258">
        <v>5000</v>
      </c>
      <c r="G115" s="2258">
        <v>0</v>
      </c>
      <c r="H115" s="2258">
        <v>0</v>
      </c>
      <c r="I115" s="2258">
        <v>0</v>
      </c>
      <c r="J115" s="239" t="s">
        <v>1483</v>
      </c>
      <c r="K115" s="688" t="s">
        <v>517</v>
      </c>
      <c r="L115" s="688">
        <v>50</v>
      </c>
      <c r="M115" s="688">
        <v>60</v>
      </c>
      <c r="N115" s="688">
        <v>65</v>
      </c>
      <c r="O115" s="688">
        <v>70</v>
      </c>
      <c r="P115" s="688">
        <v>70</v>
      </c>
    </row>
    <row r="116" spans="1:16" s="517" customFormat="1" ht="25.5" x14ac:dyDescent="0.2">
      <c r="A116" s="2302"/>
      <c r="B116" s="1750"/>
      <c r="C116" s="1750"/>
      <c r="D116" s="1880"/>
      <c r="E116" s="2259"/>
      <c r="F116" s="2259"/>
      <c r="G116" s="2259"/>
      <c r="H116" s="2259"/>
      <c r="I116" s="2259"/>
      <c r="J116" s="1028" t="s">
        <v>1482</v>
      </c>
      <c r="K116" s="1017" t="s">
        <v>17</v>
      </c>
      <c r="L116" s="1017">
        <v>0</v>
      </c>
      <c r="M116" s="1017">
        <v>0</v>
      </c>
      <c r="N116" s="1017">
        <v>0</v>
      </c>
      <c r="O116" s="1017">
        <v>0</v>
      </c>
      <c r="P116" s="1017">
        <v>0</v>
      </c>
    </row>
    <row r="117" spans="1:16" s="517" customFormat="1" ht="37.5" customHeight="1" x14ac:dyDescent="0.2">
      <c r="A117" s="815"/>
      <c r="B117" s="694" t="s">
        <v>155</v>
      </c>
      <c r="C117" s="694"/>
      <c r="D117" s="687" t="s">
        <v>2762</v>
      </c>
      <c r="E117" s="781">
        <v>169880.7</v>
      </c>
      <c r="F117" s="781">
        <v>200441.3</v>
      </c>
      <c r="G117" s="781">
        <v>144993.09999999998</v>
      </c>
      <c r="H117" s="781">
        <v>144993.09999999998</v>
      </c>
      <c r="I117" s="781">
        <v>144993.09999999998</v>
      </c>
      <c r="J117" s="1028" t="s">
        <v>1481</v>
      </c>
      <c r="K117" s="1017" t="s">
        <v>1218</v>
      </c>
      <c r="L117" s="1017">
        <v>280</v>
      </c>
      <c r="M117" s="1017">
        <v>250</v>
      </c>
      <c r="N117" s="1017">
        <v>0</v>
      </c>
      <c r="O117" s="1017">
        <v>0</v>
      </c>
      <c r="P117" s="1017">
        <v>0</v>
      </c>
    </row>
    <row r="118" spans="1:16" s="517" customFormat="1" ht="41.25" customHeight="1" x14ac:dyDescent="0.2">
      <c r="A118" s="1014"/>
      <c r="B118" s="1018" t="s">
        <v>158</v>
      </c>
      <c r="C118" s="1018"/>
      <c r="D118" s="1016" t="s">
        <v>2763</v>
      </c>
      <c r="E118" s="1015">
        <v>17588.8</v>
      </c>
      <c r="F118" s="1015">
        <v>50000</v>
      </c>
      <c r="G118" s="1015">
        <v>0</v>
      </c>
      <c r="H118" s="1015">
        <v>0</v>
      </c>
      <c r="I118" s="1015">
        <v>0</v>
      </c>
      <c r="J118" s="1028" t="s">
        <v>1480</v>
      </c>
      <c r="K118" s="1017" t="s">
        <v>17</v>
      </c>
      <c r="L118" s="1017">
        <v>75</v>
      </c>
      <c r="M118" s="1017">
        <v>75</v>
      </c>
      <c r="N118" s="1017">
        <v>75</v>
      </c>
      <c r="O118" s="1017">
        <v>75</v>
      </c>
      <c r="P118" s="1017">
        <v>75</v>
      </c>
    </row>
    <row r="119" spans="1:16" s="517" customFormat="1" ht="38.25" x14ac:dyDescent="0.2">
      <c r="A119" s="1904" t="s">
        <v>161</v>
      </c>
      <c r="B119" s="1904"/>
      <c r="C119" s="2236"/>
      <c r="D119" s="1029" t="s">
        <v>2764</v>
      </c>
      <c r="E119" s="2234">
        <v>8412201.8000000007</v>
      </c>
      <c r="F119" s="2235">
        <v>8486342.1000000015</v>
      </c>
      <c r="G119" s="2235">
        <v>8044807.1500000004</v>
      </c>
      <c r="H119" s="2235">
        <v>8437889.3100000005</v>
      </c>
      <c r="I119" s="2235">
        <v>9018128.6000000015</v>
      </c>
      <c r="J119" s="2010" t="s">
        <v>1479</v>
      </c>
      <c r="K119" s="1994" t="s">
        <v>1218</v>
      </c>
      <c r="L119" s="2010">
        <v>131.5</v>
      </c>
      <c r="M119" s="2237">
        <v>93</v>
      </c>
      <c r="N119" s="2237">
        <v>153.30000000000001</v>
      </c>
      <c r="O119" s="2237">
        <v>159</v>
      </c>
      <c r="P119" s="2010">
        <v>92.3</v>
      </c>
    </row>
    <row r="120" spans="1:16" s="517" customFormat="1" ht="12.75" customHeight="1" x14ac:dyDescent="0.2">
      <c r="A120" s="1904"/>
      <c r="B120" s="1904"/>
      <c r="C120" s="2236"/>
      <c r="D120" s="2296" t="s">
        <v>1478</v>
      </c>
      <c r="E120" s="2234"/>
      <c r="F120" s="2235"/>
      <c r="G120" s="2235"/>
      <c r="H120" s="2235"/>
      <c r="I120" s="2235"/>
      <c r="J120" s="2010"/>
      <c r="K120" s="1994"/>
      <c r="L120" s="2010"/>
      <c r="M120" s="2237"/>
      <c r="N120" s="2237"/>
      <c r="O120" s="2237"/>
      <c r="P120" s="2010"/>
    </row>
    <row r="121" spans="1:16" s="517" customFormat="1" ht="12.75" customHeight="1" x14ac:dyDescent="0.2">
      <c r="A121" s="1904"/>
      <c r="B121" s="1904"/>
      <c r="C121" s="2236"/>
      <c r="D121" s="2296"/>
      <c r="E121" s="2234"/>
      <c r="F121" s="2235"/>
      <c r="G121" s="2235"/>
      <c r="H121" s="2235"/>
      <c r="I121" s="2235"/>
      <c r="J121" s="2010"/>
      <c r="K121" s="1994"/>
      <c r="L121" s="2010"/>
      <c r="M121" s="2237"/>
      <c r="N121" s="2237"/>
      <c r="O121" s="2237"/>
      <c r="P121" s="2010"/>
    </row>
    <row r="122" spans="1:16" s="517" customFormat="1" ht="42.75" customHeight="1" x14ac:dyDescent="0.2">
      <c r="A122" s="1904"/>
      <c r="B122" s="1904"/>
      <c r="C122" s="2236"/>
      <c r="D122" s="2297"/>
      <c r="E122" s="2234"/>
      <c r="F122" s="2235"/>
      <c r="G122" s="2235"/>
      <c r="H122" s="2235"/>
      <c r="I122" s="2235"/>
      <c r="J122" s="2010"/>
      <c r="K122" s="1994"/>
      <c r="L122" s="2010"/>
      <c r="M122" s="2237"/>
      <c r="N122" s="2237"/>
      <c r="O122" s="2237"/>
      <c r="P122" s="2010"/>
    </row>
    <row r="123" spans="1:16" s="517" customFormat="1" ht="12.75" customHeight="1" x14ac:dyDescent="0.2">
      <c r="A123" s="1747"/>
      <c r="B123" s="2238" t="s">
        <v>123</v>
      </c>
      <c r="C123" s="2238"/>
      <c r="D123" s="1987" t="s">
        <v>2765</v>
      </c>
      <c r="E123" s="2231">
        <v>261740.1</v>
      </c>
      <c r="F123" s="2231">
        <v>296099.7</v>
      </c>
      <c r="G123" s="2231">
        <v>266050</v>
      </c>
      <c r="H123" s="2231">
        <v>0</v>
      </c>
      <c r="I123" s="2231">
        <v>0</v>
      </c>
      <c r="J123" s="768" t="s">
        <v>1474</v>
      </c>
      <c r="K123" s="768" t="s">
        <v>1218</v>
      </c>
      <c r="L123" s="768">
        <v>0</v>
      </c>
      <c r="M123" s="768">
        <v>0</v>
      </c>
      <c r="N123" s="768">
        <v>0</v>
      </c>
      <c r="O123" s="768">
        <v>0</v>
      </c>
      <c r="P123" s="768">
        <v>0</v>
      </c>
    </row>
    <row r="124" spans="1:16" s="517" customFormat="1" ht="12.75" customHeight="1" x14ac:dyDescent="0.2">
      <c r="A124" s="1747"/>
      <c r="B124" s="2239"/>
      <c r="C124" s="2239"/>
      <c r="D124" s="1754"/>
      <c r="E124" s="2231"/>
      <c r="F124" s="2231"/>
      <c r="G124" s="2231"/>
      <c r="H124" s="2231"/>
      <c r="I124" s="2231"/>
      <c r="J124" s="768" t="s">
        <v>1471</v>
      </c>
      <c r="K124" s="768" t="s">
        <v>17</v>
      </c>
      <c r="L124" s="768">
        <v>0</v>
      </c>
      <c r="M124" s="768">
        <v>0</v>
      </c>
      <c r="N124" s="768">
        <v>0</v>
      </c>
      <c r="O124" s="768">
        <v>0</v>
      </c>
      <c r="P124" s="768">
        <v>0</v>
      </c>
    </row>
    <row r="125" spans="1:16" s="517" customFormat="1" ht="52.5" customHeight="1" x14ac:dyDescent="0.2">
      <c r="A125" s="1747"/>
      <c r="B125" s="2004"/>
      <c r="C125" s="2004"/>
      <c r="D125" s="1754"/>
      <c r="E125" s="2231"/>
      <c r="F125" s="2231"/>
      <c r="G125" s="2231"/>
      <c r="H125" s="2231"/>
      <c r="I125" s="2231"/>
      <c r="J125" s="768" t="s">
        <v>1473</v>
      </c>
      <c r="K125" s="768" t="s">
        <v>1469</v>
      </c>
      <c r="L125" s="688">
        <v>24108</v>
      </c>
      <c r="M125" s="688">
        <v>24708</v>
      </c>
      <c r="N125" s="688">
        <v>27708</v>
      </c>
      <c r="O125" s="688">
        <v>27808</v>
      </c>
      <c r="P125" s="688">
        <v>27808</v>
      </c>
    </row>
    <row r="126" spans="1:16" s="517" customFormat="1" ht="12.75" customHeight="1" x14ac:dyDescent="0.2">
      <c r="A126" s="1747"/>
      <c r="B126" s="1747" t="s">
        <v>1477</v>
      </c>
      <c r="C126" s="1747"/>
      <c r="D126" s="1764" t="s">
        <v>2766</v>
      </c>
      <c r="E126" s="2231">
        <v>0</v>
      </c>
      <c r="F126" s="2231">
        <v>0</v>
      </c>
      <c r="G126" s="2231">
        <v>30149.5</v>
      </c>
      <c r="H126" s="2231">
        <v>1230732</v>
      </c>
      <c r="I126" s="2231">
        <v>1775565</v>
      </c>
      <c r="J126" s="768" t="s">
        <v>1472</v>
      </c>
      <c r="K126" s="768" t="s">
        <v>1218</v>
      </c>
      <c r="L126" s="688">
        <v>0</v>
      </c>
      <c r="M126" s="781">
        <v>15</v>
      </c>
      <c r="N126" s="781">
        <v>0</v>
      </c>
      <c r="O126" s="781">
        <v>0</v>
      </c>
      <c r="P126" s="781">
        <v>0</v>
      </c>
    </row>
    <row r="127" spans="1:16" s="517" customFormat="1" x14ac:dyDescent="0.2">
      <c r="A127" s="1747"/>
      <c r="B127" s="1747"/>
      <c r="C127" s="1747"/>
      <c r="D127" s="1764"/>
      <c r="E127" s="2231"/>
      <c r="F127" s="2231"/>
      <c r="G127" s="2231"/>
      <c r="H127" s="2231"/>
      <c r="I127" s="2231"/>
      <c r="J127" s="768" t="s">
        <v>1471</v>
      </c>
      <c r="K127" s="768" t="s">
        <v>17</v>
      </c>
      <c r="L127" s="688">
        <v>0</v>
      </c>
      <c r="M127" s="781">
        <v>0</v>
      </c>
      <c r="N127" s="781">
        <v>0</v>
      </c>
      <c r="O127" s="781">
        <v>0</v>
      </c>
      <c r="P127" s="781">
        <v>0</v>
      </c>
    </row>
    <row r="128" spans="1:16" s="517" customFormat="1" ht="33.75" customHeight="1" x14ac:dyDescent="0.2">
      <c r="A128" s="1747"/>
      <c r="B128" s="1747"/>
      <c r="C128" s="1747"/>
      <c r="D128" s="1764"/>
      <c r="E128" s="2231"/>
      <c r="F128" s="2231"/>
      <c r="G128" s="2231"/>
      <c r="H128" s="2231"/>
      <c r="I128" s="2231"/>
      <c r="J128" s="768" t="s">
        <v>1470</v>
      </c>
      <c r="K128" s="768" t="s">
        <v>1469</v>
      </c>
      <c r="L128" s="781">
        <v>23958</v>
      </c>
      <c r="M128" s="781">
        <v>24108</v>
      </c>
      <c r="N128" s="781">
        <v>24258</v>
      </c>
      <c r="O128" s="781">
        <v>24358</v>
      </c>
      <c r="P128" s="781">
        <v>24508</v>
      </c>
    </row>
    <row r="129" spans="1:16" s="517" customFormat="1" ht="13.5" customHeight="1" x14ac:dyDescent="0.2">
      <c r="A129" s="1747"/>
      <c r="B129" s="1747" t="s">
        <v>125</v>
      </c>
      <c r="C129" s="1747"/>
      <c r="D129" s="1764" t="s">
        <v>2767</v>
      </c>
      <c r="E129" s="2231">
        <v>1057611.5999999999</v>
      </c>
      <c r="F129" s="2231">
        <v>617717.9</v>
      </c>
      <c r="G129" s="2231">
        <v>620500</v>
      </c>
      <c r="H129" s="2231">
        <v>946364.5</v>
      </c>
      <c r="I129" s="2231">
        <v>2815288.4</v>
      </c>
      <c r="J129" s="768" t="s">
        <v>1472</v>
      </c>
      <c r="K129" s="768" t="s">
        <v>1218</v>
      </c>
      <c r="L129" s="688">
        <v>28</v>
      </c>
      <c r="M129" s="781">
        <v>10</v>
      </c>
      <c r="N129" s="781">
        <v>18</v>
      </c>
      <c r="O129" s="781">
        <v>16</v>
      </c>
      <c r="P129" s="781">
        <v>21</v>
      </c>
    </row>
    <row r="130" spans="1:16" s="517" customFormat="1" x14ac:dyDescent="0.2">
      <c r="A130" s="1747"/>
      <c r="B130" s="1747"/>
      <c r="C130" s="1747"/>
      <c r="D130" s="1764"/>
      <c r="E130" s="2231"/>
      <c r="F130" s="2231"/>
      <c r="G130" s="2231"/>
      <c r="H130" s="2231"/>
      <c r="I130" s="2231"/>
      <c r="J130" s="768" t="s">
        <v>1471</v>
      </c>
      <c r="K130" s="768" t="s">
        <v>17</v>
      </c>
      <c r="L130" s="688">
        <v>5</v>
      </c>
      <c r="M130" s="781">
        <v>15</v>
      </c>
      <c r="N130" s="781">
        <v>20</v>
      </c>
      <c r="O130" s="781">
        <v>25</v>
      </c>
      <c r="P130" s="781">
        <v>35</v>
      </c>
    </row>
    <row r="131" spans="1:16" s="517" customFormat="1" ht="27.75" customHeight="1" x14ac:dyDescent="0.2">
      <c r="A131" s="1747"/>
      <c r="B131" s="1747"/>
      <c r="C131" s="1747"/>
      <c r="D131" s="1764"/>
      <c r="E131" s="2231"/>
      <c r="F131" s="2231"/>
      <c r="G131" s="2231"/>
      <c r="H131" s="2231"/>
      <c r="I131" s="2231"/>
      <c r="J131" s="768" t="s">
        <v>1470</v>
      </c>
      <c r="K131" s="768" t="s">
        <v>1469</v>
      </c>
      <c r="L131" s="688">
        <v>2483.3000000000002</v>
      </c>
      <c r="M131" s="691">
        <v>2681.3</v>
      </c>
      <c r="N131" s="691">
        <v>2300</v>
      </c>
      <c r="O131" s="691">
        <v>3550</v>
      </c>
      <c r="P131" s="691">
        <v>3650</v>
      </c>
    </row>
    <row r="132" spans="1:16" s="517" customFormat="1" ht="12.75" customHeight="1" x14ac:dyDescent="0.2">
      <c r="A132" s="1747"/>
      <c r="B132" s="1747" t="s">
        <v>125</v>
      </c>
      <c r="C132" s="1747"/>
      <c r="D132" s="2304" t="s">
        <v>2768</v>
      </c>
      <c r="E132" s="2231">
        <v>376275.7</v>
      </c>
      <c r="F132" s="2231">
        <v>303150</v>
      </c>
      <c r="G132" s="2231">
        <v>170000</v>
      </c>
      <c r="H132" s="2231">
        <v>459850</v>
      </c>
      <c r="I132" s="2231">
        <v>123003.5</v>
      </c>
      <c r="J132" s="768" t="s">
        <v>1476</v>
      </c>
      <c r="K132" s="768" t="s">
        <v>17</v>
      </c>
      <c r="L132" s="688">
        <v>0</v>
      </c>
      <c r="M132" s="781">
        <v>0</v>
      </c>
      <c r="N132" s="503">
        <v>0.2</v>
      </c>
      <c r="O132" s="503">
        <v>0.3</v>
      </c>
      <c r="P132" s="781">
        <v>50</v>
      </c>
    </row>
    <row r="133" spans="1:16" s="517" customFormat="1" ht="23.25" customHeight="1" x14ac:dyDescent="0.2">
      <c r="A133" s="1747"/>
      <c r="B133" s="1747"/>
      <c r="C133" s="1747"/>
      <c r="D133" s="2304"/>
      <c r="E133" s="2231"/>
      <c r="F133" s="2231"/>
      <c r="G133" s="2231"/>
      <c r="H133" s="2231"/>
      <c r="I133" s="2231"/>
      <c r="J133" s="768" t="s">
        <v>1475</v>
      </c>
      <c r="K133" s="768" t="s">
        <v>17</v>
      </c>
      <c r="L133" s="688">
        <v>0</v>
      </c>
      <c r="M133" s="781">
        <v>0</v>
      </c>
      <c r="N133" s="503">
        <v>0</v>
      </c>
      <c r="O133" s="503">
        <v>0</v>
      </c>
      <c r="P133" s="503">
        <v>1</v>
      </c>
    </row>
    <row r="134" spans="1:16" s="517" customFormat="1" ht="12.75" customHeight="1" x14ac:dyDescent="0.2">
      <c r="A134" s="1747"/>
      <c r="B134" s="1747" t="s">
        <v>127</v>
      </c>
      <c r="C134" s="1747"/>
      <c r="D134" s="1905" t="s">
        <v>2769</v>
      </c>
      <c r="E134" s="2231">
        <v>1495081.2</v>
      </c>
      <c r="F134" s="2231">
        <v>2395800</v>
      </c>
      <c r="G134" s="2231">
        <v>1980500</v>
      </c>
      <c r="H134" s="2231">
        <v>1615331.5</v>
      </c>
      <c r="I134" s="2231">
        <v>639233.19999999995</v>
      </c>
      <c r="J134" s="768" t="s">
        <v>1472</v>
      </c>
      <c r="K134" s="768" t="s">
        <v>1218</v>
      </c>
      <c r="L134" s="688">
        <v>9.5</v>
      </c>
      <c r="M134" s="781">
        <v>23</v>
      </c>
      <c r="N134" s="781">
        <v>42.6</v>
      </c>
      <c r="O134" s="781">
        <v>25</v>
      </c>
      <c r="P134" s="781">
        <v>22.3</v>
      </c>
    </row>
    <row r="135" spans="1:16" s="517" customFormat="1" x14ac:dyDescent="0.2">
      <c r="A135" s="1747"/>
      <c r="B135" s="1747"/>
      <c r="C135" s="1747"/>
      <c r="D135" s="1905"/>
      <c r="E135" s="2231"/>
      <c r="F135" s="2231"/>
      <c r="G135" s="2231"/>
      <c r="H135" s="2231"/>
      <c r="I135" s="2231"/>
      <c r="J135" s="768" t="s">
        <v>1471</v>
      </c>
      <c r="K135" s="768" t="s">
        <v>17</v>
      </c>
      <c r="L135" s="688">
        <v>0</v>
      </c>
      <c r="M135" s="781">
        <v>5</v>
      </c>
      <c r="N135" s="781">
        <v>10</v>
      </c>
      <c r="O135" s="781">
        <v>0</v>
      </c>
      <c r="P135" s="781">
        <v>0</v>
      </c>
    </row>
    <row r="136" spans="1:16" s="517" customFormat="1" x14ac:dyDescent="0.2">
      <c r="A136" s="1747"/>
      <c r="B136" s="1747"/>
      <c r="C136" s="1747"/>
      <c r="D136" s="1905"/>
      <c r="E136" s="2231"/>
      <c r="F136" s="2231"/>
      <c r="G136" s="2231"/>
      <c r="H136" s="2231"/>
      <c r="I136" s="2231"/>
      <c r="J136" s="768" t="s">
        <v>1470</v>
      </c>
      <c r="K136" s="768" t="s">
        <v>1469</v>
      </c>
      <c r="L136" s="691">
        <v>29000</v>
      </c>
      <c r="M136" s="691">
        <v>30000</v>
      </c>
      <c r="N136" s="691">
        <v>32000</v>
      </c>
      <c r="O136" s="691">
        <v>0</v>
      </c>
      <c r="P136" s="691">
        <v>0</v>
      </c>
    </row>
    <row r="137" spans="1:16" s="517" customFormat="1" ht="12.75" customHeight="1" x14ac:dyDescent="0.2">
      <c r="A137" s="1747"/>
      <c r="B137" s="1747" t="s">
        <v>132</v>
      </c>
      <c r="C137" s="1747"/>
      <c r="D137" s="1764" t="s">
        <v>2770</v>
      </c>
      <c r="E137" s="2231">
        <v>5198433.2000000011</v>
      </c>
      <c r="F137" s="2231">
        <v>4864519.2</v>
      </c>
      <c r="G137" s="2231">
        <v>4764019.6500000004</v>
      </c>
      <c r="H137" s="2231">
        <v>3974284.65</v>
      </c>
      <c r="I137" s="2231">
        <v>545700</v>
      </c>
      <c r="J137" s="768" t="s">
        <v>1472</v>
      </c>
      <c r="K137" s="768" t="s">
        <v>1218</v>
      </c>
      <c r="L137" s="688">
        <v>64</v>
      </c>
      <c r="M137" s="781">
        <v>45</v>
      </c>
      <c r="N137" s="781">
        <v>82.7</v>
      </c>
      <c r="O137" s="781">
        <v>103</v>
      </c>
      <c r="P137" s="781">
        <v>37</v>
      </c>
    </row>
    <row r="138" spans="1:16" s="517" customFormat="1" x14ac:dyDescent="0.2">
      <c r="A138" s="1747"/>
      <c r="B138" s="1747"/>
      <c r="C138" s="1747"/>
      <c r="D138" s="1764"/>
      <c r="E138" s="2231"/>
      <c r="F138" s="2231"/>
      <c r="G138" s="2231"/>
      <c r="H138" s="2231"/>
      <c r="I138" s="2231"/>
      <c r="J138" s="768" t="s">
        <v>1471</v>
      </c>
      <c r="K138" s="768" t="s">
        <v>17</v>
      </c>
      <c r="L138" s="688">
        <v>0</v>
      </c>
      <c r="M138" s="781">
        <v>0</v>
      </c>
      <c r="N138" s="781">
        <v>10</v>
      </c>
      <c r="O138" s="781">
        <v>10</v>
      </c>
      <c r="P138" s="781">
        <v>18</v>
      </c>
    </row>
    <row r="139" spans="1:16" s="517" customFormat="1" x14ac:dyDescent="0.2">
      <c r="A139" s="1747"/>
      <c r="B139" s="1747"/>
      <c r="C139" s="1747"/>
      <c r="D139" s="1764"/>
      <c r="E139" s="2231"/>
      <c r="F139" s="2231"/>
      <c r="G139" s="2231"/>
      <c r="H139" s="2231"/>
      <c r="I139" s="2231"/>
      <c r="J139" s="768" t="s">
        <v>1470</v>
      </c>
      <c r="K139" s="768" t="s">
        <v>1469</v>
      </c>
      <c r="L139" s="691">
        <v>700</v>
      </c>
      <c r="M139" s="691">
        <v>825</v>
      </c>
      <c r="N139" s="691">
        <v>1150</v>
      </c>
      <c r="O139" s="691">
        <v>2750</v>
      </c>
      <c r="P139" s="691">
        <v>4333.3</v>
      </c>
    </row>
    <row r="140" spans="1:16" s="517" customFormat="1" ht="12.75" customHeight="1" x14ac:dyDescent="0.2">
      <c r="A140" s="1747"/>
      <c r="B140" s="1748" t="s">
        <v>132</v>
      </c>
      <c r="C140" s="1748"/>
      <c r="D140" s="1764" t="s">
        <v>2771</v>
      </c>
      <c r="E140" s="2231">
        <v>23060</v>
      </c>
      <c r="F140" s="2231">
        <v>9055.2999999999993</v>
      </c>
      <c r="G140" s="2231">
        <v>0</v>
      </c>
      <c r="H140" s="2231">
        <v>0</v>
      </c>
      <c r="I140" s="2231">
        <v>0</v>
      </c>
      <c r="J140" s="768" t="s">
        <v>1474</v>
      </c>
      <c r="K140" s="768" t="s">
        <v>1218</v>
      </c>
      <c r="L140" s="768">
        <v>30</v>
      </c>
      <c r="M140" s="768">
        <v>0</v>
      </c>
      <c r="N140" s="768">
        <v>0</v>
      </c>
      <c r="O140" s="768">
        <v>0</v>
      </c>
      <c r="P140" s="768">
        <v>0</v>
      </c>
    </row>
    <row r="141" spans="1:16" s="517" customFormat="1" x14ac:dyDescent="0.2">
      <c r="A141" s="1747"/>
      <c r="B141" s="1749"/>
      <c r="C141" s="1749"/>
      <c r="D141" s="1764"/>
      <c r="E141" s="2231"/>
      <c r="F141" s="2231"/>
      <c r="G141" s="2231"/>
      <c r="H141" s="2231"/>
      <c r="I141" s="2231"/>
      <c r="J141" s="768" t="s">
        <v>1471</v>
      </c>
      <c r="K141" s="768"/>
      <c r="L141" s="768">
        <v>0</v>
      </c>
      <c r="M141" s="768">
        <v>0</v>
      </c>
      <c r="N141" s="768">
        <v>0</v>
      </c>
      <c r="O141" s="768">
        <v>0</v>
      </c>
      <c r="P141" s="768">
        <v>0</v>
      </c>
    </row>
    <row r="142" spans="1:16" s="517" customFormat="1" x14ac:dyDescent="0.2">
      <c r="A142" s="1747"/>
      <c r="B142" s="1750"/>
      <c r="C142" s="1750"/>
      <c r="D142" s="1764"/>
      <c r="E142" s="2231"/>
      <c r="F142" s="2231"/>
      <c r="G142" s="2231"/>
      <c r="H142" s="2231"/>
      <c r="I142" s="2231"/>
      <c r="J142" s="768" t="s">
        <v>1473</v>
      </c>
      <c r="K142" s="768" t="s">
        <v>17</v>
      </c>
      <c r="L142" s="768">
        <v>0</v>
      </c>
      <c r="M142" s="768">
        <v>0</v>
      </c>
      <c r="N142" s="768">
        <v>0</v>
      </c>
      <c r="O142" s="768">
        <v>0</v>
      </c>
      <c r="P142" s="768">
        <v>0</v>
      </c>
    </row>
    <row r="143" spans="1:16" s="517" customFormat="1" ht="12.75" customHeight="1" x14ac:dyDescent="0.2">
      <c r="A143" s="1747"/>
      <c r="B143" s="1747" t="s">
        <v>74</v>
      </c>
      <c r="C143" s="1747"/>
      <c r="D143" s="1764" t="s">
        <v>2772</v>
      </c>
      <c r="E143" s="2231">
        <v>0</v>
      </c>
      <c r="F143" s="2231">
        <v>0</v>
      </c>
      <c r="G143" s="2231">
        <v>213588</v>
      </c>
      <c r="H143" s="2231">
        <v>211326.66</v>
      </c>
      <c r="I143" s="2231">
        <v>3119338.5</v>
      </c>
      <c r="J143" s="768" t="s">
        <v>1472</v>
      </c>
      <c r="K143" s="768" t="s">
        <v>1218</v>
      </c>
      <c r="L143" s="688">
        <v>0</v>
      </c>
      <c r="M143" s="781">
        <v>0</v>
      </c>
      <c r="N143" s="781">
        <v>10</v>
      </c>
      <c r="O143" s="781">
        <v>15</v>
      </c>
      <c r="P143" s="781">
        <v>12</v>
      </c>
    </row>
    <row r="144" spans="1:16" s="517" customFormat="1" x14ac:dyDescent="0.2">
      <c r="A144" s="1747"/>
      <c r="B144" s="1747"/>
      <c r="C144" s="1747"/>
      <c r="D144" s="1764"/>
      <c r="E144" s="2231"/>
      <c r="F144" s="2231"/>
      <c r="G144" s="2231"/>
      <c r="H144" s="2231"/>
      <c r="I144" s="2231"/>
      <c r="J144" s="768" t="s">
        <v>1471</v>
      </c>
      <c r="K144" s="768" t="s">
        <v>17</v>
      </c>
      <c r="L144" s="688">
        <v>0</v>
      </c>
      <c r="M144" s="781">
        <v>0</v>
      </c>
      <c r="N144" s="781">
        <v>0</v>
      </c>
      <c r="O144" s="781">
        <v>0</v>
      </c>
      <c r="P144" s="781">
        <v>0</v>
      </c>
    </row>
    <row r="145" spans="1:16" s="517" customFormat="1" ht="28.5" customHeight="1" x14ac:dyDescent="0.2">
      <c r="A145" s="1747"/>
      <c r="B145" s="1747"/>
      <c r="C145" s="1747"/>
      <c r="D145" s="1907"/>
      <c r="E145" s="2231"/>
      <c r="F145" s="2231"/>
      <c r="G145" s="2231"/>
      <c r="H145" s="2231"/>
      <c r="I145" s="2231"/>
      <c r="J145" s="768" t="s">
        <v>1470</v>
      </c>
      <c r="K145" s="768" t="s">
        <v>1469</v>
      </c>
      <c r="L145" s="781">
        <v>1500</v>
      </c>
      <c r="M145" s="781">
        <v>2000</v>
      </c>
      <c r="N145" s="781">
        <v>2200</v>
      </c>
      <c r="O145" s="781">
        <v>2500</v>
      </c>
      <c r="P145" s="781">
        <v>3000</v>
      </c>
    </row>
    <row r="146" spans="1:16" s="517" customFormat="1" ht="28.5" customHeight="1" x14ac:dyDescent="0.2">
      <c r="A146" s="1904" t="s">
        <v>169</v>
      </c>
      <c r="B146" s="1904"/>
      <c r="C146" s="2236"/>
      <c r="D146" s="2260" t="s">
        <v>2773</v>
      </c>
      <c r="E146" s="2234">
        <v>138348.20000000001</v>
      </c>
      <c r="F146" s="2235">
        <v>154480.4</v>
      </c>
      <c r="G146" s="2235">
        <v>120519.9</v>
      </c>
      <c r="H146" s="2235">
        <v>124757.54949999999</v>
      </c>
      <c r="I146" s="2235">
        <v>125877.91499999999</v>
      </c>
      <c r="J146" s="1731" t="s">
        <v>1468</v>
      </c>
      <c r="K146" s="2010" t="s">
        <v>1467</v>
      </c>
      <c r="L146" s="2235">
        <v>115</v>
      </c>
      <c r="M146" s="2235">
        <v>90</v>
      </c>
      <c r="N146" s="2235">
        <v>85</v>
      </c>
      <c r="O146" s="2235">
        <v>80</v>
      </c>
      <c r="P146" s="2235">
        <v>80</v>
      </c>
    </row>
    <row r="147" spans="1:16" s="517" customFormat="1" ht="12.75" customHeight="1" x14ac:dyDescent="0.2">
      <c r="A147" s="1904"/>
      <c r="B147" s="1904"/>
      <c r="C147" s="2236"/>
      <c r="D147" s="2261"/>
      <c r="E147" s="2234"/>
      <c r="F147" s="2235"/>
      <c r="G147" s="2235"/>
      <c r="H147" s="2235"/>
      <c r="I147" s="2235"/>
      <c r="J147" s="1731"/>
      <c r="K147" s="2010"/>
      <c r="L147" s="2235">
        <v>97</v>
      </c>
      <c r="M147" s="2235">
        <v>90</v>
      </c>
      <c r="N147" s="2235">
        <v>85</v>
      </c>
      <c r="O147" s="2235">
        <v>85</v>
      </c>
      <c r="P147" s="2235">
        <v>80</v>
      </c>
    </row>
    <row r="148" spans="1:16" s="517" customFormat="1" ht="45" customHeight="1" x14ac:dyDescent="0.2">
      <c r="A148" s="1904"/>
      <c r="B148" s="1904"/>
      <c r="C148" s="2236"/>
      <c r="D148" s="2261"/>
      <c r="E148" s="2234"/>
      <c r="F148" s="2235"/>
      <c r="G148" s="2235"/>
      <c r="H148" s="2235"/>
      <c r="I148" s="2235"/>
      <c r="J148" s="1731"/>
      <c r="K148" s="2010"/>
      <c r="L148" s="2235">
        <v>97</v>
      </c>
      <c r="M148" s="2235">
        <v>90</v>
      </c>
      <c r="N148" s="2235">
        <v>85</v>
      </c>
      <c r="O148" s="2235">
        <v>85</v>
      </c>
      <c r="P148" s="2235">
        <v>80</v>
      </c>
    </row>
    <row r="149" spans="1:16" s="517" customFormat="1" ht="78.75" customHeight="1" x14ac:dyDescent="0.2">
      <c r="A149" s="1904"/>
      <c r="B149" s="1904"/>
      <c r="C149" s="2236"/>
      <c r="D149" s="1030" t="s">
        <v>1466</v>
      </c>
      <c r="E149" s="2234"/>
      <c r="F149" s="2235"/>
      <c r="G149" s="2235"/>
      <c r="H149" s="2235"/>
      <c r="I149" s="2235"/>
      <c r="J149" s="1731"/>
      <c r="K149" s="2010"/>
      <c r="L149" s="2235">
        <v>97</v>
      </c>
      <c r="M149" s="2235">
        <v>90</v>
      </c>
      <c r="N149" s="2235">
        <v>85</v>
      </c>
      <c r="O149" s="2235">
        <v>85</v>
      </c>
      <c r="P149" s="2235">
        <v>80</v>
      </c>
    </row>
    <row r="150" spans="1:16" s="517" customFormat="1" ht="63" customHeight="1" x14ac:dyDescent="0.2">
      <c r="A150" s="1747"/>
      <c r="B150" s="1747" t="s">
        <v>123</v>
      </c>
      <c r="C150" s="1747"/>
      <c r="D150" s="1880" t="s">
        <v>2774</v>
      </c>
      <c r="E150" s="2257">
        <v>121495.5</v>
      </c>
      <c r="F150" s="2257">
        <v>107341.3</v>
      </c>
      <c r="G150" s="2257">
        <v>120519.9</v>
      </c>
      <c r="H150" s="2257">
        <v>124757.54949999999</v>
      </c>
      <c r="I150" s="2257">
        <v>125877.91499999999</v>
      </c>
      <c r="J150" s="768" t="s">
        <v>1465</v>
      </c>
      <c r="K150" s="816" t="s">
        <v>17</v>
      </c>
      <c r="L150" s="688">
        <v>87.3</v>
      </c>
      <c r="M150" s="688">
        <v>87.7</v>
      </c>
      <c r="N150" s="688">
        <v>88</v>
      </c>
      <c r="O150" s="688">
        <v>88.5</v>
      </c>
      <c r="P150" s="688">
        <v>88.5</v>
      </c>
    </row>
    <row r="151" spans="1:16" s="517" customFormat="1" ht="60" customHeight="1" x14ac:dyDescent="0.2">
      <c r="A151" s="1747"/>
      <c r="B151" s="1747"/>
      <c r="C151" s="1747"/>
      <c r="D151" s="1764"/>
      <c r="E151" s="2257"/>
      <c r="F151" s="2257"/>
      <c r="G151" s="2257"/>
      <c r="H151" s="2257"/>
      <c r="I151" s="2257"/>
      <c r="J151" s="768" t="s">
        <v>1464</v>
      </c>
      <c r="K151" s="816" t="s">
        <v>1463</v>
      </c>
      <c r="L151" s="691">
        <v>167300</v>
      </c>
      <c r="M151" s="691">
        <v>137000</v>
      </c>
      <c r="N151" s="691">
        <v>140000</v>
      </c>
      <c r="O151" s="691">
        <v>143000</v>
      </c>
      <c r="P151" s="691">
        <v>143000</v>
      </c>
    </row>
    <row r="152" spans="1:16" s="517" customFormat="1" ht="61.5" customHeight="1" x14ac:dyDescent="0.2">
      <c r="A152" s="694"/>
      <c r="B152" s="694" t="s">
        <v>125</v>
      </c>
      <c r="C152" s="694"/>
      <c r="D152" s="1016" t="s">
        <v>2775</v>
      </c>
      <c r="E152" s="808">
        <v>16852.7</v>
      </c>
      <c r="F152" s="808">
        <v>47139.1</v>
      </c>
      <c r="G152" s="808">
        <v>0</v>
      </c>
      <c r="H152" s="808">
        <v>0</v>
      </c>
      <c r="I152" s="808">
        <v>0</v>
      </c>
      <c r="J152" s="768" t="s">
        <v>2776</v>
      </c>
      <c r="K152" s="768" t="s">
        <v>2783</v>
      </c>
      <c r="L152" s="688">
        <v>6263</v>
      </c>
      <c r="M152" s="768" t="s">
        <v>1103</v>
      </c>
      <c r="N152" s="768" t="s">
        <v>1103</v>
      </c>
      <c r="O152" s="768" t="s">
        <v>1103</v>
      </c>
      <c r="P152" s="768" t="s">
        <v>1103</v>
      </c>
    </row>
    <row r="153" spans="1:16" s="517" customFormat="1" ht="14.25" customHeight="1" x14ac:dyDescent="0.2">
      <c r="A153" s="1904" t="s">
        <v>241</v>
      </c>
      <c r="B153" s="1904"/>
      <c r="C153" s="2236"/>
      <c r="D153" s="1031" t="s">
        <v>2777</v>
      </c>
      <c r="E153" s="2234">
        <v>209875.20000000001</v>
      </c>
      <c r="F153" s="2235">
        <v>225910.8</v>
      </c>
      <c r="G153" s="2235">
        <v>198073.9</v>
      </c>
      <c r="H153" s="2235">
        <v>200556.3</v>
      </c>
      <c r="I153" s="2235">
        <v>202586.3</v>
      </c>
      <c r="J153" s="1731" t="s">
        <v>1462</v>
      </c>
      <c r="K153" s="2010" t="s">
        <v>1461</v>
      </c>
      <c r="L153" s="2235" t="s">
        <v>1460</v>
      </c>
      <c r="M153" s="2235" t="s">
        <v>1460</v>
      </c>
      <c r="N153" s="2235" t="s">
        <v>1460</v>
      </c>
      <c r="O153" s="2235" t="s">
        <v>1460</v>
      </c>
      <c r="P153" s="2235" t="s">
        <v>1460</v>
      </c>
    </row>
    <row r="154" spans="1:16" s="517" customFormat="1" ht="55.5" customHeight="1" x14ac:dyDescent="0.2">
      <c r="A154" s="1904"/>
      <c r="B154" s="1904"/>
      <c r="C154" s="2236"/>
      <c r="D154" s="1030" t="s">
        <v>1459</v>
      </c>
      <c r="E154" s="2234"/>
      <c r="F154" s="2235"/>
      <c r="G154" s="2235"/>
      <c r="H154" s="2235"/>
      <c r="I154" s="2235"/>
      <c r="J154" s="1731"/>
      <c r="K154" s="2010"/>
      <c r="L154" s="2235"/>
      <c r="M154" s="2235"/>
      <c r="N154" s="2235"/>
      <c r="O154" s="2235"/>
      <c r="P154" s="2235"/>
    </row>
    <row r="155" spans="1:16" s="517" customFormat="1" ht="72" customHeight="1" x14ac:dyDescent="0.2">
      <c r="A155" s="1747"/>
      <c r="B155" s="1747" t="s">
        <v>123</v>
      </c>
      <c r="C155" s="1747"/>
      <c r="D155" s="1880" t="s">
        <v>2778</v>
      </c>
      <c r="E155" s="2231">
        <v>209875.20000000001</v>
      </c>
      <c r="F155" s="2231">
        <v>225910.8</v>
      </c>
      <c r="G155" s="2231">
        <v>198073.9</v>
      </c>
      <c r="H155" s="2231">
        <v>200556.3</v>
      </c>
      <c r="I155" s="2231">
        <v>202586.3</v>
      </c>
      <c r="J155" s="687" t="s">
        <v>1458</v>
      </c>
      <c r="K155" s="688" t="s">
        <v>17</v>
      </c>
      <c r="L155" s="256">
        <v>80</v>
      </c>
      <c r="M155" s="256">
        <v>82</v>
      </c>
      <c r="N155" s="256">
        <v>85</v>
      </c>
      <c r="O155" s="256">
        <v>88</v>
      </c>
      <c r="P155" s="256">
        <v>90</v>
      </c>
    </row>
    <row r="156" spans="1:16" s="517" customFormat="1" ht="74.25" customHeight="1" x14ac:dyDescent="0.2">
      <c r="A156" s="1747"/>
      <c r="B156" s="1747"/>
      <c r="C156" s="1747"/>
      <c r="D156" s="1907"/>
      <c r="E156" s="2231"/>
      <c r="F156" s="2231"/>
      <c r="G156" s="2231"/>
      <c r="H156" s="2231"/>
      <c r="I156" s="2231"/>
      <c r="J156" s="687" t="s">
        <v>1457</v>
      </c>
      <c r="K156" s="688" t="s">
        <v>17</v>
      </c>
      <c r="L156" s="256">
        <v>91.3</v>
      </c>
      <c r="M156" s="256">
        <v>85</v>
      </c>
      <c r="N156" s="256">
        <v>87</v>
      </c>
      <c r="O156" s="256">
        <v>90</v>
      </c>
      <c r="P156" s="256">
        <v>93</v>
      </c>
    </row>
    <row r="157" spans="1:16" s="517" customFormat="1" ht="12.75" customHeight="1" x14ac:dyDescent="0.2">
      <c r="A157" s="1904" t="s">
        <v>152</v>
      </c>
      <c r="B157" s="1994"/>
      <c r="C157" s="2036"/>
      <c r="D157" s="1032" t="s">
        <v>2779</v>
      </c>
      <c r="E157" s="2234">
        <v>55846</v>
      </c>
      <c r="F157" s="2235">
        <v>62380.700000000004</v>
      </c>
      <c r="G157" s="2235">
        <v>56458</v>
      </c>
      <c r="H157" s="2235">
        <v>61084.2</v>
      </c>
      <c r="I157" s="2235">
        <v>61204.2</v>
      </c>
      <c r="J157" s="1731" t="s">
        <v>1456</v>
      </c>
      <c r="K157" s="2010" t="s">
        <v>96</v>
      </c>
      <c r="L157" s="2010" t="s">
        <v>1455</v>
      </c>
      <c r="M157" s="2010" t="s">
        <v>1454</v>
      </c>
      <c r="N157" s="2010" t="s">
        <v>1453</v>
      </c>
      <c r="O157" s="2010" t="s">
        <v>1453</v>
      </c>
      <c r="P157" s="2010" t="s">
        <v>1453</v>
      </c>
    </row>
    <row r="158" spans="1:16" s="517" customFormat="1" ht="12.75" customHeight="1" x14ac:dyDescent="0.2">
      <c r="A158" s="1904"/>
      <c r="B158" s="1994"/>
      <c r="C158" s="2036"/>
      <c r="D158" s="2232" t="s">
        <v>1452</v>
      </c>
      <c r="E158" s="2234"/>
      <c r="F158" s="2235"/>
      <c r="G158" s="2235"/>
      <c r="H158" s="2235"/>
      <c r="I158" s="2235"/>
      <c r="J158" s="1731"/>
      <c r="K158" s="2010"/>
      <c r="L158" s="2010"/>
      <c r="M158" s="2010"/>
      <c r="N158" s="2010"/>
      <c r="O158" s="2010"/>
      <c r="P158" s="2010"/>
    </row>
    <row r="159" spans="1:16" s="517" customFormat="1" ht="12.75" customHeight="1" x14ac:dyDescent="0.2">
      <c r="A159" s="1904"/>
      <c r="B159" s="1994"/>
      <c r="C159" s="2036"/>
      <c r="D159" s="2232"/>
      <c r="E159" s="2234"/>
      <c r="F159" s="2235"/>
      <c r="G159" s="2235"/>
      <c r="H159" s="2235"/>
      <c r="I159" s="2235"/>
      <c r="J159" s="1731" t="s">
        <v>1451</v>
      </c>
      <c r="K159" s="2010" t="s">
        <v>17</v>
      </c>
      <c r="L159" s="2010">
        <v>70</v>
      </c>
      <c r="M159" s="2010">
        <v>75</v>
      </c>
      <c r="N159" s="2010">
        <v>85</v>
      </c>
      <c r="O159" s="2010">
        <v>85</v>
      </c>
      <c r="P159" s="2010">
        <v>85</v>
      </c>
    </row>
    <row r="160" spans="1:16" s="517" customFormat="1" ht="87" customHeight="1" x14ac:dyDescent="0.2">
      <c r="A160" s="1904"/>
      <c r="B160" s="1994"/>
      <c r="C160" s="2036"/>
      <c r="D160" s="2233"/>
      <c r="E160" s="2234"/>
      <c r="F160" s="2235"/>
      <c r="G160" s="2235"/>
      <c r="H160" s="2235"/>
      <c r="I160" s="2235"/>
      <c r="J160" s="1731"/>
      <c r="K160" s="2010"/>
      <c r="L160" s="2010"/>
      <c r="M160" s="2010"/>
      <c r="N160" s="2010"/>
      <c r="O160" s="2010"/>
      <c r="P160" s="2010"/>
    </row>
    <row r="161" spans="1:25" s="517" customFormat="1" ht="12.75" customHeight="1" x14ac:dyDescent="0.2">
      <c r="A161" s="1747"/>
      <c r="B161" s="1747" t="s">
        <v>123</v>
      </c>
      <c r="C161" s="2228"/>
      <c r="D161" s="2229" t="s">
        <v>2780</v>
      </c>
      <c r="E161" s="2231">
        <v>12438.1</v>
      </c>
      <c r="F161" s="2231">
        <v>13312.5</v>
      </c>
      <c r="G161" s="2231">
        <v>12436</v>
      </c>
      <c r="H161" s="2231">
        <v>12671</v>
      </c>
      <c r="I161" s="2231">
        <v>12791</v>
      </c>
      <c r="J161" s="1764" t="s">
        <v>1450</v>
      </c>
      <c r="K161" s="1846" t="s">
        <v>96</v>
      </c>
      <c r="L161" s="1846">
        <v>43</v>
      </c>
      <c r="M161" s="1846">
        <v>48</v>
      </c>
      <c r="N161" s="1846">
        <v>60</v>
      </c>
      <c r="O161" s="1846">
        <v>60</v>
      </c>
      <c r="P161" s="1846">
        <v>60</v>
      </c>
    </row>
    <row r="162" spans="1:25" s="517" customFormat="1" ht="81" customHeight="1" x14ac:dyDescent="0.2">
      <c r="A162" s="1747"/>
      <c r="B162" s="1747"/>
      <c r="C162" s="2228"/>
      <c r="D162" s="2230"/>
      <c r="E162" s="2231"/>
      <c r="F162" s="2231"/>
      <c r="G162" s="2231"/>
      <c r="H162" s="2231"/>
      <c r="I162" s="2231"/>
      <c r="J162" s="1764"/>
      <c r="K162" s="1846"/>
      <c r="L162" s="1846"/>
      <c r="M162" s="1846"/>
      <c r="N162" s="1846"/>
      <c r="O162" s="1846"/>
      <c r="P162" s="1846"/>
      <c r="Y162" s="592"/>
    </row>
    <row r="163" spans="1:25" s="517" customFormat="1" ht="72.75" customHeight="1" x14ac:dyDescent="0.2">
      <c r="A163" s="694"/>
      <c r="B163" s="694" t="s">
        <v>125</v>
      </c>
      <c r="C163" s="816"/>
      <c r="D163" s="817" t="s">
        <v>2781</v>
      </c>
      <c r="E163" s="781">
        <v>21059.9</v>
      </c>
      <c r="F163" s="781">
        <v>20305.3</v>
      </c>
      <c r="G163" s="781">
        <v>21566.400000000001</v>
      </c>
      <c r="H163" s="781">
        <v>21512</v>
      </c>
      <c r="I163" s="781">
        <v>21512</v>
      </c>
      <c r="J163" s="1764" t="s">
        <v>1449</v>
      </c>
      <c r="K163" s="1846" t="s">
        <v>96</v>
      </c>
      <c r="L163" s="1846">
        <v>154</v>
      </c>
      <c r="M163" s="1846">
        <v>237</v>
      </c>
      <c r="N163" s="1846">
        <v>324</v>
      </c>
      <c r="O163" s="1846">
        <v>310</v>
      </c>
      <c r="P163" s="1846">
        <v>310</v>
      </c>
    </row>
    <row r="164" spans="1:25" s="585" customFormat="1" ht="69.75" customHeight="1" x14ac:dyDescent="0.2">
      <c r="A164" s="694"/>
      <c r="B164" s="694" t="s">
        <v>127</v>
      </c>
      <c r="C164" s="816"/>
      <c r="D164" s="591" t="s">
        <v>2782</v>
      </c>
      <c r="E164" s="781">
        <v>22348</v>
      </c>
      <c r="F164" s="781">
        <v>28762.9</v>
      </c>
      <c r="G164" s="781">
        <v>22455.599999999999</v>
      </c>
      <c r="H164" s="781">
        <v>26901.200000000001</v>
      </c>
      <c r="I164" s="781">
        <v>26901.200000000001</v>
      </c>
      <c r="J164" s="1764"/>
      <c r="K164" s="1846"/>
      <c r="L164" s="1846"/>
      <c r="M164" s="1846"/>
      <c r="N164" s="1846"/>
      <c r="O164" s="1846"/>
      <c r="P164" s="1846"/>
      <c r="Q164" s="587"/>
      <c r="R164" s="586"/>
      <c r="S164" s="586"/>
    </row>
    <row r="165" spans="1:25" x14ac:dyDescent="0.2">
      <c r="A165" s="2225" t="s">
        <v>64</v>
      </c>
      <c r="B165" s="2226"/>
      <c r="C165" s="2226"/>
      <c r="D165" s="2227"/>
      <c r="E165" s="1033">
        <v>10798548.5</v>
      </c>
      <c r="F165" s="1033">
        <v>10936265.400000002</v>
      </c>
      <c r="G165" s="1033">
        <v>9153386.6720000021</v>
      </c>
      <c r="H165" s="1033">
        <v>9538939.2815000005</v>
      </c>
      <c r="I165" s="1033">
        <v>10128361.837000001</v>
      </c>
      <c r="J165" s="589"/>
      <c r="K165" s="588"/>
      <c r="L165" s="586"/>
      <c r="M165" s="586"/>
      <c r="N165" s="586"/>
      <c r="O165" s="586"/>
      <c r="P165" s="586"/>
    </row>
  </sheetData>
  <mergeCells count="405">
    <mergeCell ref="F22:F26"/>
    <mergeCell ref="G22:G26"/>
    <mergeCell ref="F29:F37"/>
    <mergeCell ref="G29:G37"/>
    <mergeCell ref="H29:H37"/>
    <mergeCell ref="G72:G78"/>
    <mergeCell ref="H72:H78"/>
    <mergeCell ref="I82:I88"/>
    <mergeCell ref="P97:P99"/>
    <mergeCell ref="A11:P11"/>
    <mergeCell ref="P12:P13"/>
    <mergeCell ref="E12:E15"/>
    <mergeCell ref="F12:F15"/>
    <mergeCell ref="G12:G15"/>
    <mergeCell ref="H12:H15"/>
    <mergeCell ref="I12:I15"/>
    <mergeCell ref="J12:J13"/>
    <mergeCell ref="K12:K13"/>
    <mergeCell ref="L12:L13"/>
    <mergeCell ref="M12:M13"/>
    <mergeCell ref="N12:N13"/>
    <mergeCell ref="A12:A15"/>
    <mergeCell ref="B12:B15"/>
    <mergeCell ref="C12:C15"/>
    <mergeCell ref="O12:O13"/>
    <mergeCell ref="D12:D15"/>
    <mergeCell ref="A143:A145"/>
    <mergeCell ref="B143:B145"/>
    <mergeCell ref="C143:C145"/>
    <mergeCell ref="D143:D145"/>
    <mergeCell ref="A146:A149"/>
    <mergeCell ref="B146:B149"/>
    <mergeCell ref="C146:C149"/>
    <mergeCell ref="D146:D148"/>
    <mergeCell ref="A134:A136"/>
    <mergeCell ref="B134:B136"/>
    <mergeCell ref="C134:C136"/>
    <mergeCell ref="D134:D136"/>
    <mergeCell ref="A137:A139"/>
    <mergeCell ref="B137:B139"/>
    <mergeCell ref="C137:C139"/>
    <mergeCell ref="D137:D139"/>
    <mergeCell ref="A140:A142"/>
    <mergeCell ref="D140:D142"/>
    <mergeCell ref="C129:C131"/>
    <mergeCell ref="D129:D131"/>
    <mergeCell ref="D120:D122"/>
    <mergeCell ref="A123:A125"/>
    <mergeCell ref="D123:D125"/>
    <mergeCell ref="A119:A122"/>
    <mergeCell ref="B119:B122"/>
    <mergeCell ref="C119:C122"/>
    <mergeCell ref="A132:A133"/>
    <mergeCell ref="B132:B133"/>
    <mergeCell ref="C132:C133"/>
    <mergeCell ref="D132:D133"/>
    <mergeCell ref="A126:A128"/>
    <mergeCell ref="B126:B128"/>
    <mergeCell ref="C126:C128"/>
    <mergeCell ref="D126:D128"/>
    <mergeCell ref="A129:A131"/>
    <mergeCell ref="B129:B131"/>
    <mergeCell ref="A107:A108"/>
    <mergeCell ref="B107:B108"/>
    <mergeCell ref="C107:C108"/>
    <mergeCell ref="D107:D108"/>
    <mergeCell ref="A111:A112"/>
    <mergeCell ref="B111:B112"/>
    <mergeCell ref="C111:C112"/>
    <mergeCell ref="D111:D112"/>
    <mergeCell ref="A115:A116"/>
    <mergeCell ref="B115:B116"/>
    <mergeCell ref="C115:C116"/>
    <mergeCell ref="D115:D116"/>
    <mergeCell ref="A113:A114"/>
    <mergeCell ref="B113:B114"/>
    <mergeCell ref="C113:C114"/>
    <mergeCell ref="D113:D114"/>
    <mergeCell ref="A104:A106"/>
    <mergeCell ref="B104:B106"/>
    <mergeCell ref="C104:C106"/>
    <mergeCell ref="D104:D105"/>
    <mergeCell ref="E97:E100"/>
    <mergeCell ref="F97:F100"/>
    <mergeCell ref="G97:G100"/>
    <mergeCell ref="H97:H100"/>
    <mergeCell ref="I97:I100"/>
    <mergeCell ref="A97:A100"/>
    <mergeCell ref="B97:B100"/>
    <mergeCell ref="C97:C100"/>
    <mergeCell ref="D97:D98"/>
    <mergeCell ref="D99:D100"/>
    <mergeCell ref="E101:E103"/>
    <mergeCell ref="E104:E106"/>
    <mergeCell ref="F104:F106"/>
    <mergeCell ref="G104:G106"/>
    <mergeCell ref="H104:H106"/>
    <mergeCell ref="I104:I106"/>
    <mergeCell ref="A6:D6"/>
    <mergeCell ref="K8:K10"/>
    <mergeCell ref="L8:L9"/>
    <mergeCell ref="M8:P9"/>
    <mergeCell ref="A96:P96"/>
    <mergeCell ref="A8:A10"/>
    <mergeCell ref="B8:B10"/>
    <mergeCell ref="C8:C10"/>
    <mergeCell ref="D8:D10"/>
    <mergeCell ref="A22:A26"/>
    <mergeCell ref="H27:H28"/>
    <mergeCell ref="I27:I28"/>
    <mergeCell ref="I29:I37"/>
    <mergeCell ref="D27:D28"/>
    <mergeCell ref="A39:A43"/>
    <mergeCell ref="B39:B43"/>
    <mergeCell ref="C39:C43"/>
    <mergeCell ref="I72:I78"/>
    <mergeCell ref="A29:A37"/>
    <mergeCell ref="J8:J10"/>
    <mergeCell ref="E8:I9"/>
    <mergeCell ref="B22:B26"/>
    <mergeCell ref="C22:C26"/>
    <mergeCell ref="D22:D26"/>
    <mergeCell ref="A27:A28"/>
    <mergeCell ref="B27:B28"/>
    <mergeCell ref="C27:C28"/>
    <mergeCell ref="E27:E28"/>
    <mergeCell ref="F27:F28"/>
    <mergeCell ref="G27:G28"/>
    <mergeCell ref="E22:E26"/>
    <mergeCell ref="I79:I81"/>
    <mergeCell ref="D29:D37"/>
    <mergeCell ref="A72:A78"/>
    <mergeCell ref="B72:B78"/>
    <mergeCell ref="C72:C78"/>
    <mergeCell ref="D72:D78"/>
    <mergeCell ref="E72:E78"/>
    <mergeCell ref="F72:F78"/>
    <mergeCell ref="A79:A81"/>
    <mergeCell ref="B79:B81"/>
    <mergeCell ref="C79:C81"/>
    <mergeCell ref="D79:D81"/>
    <mergeCell ref="E79:E81"/>
    <mergeCell ref="F79:F81"/>
    <mergeCell ref="B29:B37"/>
    <mergeCell ref="C29:C37"/>
    <mergeCell ref="E29:E37"/>
    <mergeCell ref="A82:A88"/>
    <mergeCell ref="B82:B88"/>
    <mergeCell ref="C82:C88"/>
    <mergeCell ref="D82:D88"/>
    <mergeCell ref="E82:E88"/>
    <mergeCell ref="F82:F88"/>
    <mergeCell ref="G82:G88"/>
    <mergeCell ref="H82:H88"/>
    <mergeCell ref="G79:G81"/>
    <mergeCell ref="H79:H81"/>
    <mergeCell ref="A89:A92"/>
    <mergeCell ref="B89:B92"/>
    <mergeCell ref="C89:C92"/>
    <mergeCell ref="D89:D92"/>
    <mergeCell ref="E89:E92"/>
    <mergeCell ref="F89:F92"/>
    <mergeCell ref="G89:G92"/>
    <mergeCell ref="H89:H92"/>
    <mergeCell ref="I89:I92"/>
    <mergeCell ref="A95:D95"/>
    <mergeCell ref="K95:P95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P104:P105"/>
    <mergeCell ref="J97:J99"/>
    <mergeCell ref="P107:P108"/>
    <mergeCell ref="E111:E112"/>
    <mergeCell ref="F111:F112"/>
    <mergeCell ref="G111:G112"/>
    <mergeCell ref="H111:H112"/>
    <mergeCell ref="I111:I112"/>
    <mergeCell ref="P111:P112"/>
    <mergeCell ref="E107:E108"/>
    <mergeCell ref="F107:F108"/>
    <mergeCell ref="G107:G108"/>
    <mergeCell ref="H107:H108"/>
    <mergeCell ref="I107:I108"/>
    <mergeCell ref="J107:J112"/>
    <mergeCell ref="K107:K108"/>
    <mergeCell ref="L107:L108"/>
    <mergeCell ref="M107:M108"/>
    <mergeCell ref="N107:N108"/>
    <mergeCell ref="O107:O108"/>
    <mergeCell ref="K111:K112"/>
    <mergeCell ref="L111:L112"/>
    <mergeCell ref="M111:M112"/>
    <mergeCell ref="N111:N112"/>
    <mergeCell ref="I115:I116"/>
    <mergeCell ref="E123:E125"/>
    <mergeCell ref="F123:F125"/>
    <mergeCell ref="G123:G125"/>
    <mergeCell ref="H123:H125"/>
    <mergeCell ref="I123:I125"/>
    <mergeCell ref="P119:P122"/>
    <mergeCell ref="E113:E114"/>
    <mergeCell ref="F113:F114"/>
    <mergeCell ref="G113:G114"/>
    <mergeCell ref="H113:H114"/>
    <mergeCell ref="I113:I114"/>
    <mergeCell ref="E115:E116"/>
    <mergeCell ref="F115:F116"/>
    <mergeCell ref="G115:G116"/>
    <mergeCell ref="H115:H116"/>
    <mergeCell ref="E119:E122"/>
    <mergeCell ref="F119:F122"/>
    <mergeCell ref="G119:G122"/>
    <mergeCell ref="H119:H122"/>
    <mergeCell ref="I119:I122"/>
    <mergeCell ref="J119:J122"/>
    <mergeCell ref="I134:I136"/>
    <mergeCell ref="E126:E128"/>
    <mergeCell ref="F126:F128"/>
    <mergeCell ref="G126:G128"/>
    <mergeCell ref="H126:H128"/>
    <mergeCell ref="I126:I128"/>
    <mergeCell ref="E129:E131"/>
    <mergeCell ref="F129:F131"/>
    <mergeCell ref="G129:G131"/>
    <mergeCell ref="H129:H131"/>
    <mergeCell ref="I129:I131"/>
    <mergeCell ref="P153:P154"/>
    <mergeCell ref="P146:P149"/>
    <mergeCell ref="E140:E142"/>
    <mergeCell ref="F140:F142"/>
    <mergeCell ref="G140:G142"/>
    <mergeCell ref="H140:H142"/>
    <mergeCell ref="I140:I142"/>
    <mergeCell ref="H143:H145"/>
    <mergeCell ref="I143:I145"/>
    <mergeCell ref="E150:E151"/>
    <mergeCell ref="F150:F151"/>
    <mergeCell ref="G150:G151"/>
    <mergeCell ref="H150:H151"/>
    <mergeCell ref="I150:I151"/>
    <mergeCell ref="J146:J149"/>
    <mergeCell ref="E143:E145"/>
    <mergeCell ref="F143:F145"/>
    <mergeCell ref="G143:G145"/>
    <mergeCell ref="E146:E149"/>
    <mergeCell ref="F146:F149"/>
    <mergeCell ref="G146:G149"/>
    <mergeCell ref="H146:H149"/>
    <mergeCell ref="I146:I149"/>
    <mergeCell ref="F39:F43"/>
    <mergeCell ref="G39:G43"/>
    <mergeCell ref="H39:H43"/>
    <mergeCell ref="I39:I43"/>
    <mergeCell ref="D51:D55"/>
    <mergeCell ref="E51:E55"/>
    <mergeCell ref="F51:F55"/>
    <mergeCell ref="G45:G48"/>
    <mergeCell ref="H45:H48"/>
    <mergeCell ref="I45:I48"/>
    <mergeCell ref="H51:H55"/>
    <mergeCell ref="I51:I55"/>
    <mergeCell ref="F45:F48"/>
    <mergeCell ref="G51:G55"/>
    <mergeCell ref="A45:A48"/>
    <mergeCell ref="B45:B48"/>
    <mergeCell ref="C45:C48"/>
    <mergeCell ref="D45:D48"/>
    <mergeCell ref="E45:E48"/>
    <mergeCell ref="A51:A55"/>
    <mergeCell ref="B51:B55"/>
    <mergeCell ref="C51:C55"/>
    <mergeCell ref="D39:D43"/>
    <mergeCell ref="E39:E43"/>
    <mergeCell ref="F56:F67"/>
    <mergeCell ref="G56:G67"/>
    <mergeCell ref="H56:H67"/>
    <mergeCell ref="I56:I67"/>
    <mergeCell ref="A56:A67"/>
    <mergeCell ref="B56:B67"/>
    <mergeCell ref="C56:C67"/>
    <mergeCell ref="D56:D67"/>
    <mergeCell ref="E56:E67"/>
    <mergeCell ref="H23:H26"/>
    <mergeCell ref="I23:I26"/>
    <mergeCell ref="K97:K99"/>
    <mergeCell ref="L97:L99"/>
    <mergeCell ref="M97:M99"/>
    <mergeCell ref="N97:N99"/>
    <mergeCell ref="O97:O99"/>
    <mergeCell ref="K104:K105"/>
    <mergeCell ref="L104:L105"/>
    <mergeCell ref="M104:M105"/>
    <mergeCell ref="N104:N105"/>
    <mergeCell ref="O104:O105"/>
    <mergeCell ref="J104:J105"/>
    <mergeCell ref="O111:O112"/>
    <mergeCell ref="K119:K122"/>
    <mergeCell ref="L119:L122"/>
    <mergeCell ref="M119:M122"/>
    <mergeCell ref="N119:N122"/>
    <mergeCell ref="O119:O122"/>
    <mergeCell ref="B123:B125"/>
    <mergeCell ref="C123:C125"/>
    <mergeCell ref="B140:B142"/>
    <mergeCell ref="C140:C142"/>
    <mergeCell ref="E137:E139"/>
    <mergeCell ref="F137:F139"/>
    <mergeCell ref="G137:G139"/>
    <mergeCell ref="H137:H139"/>
    <mergeCell ref="I137:I139"/>
    <mergeCell ref="E132:E133"/>
    <mergeCell ref="F132:F133"/>
    <mergeCell ref="G132:G133"/>
    <mergeCell ref="H132:H133"/>
    <mergeCell ref="I132:I133"/>
    <mergeCell ref="E134:E136"/>
    <mergeCell ref="F134:F136"/>
    <mergeCell ref="G134:G136"/>
    <mergeCell ref="H134:H136"/>
    <mergeCell ref="K146:K149"/>
    <mergeCell ref="L146:L149"/>
    <mergeCell ref="M146:M149"/>
    <mergeCell ref="N146:N149"/>
    <mergeCell ref="O146:O149"/>
    <mergeCell ref="A153:A154"/>
    <mergeCell ref="B153:B154"/>
    <mergeCell ref="C153:C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A150:A151"/>
    <mergeCell ref="B150:B151"/>
    <mergeCell ref="C150:C151"/>
    <mergeCell ref="D150:D151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A157:A160"/>
    <mergeCell ref="B157:B160"/>
    <mergeCell ref="C157:C160"/>
    <mergeCell ref="E157:E160"/>
    <mergeCell ref="F157:F160"/>
    <mergeCell ref="G157:G160"/>
    <mergeCell ref="H157:H160"/>
    <mergeCell ref="I157:I160"/>
    <mergeCell ref="J157:J158"/>
    <mergeCell ref="K157:K158"/>
    <mergeCell ref="L157:L158"/>
    <mergeCell ref="M157:M158"/>
    <mergeCell ref="N157:N158"/>
    <mergeCell ref="O157:O158"/>
    <mergeCell ref="P157:P158"/>
    <mergeCell ref="D158:D160"/>
    <mergeCell ref="J159:J160"/>
    <mergeCell ref="K159:K160"/>
    <mergeCell ref="L159:L160"/>
    <mergeCell ref="M159:M160"/>
    <mergeCell ref="N159:N160"/>
    <mergeCell ref="O159:O160"/>
    <mergeCell ref="P159:P160"/>
    <mergeCell ref="A165:D165"/>
    <mergeCell ref="J161:J162"/>
    <mergeCell ref="K161:K162"/>
    <mergeCell ref="L161:L162"/>
    <mergeCell ref="M161:M162"/>
    <mergeCell ref="N161:N162"/>
    <mergeCell ref="O161:O162"/>
    <mergeCell ref="P161:P162"/>
    <mergeCell ref="J163:J164"/>
    <mergeCell ref="K163:K164"/>
    <mergeCell ref="L163:L164"/>
    <mergeCell ref="M163:M164"/>
    <mergeCell ref="N163:N164"/>
    <mergeCell ref="O163:O164"/>
    <mergeCell ref="P163:P164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  <rowBreaks count="2" manualBreakCount="2">
    <brk id="55" max="15" man="1"/>
    <brk id="118" max="15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5E7BD72-DF3F-4BE9-AD85-B82633AFB4C2}"/>
</file>

<file path=customXml/itemProps2.xml><?xml version="1.0" encoding="utf-8"?>
<ds:datastoreItem xmlns:ds="http://schemas.openxmlformats.org/officeDocument/2006/customXml" ds:itemID="{67CA669B-F4A8-4D70-8C6C-5C1EE639AA19}"/>
</file>

<file path=customXml/itemProps3.xml><?xml version="1.0" encoding="utf-8"?>
<ds:datastoreItem xmlns:ds="http://schemas.openxmlformats.org/officeDocument/2006/customXml" ds:itemID="{D43AFCAC-AC9E-4D9C-BE9B-77E0ED1101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Приложение 11</vt:lpstr>
      <vt:lpstr>приложение 11-2</vt:lpstr>
      <vt:lpstr>'Приложение 11'!Заголовки_для_печати</vt:lpstr>
      <vt:lpstr>'приложение 11-2'!Заголовки_для_печати</vt:lpstr>
      <vt:lpstr>'Приложение 11'!Область_печати</vt:lpstr>
      <vt:lpstr>'приложение 11-2'!Область_печати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 Сервис</dc:creator>
  <cp:lastModifiedBy>Айдарбек уулу Талас</cp:lastModifiedBy>
  <cp:lastPrinted>2020-12-23T15:14:59Z</cp:lastPrinted>
  <dcterms:created xsi:type="dcterms:W3CDTF">2020-09-27T19:10:26Z</dcterms:created>
  <dcterms:modified xsi:type="dcterms:W3CDTF">2020-12-23T15:26:35Z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