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0" yWindow="0" windowWidth="14145" windowHeight="12840"/>
  </bookViews>
  <sheets>
    <sheet name="Тиркеме 11" sheetId="5" r:id="rId1"/>
  </sheets>
  <externalReferences>
    <externalReference r:id="rId2"/>
  </externalReferences>
  <definedNames>
    <definedName name="Items">[1]Lists!$D$2:$D$297</definedName>
    <definedName name="_xlnm.Print_Titles" localSheetId="0">'Тиркеме 11'!$5:$7</definedName>
    <definedName name="_xlnm.Print_Area" localSheetId="0">'Тиркеме 11'!$B$1:$R$1096</definedName>
  </definedNames>
  <calcPr calcId="144525"/>
</workbook>
</file>

<file path=xl/calcChain.xml><?xml version="1.0" encoding="utf-8"?>
<calcChain xmlns="http://schemas.openxmlformats.org/spreadsheetml/2006/main">
  <c r="K375" i="5" l="1"/>
  <c r="J375" i="5"/>
  <c r="K384" i="5" l="1"/>
  <c r="J384" i="5"/>
  <c r="N826" i="5" l="1"/>
  <c r="O826" i="5"/>
  <c r="P826" i="5"/>
  <c r="Q826" i="5"/>
  <c r="R826" i="5"/>
  <c r="O469" i="5" l="1"/>
  <c r="P469" i="5" s="1"/>
  <c r="Q469" i="5" s="1"/>
  <c r="R469" i="5" s="1"/>
  <c r="R454" i="5"/>
  <c r="Q454" i="5"/>
  <c r="P454" i="5"/>
  <c r="O454" i="5"/>
  <c r="R230" i="5"/>
  <c r="Q230" i="5"/>
  <c r="P230" i="5"/>
  <c r="O230" i="5"/>
  <c r="N230" i="5"/>
  <c r="P225" i="5"/>
  <c r="Q225" i="5" s="1"/>
  <c r="R225" i="5" s="1"/>
  <c r="P224" i="5"/>
  <c r="Q224" i="5" s="1"/>
  <c r="R224" i="5" s="1"/>
  <c r="P223" i="5"/>
  <c r="Q223" i="5" s="1"/>
  <c r="R223" i="5" s="1"/>
  <c r="P222" i="5"/>
  <c r="Q222" i="5" s="1"/>
  <c r="O220" i="5"/>
  <c r="N220" i="5"/>
  <c r="I383" i="5"/>
  <c r="R56" i="5"/>
  <c r="Q56" i="5"/>
  <c r="P56" i="5"/>
  <c r="O56" i="5"/>
  <c r="N56" i="5"/>
  <c r="R55" i="5"/>
  <c r="Q55" i="5"/>
  <c r="P55" i="5"/>
  <c r="O55" i="5"/>
  <c r="N55" i="5"/>
  <c r="R54" i="5"/>
  <c r="Q54" i="5"/>
  <c r="P54" i="5"/>
  <c r="O54" i="5"/>
  <c r="N54" i="5"/>
  <c r="P52" i="5"/>
  <c r="O52" i="5"/>
  <c r="R49" i="5"/>
  <c r="Q49" i="5"/>
  <c r="P49" i="5"/>
  <c r="O49" i="5"/>
  <c r="N49" i="5"/>
  <c r="R48" i="5"/>
  <c r="Q48" i="5"/>
  <c r="P48" i="5"/>
  <c r="O48" i="5"/>
  <c r="R45" i="5"/>
  <c r="R44" i="5" s="1"/>
  <c r="Q45" i="5"/>
  <c r="Q44" i="5" s="1"/>
  <c r="P45" i="5"/>
  <c r="O45" i="5"/>
  <c r="N45" i="5"/>
  <c r="P44" i="5"/>
  <c r="O44" i="5"/>
  <c r="N44" i="5"/>
  <c r="R43" i="5"/>
  <c r="Q43" i="5"/>
  <c r="P43" i="5"/>
  <c r="O43" i="5"/>
  <c r="N43" i="5"/>
  <c r="R42" i="5"/>
  <c r="Q42" i="5"/>
  <c r="P42" i="5"/>
  <c r="O42" i="5"/>
  <c r="N42" i="5"/>
  <c r="R41" i="5"/>
  <c r="Q41" i="5"/>
  <c r="P41" i="5"/>
  <c r="O41" i="5"/>
  <c r="N41" i="5"/>
  <c r="R40" i="5"/>
  <c r="Q40" i="5"/>
  <c r="P40" i="5"/>
  <c r="O40" i="5"/>
  <c r="N40" i="5"/>
  <c r="R39" i="5"/>
  <c r="Q39" i="5"/>
  <c r="P39" i="5"/>
  <c r="O39" i="5"/>
  <c r="N39" i="5"/>
  <c r="R38" i="5"/>
  <c r="Q38" i="5"/>
  <c r="P38" i="5"/>
  <c r="O38" i="5"/>
  <c r="N38" i="5"/>
  <c r="K24" i="5"/>
  <c r="J24" i="5"/>
  <c r="I24" i="5"/>
  <c r="O21" i="5"/>
  <c r="P21" i="5" s="1"/>
  <c r="Q21" i="5" s="1"/>
  <c r="R21" i="5" s="1"/>
  <c r="O19" i="5"/>
  <c r="P19" i="5" s="1"/>
  <c r="Q19" i="5" s="1"/>
  <c r="R19" i="5" s="1"/>
  <c r="O17" i="5"/>
  <c r="R17" i="5" s="1"/>
  <c r="N17" i="5"/>
  <c r="R222" i="5" l="1"/>
  <c r="R220" i="5" s="1"/>
  <c r="Q220" i="5"/>
  <c r="P220" i="5"/>
  <c r="P17" i="5"/>
  <c r="Q17" i="5"/>
  <c r="K914" i="5"/>
  <c r="J914" i="5"/>
  <c r="I914" i="5"/>
  <c r="H914" i="5"/>
  <c r="G914" i="5"/>
  <c r="K911" i="5"/>
  <c r="J911" i="5"/>
  <c r="I911" i="5"/>
  <c r="H911" i="5"/>
  <c r="G911" i="5"/>
  <c r="K919" i="5"/>
  <c r="J919" i="5"/>
  <c r="I919" i="5"/>
  <c r="H919" i="5"/>
  <c r="G919" i="5"/>
  <c r="K939" i="5"/>
  <c r="J939" i="5"/>
  <c r="I939" i="5"/>
  <c r="K938" i="5"/>
  <c r="J938" i="5"/>
  <c r="K937" i="5"/>
  <c r="J937" i="5"/>
  <c r="J936" i="5" s="1"/>
  <c r="H937" i="5"/>
  <c r="H936" i="5" s="1"/>
  <c r="I936" i="5"/>
  <c r="G936" i="5"/>
  <c r="G935" i="5"/>
  <c r="G934" i="5"/>
  <c r="K933" i="5"/>
  <c r="K935" i="5" s="1"/>
  <c r="J933" i="5"/>
  <c r="J934" i="5" s="1"/>
  <c r="I933" i="5"/>
  <c r="I934" i="5" s="1"/>
  <c r="H933" i="5"/>
  <c r="H934" i="5" s="1"/>
  <c r="G932" i="5"/>
  <c r="G931" i="5"/>
  <c r="K930" i="5"/>
  <c r="K932" i="5" s="1"/>
  <c r="J930" i="5"/>
  <c r="J931" i="5" s="1"/>
  <c r="I930" i="5"/>
  <c r="I931" i="5" s="1"/>
  <c r="H930" i="5"/>
  <c r="H931" i="5" s="1"/>
  <c r="K927" i="5"/>
  <c r="K926" i="5" s="1"/>
  <c r="J926" i="5"/>
  <c r="I926" i="5"/>
  <c r="K924" i="5"/>
  <c r="J924" i="5"/>
  <c r="I924" i="5"/>
  <c r="K923" i="5"/>
  <c r="K922" i="5" s="1"/>
  <c r="J923" i="5"/>
  <c r="I923" i="5"/>
  <c r="I922" i="5" s="1"/>
  <c r="H923" i="5"/>
  <c r="G923" i="5"/>
  <c r="G922" i="5" s="1"/>
  <c r="J922" i="5"/>
  <c r="H922" i="5"/>
  <c r="I945" i="5"/>
  <c r="H945" i="5"/>
  <c r="G945" i="5"/>
  <c r="J944" i="5"/>
  <c r="I944" i="5"/>
  <c r="J943" i="5"/>
  <c r="H943" i="5"/>
  <c r="G943" i="5"/>
  <c r="G958" i="5"/>
  <c r="G955" i="5"/>
  <c r="G952" i="5"/>
  <c r="I971" i="5"/>
  <c r="I968" i="5"/>
  <c r="H961" i="5"/>
  <c r="I961" i="5"/>
  <c r="J961" i="5"/>
  <c r="K961" i="5"/>
  <c r="G961" i="5"/>
  <c r="I997" i="5"/>
  <c r="J997" i="5"/>
  <c r="I998" i="5"/>
  <c r="J998" i="5"/>
  <c r="G1001" i="5"/>
  <c r="H1001" i="5"/>
  <c r="I1001" i="5"/>
  <c r="J1001" i="5"/>
  <c r="K1001" i="5"/>
  <c r="K1012" i="5"/>
  <c r="J1012" i="5"/>
  <c r="I1012" i="5"/>
  <c r="K1024" i="5"/>
  <c r="J1024" i="5"/>
  <c r="I1024" i="5"/>
  <c r="H1024" i="5"/>
  <c r="G1024" i="5"/>
  <c r="K1015" i="5"/>
  <c r="J1015" i="5"/>
  <c r="I1015" i="5"/>
  <c r="H1015" i="5"/>
  <c r="G1015" i="5"/>
  <c r="K1033" i="5"/>
  <c r="J1033" i="5"/>
  <c r="I1033" i="5"/>
  <c r="H1033" i="5"/>
  <c r="G1033" i="5"/>
  <c r="K1048" i="5"/>
  <c r="K1047" i="5" s="1"/>
  <c r="J1047" i="5"/>
  <c r="I1047" i="5"/>
  <c r="K1044" i="5"/>
  <c r="J1044" i="5"/>
  <c r="I1044" i="5"/>
  <c r="I1039" i="5"/>
  <c r="J1039" i="5"/>
  <c r="K1039" i="5"/>
  <c r="I1055" i="5"/>
  <c r="I1053" i="5" s="1"/>
  <c r="K1053" i="5"/>
  <c r="J1053" i="5"/>
  <c r="H1053" i="5"/>
  <c r="G1053" i="5"/>
  <c r="K1051" i="5"/>
  <c r="J1051" i="5"/>
  <c r="I1051" i="5"/>
  <c r="H1051" i="5"/>
  <c r="G1051" i="5"/>
  <c r="K1074" i="5"/>
  <c r="K1073" i="5" s="1"/>
  <c r="J1073" i="5"/>
  <c r="I1073" i="5"/>
  <c r="K1081" i="5"/>
  <c r="J1081" i="5"/>
  <c r="K1095" i="5"/>
  <c r="K1094" i="5" s="1"/>
  <c r="J1095" i="5"/>
  <c r="J1094" i="5" s="1"/>
  <c r="I1095" i="5"/>
  <c r="I1094" i="5" s="1"/>
  <c r="H1095" i="5"/>
  <c r="H1094" i="5" s="1"/>
  <c r="G1094" i="5"/>
  <c r="H1093" i="5"/>
  <c r="K1092" i="5"/>
  <c r="J1092" i="5"/>
  <c r="J1091" i="5" s="1"/>
  <c r="I1092" i="5"/>
  <c r="I1091" i="5" s="1"/>
  <c r="H1092" i="5"/>
  <c r="H1091" i="5" s="1"/>
  <c r="G1092" i="5"/>
  <c r="G1091" i="5" s="1"/>
  <c r="K1091" i="5"/>
  <c r="H603" i="5"/>
  <c r="I603" i="5"/>
  <c r="K578" i="5"/>
  <c r="J578" i="5"/>
  <c r="I578" i="5"/>
  <c r="H577" i="5"/>
  <c r="G577" i="5"/>
  <c r="K522" i="5"/>
  <c r="J522" i="5"/>
  <c r="I522" i="5"/>
  <c r="K519" i="5"/>
  <c r="J519" i="5"/>
  <c r="I519" i="5"/>
  <c r="K510" i="5"/>
  <c r="J510" i="5"/>
  <c r="I510" i="5"/>
  <c r="I508" i="5"/>
  <c r="I503" i="5" s="1"/>
  <c r="K503" i="5"/>
  <c r="J503" i="5"/>
  <c r="K491" i="5"/>
  <c r="J491" i="5"/>
  <c r="I491" i="5"/>
  <c r="K489" i="5"/>
  <c r="K488" i="5" s="1"/>
  <c r="J489" i="5"/>
  <c r="J488" i="5" s="1"/>
  <c r="I489" i="5"/>
  <c r="I488" i="5" s="1"/>
  <c r="H486" i="5"/>
  <c r="G380" i="5"/>
  <c r="H361" i="5"/>
  <c r="I361" i="5"/>
  <c r="J361" i="5"/>
  <c r="K361" i="5"/>
  <c r="G361" i="5"/>
  <c r="K357" i="5"/>
  <c r="J357" i="5"/>
  <c r="I357" i="5"/>
  <c r="G357" i="5"/>
  <c r="G354" i="5" s="1"/>
  <c r="I356" i="5"/>
  <c r="K355" i="5"/>
  <c r="J355" i="5"/>
  <c r="I355" i="5"/>
  <c r="H354" i="5"/>
  <c r="I319" i="5"/>
  <c r="K351" i="5"/>
  <c r="K350" i="5" s="1"/>
  <c r="G351" i="5"/>
  <c r="G350" i="5" s="1"/>
  <c r="J350" i="5"/>
  <c r="I350" i="5"/>
  <c r="H350" i="5"/>
  <c r="K348" i="5"/>
  <c r="J348" i="5"/>
  <c r="I348" i="5"/>
  <c r="K347" i="5"/>
  <c r="J347" i="5"/>
  <c r="I347" i="5"/>
  <c r="K346" i="5"/>
  <c r="J346" i="5"/>
  <c r="I346" i="5"/>
  <c r="K345" i="5"/>
  <c r="J345" i="5"/>
  <c r="I345" i="5"/>
  <c r="K340" i="5"/>
  <c r="J340" i="5"/>
  <c r="I340" i="5"/>
  <c r="H340" i="5"/>
  <c r="H335" i="5" s="1"/>
  <c r="G340" i="5"/>
  <c r="G335" i="5" s="1"/>
  <c r="K308" i="5"/>
  <c r="J308" i="5"/>
  <c r="I308" i="5"/>
  <c r="K307" i="5"/>
  <c r="J307" i="5"/>
  <c r="I307" i="5"/>
  <c r="H305" i="5"/>
  <c r="G305" i="5"/>
  <c r="I302" i="5"/>
  <c r="H302" i="5"/>
  <c r="H299" i="5" s="1"/>
  <c r="G302" i="5"/>
  <c r="I300" i="5"/>
  <c r="K299" i="5"/>
  <c r="J299" i="5"/>
  <c r="G299" i="5"/>
  <c r="J298" i="5"/>
  <c r="H298" i="5"/>
  <c r="H297" i="5" s="1"/>
  <c r="G298" i="5"/>
  <c r="G297" i="5" s="1"/>
  <c r="K297" i="5"/>
  <c r="J297" i="5"/>
  <c r="I297" i="5"/>
  <c r="K296" i="5"/>
  <c r="K295" i="5" s="1"/>
  <c r="J296" i="5"/>
  <c r="J295" i="5" s="1"/>
  <c r="H296" i="5"/>
  <c r="H295" i="5" s="1"/>
  <c r="G296" i="5"/>
  <c r="G295" i="5" s="1"/>
  <c r="I295" i="5"/>
  <c r="K294" i="5"/>
  <c r="J294" i="5"/>
  <c r="I294" i="5"/>
  <c r="H294" i="5"/>
  <c r="G294" i="5"/>
  <c r="K293" i="5"/>
  <c r="J293" i="5"/>
  <c r="I293" i="5"/>
  <c r="H293" i="5"/>
  <c r="G293" i="5"/>
  <c r="K286" i="5"/>
  <c r="J286" i="5"/>
  <c r="I286" i="5"/>
  <c r="K284" i="5"/>
  <c r="J284" i="5"/>
  <c r="I284" i="5"/>
  <c r="H282" i="5"/>
  <c r="G282" i="5"/>
  <c r="G243" i="5"/>
  <c r="H243" i="5"/>
  <c r="G247" i="5"/>
  <c r="G246" i="5" s="1"/>
  <c r="H247" i="5"/>
  <c r="H246" i="5" s="1"/>
  <c r="H251" i="5"/>
  <c r="G260" i="5"/>
  <c r="G259" i="5" s="1"/>
  <c r="H260" i="5"/>
  <c r="H259" i="5" s="1"/>
  <c r="H263" i="5"/>
  <c r="G264" i="5"/>
  <c r="G263" i="5" s="1"/>
  <c r="H268" i="5"/>
  <c r="I268" i="5"/>
  <c r="J268" i="5"/>
  <c r="K268" i="5"/>
  <c r="H269" i="5"/>
  <c r="I269" i="5"/>
  <c r="J269" i="5"/>
  <c r="K269" i="5"/>
  <c r="H270" i="5"/>
  <c r="I270" i="5"/>
  <c r="J270" i="5"/>
  <c r="K270" i="5"/>
  <c r="H271" i="5"/>
  <c r="I271" i="5"/>
  <c r="J271" i="5"/>
  <c r="K271" i="5"/>
  <c r="I272" i="5"/>
  <c r="J272" i="5"/>
  <c r="K272" i="5"/>
  <c r="H279" i="5"/>
  <c r="H272" i="5" s="1"/>
  <c r="K240" i="5"/>
  <c r="K239" i="5" s="1"/>
  <c r="J240" i="5"/>
  <c r="J239" i="5" s="1"/>
  <c r="I240" i="5"/>
  <c r="I239" i="5" s="1"/>
  <c r="H239" i="5"/>
  <c r="G239" i="5"/>
  <c r="K236" i="5"/>
  <c r="J236" i="5"/>
  <c r="I236" i="5"/>
  <c r="H236" i="5"/>
  <c r="G236" i="5"/>
  <c r="K230" i="5"/>
  <c r="J230" i="5"/>
  <c r="I230" i="5"/>
  <c r="H230" i="5"/>
  <c r="G230" i="5"/>
  <c r="K226" i="5"/>
  <c r="J226" i="5"/>
  <c r="I226" i="5"/>
  <c r="H226" i="5"/>
  <c r="G226" i="5"/>
  <c r="K220" i="5"/>
  <c r="J220" i="5"/>
  <c r="I220" i="5"/>
  <c r="H220" i="5"/>
  <c r="G220" i="5"/>
  <c r="K217" i="5"/>
  <c r="J217" i="5"/>
  <c r="I217" i="5"/>
  <c r="H217" i="5"/>
  <c r="H215" i="5"/>
  <c r="I215" i="5"/>
  <c r="J215" i="5"/>
  <c r="K215" i="5"/>
  <c r="G215" i="5"/>
  <c r="J193" i="5"/>
  <c r="K190" i="5"/>
  <c r="J190" i="5"/>
  <c r="K186" i="5"/>
  <c r="J186" i="5"/>
  <c r="K183" i="5"/>
  <c r="J183" i="5"/>
  <c r="K180" i="5"/>
  <c r="K179" i="5"/>
  <c r="K178" i="5"/>
  <c r="J178" i="5"/>
  <c r="J177" i="5" s="1"/>
  <c r="I178" i="5"/>
  <c r="I177" i="5" s="1"/>
  <c r="K176" i="5"/>
  <c r="I176" i="5"/>
  <c r="K175" i="5"/>
  <c r="I175" i="5"/>
  <c r="J174" i="5"/>
  <c r="H174" i="5"/>
  <c r="G174" i="5"/>
  <c r="G173" i="5"/>
  <c r="K172" i="5"/>
  <c r="K171" i="5" s="1"/>
  <c r="J172" i="5"/>
  <c r="J171" i="5" s="1"/>
  <c r="I172" i="5"/>
  <c r="I171" i="5" s="1"/>
  <c r="H172" i="5"/>
  <c r="H171" i="5" s="1"/>
  <c r="G172" i="5"/>
  <c r="J170" i="5"/>
  <c r="G170" i="5"/>
  <c r="K169" i="5"/>
  <c r="K168" i="5" s="1"/>
  <c r="J169" i="5"/>
  <c r="I169" i="5"/>
  <c r="I168" i="5" s="1"/>
  <c r="H169" i="5"/>
  <c r="H168" i="5" s="1"/>
  <c r="G169" i="5"/>
  <c r="J167" i="5"/>
  <c r="I167" i="5"/>
  <c r="H167" i="5"/>
  <c r="G167" i="5"/>
  <c r="K166" i="5"/>
  <c r="J166" i="5"/>
  <c r="I166" i="5"/>
  <c r="H166" i="5"/>
  <c r="G166" i="5"/>
  <c r="K165" i="5"/>
  <c r="J165" i="5"/>
  <c r="I165" i="5"/>
  <c r="H165" i="5"/>
  <c r="G165" i="5"/>
  <c r="K163" i="5"/>
  <c r="J163" i="5"/>
  <c r="I163" i="5"/>
  <c r="K162" i="5"/>
  <c r="J162" i="5"/>
  <c r="I162" i="5"/>
  <c r="G162" i="5"/>
  <c r="K161" i="5"/>
  <c r="J161" i="5"/>
  <c r="I161" i="5"/>
  <c r="G161" i="5"/>
  <c r="K160" i="5"/>
  <c r="J160" i="5"/>
  <c r="I160" i="5"/>
  <c r="H160" i="5"/>
  <c r="H159" i="5" s="1"/>
  <c r="G160" i="5"/>
  <c r="G158" i="5"/>
  <c r="H157" i="5"/>
  <c r="G157" i="5"/>
  <c r="H156" i="5"/>
  <c r="G156" i="5"/>
  <c r="H155" i="5"/>
  <c r="G155" i="5"/>
  <c r="K154" i="5"/>
  <c r="J154" i="5"/>
  <c r="I154" i="5"/>
  <c r="H154" i="5"/>
  <c r="G154" i="5"/>
  <c r="K153" i="5"/>
  <c r="J153" i="5"/>
  <c r="I153" i="5"/>
  <c r="H153" i="5"/>
  <c r="G153" i="5"/>
  <c r="K148" i="5"/>
  <c r="J148" i="5"/>
  <c r="I148" i="5"/>
  <c r="H148" i="5"/>
  <c r="K146" i="5"/>
  <c r="J146" i="5"/>
  <c r="I146" i="5"/>
  <c r="H146" i="5"/>
  <c r="K119" i="5"/>
  <c r="J119" i="5"/>
  <c r="I119" i="5"/>
  <c r="H119" i="5"/>
  <c r="G119" i="5"/>
  <c r="K102" i="5"/>
  <c r="J102" i="5"/>
  <c r="I102" i="5"/>
  <c r="H102" i="5"/>
  <c r="G102" i="5"/>
  <c r="K97" i="5"/>
  <c r="J97" i="5"/>
  <c r="I97" i="5"/>
  <c r="H97" i="5"/>
  <c r="G97" i="5"/>
  <c r="K91" i="5"/>
  <c r="J91" i="5"/>
  <c r="I91" i="5"/>
  <c r="H91" i="5"/>
  <c r="G91" i="5"/>
  <c r="K89" i="5"/>
  <c r="J89" i="5"/>
  <c r="I89" i="5"/>
  <c r="H89" i="5"/>
  <c r="G89" i="5"/>
  <c r="K83" i="5"/>
  <c r="J83" i="5"/>
  <c r="I83" i="5"/>
  <c r="H83" i="5"/>
  <c r="G83" i="5"/>
  <c r="K82" i="5"/>
  <c r="K75" i="5" s="1"/>
  <c r="J75" i="5"/>
  <c r="I75" i="5"/>
  <c r="H75" i="5"/>
  <c r="G75" i="5"/>
  <c r="K72" i="5"/>
  <c r="J72" i="5"/>
  <c r="I72" i="5"/>
  <c r="H72" i="5"/>
  <c r="G72" i="5"/>
  <c r="K62" i="5"/>
  <c r="J62" i="5"/>
  <c r="I62" i="5"/>
  <c r="K58" i="5"/>
  <c r="J58" i="5"/>
  <c r="I58" i="5"/>
  <c r="H58" i="5"/>
  <c r="G58" i="5"/>
  <c r="K57" i="5"/>
  <c r="J57" i="5"/>
  <c r="I57" i="5"/>
  <c r="H57" i="5"/>
  <c r="G57" i="5"/>
  <c r="K44" i="5"/>
  <c r="J44" i="5"/>
  <c r="I44" i="5"/>
  <c r="H44" i="5"/>
  <c r="G44" i="5"/>
  <c r="K43" i="5"/>
  <c r="J43" i="5"/>
  <c r="I43" i="5"/>
  <c r="H43" i="5"/>
  <c r="G43" i="5"/>
  <c r="K42" i="5"/>
  <c r="J42" i="5"/>
  <c r="I42" i="5"/>
  <c r="H42" i="5"/>
  <c r="G42" i="5"/>
  <c r="K41" i="5"/>
  <c r="J41" i="5"/>
  <c r="I41" i="5"/>
  <c r="H41" i="5"/>
  <c r="G41" i="5"/>
  <c r="K40" i="5"/>
  <c r="J40" i="5"/>
  <c r="I40" i="5"/>
  <c r="H40" i="5"/>
  <c r="G40" i="5"/>
  <c r="K39" i="5"/>
  <c r="J39" i="5"/>
  <c r="I39" i="5"/>
  <c r="H39" i="5"/>
  <c r="G39" i="5"/>
  <c r="K38" i="5"/>
  <c r="J38" i="5"/>
  <c r="I38" i="5"/>
  <c r="H38" i="5"/>
  <c r="G38" i="5"/>
  <c r="K35" i="5"/>
  <c r="J35" i="5"/>
  <c r="I35" i="5"/>
  <c r="K31" i="5"/>
  <c r="J31" i="5"/>
  <c r="I31" i="5"/>
  <c r="K30" i="5"/>
  <c r="J30" i="5"/>
  <c r="I30" i="5"/>
  <c r="H30" i="5"/>
  <c r="G30" i="5"/>
  <c r="K25" i="5"/>
  <c r="J25" i="5"/>
  <c r="I25" i="5"/>
  <c r="H22" i="5"/>
  <c r="G22" i="5"/>
  <c r="H16" i="5"/>
  <c r="G16" i="5"/>
  <c r="K934" i="5" l="1"/>
  <c r="K525" i="5"/>
  <c r="K1096" i="5"/>
  <c r="H932" i="5"/>
  <c r="J1096" i="5"/>
  <c r="J525" i="5"/>
  <c r="H1096" i="5"/>
  <c r="I932" i="5"/>
  <c r="J935" i="5"/>
  <c r="K936" i="5"/>
  <c r="I1096" i="5"/>
  <c r="K931" i="5"/>
  <c r="J932" i="5"/>
  <c r="H935" i="5"/>
  <c r="I935" i="5"/>
  <c r="G1096" i="5"/>
  <c r="I53" i="5"/>
  <c r="J164" i="5"/>
  <c r="J354" i="5"/>
  <c r="I525" i="5"/>
  <c r="I486" i="5"/>
  <c r="G486" i="5"/>
  <c r="K486" i="5"/>
  <c r="J486" i="5"/>
  <c r="I95" i="5"/>
  <c r="G159" i="5"/>
  <c r="K305" i="5"/>
  <c r="I152" i="5"/>
  <c r="G29" i="5"/>
  <c r="J152" i="5"/>
  <c r="K29" i="5"/>
  <c r="J335" i="5"/>
  <c r="J282" i="5"/>
  <c r="G168" i="5"/>
  <c r="G291" i="5"/>
  <c r="K291" i="5"/>
  <c r="I354" i="5"/>
  <c r="H53" i="5"/>
  <c r="J95" i="5"/>
  <c r="K164" i="5"/>
  <c r="I291" i="5"/>
  <c r="I299" i="5"/>
  <c r="K282" i="5"/>
  <c r="K159" i="5"/>
  <c r="J291" i="5"/>
  <c r="I335" i="5"/>
  <c r="I305" i="5"/>
  <c r="J29" i="5"/>
  <c r="H29" i="5"/>
  <c r="G53" i="5"/>
  <c r="K53" i="5"/>
  <c r="H152" i="5"/>
  <c r="G152" i="5"/>
  <c r="K152" i="5"/>
  <c r="J159" i="5"/>
  <c r="I164" i="5"/>
  <c r="G164" i="5"/>
  <c r="K174" i="5"/>
  <c r="H267" i="5"/>
  <c r="H280" i="5" s="1"/>
  <c r="H291" i="5"/>
  <c r="J305" i="5"/>
  <c r="K267" i="5"/>
  <c r="K280" i="5" s="1"/>
  <c r="I159" i="5"/>
  <c r="G171" i="5"/>
  <c r="J267" i="5"/>
  <c r="J280" i="5" s="1"/>
  <c r="I282" i="5"/>
  <c r="K335" i="5"/>
  <c r="K354" i="5"/>
  <c r="I267" i="5"/>
  <c r="I280" i="5" s="1"/>
  <c r="G280" i="5"/>
  <c r="J53" i="5"/>
  <c r="K95" i="5"/>
  <c r="H95" i="5"/>
  <c r="J168" i="5"/>
  <c r="I174" i="5"/>
  <c r="H164" i="5"/>
  <c r="H181" i="5" s="1"/>
  <c r="I29" i="5"/>
  <c r="K177" i="5"/>
  <c r="G95" i="5"/>
  <c r="G59" i="5" l="1"/>
  <c r="K181" i="5"/>
  <c r="J181" i="5"/>
  <c r="I181" i="5"/>
  <c r="G181" i="5"/>
  <c r="K1080" i="5" l="1"/>
  <c r="J1080" i="5"/>
  <c r="I1080" i="5"/>
  <c r="H1080" i="5"/>
  <c r="G1080" i="5"/>
  <c r="K1078" i="5"/>
  <c r="J1078" i="5"/>
  <c r="I1078" i="5"/>
  <c r="H1078" i="5"/>
  <c r="G1078" i="5"/>
  <c r="K1075" i="5"/>
  <c r="J1075" i="5"/>
  <c r="I1075" i="5"/>
  <c r="H1065" i="5"/>
  <c r="G1065" i="5"/>
  <c r="H1058" i="5"/>
  <c r="G1058" i="5"/>
  <c r="K1056" i="5"/>
  <c r="J1056" i="5"/>
  <c r="H1047" i="5"/>
  <c r="G1047" i="5"/>
  <c r="K1043" i="5"/>
  <c r="J1043" i="5"/>
  <c r="I1043" i="5"/>
  <c r="H1043" i="5"/>
  <c r="G1043" i="5"/>
  <c r="H1039" i="5"/>
  <c r="G1039" i="5"/>
  <c r="K1037" i="5"/>
  <c r="J1037" i="5"/>
  <c r="I1037" i="5"/>
  <c r="H1037" i="5"/>
  <c r="G1037" i="5"/>
  <c r="K1035" i="5"/>
  <c r="J1035" i="5"/>
  <c r="I1035" i="5"/>
  <c r="H1035" i="5"/>
  <c r="G1035" i="5"/>
  <c r="H1031" i="5"/>
  <c r="K1011" i="5"/>
  <c r="K1013" i="5" s="1"/>
  <c r="I1011" i="5"/>
  <c r="I1013" i="5" s="1"/>
  <c r="J1011" i="5"/>
  <c r="J1013" i="5" s="1"/>
  <c r="H1011" i="5"/>
  <c r="H1013" i="5" s="1"/>
  <c r="G1011" i="5"/>
  <c r="G1013" i="5" s="1"/>
  <c r="K1005" i="5"/>
  <c r="J1005" i="5"/>
  <c r="I1005" i="5"/>
  <c r="H1005" i="5"/>
  <c r="G1005" i="5"/>
  <c r="K996" i="5"/>
  <c r="H996" i="5"/>
  <c r="G996" i="5"/>
  <c r="K993" i="5"/>
  <c r="J993" i="5"/>
  <c r="I993" i="5"/>
  <c r="H993" i="5"/>
  <c r="G993" i="5"/>
  <c r="K988" i="5"/>
  <c r="K991" i="5" s="1"/>
  <c r="J988" i="5"/>
  <c r="J991" i="5" s="1"/>
  <c r="I988" i="5"/>
  <c r="I991" i="5" s="1"/>
  <c r="H988" i="5"/>
  <c r="H991" i="5" s="1"/>
  <c r="G988" i="5"/>
  <c r="G991" i="5" s="1"/>
  <c r="K973" i="5"/>
  <c r="J973" i="5"/>
  <c r="I973" i="5"/>
  <c r="H973" i="5"/>
  <c r="G973" i="5"/>
  <c r="K969" i="5"/>
  <c r="J969" i="5"/>
  <c r="I969" i="5"/>
  <c r="H969" i="5"/>
  <c r="G969" i="5"/>
  <c r="K965" i="5"/>
  <c r="J965" i="5"/>
  <c r="I965" i="5"/>
  <c r="H965" i="5"/>
  <c r="G965" i="5"/>
  <c r="K951" i="5"/>
  <c r="J951" i="5"/>
  <c r="I951" i="5"/>
  <c r="H951" i="5"/>
  <c r="K949" i="5"/>
  <c r="J949" i="5"/>
  <c r="I949" i="5"/>
  <c r="H949" i="5"/>
  <c r="G949" i="5"/>
  <c r="Q938" i="5"/>
  <c r="R938" i="5" s="1"/>
  <c r="Q937" i="5"/>
  <c r="N937" i="5"/>
  <c r="N936" i="5" s="1"/>
  <c r="P936" i="5"/>
  <c r="O936" i="5"/>
  <c r="H941" i="5"/>
  <c r="G941" i="5"/>
  <c r="K918" i="5"/>
  <c r="K920" i="5" s="1"/>
  <c r="J918" i="5"/>
  <c r="J920" i="5" s="1"/>
  <c r="I918" i="5"/>
  <c r="I920" i="5" s="1"/>
  <c r="H918" i="5"/>
  <c r="H920" i="5" s="1"/>
  <c r="G918" i="5"/>
  <c r="G920" i="5" s="1"/>
  <c r="K901" i="5"/>
  <c r="J901" i="5"/>
  <c r="I901" i="5"/>
  <c r="K888" i="5"/>
  <c r="J888" i="5"/>
  <c r="I888" i="5"/>
  <c r="K885" i="5"/>
  <c r="J885" i="5"/>
  <c r="I885" i="5"/>
  <c r="R877" i="5"/>
  <c r="Q877" i="5"/>
  <c r="P877" i="5"/>
  <c r="O877" i="5"/>
  <c r="N877" i="5"/>
  <c r="K877" i="5"/>
  <c r="K883" i="5" s="1"/>
  <c r="J877" i="5"/>
  <c r="J883" i="5" s="1"/>
  <c r="I877" i="5"/>
  <c r="I883" i="5" s="1"/>
  <c r="H877" i="5"/>
  <c r="H883" i="5" s="1"/>
  <c r="G877" i="5"/>
  <c r="G883" i="5" s="1"/>
  <c r="K874" i="5"/>
  <c r="J874" i="5"/>
  <c r="I874" i="5"/>
  <c r="K872" i="5"/>
  <c r="J872" i="5"/>
  <c r="I872" i="5"/>
  <c r="H872" i="5"/>
  <c r="G872" i="5"/>
  <c r="K871" i="5"/>
  <c r="K870" i="5" s="1"/>
  <c r="J871" i="5"/>
  <c r="J870" i="5" s="1"/>
  <c r="I871" i="5"/>
  <c r="I870" i="5" s="1"/>
  <c r="H870" i="5"/>
  <c r="G870" i="5"/>
  <c r="K865" i="5"/>
  <c r="I865" i="5"/>
  <c r="I864" i="5"/>
  <c r="I863" i="5"/>
  <c r="I861" i="5"/>
  <c r="I860" i="5"/>
  <c r="I856" i="5"/>
  <c r="I853" i="5"/>
  <c r="I852" i="5"/>
  <c r="I846" i="5"/>
  <c r="I840" i="5"/>
  <c r="I838" i="5"/>
  <c r="K837" i="5"/>
  <c r="J837" i="5"/>
  <c r="H837" i="5"/>
  <c r="G837" i="5"/>
  <c r="H836" i="5"/>
  <c r="I836" i="5" s="1"/>
  <c r="G836" i="5"/>
  <c r="G835" i="5" s="1"/>
  <c r="K826" i="5"/>
  <c r="J826" i="5"/>
  <c r="I826" i="5"/>
  <c r="H826" i="5"/>
  <c r="G826" i="5"/>
  <c r="K818" i="5"/>
  <c r="J818" i="5"/>
  <c r="I818" i="5"/>
  <c r="H818" i="5"/>
  <c r="G818" i="5"/>
  <c r="K816" i="5"/>
  <c r="J816" i="5"/>
  <c r="I816" i="5"/>
  <c r="H816" i="5"/>
  <c r="G816" i="5"/>
  <c r="J814" i="5"/>
  <c r="H810" i="5"/>
  <c r="G810" i="5"/>
  <c r="K807" i="5"/>
  <c r="K814" i="5" s="1"/>
  <c r="I807" i="5"/>
  <c r="I814" i="5" s="1"/>
  <c r="H807" i="5"/>
  <c r="H814" i="5" s="1"/>
  <c r="G807" i="5"/>
  <c r="G814" i="5" s="1"/>
  <c r="K800" i="5"/>
  <c r="J800" i="5"/>
  <c r="I800" i="5"/>
  <c r="H800" i="5"/>
  <c r="G800" i="5"/>
  <c r="H797" i="5"/>
  <c r="G797" i="5"/>
  <c r="K795" i="5"/>
  <c r="K793" i="5" s="1"/>
  <c r="K805" i="5" s="1"/>
  <c r="J795" i="5"/>
  <c r="J793" i="5" s="1"/>
  <c r="J805" i="5" s="1"/>
  <c r="I795" i="5"/>
  <c r="I793" i="5" s="1"/>
  <c r="I805" i="5" s="1"/>
  <c r="H795" i="5"/>
  <c r="G795" i="5"/>
  <c r="K781" i="5"/>
  <c r="J781" i="5"/>
  <c r="I781" i="5"/>
  <c r="H781" i="5"/>
  <c r="G781" i="5"/>
  <c r="K775" i="5"/>
  <c r="J775" i="5"/>
  <c r="I775" i="5"/>
  <c r="H775" i="5"/>
  <c r="G775" i="5"/>
  <c r="I771" i="5"/>
  <c r="I769" i="5" s="1"/>
  <c r="J769" i="5" s="1"/>
  <c r="K769" i="5" s="1"/>
  <c r="J770" i="5"/>
  <c r="K770" i="5" s="1"/>
  <c r="R769" i="5"/>
  <c r="Q769" i="5"/>
  <c r="P769" i="5"/>
  <c r="O769" i="5"/>
  <c r="N769" i="5"/>
  <c r="J767" i="5"/>
  <c r="K767" i="5" s="1"/>
  <c r="J765" i="5"/>
  <c r="K765" i="5" s="1"/>
  <c r="R764" i="5"/>
  <c r="Q764" i="5"/>
  <c r="P764" i="5"/>
  <c r="O764" i="5"/>
  <c r="N764" i="5"/>
  <c r="I764" i="5"/>
  <c r="H764" i="5"/>
  <c r="G764" i="5"/>
  <c r="I763" i="5"/>
  <c r="G763" i="5"/>
  <c r="I762" i="5"/>
  <c r="J760" i="5"/>
  <c r="K760" i="5" s="1"/>
  <c r="I758" i="5"/>
  <c r="J758" i="5" s="1"/>
  <c r="H758" i="5"/>
  <c r="H757" i="5" s="1"/>
  <c r="G758" i="5"/>
  <c r="J754" i="5"/>
  <c r="K754" i="5" s="1"/>
  <c r="K753" i="5" s="1"/>
  <c r="I753" i="5"/>
  <c r="H753" i="5"/>
  <c r="G753" i="5"/>
  <c r="J752" i="5"/>
  <c r="K752" i="5" s="1"/>
  <c r="K751" i="5" s="1"/>
  <c r="K747" i="5"/>
  <c r="J747" i="5"/>
  <c r="I747" i="5"/>
  <c r="H747" i="5"/>
  <c r="G747" i="5"/>
  <c r="K746" i="5"/>
  <c r="J746" i="5"/>
  <c r="I746" i="5"/>
  <c r="H746" i="5"/>
  <c r="G746" i="5"/>
  <c r="K740" i="5"/>
  <c r="K743" i="5" s="1"/>
  <c r="J740" i="5"/>
  <c r="J743" i="5" s="1"/>
  <c r="I740" i="5"/>
  <c r="I743" i="5" s="1"/>
  <c r="H740" i="5"/>
  <c r="H743" i="5" s="1"/>
  <c r="G740" i="5"/>
  <c r="G743" i="5" s="1"/>
  <c r="K734" i="5"/>
  <c r="J734" i="5"/>
  <c r="I734" i="5"/>
  <c r="H734" i="5"/>
  <c r="G734" i="5"/>
  <c r="K730" i="5"/>
  <c r="J730" i="5"/>
  <c r="I730" i="5"/>
  <c r="H730" i="5"/>
  <c r="G730" i="5"/>
  <c r="K718" i="5"/>
  <c r="J718" i="5"/>
  <c r="I718" i="5"/>
  <c r="H718" i="5"/>
  <c r="G718" i="5"/>
  <c r="K714" i="5"/>
  <c r="J714" i="5"/>
  <c r="I714" i="5"/>
  <c r="H714" i="5"/>
  <c r="G714" i="5"/>
  <c r="K707" i="5"/>
  <c r="J707" i="5"/>
  <c r="I707" i="5"/>
  <c r="K703" i="5"/>
  <c r="J703" i="5"/>
  <c r="I703" i="5"/>
  <c r="H697" i="5"/>
  <c r="G697" i="5"/>
  <c r="K689" i="5"/>
  <c r="K686" i="5" s="1"/>
  <c r="J689" i="5"/>
  <c r="J686" i="5" s="1"/>
  <c r="I689" i="5"/>
  <c r="I686" i="5" s="1"/>
  <c r="H686" i="5"/>
  <c r="G686" i="5"/>
  <c r="K652" i="5"/>
  <c r="J652" i="5"/>
  <c r="I652" i="5"/>
  <c r="H652" i="5"/>
  <c r="G652" i="5"/>
  <c r="K646" i="5"/>
  <c r="J646" i="5"/>
  <c r="I646" i="5"/>
  <c r="K644" i="5"/>
  <c r="J644" i="5"/>
  <c r="I644" i="5"/>
  <c r="H641" i="5"/>
  <c r="G641" i="5"/>
  <c r="K628" i="5"/>
  <c r="K603" i="5" s="1"/>
  <c r="J628" i="5"/>
  <c r="J603" i="5" s="1"/>
  <c r="G628" i="5"/>
  <c r="G603" i="5" s="1"/>
  <c r="K579" i="5"/>
  <c r="K576" i="5" s="1"/>
  <c r="J579" i="5"/>
  <c r="J576" i="5" s="1"/>
  <c r="I579" i="5"/>
  <c r="I576" i="5" s="1"/>
  <c r="H579" i="5"/>
  <c r="H576" i="5" s="1"/>
  <c r="G579" i="5"/>
  <c r="G576" i="5" s="1"/>
  <c r="K574" i="5"/>
  <c r="J574" i="5"/>
  <c r="I574" i="5"/>
  <c r="H574" i="5"/>
  <c r="G574" i="5"/>
  <c r="K555" i="5"/>
  <c r="J555" i="5"/>
  <c r="I555" i="5"/>
  <c r="H555" i="5"/>
  <c r="G555" i="5"/>
  <c r="K539" i="5"/>
  <c r="J539" i="5"/>
  <c r="I539" i="5"/>
  <c r="H539" i="5"/>
  <c r="G539" i="5"/>
  <c r="K527" i="5"/>
  <c r="J527" i="5"/>
  <c r="I527" i="5"/>
  <c r="H527" i="5"/>
  <c r="G527" i="5"/>
  <c r="J380" i="5"/>
  <c r="I380" i="5"/>
  <c r="H380" i="5"/>
  <c r="H391" i="5" s="1"/>
  <c r="G391" i="5"/>
  <c r="K359" i="5"/>
  <c r="J359" i="5"/>
  <c r="I359" i="5"/>
  <c r="H359" i="5"/>
  <c r="G359" i="5"/>
  <c r="K315" i="5"/>
  <c r="K352" i="5" s="1"/>
  <c r="J315" i="5"/>
  <c r="J352" i="5" s="1"/>
  <c r="I315" i="5"/>
  <c r="I352" i="5" s="1"/>
  <c r="H315" i="5"/>
  <c r="H352" i="5" s="1"/>
  <c r="G315" i="5"/>
  <c r="G352" i="5" s="1"/>
  <c r="K312" i="5"/>
  <c r="J312" i="5"/>
  <c r="H312" i="5"/>
  <c r="G312" i="5"/>
  <c r="J303" i="5"/>
  <c r="I303" i="5"/>
  <c r="K303" i="5"/>
  <c r="H288" i="5"/>
  <c r="K288" i="5"/>
  <c r="J288" i="5"/>
  <c r="G288" i="5"/>
  <c r="K241" i="5"/>
  <c r="J241" i="5"/>
  <c r="G241" i="5"/>
  <c r="K196" i="5"/>
  <c r="G196" i="5"/>
  <c r="K150" i="5"/>
  <c r="I150" i="5"/>
  <c r="H150" i="5"/>
  <c r="G150" i="5"/>
  <c r="J150" i="5"/>
  <c r="K141" i="5"/>
  <c r="J141" i="5"/>
  <c r="I141" i="5"/>
  <c r="H141" i="5"/>
  <c r="G141" i="5"/>
  <c r="K134" i="5"/>
  <c r="J134" i="5"/>
  <c r="I134" i="5"/>
  <c r="H134" i="5"/>
  <c r="G134" i="5"/>
  <c r="J87" i="5"/>
  <c r="H87" i="5"/>
  <c r="K61" i="5"/>
  <c r="K70" i="5" s="1"/>
  <c r="J61" i="5"/>
  <c r="J70" i="5" s="1"/>
  <c r="I61" i="5"/>
  <c r="I70" i="5" s="1"/>
  <c r="H61" i="5"/>
  <c r="H70" i="5" s="1"/>
  <c r="G61" i="5"/>
  <c r="G70" i="5" s="1"/>
  <c r="J59" i="5"/>
  <c r="K27" i="5"/>
  <c r="J27" i="5"/>
  <c r="I27" i="5"/>
  <c r="H27" i="5"/>
  <c r="G27" i="5"/>
  <c r="K20" i="5"/>
  <c r="J20" i="5"/>
  <c r="I20" i="5"/>
  <c r="H12" i="5"/>
  <c r="H9" i="5" s="1"/>
  <c r="H14" i="5" s="1"/>
  <c r="G12" i="5"/>
  <c r="K9" i="5"/>
  <c r="K14" i="5" s="1"/>
  <c r="J9" i="5"/>
  <c r="J14" i="5" s="1"/>
  <c r="I9" i="5"/>
  <c r="I14" i="5" s="1"/>
  <c r="G9" i="5"/>
  <c r="G14" i="5" s="1"/>
  <c r="K745" i="5" l="1"/>
  <c r="K748" i="5" s="1"/>
  <c r="G833" i="5"/>
  <c r="K833" i="5"/>
  <c r="J745" i="5"/>
  <c r="J748" i="5" s="1"/>
  <c r="G757" i="5"/>
  <c r="J697" i="5"/>
  <c r="G793" i="5"/>
  <c r="G805" i="5" s="1"/>
  <c r="G392" i="5"/>
  <c r="K641" i="5"/>
  <c r="G1089" i="5"/>
  <c r="G745" i="5"/>
  <c r="G748" i="5" s="1"/>
  <c r="K1089" i="5"/>
  <c r="J641" i="5"/>
  <c r="K697" i="5"/>
  <c r="J764" i="5"/>
  <c r="J996" i="5"/>
  <c r="J1009" i="5" s="1"/>
  <c r="J947" i="5"/>
  <c r="I1031" i="5"/>
  <c r="H875" i="5"/>
  <c r="J909" i="5"/>
  <c r="I947" i="5"/>
  <c r="J875" i="5"/>
  <c r="G868" i="5"/>
  <c r="I1089" i="5"/>
  <c r="K144" i="5"/>
  <c r="J833" i="5"/>
  <c r="K875" i="5"/>
  <c r="G916" i="5"/>
  <c r="K916" i="5"/>
  <c r="G947" i="5"/>
  <c r="K947" i="5"/>
  <c r="G1009" i="5"/>
  <c r="K1009" i="5"/>
  <c r="J1031" i="5"/>
  <c r="G1056" i="5"/>
  <c r="J941" i="5"/>
  <c r="I941" i="5"/>
  <c r="J975" i="5"/>
  <c r="I1049" i="5"/>
  <c r="I909" i="5"/>
  <c r="J751" i="5"/>
  <c r="J771" i="5"/>
  <c r="K771" i="5" s="1"/>
  <c r="G791" i="5"/>
  <c r="K791" i="5"/>
  <c r="H793" i="5"/>
  <c r="H805" i="5" s="1"/>
  <c r="Q936" i="5"/>
  <c r="G773" i="5"/>
  <c r="G1075" i="5"/>
  <c r="I875" i="5"/>
  <c r="J196" i="5"/>
  <c r="J234" i="5"/>
  <c r="J289" i="5" s="1"/>
  <c r="J791" i="5"/>
  <c r="I975" i="5"/>
  <c r="H1009" i="5"/>
  <c r="G1031" i="5"/>
  <c r="K1031" i="5"/>
  <c r="H1049" i="5"/>
  <c r="H1056" i="5"/>
  <c r="J1089" i="5"/>
  <c r="J738" i="5"/>
  <c r="J749" i="5" s="1"/>
  <c r="I1056" i="5"/>
  <c r="H196" i="5"/>
  <c r="H558" i="5"/>
  <c r="I837" i="5"/>
  <c r="H959" i="5"/>
  <c r="G975" i="5"/>
  <c r="K975" i="5"/>
  <c r="J1049" i="5"/>
  <c r="J1076" i="5" s="1"/>
  <c r="H1089" i="5"/>
  <c r="H144" i="5"/>
  <c r="G144" i="5"/>
  <c r="H241" i="5"/>
  <c r="I745" i="5"/>
  <c r="I748" i="5" s="1"/>
  <c r="H791" i="5"/>
  <c r="I916" i="5"/>
  <c r="G951" i="5"/>
  <c r="G959" i="5" s="1"/>
  <c r="H975" i="5"/>
  <c r="I996" i="5"/>
  <c r="G1049" i="5"/>
  <c r="K1049" i="5"/>
  <c r="K1076" i="5" s="1"/>
  <c r="H59" i="5"/>
  <c r="H392" i="5"/>
  <c r="G712" i="5"/>
  <c r="H712" i="5"/>
  <c r="K712" i="5"/>
  <c r="G738" i="5"/>
  <c r="K738" i="5"/>
  <c r="K749" i="5" s="1"/>
  <c r="K764" i="5"/>
  <c r="J959" i="5"/>
  <c r="I22" i="5"/>
  <c r="I16" i="5"/>
  <c r="J16" i="5"/>
  <c r="J22" i="5"/>
  <c r="K59" i="5"/>
  <c r="G87" i="5"/>
  <c r="I144" i="5"/>
  <c r="G875" i="5"/>
  <c r="H916" i="5"/>
  <c r="K941" i="5"/>
  <c r="K959" i="5"/>
  <c r="K22" i="5"/>
  <c r="K16" i="5"/>
  <c r="I288" i="5"/>
  <c r="K380" i="5"/>
  <c r="K391" i="5" s="1"/>
  <c r="G558" i="5"/>
  <c r="J558" i="5"/>
  <c r="I558" i="5"/>
  <c r="G570" i="5"/>
  <c r="I570" i="5"/>
  <c r="I641" i="5"/>
  <c r="I697" i="5"/>
  <c r="I738" i="5"/>
  <c r="H833" i="5"/>
  <c r="H947" i="5"/>
  <c r="I59" i="5"/>
  <c r="I87" i="5"/>
  <c r="J144" i="5"/>
  <c r="I196" i="5"/>
  <c r="H234" i="5"/>
  <c r="G234" i="5"/>
  <c r="K234" i="5"/>
  <c r="K289" i="5" s="1"/>
  <c r="H303" i="5"/>
  <c r="I391" i="5"/>
  <c r="H570" i="5"/>
  <c r="H745" i="5"/>
  <c r="H748" i="5" s="1"/>
  <c r="J753" i="5"/>
  <c r="K909" i="5"/>
  <c r="J916" i="5"/>
  <c r="I959" i="5"/>
  <c r="I1009" i="5"/>
  <c r="H1075" i="5"/>
  <c r="H1076" i="5" s="1"/>
  <c r="K87" i="5"/>
  <c r="I312" i="5"/>
  <c r="J762" i="5"/>
  <c r="K762" i="5" s="1"/>
  <c r="I757" i="5"/>
  <c r="I773" i="5" s="1"/>
  <c r="I241" i="5"/>
  <c r="G303" i="5"/>
  <c r="J712" i="5"/>
  <c r="H773" i="5"/>
  <c r="K758" i="5"/>
  <c r="K757" i="5" s="1"/>
  <c r="K773" i="5" s="1"/>
  <c r="I234" i="5"/>
  <c r="J391" i="5"/>
  <c r="K558" i="5"/>
  <c r="H738" i="5"/>
  <c r="H749" i="5" s="1"/>
  <c r="I791" i="5"/>
  <c r="I833" i="5"/>
  <c r="I835" i="5"/>
  <c r="K836" i="5"/>
  <c r="K835" i="5" s="1"/>
  <c r="K868" i="5" s="1"/>
  <c r="J836" i="5"/>
  <c r="J835" i="5" s="1"/>
  <c r="J868" i="5" s="1"/>
  <c r="H835" i="5"/>
  <c r="H868" i="5" s="1"/>
  <c r="R937" i="5"/>
  <c r="R936" i="5" s="1"/>
  <c r="I868" i="5" l="1"/>
  <c r="I749" i="5"/>
  <c r="I1076" i="5"/>
  <c r="G749" i="5"/>
  <c r="G1076" i="5"/>
  <c r="I712" i="5"/>
  <c r="G289" i="5"/>
  <c r="I392" i="5"/>
  <c r="J392" i="5"/>
  <c r="H289" i="5"/>
  <c r="K392" i="5"/>
  <c r="I289" i="5"/>
  <c r="J757" i="5"/>
  <c r="J773" i="5" s="1"/>
  <c r="J131" i="5" l="1"/>
  <c r="J132" i="5" s="1"/>
  <c r="I131" i="5"/>
  <c r="I132" i="5" s="1"/>
  <c r="G131" i="5"/>
  <c r="G132" i="5" s="1"/>
  <c r="H131" i="5"/>
  <c r="H132" i="5" s="1"/>
  <c r="K131" i="5"/>
  <c r="K132" i="5" s="1"/>
  <c r="K570" i="5"/>
  <c r="J570" i="5"/>
</calcChain>
</file>

<file path=xl/sharedStrings.xml><?xml version="1.0" encoding="utf-8"?>
<sst xmlns="http://schemas.openxmlformats.org/spreadsheetml/2006/main" count="3321" uniqueCount="1784">
  <si>
    <t>001</t>
  </si>
  <si>
    <t>балл.</t>
  </si>
  <si>
    <t>ед.</t>
  </si>
  <si>
    <t>шт.</t>
  </si>
  <si>
    <t>%</t>
  </si>
  <si>
    <t>410/6964793</t>
  </si>
  <si>
    <t>335/6496179</t>
  </si>
  <si>
    <t>500/7000,0</t>
  </si>
  <si>
    <t>600/8000,0</t>
  </si>
  <si>
    <t>03</t>
  </si>
  <si>
    <t>01</t>
  </si>
  <si>
    <t>178/10161840</t>
  </si>
  <si>
    <t>156/212460371</t>
  </si>
  <si>
    <t>02</t>
  </si>
  <si>
    <t>99/2220000</t>
  </si>
  <si>
    <t>65/3160000</t>
  </si>
  <si>
    <t>150/18000,0</t>
  </si>
  <si>
    <t>160/19000,0</t>
  </si>
  <si>
    <t>170/20000,0</t>
  </si>
  <si>
    <t>203</t>
  </si>
  <si>
    <t>204</t>
  </si>
  <si>
    <t>коэф.</t>
  </si>
  <si>
    <t xml:space="preserve"> </t>
  </si>
  <si>
    <t>04</t>
  </si>
  <si>
    <t>05</t>
  </si>
  <si>
    <t>06</t>
  </si>
  <si>
    <t>07</t>
  </si>
  <si>
    <t>08</t>
  </si>
  <si>
    <t>212</t>
  </si>
  <si>
    <t>232</t>
  </si>
  <si>
    <t>233</t>
  </si>
  <si>
    <t>234</t>
  </si>
  <si>
    <t>002</t>
  </si>
  <si>
    <t>ед</t>
  </si>
  <si>
    <t>640</t>
  </si>
  <si>
    <t>630</t>
  </si>
  <si>
    <t>да</t>
  </si>
  <si>
    <t>003</t>
  </si>
  <si>
    <t>индекс</t>
  </si>
  <si>
    <t>09</t>
  </si>
  <si>
    <t>2058</t>
  </si>
  <si>
    <t>10</t>
  </si>
  <si>
    <t>11</t>
  </si>
  <si>
    <t>12</t>
  </si>
  <si>
    <t>13</t>
  </si>
  <si>
    <t>14</t>
  </si>
  <si>
    <t>15</t>
  </si>
  <si>
    <t>16</t>
  </si>
  <si>
    <t>192</t>
  </si>
  <si>
    <t>кол.</t>
  </si>
  <si>
    <t>193</t>
  </si>
  <si>
    <t>194</t>
  </si>
  <si>
    <t>195</t>
  </si>
  <si>
    <t>196</t>
  </si>
  <si>
    <t>197</t>
  </si>
  <si>
    <t>172</t>
  </si>
  <si>
    <t>17</t>
  </si>
  <si>
    <t>коэфф.</t>
  </si>
  <si>
    <t>Администрирование на территориальном уровне</t>
  </si>
  <si>
    <t>228</t>
  </si>
  <si>
    <t>22. Министерство юстиции Кыргызской Республики</t>
  </si>
  <si>
    <t>22</t>
  </si>
  <si>
    <t>222</t>
  </si>
  <si>
    <t>223</t>
  </si>
  <si>
    <t>224</t>
  </si>
  <si>
    <t>225</t>
  </si>
  <si>
    <t>0,4</t>
  </si>
  <si>
    <t>чел.</t>
  </si>
  <si>
    <t>162</t>
  </si>
  <si>
    <t>442</t>
  </si>
  <si>
    <t>443</t>
  </si>
  <si>
    <t>444</t>
  </si>
  <si>
    <t>12. Администрация Президента КР</t>
  </si>
  <si>
    <t>122</t>
  </si>
  <si>
    <t>- КБ УД</t>
  </si>
  <si>
    <t>402</t>
  </si>
  <si>
    <t>182</t>
  </si>
  <si>
    <t>шт</t>
  </si>
  <si>
    <t>345</t>
  </si>
  <si>
    <t>6%</t>
  </si>
  <si>
    <t>100%</t>
  </si>
  <si>
    <t>млн.сом</t>
  </si>
  <si>
    <t>412</t>
  </si>
  <si>
    <t>тема</t>
  </si>
  <si>
    <t>тонн</t>
  </si>
  <si>
    <t>кг.</t>
  </si>
  <si>
    <t>413</t>
  </si>
  <si>
    <t>143 786,9 1</t>
  </si>
  <si>
    <t>395/144</t>
  </si>
  <si>
    <t>93,8</t>
  </si>
  <si>
    <t>559,8/654,1</t>
  </si>
  <si>
    <t>18044</t>
  </si>
  <si>
    <t>20974,3</t>
  </si>
  <si>
    <t>Биолигнин</t>
  </si>
  <si>
    <t>Триходермин</t>
  </si>
  <si>
    <t>Амблисейус</t>
  </si>
  <si>
    <t>Трихограмма</t>
  </si>
  <si>
    <t>сорто-опыт</t>
  </si>
  <si>
    <t>анализ</t>
  </si>
  <si>
    <t>414</t>
  </si>
  <si>
    <t>415</t>
  </si>
  <si>
    <t>шт/км</t>
  </si>
  <si>
    <t>680/475/82/420</t>
  </si>
  <si>
    <t>га</t>
  </si>
  <si>
    <t>км</t>
  </si>
  <si>
    <t>кол.ед.</t>
  </si>
  <si>
    <t>416</t>
  </si>
  <si>
    <t>пункт</t>
  </si>
  <si>
    <t>каталог</t>
  </si>
  <si>
    <t>лист</t>
  </si>
  <si>
    <t>знак</t>
  </si>
  <si>
    <t>кв.км</t>
  </si>
  <si>
    <t>417</t>
  </si>
  <si>
    <t>-</t>
  </si>
  <si>
    <t>сом</t>
  </si>
  <si>
    <t>005</t>
  </si>
  <si>
    <t>004</t>
  </si>
  <si>
    <t>44</t>
  </si>
  <si>
    <t>446</t>
  </si>
  <si>
    <t>262</t>
  </si>
  <si>
    <t>19</t>
  </si>
  <si>
    <t>20</t>
  </si>
  <si>
    <t>99</t>
  </si>
  <si>
    <t>153</t>
  </si>
  <si>
    <t>166</t>
  </si>
  <si>
    <t>случаев</t>
  </si>
  <si>
    <t>абс ч.</t>
  </si>
  <si>
    <t>67,8/76</t>
  </si>
  <si>
    <t>68/76,2</t>
  </si>
  <si>
    <t>68,2/76,4</t>
  </si>
  <si>
    <t>68,4/76,6</t>
  </si>
  <si>
    <t>68,6/76,8</t>
  </si>
  <si>
    <t>не более 100,0%</t>
  </si>
  <si>
    <t>265</t>
  </si>
  <si>
    <t>167</t>
  </si>
  <si>
    <t>163</t>
  </si>
  <si>
    <t>23</t>
  </si>
  <si>
    <t>452</t>
  </si>
  <si>
    <t>80</t>
  </si>
  <si>
    <t>83</t>
  </si>
  <si>
    <t>85</t>
  </si>
  <si>
    <t>87</t>
  </si>
  <si>
    <t>453</t>
  </si>
  <si>
    <t>7959/3376</t>
  </si>
  <si>
    <t>7493/5205</t>
  </si>
  <si>
    <t>7959</t>
  </si>
  <si>
    <t>7493</t>
  </si>
  <si>
    <t>3376</t>
  </si>
  <si>
    <t>5205</t>
  </si>
  <si>
    <t>0</t>
  </si>
  <si>
    <t>50</t>
  </si>
  <si>
    <t>70</t>
  </si>
  <si>
    <t>2</t>
  </si>
  <si>
    <t>7</t>
  </si>
  <si>
    <t>3</t>
  </si>
  <si>
    <t>71,6</t>
  </si>
  <si>
    <t>454</t>
  </si>
  <si>
    <t>12277</t>
  </si>
  <si>
    <t>12000</t>
  </si>
  <si>
    <t>20000</t>
  </si>
  <si>
    <t>23000</t>
  </si>
  <si>
    <t>27000</t>
  </si>
  <si>
    <t>96</t>
  </si>
  <si>
    <t>150</t>
  </si>
  <si>
    <t>200</t>
  </si>
  <si>
    <t>462</t>
  </si>
  <si>
    <t>Конф.</t>
  </si>
  <si>
    <t xml:space="preserve">Станция </t>
  </si>
  <si>
    <t>24680   10462</t>
  </si>
  <si>
    <t>26400          10500</t>
  </si>
  <si>
    <t>26500           10500</t>
  </si>
  <si>
    <t>27000    10500</t>
  </si>
  <si>
    <t>27500         10500</t>
  </si>
  <si>
    <t>492</t>
  </si>
  <si>
    <t>502</t>
  </si>
  <si>
    <t>1000 экз</t>
  </si>
  <si>
    <t>500 экз</t>
  </si>
  <si>
    <t>572</t>
  </si>
  <si>
    <t>573</t>
  </si>
  <si>
    <t>592</t>
  </si>
  <si>
    <t xml:space="preserve">по факту </t>
  </si>
  <si>
    <t xml:space="preserve">% </t>
  </si>
  <si>
    <t>602</t>
  </si>
  <si>
    <t>201</t>
  </si>
  <si>
    <t>16,3</t>
  </si>
  <si>
    <t>17,3</t>
  </si>
  <si>
    <t>21</t>
  </si>
  <si>
    <t>652</t>
  </si>
  <si>
    <t>653</t>
  </si>
  <si>
    <t>17/34</t>
  </si>
  <si>
    <t>18/52</t>
  </si>
  <si>
    <t>18/70</t>
  </si>
  <si>
    <t>20/90</t>
  </si>
  <si>
    <t>662</t>
  </si>
  <si>
    <t>330</t>
  </si>
  <si>
    <t>335</t>
  </si>
  <si>
    <t>340</t>
  </si>
  <si>
    <t>712</t>
  </si>
  <si>
    <t>__</t>
  </si>
  <si>
    <t>ед/ед  %</t>
  </si>
  <si>
    <t>1 --1</t>
  </si>
  <si>
    <t>1 --1 100%</t>
  </si>
  <si>
    <t>772</t>
  </si>
  <si>
    <t>ЕИ/%</t>
  </si>
  <si>
    <t>3000 /100</t>
  </si>
  <si>
    <t>802</t>
  </si>
  <si>
    <t>803</t>
  </si>
  <si>
    <t>812</t>
  </si>
  <si>
    <t>852</t>
  </si>
  <si>
    <t>853</t>
  </si>
  <si>
    <t>854</t>
  </si>
  <si>
    <t>855</t>
  </si>
  <si>
    <t>856</t>
  </si>
  <si>
    <t>872</t>
  </si>
  <si>
    <t>882</t>
  </si>
  <si>
    <t>455</t>
  </si>
  <si>
    <t>млн сом</t>
  </si>
  <si>
    <t>млн штук</t>
  </si>
  <si>
    <t>млн куб</t>
  </si>
  <si>
    <t>26</t>
  </si>
  <si>
    <t>27</t>
  </si>
  <si>
    <t>18</t>
  </si>
  <si>
    <t>−</t>
  </si>
  <si>
    <t>Всего (контрольные цифры)</t>
  </si>
  <si>
    <t>279</t>
  </si>
  <si>
    <t>37/7</t>
  </si>
  <si>
    <t>Предоставление подтверждения о соответствии испытательных, калибровочных, медицинских  лабораторий требованиям международных стандартов</t>
  </si>
  <si>
    <t>Уровень обеспечения стадартами,гармонизированными с международными  и европейскими нормами для ТР ТС</t>
  </si>
  <si>
    <t>Повышение уровня гармонизации  национальных стандартов с международными и европейскими нормами  и защита интересов государства и граждан от последствий недостоверных результатов измерений</t>
  </si>
  <si>
    <t>Количество обученных человек</t>
  </si>
  <si>
    <t>Проведение информационно-разъяснительной работы среди субъектов предприниательства, потребителей продукции о требованиях и правилах устанавливаемых техническими регламентами ТС/ЕАЭС</t>
  </si>
  <si>
    <t>277</t>
  </si>
  <si>
    <t>Улучшение позиций страны в международных рейтингах</t>
  </si>
  <si>
    <t>41</t>
  </si>
  <si>
    <t>40,5</t>
  </si>
  <si>
    <t>40</t>
  </si>
  <si>
    <t>39</t>
  </si>
  <si>
    <t>276</t>
  </si>
  <si>
    <t>сом.</t>
  </si>
  <si>
    <t xml:space="preserve">Планирование, управление и администрирование / Управление, таможенное администритрование и планирование        </t>
  </si>
  <si>
    <t xml:space="preserve">сом </t>
  </si>
  <si>
    <t>275</t>
  </si>
  <si>
    <t xml:space="preserve"> «А »</t>
  </si>
  <si>
    <t>274</t>
  </si>
  <si>
    <t>Кассовое обслуживание исполнения бюджета на местном уровне</t>
  </si>
  <si>
    <t>1 мая</t>
  </si>
  <si>
    <t>дата</t>
  </si>
  <si>
    <t>273</t>
  </si>
  <si>
    <t>количество районов, ОМСУ</t>
  </si>
  <si>
    <t>Количество районных фин.подразделений (доля) и ОМСУ, в которых применяется автоматизированное программное обеспечение</t>
  </si>
  <si>
    <t xml:space="preserve">Планирование и исполнение местного  бюджета </t>
  </si>
  <si>
    <t>≥ 35%</t>
  </si>
  <si>
    <t>272</t>
  </si>
  <si>
    <t>271</t>
  </si>
  <si>
    <t>27. Министерство экономики и финансов Кыргызской Республики</t>
  </si>
  <si>
    <t>28</t>
  </si>
  <si>
    <t>Управление и администрировнаие отрасли на территориальном уровне</t>
  </si>
  <si>
    <t>Благоприятная нормативно-правовая среда для активизации приоритетных сфер экономики</t>
  </si>
  <si>
    <t>Обеспечение благоприятного налогового климата для развития предпринимательства и совершенствование налогового администрирования.</t>
  </si>
  <si>
    <t xml:space="preserve">Проведение анализа влияния и оценки налоговых мер при изменении налогового законодательства. </t>
  </si>
  <si>
    <t>Имплементация требований таможенного законодательства Евразийского экономического союза, регулирующих вопросы упрощения таможенных процедур</t>
  </si>
  <si>
    <t>Обеспечение избежания двойного налогообложения между Кыргызской Республикой и другими государствами</t>
  </si>
  <si>
    <t xml:space="preserve">Обеспечение мероприятий по проведению переговоров, связанных с имущественными вопросами (спорами) с Республикой Казахстан </t>
  </si>
  <si>
    <t>Осуществление мер по применению оздоровительных процедур банкротства с целью сохранения производства должника</t>
  </si>
  <si>
    <t xml:space="preserve">Повышение инвестиционной привлекательности и продвижение проектов в рамках ГЧП, а также улучшение инвестиционного климата страны. </t>
  </si>
  <si>
    <t>Создание благоприятной предпринимательской среды путем принятия соответствующих НПА в сфере предпринимательской деятельности (Развитие и поддержка предпринимательской деятельности, внедрение новых подходов в системе анализа АРВ, лицензионно-разрешительной и контрольно-надзорной сферах)</t>
  </si>
  <si>
    <t>Совершенствование НПА в сфере антимонопольного регулирования, защите и развитии конкуренции, защиты прав потребителей, рекламы, ценового регулирования)</t>
  </si>
  <si>
    <t xml:space="preserve">Совершенствование институциональной базы для продвижения ГЧП в КР </t>
  </si>
  <si>
    <t>Проведение единой согласованной макроэкономической политики при улучшении координации министерств и административных ведомств полномочных представительств Правительства КР в областях мэрии гг, Бишкек и Ош по вопросам макроэкономического анализа и прогнозирования</t>
  </si>
  <si>
    <t>Совершенствование нормативной правовой базы в сфере государственного материального резерва. Ежегодное уточнение номенклатуры и норм накопления материальных ценностей государственного материального резерва</t>
  </si>
  <si>
    <t>Обеспечение стратегического планирования. Разработка мер государственной политики, направленных на обеспечение устойчивого развития  экономики страны и регионов</t>
  </si>
  <si>
    <t>Продвижение принципов зеленой экономики</t>
  </si>
  <si>
    <t>Мониторинг и оценка эффективности проектов международной грантовой и технической помощи в КР</t>
  </si>
  <si>
    <t>Способствование продвижению экспорта отечественных товаров</t>
  </si>
  <si>
    <t>Обеспечить развитие внешнеэкономического сотрудничества путем проведения заседаний межправительственных комиссий по торгово-экономическому сотрудничеству КР с зарубежными странами</t>
  </si>
  <si>
    <t>Формирование благоприятной нормативно-правовой среды  для сокращения технических барьеров и активизации экспортного потенциала. Развитие Халал индустрии</t>
  </si>
  <si>
    <t>Проведение информационно-разъяснительной работы среди субъектов предприниательства, потребителей продукции о требованиях и правилах, устанавливаемых техническими регламентами ТС/ЕАЭС</t>
  </si>
  <si>
    <t>Развитие предоставления услуг по внешнеэкономической деятельности по принципу "Единого окна"</t>
  </si>
  <si>
    <t>Подтверждение соответствия КЦА на соответствие ИСО/МЭК 17011</t>
  </si>
  <si>
    <t>Единый реестр государственных услуг, система оценки деятельности органов исполнительной власти</t>
  </si>
  <si>
    <t xml:space="preserve">Обеспечение дальнейшей оптимизации системы предоставления госуслуг и формирование Единого реестра функций государственных органов </t>
  </si>
  <si>
    <t xml:space="preserve">Внедрение системы оценки  качества государственного управления, ориентированного на результат госорганов, руководителей госорганов, структурных подразделений госорганов </t>
  </si>
  <si>
    <t>006</t>
  </si>
  <si>
    <t>Координация деятельности министерств и ведомств, связанных с выполнением условий и обязательств по Договору о Евразийском экономическом союзе от 29 мая 2014 г.</t>
  </si>
  <si>
    <t>Проведение комплексной оценки экономических и социальных эффектов от вступления Кыргызской Республики в ЕАЭС</t>
  </si>
  <si>
    <t>Проведение информационных кампаний и обучающих семинаров, мероприятий по информированию населения по  вопросам адаптации Кыргызстана к условиям интеграции в ЕАЭС</t>
  </si>
  <si>
    <t>±5</t>
  </si>
  <si>
    <t xml:space="preserve">Министрликтердин жана ведомстволордун программалык негиздеги бюджети </t>
  </si>
  <si>
    <t>Бюджеттик программалар/
Бюджеттик чаралар</t>
  </si>
  <si>
    <t>Каржылоо</t>
  </si>
  <si>
    <t>Натыйжалуулук индикаторлору</t>
  </si>
  <si>
    <t>Ченөө бирдиги</t>
  </si>
  <si>
    <t>Базалык жыл</t>
  </si>
  <si>
    <t xml:space="preserve">Максаттуу маанилер </t>
  </si>
  <si>
    <t>(программалар/чаралар боюнча) (миң сом)</t>
  </si>
  <si>
    <t xml:space="preserve">11. Кыргыз Республикасынын Жогорку Кеңеши </t>
  </si>
  <si>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этүүлөр</t>
    </r>
  </si>
  <si>
    <t>бирдик</t>
  </si>
  <si>
    <t xml:space="preserve">Учурдагы жылдагы келишимдердин жалпы санына чейин (учурдагы келишимдердин жалпы санына коюлган макулдашуулардын жалпы санына) кол коюлган документтердин саны
</t>
  </si>
  <si>
    <t>Бардыгы (контролдук сандар)</t>
  </si>
  <si>
    <t>12. Кыргыз Республикасынын Президентинин Администрациясы</t>
  </si>
  <si>
    <t>Кыргыз Республикасынын Президентинин Администрациясы</t>
  </si>
  <si>
    <t>Бюджеттик чара боюнча чыгашалардын республикалык бюджеттин жалпы чыгашаларына катышы</t>
  </si>
  <si>
    <t>Кыргыз Республикасынын Президентинин ишмердигинин кепилдиктери жөнүндө Кыргыз Республикасынын Мыйзамына ылайык Кыргыз Республикасынын Президентинин ишин камсыз кылуу</t>
  </si>
  <si>
    <t>Толук камсыздык</t>
  </si>
  <si>
    <t>Экономикалык, социалдык-маданий жана башка иш-чараларга, ошондой эле өзгөчө кырдаалдарга күтүүсүз чыгымдар болгондо мамлекеттик колдоо көрсөтүү</t>
  </si>
  <si>
    <t xml:space="preserve">Чыгарылган буйруктардын санына жараша финансылык жардам </t>
  </si>
  <si>
    <t>Кыргыз Республикасынын мамлекеттик чек арасын делимитациялоо жана демаркациялоо маселелеринде координация жана чечим кабыл алуу</t>
  </si>
  <si>
    <t>Мамлекеттик чек араларды делимитациялоо жана демаркациялоо боюнча өткөрүлгөн жолугушуулардын саны</t>
  </si>
  <si>
    <t>13. Кыргыз Республикасынын Президентинин Архиви</t>
  </si>
  <si>
    <t>132</t>
  </si>
  <si>
    <t>Иш-чараларды жана кызматтарды уюштуруу</t>
  </si>
  <si>
    <t>Кыргыз Республикасынын Президентинин  Архивдик фондунда алардын туруктуу сакталышын камсыз кылуучу ченемдик шарттардагы документтердин үлүшү.</t>
  </si>
  <si>
    <t>Архивге жаны кабыл алынган документтердин үлүшү(архивдик документтердин жалпы санында)</t>
  </si>
  <si>
    <t>Республикада өткөрүлгөн социалдык, маданий жана башка иш -чараларга байланыштуу күтүүсүз чыгымдар болгондо мамлекеттик колдоо көрсөтүү</t>
  </si>
  <si>
    <t>Чыгарылган финансылык жардам боюнча буйруктардын саны</t>
  </si>
  <si>
    <t>Мамлекеттик  кызмат көрсөтүүлөрдүн, ошондой эле мамлекеттик протколду камсыздоонун жогорку деңгээлин камсыз кылуу</t>
  </si>
  <si>
    <t>Мамлекеттик мекемелердин бирдиктүү байланыш каналын программалык жана техникалык жактан колдоо жана референдумдук шайлоонун ачыктыгын камсыздоо</t>
  </si>
  <si>
    <t>даана</t>
  </si>
  <si>
    <t>Кыргыз Республикасынын экс-президенти жана Кыргыз ССРинин мурдагы жетекчилери үчүн транспорттук камсыз кылуу</t>
  </si>
  <si>
    <t>Адамдардын саны</t>
  </si>
  <si>
    <t>адам</t>
  </si>
  <si>
    <t>КРПАга дайындалган кызмат адамдарынын ишин камсыз кылуу</t>
  </si>
  <si>
    <t>Мамлекеттик кызмат көрсөтүүнү жогорку деңгээлин камсыздоо</t>
  </si>
  <si>
    <t>Республикалык бюджеттин эсебинен тейленген машиналардын саны, анын ичинде тейленген</t>
  </si>
  <si>
    <t>Атайын каражаттардын эсебинен тейленген машиналардын саны, анын ичинде.</t>
  </si>
  <si>
    <t>- министерстволор менен ведомстволор</t>
  </si>
  <si>
    <r>
      <t xml:space="preserve">Балдардын жана жаштардын билим алуусуна колдоо көрсөтүү
</t>
    </r>
    <r>
      <rPr>
        <i/>
        <sz val="11"/>
        <rFont val="Times New Roman"/>
        <family val="1"/>
        <charset val="204"/>
      </rPr>
      <t xml:space="preserve">Программанын максаты: Гумандуу, илимий жана адамдык потенциалды өнүктүрүү боюнча демилгелерди колдоо </t>
    </r>
  </si>
  <si>
    <t>Турмуштук оор кырдаалда турган балдарга даректүү колдоо көрсөтүү</t>
  </si>
  <si>
    <t>Мамлекеттик мектепке чейинки билим берүү уюмдарынын иштеп жаткан тармагын колдоо</t>
  </si>
  <si>
    <t>Балдардын саны</t>
  </si>
  <si>
    <t>16. Кыргыз РеспубликасынынЖогорку соту</t>
  </si>
  <si>
    <r>
      <t xml:space="preserve">Сапаттуу сот адилеттигине калктын жеткиликтүүлүгүн камсыз кылуу                                                                     </t>
    </r>
    <r>
      <rPr>
        <i/>
        <sz val="11"/>
        <color theme="1"/>
        <rFont val="Times New Roman"/>
        <family val="1"/>
        <charset val="204"/>
      </rPr>
      <t>Программанын максаты: адилеттүүлүтү, болбой койбостукту камсыздоо жана сот чечимдерин аткаруу</t>
    </r>
  </si>
  <si>
    <t>Жергиликтүү сотторудун сапатсыз сот адилетсиздигинин себеби боюнча кайтарылган иштердин саны</t>
  </si>
  <si>
    <t xml:space="preserve">Жарандык, кылмыш жана административдик-экономикалык иштер боюнча сот адилеттүүлүгүн  ишке ашыруу </t>
  </si>
  <si>
    <t>Жергиликтүү соттордун сапатсыз сот адилетсиздигинин  себеби боюнча жокко чыгарылган иштердин саны</t>
  </si>
  <si>
    <t xml:space="preserve">Тиешелүү стандарттагы имарат менен ЖС камсыз кылуу </t>
  </si>
  <si>
    <t>Аянты  боюнча белгиленген стандарттарга КР ЖС имараттарын шайкеш келтирүү: ооба/жок</t>
  </si>
  <si>
    <t xml:space="preserve">ЖС имаратын заманбап жабдуулар менен жабдуулоо  (эмерек, ПК ж.б.)/ Аларды сатып алууга каржылоону  бөлүү </t>
  </si>
  <si>
    <t>Жабдуулар менен жабдылышы – 0-100%</t>
  </si>
  <si>
    <t>Жумушчу абалды техникалык жабдууну колдоо  (эмерек, ПК, МФУ, ксерокөчүрмө)</t>
  </si>
  <si>
    <t>Жабдууларды колдоо</t>
  </si>
  <si>
    <t>Судьяларды   үзгүлтүксүз окутууну жана  квалификациясын жогорулатуу боюнча  аппараттын кызматкерлерине семинарларды өткөрүү ( УЦС  КР ЖС планын эске албаганда)</t>
  </si>
  <si>
    <t>КР ЖС аппаратынын кызматкерлерин семинарлар жана башкалар менен камтуу</t>
  </si>
  <si>
    <t>Жалпылоо жана соттук практикадан жакшыртуу</t>
  </si>
  <si>
    <t>Жалпыланган сот практикасын  саны</t>
  </si>
  <si>
    <t>Мыйзам долбоорлор менен иштөө</t>
  </si>
  <si>
    <t>Сунуш  киргизилген мыйзам долбоорлордун саны</t>
  </si>
  <si>
    <t>КРЖС бюллетендери үчүн  материалдарды топтоо</t>
  </si>
  <si>
    <t>Топтолгон  материалдардын саны</t>
  </si>
  <si>
    <t>Кыргыз Республикасынын Жогорку сотунунун Конституциялык  палатасы</t>
  </si>
  <si>
    <r>
      <rPr>
        <b/>
        <sz val="11"/>
        <color theme="1"/>
        <rFont val="Times New Roman"/>
        <family val="1"/>
        <charset val="204"/>
      </rPr>
      <t xml:space="preserve">Башкаруу жана администрациялоо        </t>
    </r>
    <r>
      <rPr>
        <sz val="11"/>
        <color theme="1"/>
        <rFont val="Times New Roman"/>
        <family val="1"/>
        <charset val="204"/>
      </rPr>
      <t xml:space="preserve">                                     </t>
    </r>
    <r>
      <rPr>
        <i/>
        <sz val="11"/>
        <color theme="1"/>
        <rFont val="Times New Roman"/>
        <family val="1"/>
        <charset val="204"/>
      </rPr>
      <t xml:space="preserve">Программанын максаты: Конституциялык палатанын системасынын ишин камсыздоо, ведомствонун башка программаларын ишке ашырууну координациялоо </t>
    </r>
  </si>
  <si>
    <t xml:space="preserve">Кыргыз Республикасынын Жогорку сотунун Конституциялык палатасынын бардык программалары боюнча  чыгашаларга карата 001 программасы боюнча эмгек акыга чыгашалардын катышы </t>
  </si>
  <si>
    <t>Эмгек жана финансылык тартип жөнүндө мыйзамдарды бузуулардын саны</t>
  </si>
  <si>
    <t xml:space="preserve">Финансылык менеджментти жана эсепке алууну камсыз кылуу </t>
  </si>
  <si>
    <t>Финансылык тартип чөйрөсүндөгү мыйзамдарды бузуулардын саны</t>
  </si>
  <si>
    <t xml:space="preserve">KПга келип түшкөн кайрылуулардын жана КП судьяларынын жана аппараттын кызматкерлеринин кесиптик деңгээлин жогорулатууга багытталган иш-чаралардын саны </t>
  </si>
  <si>
    <t>Конституциалык сот адилеттүүлүгүн ишке ашыруу</t>
  </si>
  <si>
    <t>Конституциялуулукту камсыз кылуу боюнча каралган иштердин саны</t>
  </si>
  <si>
    <t>Соттордун конституциялык  сот адилеттигин жүзөгө ашыруу боююнча ишин камсыз кылуу</t>
  </si>
  <si>
    <t>Конституциялык палатаны эл аралык сот адилеттиги системасына интеграциялоо</t>
  </si>
  <si>
    <t xml:space="preserve">КП өкүлдөрүнүн эл аралык иш-чараларда катышуусунун саны </t>
  </si>
  <si>
    <t>Конституционализмдин актуалдуу маселелерине арналган эл аралык конференцияларды өткөрүү</t>
  </si>
  <si>
    <t>Эларалык конференцияларды  эки жылда 1 жолу өткөрүү</t>
  </si>
  <si>
    <t>Кыргызстандагы конституционализмдин актуалдуу маселелерине арналган улуттук илимий-практикалык конференцияларды өткөрүү</t>
  </si>
  <si>
    <t>Улуттук конференцияларды  эки жылда 1 жолу өткөрүү</t>
  </si>
  <si>
    <t>Стажировкадан өткөн кызматкерлердин саны</t>
  </si>
  <si>
    <t>Ачык-айкындыкуулукту камсыз кылууга багытталган иш-чараларды жана бул иш-чаралардын катышуучуларынын саны</t>
  </si>
  <si>
    <t>Конституционализмдин жайкы мектептерин уюштуруу жана студенттердин арасында меймандык лекциялардын конкурстарын өткөрүү</t>
  </si>
  <si>
    <t>Катышуучулардын саны</t>
  </si>
  <si>
    <t>Вестник чыгаруу, жылдык отчет, кароопрофайлды,календарларды чыгаруу, видеолорду жана телеберүүлөрдү түзүү</t>
  </si>
  <si>
    <t>Чыгарылган продукциялардын саны</t>
  </si>
  <si>
    <t>Сот отурумдарында аудио-видео жазуу системасын камсыз кылуу, КП веб-сайты</t>
  </si>
  <si>
    <t>ооба/жок</t>
  </si>
  <si>
    <t>ооба</t>
  </si>
  <si>
    <t>Кыргыз Республикасынын Жогорку сотуна караштуу Сот адилеттүүлүгүнүн жогорку мектеби</t>
  </si>
  <si>
    <t xml:space="preserve">КР жогорку сотунун окуу борборунун бардык программалары боюнча чыгашаларга  карата 001 программасы боюнча эмгек акыга чыгашаларынын катышы  </t>
  </si>
  <si>
    <t xml:space="preserve"> КР ЖС АЖМ аппаратынын кызматкерлеринин кызматтык милдеттерине байланыштуу бузуулардын саны</t>
  </si>
  <si>
    <t xml:space="preserve"> Соттук корпусунун  ачыктыгын жана кесипкөйлүгүн күчөтүү</t>
  </si>
  <si>
    <t>Кыргыз Республикасында сот системасынын кадрдык потенциалын чыңдоо</t>
  </si>
  <si>
    <t>Кесипкөйлүк деңгээлин жогорулатуу</t>
  </si>
  <si>
    <t>Судьяларды, прокурорлорду жана  адвокаттарды биргелешип окутуу практикасын киргизүү</t>
  </si>
  <si>
    <t xml:space="preserve"> Сот системасынын кызматкерлеринин кесиптик маданиятынын деңгээлин жогорулатуу</t>
  </si>
  <si>
    <t>Кыргыз Республикасынын Жогорку сотуна караштуу Сот департаменти</t>
  </si>
  <si>
    <t>КР жергиликтүү сотторго жана Сот департаментинин сот өндүрүшү процессинин ишин үзгүлтүксүз камсыздоо</t>
  </si>
  <si>
    <r>
      <rPr>
        <b/>
        <sz val="11"/>
        <color theme="1"/>
        <rFont val="Times New Roman"/>
        <family val="1"/>
        <charset val="204"/>
      </rPr>
      <t xml:space="preserve">Сот департаментинин бюджетинин ачыктыгын камсыздоо </t>
    </r>
    <r>
      <rPr>
        <sz val="11"/>
        <color theme="1"/>
        <rFont val="Times New Roman"/>
        <family val="1"/>
        <charset val="204"/>
      </rPr>
      <t>/ алдыга коюлган максаттарга жетүү үчүн бюджеттик каражаттар колдонулду</t>
    </r>
  </si>
  <si>
    <t>Региондук деңгээлдеги жалпы координациялоо</t>
  </si>
  <si>
    <t>КР ЖС караштуу Сот департаментинин бюджетининн бузуусуз негизсиз кармалуусуз  аткарылышынын үлүшүнүн  пайызы</t>
  </si>
  <si>
    <t>Ишти жана камсыздоо кызматын уюштуруу</t>
  </si>
  <si>
    <t xml:space="preserve">Борбордук аппараттын  жалпы санынан  камсыздоо кызматынын кызматкерлеринин   үлүшү </t>
  </si>
  <si>
    <r>
      <t xml:space="preserve">Кыргыз Республикасынын жергиликтүү соттордун натыйжалуулугун, ачыктыгын,   көз карандысыздыгын жогорулатуу                                           </t>
    </r>
    <r>
      <rPr>
        <sz val="11"/>
        <rFont val="Times New Roman"/>
        <family val="1"/>
        <charset val="204"/>
      </rPr>
      <t xml:space="preserve">                      
</t>
    </r>
    <r>
      <rPr>
        <i/>
        <sz val="11"/>
        <rFont val="Times New Roman"/>
        <family val="1"/>
        <charset val="204"/>
      </rPr>
      <t xml:space="preserve">Программанын максаты: Кыргыз Республикасынын сот системасына карата  ишенимди жогорулатуу </t>
    </r>
  </si>
  <si>
    <t>Дүйнөлүк экономикалык форумдун атаандашдыкка жөндөмдүүлүктүн Глобалдык индексинин рейтингиндеги Кыргызстандын орду (а.и. "соттордун көз карандысыздыгы" көрсөткүчү боюнча)</t>
  </si>
  <si>
    <t xml:space="preserve">КРдин судьларды тандоо  боюнча Кеңеш тарабынан судьларды көз карандысыз тандоо </t>
  </si>
  <si>
    <t>Сот корпусунун ачыктуулугун жана кесипкөйлүгүн күчөтүү</t>
  </si>
  <si>
    <t>Автоматташкан  маалыматтык системаны киргизүү  (АМС)</t>
  </si>
  <si>
    <t>саны</t>
  </si>
  <si>
    <t xml:space="preserve">Соттук актыларынын  мамлекеттик реестрин түзүү  </t>
  </si>
  <si>
    <t>Электрондук архивди түзүү</t>
  </si>
  <si>
    <t xml:space="preserve">Соттордун имаратынын коопсуздугун камсыздоо жана кайтаруу </t>
  </si>
  <si>
    <t>Сот процесстеринин тараптарынын катышуучуары үчүн коопсуздукту камсыз кылуу</t>
  </si>
  <si>
    <t xml:space="preserve"> КР Судьялар Кеӊешинин жана КР Судьялар  Кеӊешинин Тартип комиссиясынын ишин  камсыздоо  </t>
  </si>
  <si>
    <t xml:space="preserve">Аудио, видео фиксация  жана сот жыйындарын протоколдоо менен жабдылган соттордун системасынын саны </t>
  </si>
  <si>
    <t xml:space="preserve">Сот адилеттүүлүгүн ишке ашыруу </t>
  </si>
  <si>
    <t xml:space="preserve">Сот процесстеринин тараптарынын катышуучулары үчүн шарттарды түзүү / соттордун кызматтык жайлары үчүн бекитилген нормативдерге жооп берүүчү КР жергиликтүү соттору үчүн модернизацияланган жана жаӊы курулган имараттардын саны </t>
  </si>
  <si>
    <t xml:space="preserve">Соттордун, жергиликтүү соттордун кызматкерлеринин кесиптик деңгээлин тийиштүү түрдө камсыз кылуу </t>
  </si>
  <si>
    <t>Сот корпусунун ачыктыгын жана кесипкөйлүгүн күчөтүү</t>
  </si>
  <si>
    <t xml:space="preserve">Сот приставдар кызматынын  ишин камсыздоо </t>
  </si>
  <si>
    <t>Сот имараттарына техникалык каражаттарды жана коопсуздук системасын киргизүү</t>
  </si>
  <si>
    <t xml:space="preserve">Аткаруу өндүрүшүнүн институтунун ишин камсыздоо </t>
  </si>
  <si>
    <t>Сот чечимдеринин аткаруунун өз ара аракет моделин өркүндөтүү / сот чечимдерин аткаруунун үлүшүнүн көбөйүшү</t>
  </si>
  <si>
    <t xml:space="preserve">Сот адилеттүүлүгүн ишке ашыруу үчүн зарыл болгон эмгек шарттарын түзүү </t>
  </si>
  <si>
    <t>Канааттандырылбаган сот иштери уюштурулду деп эсептелген жарандардын , анын ичинде сурамжылангандардын үлүшү</t>
  </si>
  <si>
    <t xml:space="preserve">Сот өндүрүшүнүн процесстеринин оперативдүүлүгүн камсыздоо </t>
  </si>
  <si>
    <t>Соттук актыларды аралыктан режиминде алуу  үчүн системаны иштеп чыгуу жана киргизүү  (электрондук сот адилеттүүлүгү системасы)</t>
  </si>
  <si>
    <t>Соттук актыларды автоматташтырылган түрдө бөлүштүрүү  (ААБ)</t>
  </si>
  <si>
    <t xml:space="preserve">Сот арачыларынын институтун киргизүү </t>
  </si>
  <si>
    <t>Сот арачыларынын катышуусу менен соттук иштерди карай турган район аралык соттордун саны</t>
  </si>
  <si>
    <r>
      <t xml:space="preserve">Сот укуктук реформанын алкагында 
</t>
    </r>
    <r>
      <rPr>
        <i/>
        <sz val="11"/>
        <color theme="1"/>
        <rFont val="Times New Roman"/>
        <family val="1"/>
        <charset val="204"/>
      </rPr>
      <t>Программанын максаты: Эл аралык стандарттарга ылайык мыйзамдын үстөмдүгүнө негизделген адилеттүү сот адилеттигине адам укуктарын ишке ашыруу үчүн шарттарды камсыз кылуу</t>
    </r>
  </si>
  <si>
    <t>Тергөө судьяларын жана аппарат кызматкерлеринин институтун киргизүү</t>
  </si>
  <si>
    <t>Сот аткаруучу жана сот приставдар институтун киргизүү</t>
  </si>
  <si>
    <t xml:space="preserve"> 
Сот актыларын аткаруунун жана мажбурлап сотко алып келүүнүн  үлүшү жана сот залындагы процесстин жүрүшүнө таасир эткен окуялардын саны (кийинкиге жылдыруу, узак тыныгуу) </t>
  </si>
  <si>
    <t>Сот арачыларынын ишин караган административдик соттордун саны</t>
  </si>
  <si>
    <t>Санариптик трансформация концепциясынын алкагында “Санарип Кыргызстан 2019-2023"</t>
  </si>
  <si>
    <t>Сот адилеттигин ишке ашыруунун сапатын жогорулатуу</t>
  </si>
  <si>
    <t>Бирдиктүү корпоративдик почта тутумун киргизүү</t>
  </si>
  <si>
    <t>КР сот тутумунун кызматкеринин бирдиктүү санарип паспортун жана электрондук санарип кол тамгасын (авторизациялоонун жана аутентификациялоонун бирдиктүү тутуму) ишке ашыруу</t>
  </si>
  <si>
    <t>Соттордун жана КР сот тутумунун башка субъекттеринин коопсуздугун камсыз кылуу үчүн ички жана тышкы видео байкоо тутумун ишке ашыруу</t>
  </si>
  <si>
    <t>Соттордун, САКБнын жана КР сот тутумунун башка субъекттеринин техникалык инфраструктурасын өнүктүрүү жана модернизациялоо</t>
  </si>
  <si>
    <t>"Санарип сот адилеттиги" КР сот тутумунун бирдиктүү маалыматтык экосистемасын түзүү жана КР сот тутумунун маалыматтык тутумдарын башка мамлекеттик органдар жана ведомстволор менен интеграциялоо</t>
  </si>
  <si>
    <t>Жайынтыгы  (контролдук сандар)</t>
  </si>
  <si>
    <t xml:space="preserve">17. Кыргыз Республикасынын Эсептөө палатасы  </t>
  </si>
  <si>
    <t xml:space="preserve">Кыргыз Республикасынын Эсептөө палатасынын отчетун Кыргыз Республикасынын Жогорку Кеңешине берүү </t>
  </si>
  <si>
    <t xml:space="preserve">Материалдык-техникалык камсыздоо </t>
  </si>
  <si>
    <t xml:space="preserve">Кызматкерлердин жалпы санынан, ишти баалоодон жогорку балл (4,1-5) менен өткөн кызматкерлердин үлүшү  </t>
  </si>
  <si>
    <t xml:space="preserve">Кызматкердердин жалпы санынан, квалификациясын жогорулаткан кызматкерлердин үлүшү </t>
  </si>
  <si>
    <t xml:space="preserve">Кыргыз Республикасынын Эсептөө палатасынын Кеңешинин токтомдорунун каралган долбоорлорунун саны   </t>
  </si>
  <si>
    <r>
      <t xml:space="preserve">Мамлекеттик  аудитти жүргүзүү 
</t>
    </r>
    <r>
      <rPr>
        <i/>
        <sz val="11"/>
        <color theme="1"/>
        <rFont val="Times New Roman"/>
        <family val="1"/>
        <charset val="204"/>
      </rPr>
      <t xml:space="preserve">Программанын максаты: Аудит жана натыйжалуулук аудити </t>
    </r>
  </si>
  <si>
    <t xml:space="preserve">Пландалган аудитордук-иш чаралардын саны   </t>
  </si>
  <si>
    <t>18. Кыргыз Республикасынын шайлоо жана референдум өткөрүү боюнча борбордук  комиссиясы</t>
  </si>
  <si>
    <t>Бардык программалар боюнча эмгек акыга чыгымдардын суммасына карата 001 Программа боюнча эмгек акыга чыгымдардын катышы</t>
  </si>
  <si>
    <t>Шайлоо боюнча БШКнын аппаратынын ишин координациялоо жана камсыз кылуу</t>
  </si>
  <si>
    <r>
      <rPr>
        <b/>
        <sz val="11"/>
        <color theme="1"/>
        <rFont val="Times New Roman"/>
        <family val="1"/>
        <charset val="204"/>
      </rPr>
      <t>Референдумга жана шайлоого катышуу аркылуу бийликти жүзөгө ашырууга жарандардын конституциялык укуктарын жүзөгө ашыруу.</t>
    </r>
    <r>
      <rPr>
        <sz val="11"/>
        <color theme="1"/>
        <rFont val="Times New Roman"/>
        <family val="1"/>
        <charset val="204"/>
      </rPr>
      <t xml:space="preserve">                                                                             </t>
    </r>
    <r>
      <rPr>
        <i/>
        <sz val="11"/>
        <color theme="1"/>
        <rFont val="Times New Roman"/>
        <family val="1"/>
        <charset val="204"/>
      </rPr>
      <t>Программанын максаты: референдумдарда жана шайлоолордо шайлоочулардын келүүсүнүн жогору деңгээлде уюштуруу.</t>
    </r>
  </si>
  <si>
    <t>Кыргыз Республикасынын Президентин, Жогорку Кеңештин депутаттарын, жергиликтүү кеңештердин депутаттарын, жергиликтүү өз алдынча башкаруунун аткаруу органдарынын башчыларын шайлоону даярдоону жана өткөрүүнү уюштуруу</t>
  </si>
  <si>
    <t>Добуш берүүнүн жыйынтыктарын чыгаруу жана шайлоонун натыйжаларын аныктоо</t>
  </si>
  <si>
    <t>19. Кыргыз Республикасынын Башкы прокуратурасы</t>
  </si>
  <si>
    <t>коэф</t>
  </si>
  <si>
    <t>аудит жүргүзүлгөн эмес</t>
  </si>
  <si>
    <t xml:space="preserve">Адамдык ресурстар менен башкаруу </t>
  </si>
  <si>
    <t>0                     111                     0</t>
  </si>
  <si>
    <t>0                     111                   0</t>
  </si>
  <si>
    <t>0                      111                      0</t>
  </si>
  <si>
    <t xml:space="preserve">Аткаруу бийлик органдарынын, ошондой эле тизмеси конституциялык мыйзам менен аныкталган башка мамлекеттик органдардын, жергиликтүү өз алдынча башкаруу органдарынын жана аталган органдардын кызмат адамдарынын мыйзамдарды так жана бирдей аткаруусун көзөмөлдөө </t>
  </si>
  <si>
    <t>Бардыгы:32648 19018        8049           5581      388945321 сом</t>
  </si>
  <si>
    <t>Аткаруу бийлик органдары тарабынан чыгарылган ЧУА мыйзамдуулугуна жана мыйзамдардын аткарылышына көзөмөл жүргүзүү</t>
  </si>
  <si>
    <t>Бардыгы:16402 8170            5210          3022 332291628 сом</t>
  </si>
  <si>
    <t>Коррупцияга каршы аракеттенүү. Коррупцияга каршы мамлекеттик органдардын ишмердүүлүгүн координациялоо</t>
  </si>
  <si>
    <t>Бардыгы:7544 4124                   1892              1528                 56653693 сом</t>
  </si>
  <si>
    <t>Бардыгы:7544 4124                   1892              1528             56653693 сом</t>
  </si>
  <si>
    <t>Бардыгы:7544 4124                   1892              1528           56653693 сом</t>
  </si>
  <si>
    <t>Бардыгы:7544 4124                   1892              1528            56653693 сом</t>
  </si>
  <si>
    <t>Балдардын укуктарын коргоо боюнча  мыйзамдардын аткарылышына көзөмөл жүргүзүү</t>
  </si>
  <si>
    <t>Бардыгы: 8702          6724               947                   1031</t>
  </si>
  <si>
    <t>Инвесторлорды коргоо жана ишкерлердин укуктарын сакталышын көзөмөлдөө болүмү</t>
  </si>
  <si>
    <t>Бардыгы:36            5                        18                        5                              8                            0</t>
  </si>
  <si>
    <t>Бардыгы:53766       473                   44975                 159             7386             494                      245                          34</t>
  </si>
  <si>
    <t xml:space="preserve">Ички иштер жана жаза аткаруу органдарындагы тергөөнү жана изин суутпай издөө ишин көзөмөлдөө </t>
  </si>
  <si>
    <t>Бардыгы:49366       428                   42142              148               5951             453                     222                          22</t>
  </si>
  <si>
    <t xml:space="preserve">Экономикалык кылмыштуулукка каршы күрөшүү органдарындагы тергөө жана изин суутпай издөө ишин көзөмөлдөө жана Аскердик прокуратурасы менен улуттук коопсуздук органдарында тергөө </t>
  </si>
  <si>
    <t>Бардыгы:3899       33                   2689                       9                      1118                     29                            21                          0</t>
  </si>
  <si>
    <t xml:space="preserve">Экономикалык кылмыштуулукка каршы күрөшүү боюнча мамлекеттик кызмат жана бажы органдарындагы тергөөнү жана изин суутпай издөө ишин көзөмөлдөө </t>
  </si>
  <si>
    <t>Бардыгы:501       12                   144                       2                      317                     12                            2                          12</t>
  </si>
  <si>
    <t xml:space="preserve">Соттордо мамлекеттик айыптоону жана өкүлчүлүктү колдоону камсыз кылуу </t>
  </si>
  <si>
    <t>Бардыгы:15409       10208                   2818                       1034                      684                     665                                             45850555</t>
  </si>
  <si>
    <t xml:space="preserve">Сотто мамлекеттик айыптоону колдоо </t>
  </si>
  <si>
    <t xml:space="preserve">Бардыгы:13441       8390                  2818                       934                      634                     665                                           </t>
  </si>
  <si>
    <t xml:space="preserve">Мамлекеттин кызыкчылыгында жарандык, административдик жана экономикалык иштерде прокуратуранын өкүлчүлүгү  </t>
  </si>
  <si>
    <t xml:space="preserve">Бардыгы:1968       1818                  10                           50                            0                     45850555                                           </t>
  </si>
  <si>
    <t xml:space="preserve">Укуктук статистика жана эсепке алууну камсыз кылуу </t>
  </si>
  <si>
    <t xml:space="preserve">Бардыгы:113       41                      10                           62                                                            </t>
  </si>
  <si>
    <t>Кылмыштуулук, аларды жасаган адамдар жана укук коргоо органдарынын тергөө иштери жөнүндө жазык-укуктук статистиканы түзүү (бардык укук коргоо тутуму боюнча статистиканын жыйындысы) жана көзөмөлдөө,укук коргоо тутуму үчүн “Кылмыштардын жана жоруктардын бирдиктүү реестри” автоматташтырылган  маалыматтык тутумун иштеп чыгуу, ишке киргизүү жана модернизациялоо</t>
  </si>
  <si>
    <t>Көзөмөлдөө,укук коргоо тутуму үчүн “Кылмыштардын жана жоруктардын бирдиктүү реестри” автоматташтырылган  маалыматтык тутумун иштеп чыгуу, ишке киргизүү жана модернизациялоо</t>
  </si>
  <si>
    <t>Бардыгы:                139 490, анын ичинде:  кылмыш-             78 254            жорук.-         61 236</t>
  </si>
  <si>
    <t>Бардыгы:                139 490,анын ичинде:  кылмыш-             78 254         жорук.-         61 236</t>
  </si>
  <si>
    <t>Бардыгы:                139 490, анын ичинде:  кылмыш-          78 254           жорук.-          61 236</t>
  </si>
  <si>
    <t>Бардыгы:                139 490, нын ичинде:  кылмыш-             78 254            жорук.-              61 236</t>
  </si>
  <si>
    <t>КЖБР АИС түзүү жана киргизүү долбоорун ишке ашыруу</t>
  </si>
  <si>
    <t>Бардыгы:                139 490, анын ичинде:  кылмыш-               78 254          жорук.-          61 236</t>
  </si>
  <si>
    <t xml:space="preserve">кылмыш-             78 254 </t>
  </si>
  <si>
    <t>Бузуулардын бирдиктүү реестри</t>
  </si>
  <si>
    <t xml:space="preserve">КЖБР АИС долбоорун ишке ашырууга бөлүнгөн акжа каражаттары </t>
  </si>
  <si>
    <t>жорук.-         61 236</t>
  </si>
  <si>
    <t>жорук.-          61 236</t>
  </si>
  <si>
    <t>жорук.-           61 236</t>
  </si>
  <si>
    <t>Тергөө бөлүмү</t>
  </si>
  <si>
    <t>Тергөө бөлүмү №1</t>
  </si>
  <si>
    <t>Тергөө бөлүмү №2</t>
  </si>
  <si>
    <t>Тергөө бөлүмү №3</t>
  </si>
  <si>
    <t xml:space="preserve">20. Башкы тескөөчү  Кыргыз Республикасынын Аскер прокуратурасы </t>
  </si>
  <si>
    <t>Бекитилген план боюнча текшерүүлөрдүн жана сабактардын саны, борбордук деңгээлдеги массалык маалымат каражаттарына чыгуу</t>
  </si>
  <si>
    <t>Бекитилген план боюнча текшерүүлөрдүн жана сабактардын саны, аймактык деңгээлдеги массалык маалымат каражаттарына чыгуу</t>
  </si>
  <si>
    <t>Аскер мыйзамдары сакталышына жалпы көзөмөл кылууну ишке ашыруу</t>
  </si>
  <si>
    <t xml:space="preserve">Аскер мыйзамдары боюнча укук бузууларды азайтуу </t>
  </si>
  <si>
    <t xml:space="preserve">Кыргыз Республикасынын мыйзамдарын так жана бирдей аткарылышын көзөмөлдөө </t>
  </si>
  <si>
    <t xml:space="preserve">Аскер мыйзамдарын сактабоо боюнча жүргүзүлгөн текшерүүлөрдүн саны </t>
  </si>
  <si>
    <t xml:space="preserve">Саны/суммасы </t>
  </si>
  <si>
    <t>700/9000,0</t>
  </si>
  <si>
    <t xml:space="preserve">Мыйзамдардын жана аскер уставдарынын аткарылышын көзөмөлдөө </t>
  </si>
  <si>
    <t xml:space="preserve">Командирлер менен начальниктердин иш-аракеттерине арыздануулар менен даттануулардын саны </t>
  </si>
  <si>
    <t xml:space="preserve">Сунуштоо жана жазма буйрук </t>
  </si>
  <si>
    <t xml:space="preserve">Куралдуу күчтөрдө чыгарылган ченемдик актылардын шайкештигине көзөмөл  </t>
  </si>
  <si>
    <t xml:space="preserve">Саны </t>
  </si>
  <si>
    <t xml:space="preserve">Куралдуу күчтөрдөгү кылмыш иштеринин алдын алуу жана бетин ачуу </t>
  </si>
  <si>
    <t xml:space="preserve">Куралдуу күчтөрдөгү кылмышкерлерди кылмыш жоопкерчилигине тартуу </t>
  </si>
  <si>
    <t xml:space="preserve">Кылм.иштеринин саны/суммасы </t>
  </si>
  <si>
    <t>200/31000,0</t>
  </si>
  <si>
    <t>250/32000,0</t>
  </si>
  <si>
    <t>3000/33000,0</t>
  </si>
  <si>
    <t xml:space="preserve">Куралдуу күчтөрдө кылмыштуулуктун алдын алуу </t>
  </si>
  <si>
    <t xml:space="preserve">Сот процесстерине катышуу </t>
  </si>
  <si>
    <t xml:space="preserve">Соттордо мамлекеттик айыптоону даярдоо жана айып тагуу </t>
  </si>
  <si>
    <t>21. Кыргыз Республикасынын  Акыйкатчысы (Омбудсмени)</t>
  </si>
  <si>
    <t>Адам ресурстарын башкаруу</t>
  </si>
  <si>
    <t>Тышкы байланышты жана коомчулук менен байланышты колдоо</t>
  </si>
  <si>
    <t xml:space="preserve">Адамдардын эркин чектеген мекемелердеги адам укуктарын көзөмөддөө </t>
  </si>
  <si>
    <t>Адамдардын социальдык,экономикалык жана маданиятык укугун  коргоо</t>
  </si>
  <si>
    <t>22. Кыргыз Республикасынын Юстиция министрлиги</t>
  </si>
  <si>
    <t>Башкаруу жана администрациялоо</t>
  </si>
  <si>
    <t>Тармакты борбордук деңгээлде башкаруу жана администрациялоо</t>
  </si>
  <si>
    <t xml:space="preserve">Мамлекеттик каттоону ишке ашыруу жана нотариустук ишти координациялоо </t>
  </si>
  <si>
    <t xml:space="preserve">Мам. каттоонун, кайра каттоонун, токтотуунун, апостиль жана нот. иштердин саны       </t>
  </si>
  <si>
    <t>Мамлекеттик каттоону ишке ашыруу жана нотариустук ишти координациялоо</t>
  </si>
  <si>
    <t xml:space="preserve">Апостилденген документ. саны </t>
  </si>
  <si>
    <t xml:space="preserve">Легалдаштырылган документ. саны </t>
  </si>
  <si>
    <t>Мам. нот. иштердин саны</t>
  </si>
  <si>
    <t xml:space="preserve">Мам. каттоонун, кайра каттоонун, токтотуунун саны          </t>
  </si>
  <si>
    <t>Кыргыз Республикасынын жарандарына мамлекеттик юридикалык жардам көрсөтүү</t>
  </si>
  <si>
    <t>Иштетилген суроо-талаптардын саны</t>
  </si>
  <si>
    <t>Кыргыз Республикасынын Юстиция министрлигине караштуу  Мамлекеттик соттук - эксперттик кызматы</t>
  </si>
  <si>
    <r>
      <rPr>
        <b/>
        <i/>
        <sz val="11"/>
        <color indexed="8"/>
        <rFont val="Times New Roman"/>
        <family val="1"/>
        <charset val="204"/>
      </rPr>
      <t xml:space="preserve">Башкаруу жана администрациялоо Программанын максаттары: </t>
    </r>
    <r>
      <rPr>
        <b/>
        <sz val="11"/>
        <color indexed="8"/>
        <rFont val="Times New Roman"/>
        <family val="1"/>
        <charset val="204"/>
      </rPr>
      <t xml:space="preserve">                                                                                                                   
Соттук-эксперттик ишти к</t>
    </r>
    <r>
      <rPr>
        <b/>
        <i/>
        <sz val="11"/>
        <color indexed="8"/>
        <rFont val="Times New Roman"/>
        <family val="1"/>
        <charset val="204"/>
      </rPr>
      <t>оординициялоо</t>
    </r>
  </si>
  <si>
    <t>Аткарылган соттук экспертизалардын саны</t>
  </si>
  <si>
    <t>Кыргыз Республикасынын Юстиция министрлигине караштуу Жазаларды аткаруу мамлекеттик кызматы</t>
  </si>
  <si>
    <t>001 программа боюнча эмгек акыга сарптоолордун баардык программалар боюнча эмгек акыга чыгымдарга карата катышы</t>
  </si>
  <si>
    <t xml:space="preserve">ЖАМК ишинин ачыктыгын камсыздоо </t>
  </si>
  <si>
    <t>Жазык аткаруу системасындагы жаза өтөөнүн тартибин жана шарттарын уюштуруу</t>
  </si>
  <si>
    <t>Соттолгондорду эмгекке тартуу жана эмгектин натыйжасына моралдык жана материалдык кызыктыруу үчүн шарттарды түзүү</t>
  </si>
  <si>
    <t>Эркиндигинен ажыратуучу жайларда жазаны ишке ашыруу боюнча ишти уюштуруу</t>
  </si>
  <si>
    <t>Соттолгондордун, качкандардын, киши өлтүргөндөрдүн саны</t>
  </si>
  <si>
    <t>Мекеменин инфраструктурасын камсыздоо жана соттолгондорду ишке тартуу</t>
  </si>
  <si>
    <t>Куруу, реконструкция, ремонт-калыбына келтирүү жумуштары</t>
  </si>
  <si>
    <t xml:space="preserve">Соттолгондорду тамак-аш менен камсыздоо </t>
  </si>
  <si>
    <t>Өмүр бою соттолгондор үчүн курулушту бүтүрүү</t>
  </si>
  <si>
    <t>Өмүр бою эркиндигинен ажыратылгандар үчүн 2-корпустун курулушу бүтүрүү</t>
  </si>
  <si>
    <t>Соттук-укуктук реформа:</t>
  </si>
  <si>
    <t>Курулуш, реконструкция, ремонт-калыбына келтирүү жумуштары</t>
  </si>
  <si>
    <t>Соттолгондорду кармоо шарттарын жакшыртуу</t>
  </si>
  <si>
    <t xml:space="preserve">Түзөтүүчү колонияда эркектерди, аялдарды, ар түрдүү инфекциялык оорулары бар соттолгондорду кармоо үчүн режимдин ар кандай түрлөрүндөгү участокторду уюштуруу (жалпы, күчөтүлгөн жана катаал режимдеги жана жашы жете элек кыздар жана балдар үчүн участоктор) </t>
  </si>
  <si>
    <t>Окуу процессин уюштуруу жана методикалык камсыздоо</t>
  </si>
  <si>
    <t>Түзөтүү мекемелерин жана СИЗОлорду реконструкциялоо жана заманбап ИТСО менен жабдуу (коопсуздукту арттыруу)</t>
  </si>
  <si>
    <t>Түзөтүү мекемелерин жана тергөө изоляторлорун заманбап инженердик-техникалык каражаттар менен жабдуу (радио-нур)</t>
  </si>
  <si>
    <t>Социалдык-маданий жана коммуналдык-тиричилик багыттагы обьекттерди куруу жана реконструкциялоо</t>
  </si>
  <si>
    <t>Эркиндигинен ажыратуучу жайлардан бошонгондорду тамак-аш, кийим, бут кийим, бир жолку акчалай пособие менен камсыздоо жана жолун төлөп берүү (жыл сайын 1000 кишиге чейин)</t>
  </si>
  <si>
    <t>Соттолгондордун дарылоочу мекемелерде жаза өтөөсүн уюштуруу</t>
  </si>
  <si>
    <t>Соттолгондорго алгачкы медициналык-санитардык жардам көрсөтүү</t>
  </si>
  <si>
    <t>Дарылоочу мекемелерде соттолгондорду тамак-аш менен камсыздоо</t>
  </si>
  <si>
    <t>Соттолгондордун санына карата категориялар боюнча тамак берүү нормалары</t>
  </si>
  <si>
    <t>ЖАМКнын дарылоочу мекемелеринде инфраструктураны камсыздоо</t>
  </si>
  <si>
    <r>
      <t>Мектепке чейинки билим берүү
П</t>
    </r>
    <r>
      <rPr>
        <b/>
        <i/>
        <sz val="11"/>
        <color indexed="8"/>
        <rFont val="Times New Roman"/>
        <family val="1"/>
        <charset val="204"/>
      </rPr>
      <t>программанын максаты: балдарды мектеке даярдоо</t>
    </r>
  </si>
  <si>
    <t>Мектепке чейинки мекемелерди колдоо жана кеңейтүү</t>
  </si>
  <si>
    <t>Мектепке чейинки мекемелерди каржылоо процентин жакшыртуу</t>
  </si>
  <si>
    <t>2ден 7 жашка чейинки балдарды мектепке чейинки даярдоо программасын жогорулатуу</t>
  </si>
  <si>
    <t>Билим берүүчү мекемелердин материалдык-техникалык базасын жакшыртуу</t>
  </si>
  <si>
    <t>Мектепке чейинки билим берүүдө сапаттуу тейлөөнү камсыздоо</t>
  </si>
  <si>
    <t xml:space="preserve">ЖАМКнын ишинин ачык-айкындыгын камсыздоо </t>
  </si>
  <si>
    <t>КР соттук-укуктук реформа:</t>
  </si>
  <si>
    <t>Түзөтүүчү колонияда эркектерди, аялдарды, ар түрдүү инфекциялык оорулары бар соттолгондорду кармоо үчүн режимдин ар кандай түрлөрүндөгү участокторду уюштуруу (жалпы, күчөтүлгөн жана катаал режимдеги жана жашы жете элек кыздар жана балдар үчүн участоктор)</t>
  </si>
  <si>
    <t>Соттолгондордун билим алууга укуктарын камсыздоо</t>
  </si>
  <si>
    <t xml:space="preserve">Окуу процессин уюштуруу-методикалык камсыздоо </t>
  </si>
  <si>
    <t>Социалдык-маданий жана тиричилик багыттагы обькттерди куруу жана реконструкциялоо</t>
  </si>
  <si>
    <t>Эркиндигинен ажыратуучу жайлардан бошонгон адамдардга социалдык жардамды уюштуруу</t>
  </si>
  <si>
    <t>Ички зонага уруксатсыз кирүүлөрдүн саны</t>
  </si>
  <si>
    <t>Тыюу салынган тышкы зонага баргандардын сны</t>
  </si>
  <si>
    <t>Сот мекемелерин конвой менен камсыздоо</t>
  </si>
  <si>
    <t>Конвойлонгон соттолгондордун жана соттолуп жаткандардын саны</t>
  </si>
  <si>
    <t>киши</t>
  </si>
  <si>
    <t>Жыйынтыгы (контролдук сандар)</t>
  </si>
  <si>
    <t>23. Кыргыз Республикасынын Тышкы иштер министрлиги</t>
  </si>
  <si>
    <t>Калктын ишеним индекси</t>
  </si>
  <si>
    <t xml:space="preserve">Тармакты борбордук деңгээлде башкаруу жана  администрлөө
</t>
  </si>
  <si>
    <t>Кыргыз Республикасынын жарандары үчүн визасыз кирүүгө уруксат берилген өлкөлөрдүн саны</t>
  </si>
  <si>
    <t>Элчиликтердин жана туруктуу өкүлчүлүктөрдүн, башкы консул-дуктардын, консулдук агенттиктердин жана виза бөлүмдөрүнүн ишмердиги</t>
  </si>
  <si>
    <t>Чет өлкөлөрдө өткөрүлгөн тышкы саясий иш-чаралардын саны</t>
  </si>
  <si>
    <r>
      <t xml:space="preserve">Эл аралык мамилелер жаатында  жогорку билим берүү  </t>
    </r>
    <r>
      <rPr>
        <i/>
        <sz val="11"/>
        <color theme="1"/>
        <rFont val="Times New Roman"/>
        <family val="1"/>
        <charset val="204"/>
      </rPr>
      <t>Программанын максаты: Эл аралык мамилелер жаатында жогорку кесиптик, дипломдон кийинки жана кошумча кесиптик билимди сапаттуу берүү аркылуу эл аралык мамилелер чөйрөсүндө адам капиталын түзүү.</t>
    </r>
  </si>
  <si>
    <t>Академиянын бүтүрүүчүлөрүнүн жумушка орношуусу жана кесибинде калуу пайызы</t>
  </si>
  <si>
    <t>Эл аралык мамилелер жаатында жогорку кесиптик, дипломдон кийинки жана кошумча кесиптик билим берүү</t>
  </si>
  <si>
    <t>Магистрдик билим берүү чөйрөсүндө мамлекеттик билим берүү грантына кабыл алынган студенттердин үлүшү</t>
  </si>
  <si>
    <r>
      <t xml:space="preserve">Миграция чөйрөсүндө мамлекеттик саясатты ишке ашыруу
</t>
    </r>
    <r>
      <rPr>
        <i/>
        <sz val="11"/>
        <color theme="1"/>
        <rFont val="Times New Roman"/>
        <family val="1"/>
        <charset val="204"/>
      </rPr>
      <t>Программанын максаты: Өлкөдөн эмгек ресурстарынын агып кетишин азайтуу, чет өлкөлөрдөгү мигранттардын (анын ичинде эмгек мигранттарынын) кызыкчылыктарын жогорку деңгээлде коргоо, чет элдик жумушчу күчүн, кайрылмандарды, качкындардын агымын көзөмөлдөө, адам сатууга каршы күрөшүү</t>
    </r>
  </si>
  <si>
    <t>Маалыматтык-консультациялык борбордун жана жеке иш менен камсыз кылуу агенттигинин жардамы менен тышкы рынокто иштеген Кыргыз Республикасынын жарандарынын саны</t>
  </si>
  <si>
    <t>Чет элдик жумушчу күчүн тартуу жана пайдалануу процесстерин жөнгө салуу, иммигрант макамын кароо</t>
  </si>
  <si>
    <t>Чет өлкөлүк жарандарга жана жарандыгы жок адамдарга каралган уруксат документтеринин саны</t>
  </si>
  <si>
    <t>24. Аймактардын резервдик жана башка фонду</t>
  </si>
  <si>
    <t>Аймактардын резервдик жана башка фонду</t>
  </si>
  <si>
    <t>Ысык-Көл облусунун өнүктүрүү фонду</t>
  </si>
  <si>
    <t>Райондордун өнүктүрүү фонду</t>
  </si>
  <si>
    <t>Областтардын өнүктүрүү фонду</t>
  </si>
  <si>
    <t>Кыргыз Республикасынын Өкмөтүнүн облустардагы ыйгарым укуктуу өкүлүнүн резервдик фонду</t>
  </si>
  <si>
    <t>Акимдердин резервдик фонду</t>
  </si>
  <si>
    <t>Мамлекеттик-жеке өнөктөштүк долбоорун даярдоону каржылоо фонду</t>
  </si>
  <si>
    <t>26. Кыргыз Республикасынын экономика жана финансы министрлиги</t>
  </si>
  <si>
    <t>Кыргыз Республикасынын Саламаттык сактоо жана социалдык өнүктүрүү министрлигинин алдындагы Милдеттүү медициналык камсыздандыруу фонду</t>
  </si>
  <si>
    <r>
      <t xml:space="preserve">Баштапкы медициналык-санитардык жардам кызматын көрсөтүү                                                                                                                                     </t>
    </r>
    <r>
      <rPr>
        <i/>
        <sz val="10"/>
        <rFont val="Times New Roman"/>
        <family val="1"/>
        <charset val="204"/>
      </rPr>
      <t xml:space="preserve">Программанын максаты: Баштапкы медициналык-санитардык жардамдын деңгээлинде ооруну эрте аныктоо, медициналык жана профилактикалык жардам көрсөтүүнүн сапатын жана натыйжалуулугун жогорулатуу  </t>
    </r>
  </si>
  <si>
    <t xml:space="preserve">Башка программалар боюнча жалпы чыгымдарда Баштапкы медициналык-санитардык жардамга кеткен чыгымдардын үлүшү  </t>
  </si>
  <si>
    <t xml:space="preserve">ҮДТ дарыгерине каттагандардын саны 1 тургунга карата </t>
  </si>
  <si>
    <t xml:space="preserve">"Электрондук кезек" сервисин киргизген БМСЖК уюмдарынын үлүшү </t>
  </si>
  <si>
    <t>Бейтаптардын кызматтын сапатына канааттануу деңгээли (баалоо картасы боюнча )</t>
  </si>
  <si>
    <t xml:space="preserve">Республиканын калкына шашылыш (тез) медициналык жардамдын жеткиликтүүлүгүн камсыз кылуу </t>
  </si>
  <si>
    <t xml:space="preserve">Медициналык тез жардам бригадаларынын иш жүзүндө санынын бекитилген санына  карата пайыздык шайкештиги </t>
  </si>
  <si>
    <t xml:space="preserve">Саны 1000 болгон калкка шашылыш мед. жардам бригадалары тарабынан тейленген чакыруулардын саны </t>
  </si>
  <si>
    <t xml:space="preserve">Баштапкы медициналык-санитардык жардамдын деңгээлинде  республиканын калкынын базалык медициналык кызматтарга жеткиликтүүлүгүн камсыз кылуу </t>
  </si>
  <si>
    <t xml:space="preserve">Төрөт үйүнөн чыккандан кийинки алгачкы үч күндө ҮДТда каттоого алынган ымыркайлардын үлүшү  (үйдө төрөлүп, кийин госпиталдаштырылбаган учурда - төрөттөн кийинки алгачкы  үч күн) </t>
  </si>
  <si>
    <t>Үй-бүлөлүк дарыгерге каттаган 1 жашка чейинки курактагы  балдардын пайыздык үлүшү (жалпы практика врачы), %</t>
  </si>
  <si>
    <t xml:space="preserve">Гипертония оорусу менен биринчи жолу катталган бейтаптардын саны, 100 миң сандагы калктын санына карата  </t>
  </si>
  <si>
    <t xml:space="preserve">Баштапкы медициналык-санитардык жардам кызматынын уюмдары тарабынан көрсөтүлүүчү кургак учук менен күрөшүү боюнча медициналык жардамга жеткиликтүүлүктү камсыз кылуу  </t>
  </si>
  <si>
    <t>12 жумага чейинки мөөнөттө кош бойлуулугу боюнча каттоого турган аялдардын саны  , %</t>
  </si>
  <si>
    <t xml:space="preserve"> Кош бойлуу аялдардын стоматологко алдын ала көсөтүүнүн камтуу</t>
  </si>
  <si>
    <t>Кош бойлуулугу боюнча кезекке турган аялдардын, алдын ала кароодон өткөн учурда аныкталган саны</t>
  </si>
  <si>
    <t>Профилактикалык текшерүүдөн өткөн 10 жашка чейинки балдардын үлүшү (мектеп, бала-бакчалардан)</t>
  </si>
  <si>
    <t>Профилактикалык текшерүүдөн байкалып санациядан өткөн 10 жашка чейинки балдардын үлүшү (мектеп, бала-бакчалардан)</t>
  </si>
  <si>
    <t xml:space="preserve">Республиканын калкынын МКП боюнча женилдетилген дары-дармекке болгон жеткиликтүүлүгүн камсыз кылуу  (терминалдык стадиядагы онкологиялык оорулуулар;  параноялык шизофрения менен ооругандарды; ар түрдүү генездеги аффективдүү бузулуулар; талма; бронхиалдык астма менен ооругандар) </t>
  </si>
  <si>
    <t xml:space="preserve">Баштапкы медициналык-санитардык жардамдын  пилоттук саламаттык сактоо уюмдарында амбулаториялык деңгээлде дарылоосу ийгиликтүү аяктаган кургак учук менен ооруган учурлардын саны   </t>
  </si>
  <si>
    <t>94%-дан кем эмес</t>
  </si>
  <si>
    <t>95%-дан кем эмес</t>
  </si>
  <si>
    <t xml:space="preserve">Калкка Мамлекеттик кепилдиктер программасынын көлөмүнөн тышкары акы төлөнүүчү медициналык кызматтарды көрсөтүүнү камсыз кылуу                                                                </t>
  </si>
  <si>
    <t>Төлөмдөр карточканы колдонуу менен сапатты баалоонун жыйынтыгы боюнча жүргүзүлгөн МСАКтын үлүшү</t>
  </si>
  <si>
    <t>Натыйжага негизделген программанын иш-аракеттери  (ПОР)</t>
  </si>
  <si>
    <t>БМСЖ деңгээлинде жугуштуу эмес ооруларды азайтуу көрсөткүчү</t>
  </si>
  <si>
    <t>Жашоонун орточо узактыгы</t>
  </si>
  <si>
    <t>э/а жашы</t>
  </si>
  <si>
    <t>Жыйынтыкка жетүү үчүн стимул төлөмдөрүн алган медициналык кызматкерлердин саны</t>
  </si>
  <si>
    <t>дем берүүчү төлөмдөрдү алуучулардын чыныгы саны</t>
  </si>
  <si>
    <t>Жугуштуу эмес оорулардын төмөндөшүнүн пайызы катары берилген донордук каражаттардын пайызы</t>
  </si>
  <si>
    <t>НКДнын төмөндөө темпинин төмөндөшүнө жараша</t>
  </si>
  <si>
    <t>263</t>
  </si>
  <si>
    <r>
      <t xml:space="preserve">Медициналык мекемелер тарабынан стационардык деңгээлде кызмат көрсөтүү                                                                                       </t>
    </r>
    <r>
      <rPr>
        <i/>
        <sz val="10"/>
        <rFont val="Times New Roman"/>
        <family val="1"/>
        <charset val="204"/>
      </rPr>
      <t>Программанын максаты: Стационардык деңгээлде кепилденген медициналык жардам көрсөтүүнүн сапатын жана натыйжалуулугун  жогорулатуу</t>
    </r>
  </si>
  <si>
    <t>Госпиталдаштыруунун деңгээли 100 кишиге</t>
  </si>
  <si>
    <t>13,6% дан көп эмес</t>
  </si>
  <si>
    <t>13,5% дан көп эмес</t>
  </si>
  <si>
    <t>13,4% дан көп эмес</t>
  </si>
  <si>
    <t>13,2% дан көп эмес</t>
  </si>
  <si>
    <t>Канааттандыруу деңгээли (баалоо картасы боюнча)</t>
  </si>
  <si>
    <t>50%-дан кем эмес</t>
  </si>
  <si>
    <t>стационардын жалпы чыгымында түздөн түз бейтапка кеткен чыгымдардын үлүшү :</t>
  </si>
  <si>
    <t>медикаменттер</t>
  </si>
  <si>
    <t>тамак-аш</t>
  </si>
  <si>
    <t xml:space="preserve">МКПнын алкагында стационардык жардамдын деңгээлинде республиканын калкынын медициналык кызматттарга жеткиликтүүлүгүн камсыз кылуу </t>
  </si>
  <si>
    <t xml:space="preserve">Социалдык жеңилдиктер боюнча дарыланган калктын саны </t>
  </si>
  <si>
    <t>Негизсиз дарылангандарын деңгээли</t>
  </si>
  <si>
    <t xml:space="preserve">Медициналык көрсөткүчтөрү боюнча жеңилдетилген дарылоо жүргүзүлгөн калктын үлүшү </t>
  </si>
  <si>
    <t>Иш жүзүндө дарыланып чыккандардын макулдашылган планга карата катышы</t>
  </si>
  <si>
    <t>20%-дан кем эмес</t>
  </si>
  <si>
    <t xml:space="preserve">Стационардык деңгээлдеги саламаттык сактоо уюмдары тарабынан көрсөтүлүүчү кургак учукка каршы медициналык жардамга жеткиликтүүлүктү камсыз кылуу </t>
  </si>
  <si>
    <t xml:space="preserve">Адистештирилген онкологиялык жана гематологиялык жардамдын деңгээлинде медициналык кызматтарга жеткиликтүүлүктү камсыз кылуу </t>
  </si>
  <si>
    <t>100% дан көп эмес</t>
  </si>
  <si>
    <t xml:space="preserve">Адистештирилген кардиохирургиялык жардамдын деңгээлинде медициналык кызматтарга жеткиликтүүлүктү камсыз кылуу </t>
  </si>
  <si>
    <t xml:space="preserve">Адистештирилген психиатриялык жардамдын деңгээлинде медициналык кызматтарга жеткиликтүүлүктү камсыз кылуу </t>
  </si>
  <si>
    <t>Уюмдун иш-аракетинен сапаттуу көрсөткүчтөргө жетишкендиги үчүн стимулдуу төлөмдөрдү берүү жолу менен калкка медициналык жардам көрсөтүүнүн сапатын жогорулатуу</t>
  </si>
  <si>
    <t>Стимулдаштыруучу төлөмдөрдүн жыйынтыгы боюнча саламаттык сактоо иш-чараларынын сапаты бааланган саламаттыкты сактоо мекемелеринин саны</t>
  </si>
  <si>
    <t>264</t>
  </si>
  <si>
    <t>Кыргыз Республикасынын Саламаттык сактоо жана социалдык өнүктүрүү министрлигинин алдындагы Социалдык фонду</t>
  </si>
  <si>
    <t>Пенсиялык камсыздоо жана бюджеттик каражаттардын эсебинен компенсациялар</t>
  </si>
  <si>
    <t xml:space="preserve">Республикалык бюджеттин эсебинен каржыланган пенсияларды төлөп берүүлөрдүн кечигүүсү боюнча тартип бузуулардын саны. </t>
  </si>
  <si>
    <t>Пенсиянын базалык бөлүгүн камсыздоо</t>
  </si>
  <si>
    <t>Пенсионерлерге электр энергиясы үчүн компенсацияларды төлөө</t>
  </si>
  <si>
    <t>Аскер кызматчыларын пенсиялык камсыздоо, аскер кызматкерлерине жана алардын үй-бүлө мүчөлөрүнө бир жолку жөлөкпул төлөп берүү</t>
  </si>
  <si>
    <t xml:space="preserve">Калктын айрым категорияларын жеңилдетилген (мөөнөтүнөн мурда) пенсиялык камсыздоо жана пенсияларга кошумча акы төлөп берүү.  </t>
  </si>
  <si>
    <t>Мамлекеттик программалар</t>
  </si>
  <si>
    <t>Кыргыз Республикасында мамлекеттик тилди жана тил саясатын өркүндөтүү, өнүктүрүү боюнча мамлекеттик программаны ишке ашыруу</t>
  </si>
  <si>
    <t>Санарип экономика</t>
  </si>
  <si>
    <t>Коопсуз шаар</t>
  </si>
  <si>
    <t>Эл аралык уюмдарга тɵлɵмдɵр</t>
  </si>
  <si>
    <t>Мамлекеттик карыз</t>
  </si>
  <si>
    <t>КНС ордун толтуруу жана  кайтарып берүү</t>
  </si>
  <si>
    <t>Соттун чечимдеринин аткарылышын камсыздоо</t>
  </si>
  <si>
    <t>Банктын кызматынын  төлөмдөру</t>
  </si>
  <si>
    <t>Коммерциялык банктардын пайыздык ченемдерин субсидиялоо</t>
  </si>
  <si>
    <t>Чек арага жакын аймактарды өнүктүрүү</t>
  </si>
  <si>
    <t xml:space="preserve">"Улуттук Ипотекалык компаниясы" ААК </t>
  </si>
  <si>
    <t>Фискалдаштыруу</t>
  </si>
  <si>
    <t>Экономиканы өнүктүрүү долбоорлорун каржылоо</t>
  </si>
  <si>
    <t>Стратегиялык объекттерди сатып алуу</t>
  </si>
  <si>
    <t>Мамлекеттик программалар, иш-чаралар жана төлөмдөр</t>
  </si>
  <si>
    <t>Капиталдык салымдар</t>
  </si>
  <si>
    <t>Табигый кырсыктарды жоюу боюнча иш-чаралар</t>
  </si>
  <si>
    <t>Социалдык тɵлɵмдɵрду жогорулату</t>
  </si>
  <si>
    <t>Тендɵɵчу трансферттер</t>
  </si>
  <si>
    <t>Максаттуу трансферттер</t>
  </si>
  <si>
    <t xml:space="preserve">Жергиликтүү бюджеттен республикалык бюджетке которулган мекемелер </t>
  </si>
  <si>
    <t xml:space="preserve">Райондук бюджеттен республикалык бюджетке которулган мекемелер </t>
  </si>
  <si>
    <t>Мамлекеттик бюджеттик резерв</t>
  </si>
  <si>
    <t>Өзгөчө кырдаалдар министрлигинин атайын эсеби</t>
  </si>
  <si>
    <r>
      <t xml:space="preserve">Башкаруу жана администрациялоо                                                      </t>
    </r>
    <r>
      <rPr>
        <i/>
        <sz val="11"/>
        <rFont val="Times New Roman"/>
        <family val="1"/>
        <charset val="204"/>
      </rPr>
      <t xml:space="preserve">Программанын максаттары: башка программаларды ишке ашырууга координациялоочу жана уюштуруучу таасир этүүлөр      </t>
    </r>
    <r>
      <rPr>
        <b/>
        <sz val="11"/>
        <rFont val="Times New Roman"/>
        <family val="1"/>
        <charset val="204"/>
      </rPr>
      <t xml:space="preserve">    </t>
    </r>
  </si>
  <si>
    <t>001 Программасы боюнча эмгек акыга чыгымдардын бардык программалар боюнча эмгек акыга чыгымдардын суммасына катышы</t>
  </si>
  <si>
    <t>Тармакты борбордук дэнгээлде башкаруу жана администрациялоо</t>
  </si>
  <si>
    <t>Бюджетти бузуусуз аткаруунун пайызы</t>
  </si>
  <si>
    <t>Жүргүзүлгөн сатып алуулардын саны</t>
  </si>
  <si>
    <t>Окуу курстарынан жана такшалмалардан өткөн ведомствонун кызматкерлеринин саны</t>
  </si>
  <si>
    <t>Интеллектулдык менчиктин объектилерин коргоо боюнча соттук иштердин саны</t>
  </si>
  <si>
    <t xml:space="preserve">Интеллектуалдык менчикти жана инновацияларды өнүктүрүү чөйрөсүндө иштелип чыккан ченемдик укуктук актылардын  долбоорлорунун саны </t>
  </si>
  <si>
    <t xml:space="preserve">Чет өлкөлүк патенттик ведомстволор менен кол коюлган келишимдердин, меморандумдардын, макулдашуулардын жана иш-чаралар пландарынын саны </t>
  </si>
  <si>
    <t xml:space="preserve">Ведомствонун жалпыга маалымдоо каражаттарында  оң эскертүүлөрүнүн саны же, ведомствонун web-ресурсунда жарыяланган материалдарынын саны  </t>
  </si>
  <si>
    <t xml:space="preserve">БА кызматкерлеринин жалпы санынан камсыздоо кызматынын кызматкерлеринин үлүшү </t>
  </si>
  <si>
    <t xml:space="preserve"> Кыргызпатенттин жана анын жетекчисинин ишин баалоо</t>
  </si>
  <si>
    <t xml:space="preserve">КРда интеллектуалдык менчик тутумун өнүктүрүүнүн Мамлекеттик программасын ишке ашыруу                                                                                                                                                                       </t>
  </si>
  <si>
    <t xml:space="preserve">Ойлоп табуучуларга, авторлорго жана илимий кызматкерлерге сыйлыктардын саны </t>
  </si>
  <si>
    <t>Кызматтык ойлоп табууларга өтүнмөлөрдүн үлүшү</t>
  </si>
  <si>
    <t>Интеллектуалдык менчикти түзүү үчүн инфратүзүмдү өнүктүрүү жана интеллектуалдык менчикти пайдалануу боюнча ишти колдоо, интеллектуалдык менчиктин авторлорунун жана бизнес-түзүмдөрдүн өз ара аракеттенүүсү үчүн демонстрациялык-тажрыйба аянтчаларын түзүү</t>
  </si>
  <si>
    <t xml:space="preserve">Технологияларды жана инновацияларды колдоо борборунун филиалдарынын саны </t>
  </si>
  <si>
    <t xml:space="preserve">Технологияларды жана инновацияларды колдоо борборунун патенттик издөө боюнча окутулган координаторлорунун саны </t>
  </si>
  <si>
    <t xml:space="preserve">Технологияларды жана инновацияларды колдоо борборунун кызмат көрсөтүүлөрүн пайдалануучуларынын саны, бир жылда 500 адамдан кем эмес санда </t>
  </si>
  <si>
    <t xml:space="preserve">Мамлекеттик патенттик-техникалык китепкананын электрондук ресурстарынын үлүшү  </t>
  </si>
  <si>
    <t>Балдардын жана жаштардын илимий-техникалык чыгармачылык жаатындагы сыйлыктардын саны</t>
  </si>
  <si>
    <t>Илимий-техникалык жана чыгармачылык багыттагы республикалык жана облустук конкурстардын, олимпиадалардын, көргөзмөлөрдүн саны</t>
  </si>
  <si>
    <t xml:space="preserve">Балдардын илимий-техникалык кружокторунун саны </t>
  </si>
  <si>
    <t xml:space="preserve">Балдарды илимий-техникалык чыгармачылык менен камтуу  </t>
  </si>
  <si>
    <t xml:space="preserve">Ишканалар жана бюджеттик уюмдар үчүн окутулган патент таануучу-адистердин саны </t>
  </si>
  <si>
    <t>Түзүлгөн  коммуникациялык аянтчалардын саны  (электрондук форумдар, технопарктар, бизнес-инкубаторлор, стартаптар)</t>
  </si>
  <si>
    <t xml:space="preserve">Интеллектуалдык менчик объектилерине электрондук түрдө берилген өтүнмөлөрдүн үлүшү </t>
  </si>
  <si>
    <t xml:space="preserve">Өтүнмөлөрдү берүүдө жана карап чыгууда IT-технологияларды пайдаланууну кеңейтүү </t>
  </si>
  <si>
    <r>
      <t xml:space="preserve">2022-жылга чейинки мезгилге КРны илимий-инновациялык өнүктүрүүнүн концепциясын ишке ашыруу                                                                                                                                                                                           </t>
    </r>
    <r>
      <rPr>
        <i/>
        <sz val="11"/>
        <color theme="1"/>
        <rFont val="Times New Roman"/>
        <family val="1"/>
        <charset val="204"/>
      </rPr>
      <t xml:space="preserve">Программанын максаты: Мамлекеттик инновациялык саясаттын максаттарынын, артыкчылыктарынын жана куралдарынын тутумун түзүү   </t>
    </r>
  </si>
  <si>
    <t>Инновациялык ишти өнүктүрүүнү финансылык колдоо үчүн шарттарды түзүү</t>
  </si>
  <si>
    <t xml:space="preserve">Мамлекеттик инновациялык фонд </t>
  </si>
  <si>
    <t xml:space="preserve">Инновациялык адистиктер боюнча кадрларды кесиптик даярдоо жана квалификацияны жогорулатуу процессин уюштуруу  </t>
  </si>
  <si>
    <t xml:space="preserve">Инновацияларды өнүктүрүү чөйрөсүндө окутулган адистердин саны </t>
  </si>
  <si>
    <t>39. Кыргыз Республикасынын Президентине караштуу Мамлекеттик башкаруу академиясы</t>
  </si>
  <si>
    <r>
      <t xml:space="preserve">Башкаруу жана администрациялоо                                                                                                                              
</t>
    </r>
    <r>
      <rPr>
        <i/>
        <sz val="11"/>
        <color theme="1"/>
        <rFont val="Times New Roman"/>
        <family val="1"/>
        <charset val="204"/>
      </rPr>
      <t xml:space="preserve">Программанын максаты: Башка программаларды ишке ашырууга координациялык жана уюштурулган тааасир берүү. </t>
    </r>
  </si>
  <si>
    <t>001 Программасы боюнча чыгашанын айлык акыга карата бардык программалар боюнча айлык акыга карата чыгашалардын суммасына болгон катышы</t>
  </si>
  <si>
    <t>Тармакты борбордук денгээльде башкаруу жана администрациялоо</t>
  </si>
  <si>
    <t>Тармакты аймактын денгээлинде башкаруу жана администрациялоо</t>
  </si>
  <si>
    <t>392</t>
  </si>
  <si>
    <r>
      <t xml:space="preserve">КРПМБАда жогорку кесиптик билим берүүнү сунуш кылуу             </t>
    </r>
    <r>
      <rPr>
        <i/>
        <sz val="11"/>
        <color theme="1"/>
        <rFont val="Times New Roman"/>
        <family val="1"/>
        <charset val="204"/>
      </rPr>
      <t xml:space="preserve">Программанын максаты: Эмгек рыногунун талаптарына ылайык жогорку кесиптик билимдүү кадрларды даярдоо. 
</t>
    </r>
  </si>
  <si>
    <t>Ийгиликтүү академиясынын бүтүрүүчүлөрү курсту аяктаган күндөн тартып жогорку окуу жайларынын бүтүрүүчүлөрүнүн үлүшү</t>
  </si>
  <si>
    <t>Окуу программасын ишке ашыруу</t>
  </si>
  <si>
    <t>Окуп жаткан студенттердин жылдык колому</t>
  </si>
  <si>
    <t>Жогорку кесиптик билимдүү квалификациялуу кадрларды даярдоо</t>
  </si>
  <si>
    <t>Мелдештерде байгелүү орундарды окуучулардын үлүшү, сынактар, улуттук жана эл аралык уюмдар менен карым</t>
  </si>
  <si>
    <t>393</t>
  </si>
  <si>
    <r>
      <t xml:space="preserve">Мамлекеттик жана муниципалдык кызматкерлердин дасыгуусун жогорулатуу
</t>
    </r>
    <r>
      <rPr>
        <i/>
        <sz val="11"/>
        <color theme="1"/>
        <rFont val="Times New Roman"/>
        <family val="1"/>
        <charset val="204"/>
      </rPr>
      <t xml:space="preserve">Программанын максаты: Мамлекеттик жана муниципалдык кызматкерлерди даярдоо, кайра даярдоо жана дасыгуусун жогорулатуу
</t>
    </r>
  </si>
  <si>
    <t>Күбөлүктөрдү алган мамлекеттик жана муниципалдык кызматкерлердин саны</t>
  </si>
  <si>
    <t>Тренингдерди өткөрүү</t>
  </si>
  <si>
    <t>Тартылган мамлекеттик кызматкерлерди даярдоонун саны</t>
  </si>
  <si>
    <r>
      <t xml:space="preserve">КРПМБАда орто кесиптик билим берүүнү сунуш кылуу
</t>
    </r>
    <r>
      <rPr>
        <i/>
        <sz val="11"/>
        <color theme="1"/>
        <rFont val="Times New Roman"/>
        <family val="1"/>
        <charset val="204"/>
      </rPr>
      <t>Программанын максаты:
Эмгек рыногунун талаптарына ылайык орто-кесиптик билимдүү кадрларды даярдоо.</t>
    </r>
    <r>
      <rPr>
        <b/>
        <sz val="11"/>
        <color theme="1"/>
        <rFont val="Times New Roman"/>
        <family val="1"/>
        <charset val="204"/>
      </rPr>
      <t xml:space="preserve">
</t>
    </r>
  </si>
  <si>
    <t xml:space="preserve">Орто кесиптик билим берүүнүн бүтүрүүчүлөрүнө А.Токтоналиев атындагы финансы –экономикалык техникумун ийгиликтүү бүтүргөн </t>
  </si>
  <si>
    <t>394</t>
  </si>
  <si>
    <t>Орто-кесиптик билимдүү квалификациялуу кадрларды даярдоо</t>
  </si>
  <si>
    <t>Сынактарга, конкурстарга, эл аралык жана улуттук дегээлде байге алган студенттердин саны</t>
  </si>
  <si>
    <t>40. "Согуштун ардагерлеринин (пенсионерлердин), эмгек, куралдуу күчтөрдүн, Кыргыз Республикасынын укук коргоо органдарынын уюму" коомдук бирикмеси</t>
  </si>
  <si>
    <t>Ардагерлердин жана ардагерлер уюмдарынын материалдык жана социалдык укуктарын коргоо боюнча сунуштарды киргизүү</t>
  </si>
  <si>
    <t>Ардагерлердин жашоо деңгээлин жогорулатуу боюнча мамлекеттик органдарга сунуштарды киргизүү, ошондой эле ардагерлерди жана ардагерлер уюмдарын социалдык коргоо жаатындагы мыйзамдарды өркүндөтүү</t>
  </si>
  <si>
    <t>Ардагерлердин, ардагерлер уюмдарынын жашоо деңгээлин камсыз кылуу жана жакшыртуу</t>
  </si>
  <si>
    <t xml:space="preserve">41.  Кыргыз Республикасынын Айыл, суу чарба жана аймактарды өнүктүрүү министрлиги </t>
  </si>
  <si>
    <r>
      <t xml:space="preserve">Мал чарбасын, жайыттарды жана балык уулоону өнүктүрүү жана мамлекеттик колдоо                                                      </t>
    </r>
    <r>
      <rPr>
        <b/>
        <i/>
        <sz val="11"/>
        <rFont val="Times New Roman"/>
        <family val="1"/>
        <charset val="204"/>
      </rPr>
      <t xml:space="preserve"> </t>
    </r>
    <r>
      <rPr>
        <i/>
        <sz val="11"/>
        <rFont val="Times New Roman"/>
        <family val="1"/>
        <charset val="204"/>
      </rPr>
      <t>Программанын максаты: Жайыт экосистемаларын жана алардын инфраструктурасын, жаныбарлардын генетикалык ресурстарын сактоо жана өркүндөтүү, аквакультураны жана балык уулоону өнүктүрүү</t>
    </r>
  </si>
  <si>
    <t>Республика боюнча жайыттардын жалпы аянты</t>
  </si>
  <si>
    <t>мин га</t>
  </si>
  <si>
    <t>Мал чарбачылыгындагы асыл тукум ишин өнүктүрүүнү колдоо</t>
  </si>
  <si>
    <t>өткөн жылга карата ийри мүйүздүү малга өсүш темпи % менен</t>
  </si>
  <si>
    <t>Ири мүйүздүү малды уруктандыруу</t>
  </si>
  <si>
    <t>баш</t>
  </si>
  <si>
    <t>Майда мүйүздүү малды уруктандыруу</t>
  </si>
  <si>
    <t>Жайыттарды жана жайыт чарбаларын пайдаланууну уюштуруу жана анын абалына мониторинг жүргүзүү</t>
  </si>
  <si>
    <t xml:space="preserve">Мал чарбачылык тармагында илимий-изилдөө </t>
  </si>
  <si>
    <t>Өткөн жылга карата жайыт жана мал чарба чөйрөсүндөгү илимий-техникалык программа боюнча изилдөө</t>
  </si>
  <si>
    <t>Балык запастарын сактоо жана көбөйтүү</t>
  </si>
  <si>
    <t>"Мал чарбачылыгын жана рынокту өнүктүрүү - 1,2" долбоорун ишке ашыруу</t>
  </si>
  <si>
    <t>"Рынокторго жетүүнү камсыз кылуу"долбоорун ишке ашыруу</t>
  </si>
  <si>
    <t>"Сүт секторунун өндүрүмдүүлүгүн комплекстүү өнүктүрүү" долбоорун ишке ашыруу</t>
  </si>
  <si>
    <t>Айылдык товар өндүрүүчүлөрдүн жогорку сапаттуу сертификацияланган үрөндөр жана отургузуучу материалдар менен камсыз болушу</t>
  </si>
  <si>
    <t>Пестициддерди жана агрохимикаттарды коопсуз колдонууну камсыз кылуу, карантиндик эмес зыяндуу организмдер тарабынан келтирилген Айыл чарба өндүрүшүнүн жоготууларын кыскартуу, ошондой эле өсүмдүк өстүрүүчүлүктүн өндүрүмдүүлүгүн жана өсүмдүк продукциясынын сапатын жогорулатуу</t>
  </si>
  <si>
    <t>мин.га</t>
  </si>
  <si>
    <t>Карантинге алынган объекттердин карантиндик фитосанитардык текшерүүсүнүн аянты</t>
  </si>
  <si>
    <t>Карантиндик фитосанитардык коопсуздукту камсыз кылуу жана карантиндик фитосанитардык абалга мониторинг жүргүзүү</t>
  </si>
  <si>
    <t>Түшкөн үлгүлөрдүн саны</t>
  </si>
  <si>
    <t>Өткөрүлгөн экспертизалардын саны</t>
  </si>
  <si>
    <t>Берилген күбөлүктөрдүн саны</t>
  </si>
  <si>
    <t>Органикалык айыл чарбасын жана айыл чарба биотехнологияларын өндүрүүнү өнүктүрүү</t>
  </si>
  <si>
    <t xml:space="preserve">Айыл чарба багытындагы жерлердин аянттарын биологиялык каражаттар менен иштетүү        </t>
  </si>
  <si>
    <t>Биологиялык каражаттарды өндүрүүнүн көлөмү</t>
  </si>
  <si>
    <t>мин.литр</t>
  </si>
  <si>
    <t>млн. особ</t>
  </si>
  <si>
    <t>Үрөндүк себүүлөргө жана көчөттөргө талаа инспекциясын жүргүзүү, үрөн партияларын кыртыштык контролдоо</t>
  </si>
  <si>
    <t>Айыл чарба өсүмдүктөрүнүн данынын жана аны иштетүүдөн алынган азыктардын сапатына экспертиза жана мониторинг жүргүзүү</t>
  </si>
  <si>
    <t>Фермердик жана дыйкан чарбаларынын дан эгиндеринин үлгүлөрүн нан азыктарынын комбинаттарында тандап текшерүүнүн аянты</t>
  </si>
  <si>
    <t>Мамлекеттик резервден дандын үлгүлөрүн талдоонун көлөмү, нан азыктарынын комбинаттары</t>
  </si>
  <si>
    <t>Сорт сыноо, расмий сыноо, өсүмдүктөрдүн генетикалык ресурстарын сактоо</t>
  </si>
  <si>
    <t>Айыл чарба өсүмдүктөрүнүн сыналуучу сортторуна жана гибриддерине сапаттуу баалоо жүргүзүү</t>
  </si>
  <si>
    <t>Өсүмдүктөрдүн генетикалык ресурстарын сактоо</t>
  </si>
  <si>
    <t>улгу</t>
  </si>
  <si>
    <t>Дыйканчылык, топурак таануу, агрохимия жана өсүмдүк өстүрүүчүлүк тармагында илимий-изилдөө</t>
  </si>
  <si>
    <t>Дыйканчылык, кыртыштык кылуу, агрохимия жана өсүмдүк өстүрүү жаатындагы илимий-техникалык программа боюнча изилдөөлөрдү жүргүзүү</t>
  </si>
  <si>
    <t>Айыл чарбасын механизациялаштырууну өнүктүрүү</t>
  </si>
  <si>
    <t>Лизинг долбоорлору боюнча берилген айыл чарба техникаларынын саны</t>
  </si>
  <si>
    <t>Жаңыланган машиналык-трактордук парктардын жалпы саны</t>
  </si>
  <si>
    <r>
      <t xml:space="preserve">Ветеринардык жана фитосанитардык камсыз кылуу жана жаныбарлардын ден соолугун коргоо.                                                                </t>
    </r>
    <r>
      <rPr>
        <i/>
        <sz val="11"/>
        <rFont val="Times New Roman"/>
        <family val="1"/>
        <charset val="204"/>
      </rPr>
      <t xml:space="preserve"> Программанын максаты: Өлкөнүн жаныбарларынын ден соолугунун статусун жана мал чарба азыктарынын коопсуздугун жакшыртуу, ветеринардык ден соолукту жакшыртуу жана мал чарба секторунун атаандаштыкка жөндөмдүүлүгүн жогорулатуу</t>
    </r>
  </si>
  <si>
    <t>Ветеринардык дары каражаттарынын сапатын жана коопсуздугун эсепке алуу жана контролдоо</t>
  </si>
  <si>
    <t>Ветеринардык дары-дармек каражаттарынын мамлекеттик каттоолорунун саны</t>
  </si>
  <si>
    <t>Ветеринардык дары каражаттарынын сапатын экспертизалоонун саны</t>
  </si>
  <si>
    <t>Ветеринардык жана фитосанитардык нормалардын сакталышына мамлекеттик көзөмөл жүргүзүү</t>
  </si>
  <si>
    <t>Кыргыз Республикасынын ишканаларын (анын ичинде мал союу пункттарын) ЕАЭБ жана үчүнчү өлкөлөрдүн ишканаларынын реестрине киргизүү.</t>
  </si>
  <si>
    <t xml:space="preserve">Жаныбарлардын ооруларын жоюу боюнча эпизоотияга каршы иш-чаралар жана жаныбарларга ветеринардык диагностика жана экспертиза жүргүзүү, </t>
  </si>
  <si>
    <t>Жаныбарлардын оорулары катталган саны.</t>
  </si>
  <si>
    <t>Вакцинацияланган жаныбарлардын саны</t>
  </si>
  <si>
    <t>млн. баш</t>
  </si>
  <si>
    <t>Өткөрүлгөн ветеринардык-диагностикалык изилдөөлөрдүн саны</t>
  </si>
  <si>
    <t>мин баш</t>
  </si>
  <si>
    <t>Кыргыз Республикасындагы жаныбарлардын жана куштардын өзгөчө коркунучтуу ооруларынын диагностикасы</t>
  </si>
  <si>
    <t>Тамак-аш коопсуздугун камсыз кылуу, тамак-аштан ууландырууну болтурбоо</t>
  </si>
  <si>
    <t>экспертиза</t>
  </si>
  <si>
    <t>Айыл чарба жаныбарларын идентификациялоо</t>
  </si>
  <si>
    <t>Айыл чарба жаныбарларынын эсебин алууну камсыз кылуу</t>
  </si>
  <si>
    <r>
      <t xml:space="preserve">Мамлекеттик ирригациялык фондго жана мелиорацияга колдоо көрсөтүү жана өнүктүрүү.
</t>
    </r>
    <r>
      <rPr>
        <i/>
        <sz val="11"/>
        <rFont val="Times New Roman"/>
        <family val="1"/>
        <charset val="204"/>
      </rPr>
      <t>Программанын максаты: Агрардык сектордун натыйжалуу иштешин колдоо үчүн суу пайдалануучу бардык субъекттердин суу ресурсуна болгон керектөөсүн камсыз кылуу</t>
    </r>
  </si>
  <si>
    <t>млн.куб.</t>
  </si>
  <si>
    <t>Мамлекеттик суу чарба объекттерин жабдуу  жана капиталдык оңдоо</t>
  </si>
  <si>
    <t>Жерлердин мелиоративдик абалын жакшыртуу</t>
  </si>
  <si>
    <t>Ирригациялык каналдарды калыбына келтирүү</t>
  </si>
  <si>
    <t>ГТСны оңдоо, суу берүүнүн көлөмүн жөнгө салууну жакшыртуу</t>
  </si>
  <si>
    <t>ГП оңдоо жана суунун көлөмүн эсепке алууну жакшыртуу</t>
  </si>
  <si>
    <t>Насостук агрегаттарды капиталдык оңдоо жана алмаштыруу</t>
  </si>
  <si>
    <t>Сугат сууну сугатка берүү</t>
  </si>
  <si>
    <t>Суу ресурстарын жана объекттерин пайдаланууну көзөмөлдөөнү жана контролдоону жүзөгө ашыруу</t>
  </si>
  <si>
    <t xml:space="preserve"> Бузулган объекттер процессинде суу ресурстарын жана объекттерин контролдоо жана көзөмөлдөө</t>
  </si>
  <si>
    <t>Суу ресурстары жана объекттер жаатында алдын алуу жана болтурбоо боюнча жазма буйруктардын пункттары.</t>
  </si>
  <si>
    <t>"Улуттук суу ресурстарын башкарууну жакшыртуу" долбоорун ишке ашыруу - 2-Фаза</t>
  </si>
  <si>
    <t xml:space="preserve">"Айыл чарба өндүрүмдүүлүгүн жана тамактанууну жакшыртуу"  долбоорун ишке ашыруу (Айыл чарба жана азык-түлүк коопсуздугу боюнча Глобалдык фонд) </t>
  </si>
  <si>
    <t>Ирригация жана дренаж жакшыртылган кызматтарынан пайдалануу мүмкүнчүлүгүнө ээ болгон суу пайдалануучулардын саны.</t>
  </si>
  <si>
    <t>эркек</t>
  </si>
  <si>
    <t>аял</t>
  </si>
  <si>
    <t>15 жаштан 49 жашка чейинки кеминде 5 азык-түлүк группасын керектеген аялдардын үлүшүн жогорулатуу.</t>
  </si>
  <si>
    <t>"Сарымсак ирригациялык тармагын өнүктүрүү"долбоорун ишке ашыруу</t>
  </si>
  <si>
    <t>"Сарымсак"магистралдык каналын куруу</t>
  </si>
  <si>
    <t>Ички чарбалык тармакты куруу</t>
  </si>
  <si>
    <t>"Климаттын өзгөрүшүнө жана табигый кырсыктарга суу ресурстарынын туруктуулугун жогорулатуу" долбоорун ишке ашыруу (АӨБ)</t>
  </si>
  <si>
    <t>"Ысык-Көл жана Нарын облустарындагы сугат жерлерин өнүктүрүү"долбоорун ишке ашыруу</t>
  </si>
  <si>
    <t>4 БСР куруу</t>
  </si>
  <si>
    <t>Сугат тармагын жакшыртуу</t>
  </si>
  <si>
    <t>Айыл чарба продукциясын сактоо үчүн кампаларды куруу</t>
  </si>
  <si>
    <r>
      <t xml:space="preserve">Жер ресурстарын мамлекеттик колдоо жана өнүктүрүү.                                                                    </t>
    </r>
    <r>
      <rPr>
        <i/>
        <sz val="11"/>
        <rFont val="Times New Roman"/>
        <family val="1"/>
        <charset val="204"/>
      </rPr>
      <t>Программанын максаты: Жер ресурстарын жана жер мамилелерин пайдалануунун натыйжалуулугун жогорулатуу, кыймылсыз мүлккө укуктарды каттоо, жерге жайгаштыруу, жер кадастры, топография, геодезия жана картография боюнча кызматтарды натыйжалуу көрсөтүү</t>
    </r>
  </si>
  <si>
    <t>Геоботаникалык жана кыртыштык изилдөөлөрдү жүргүзүү жана инвентаризациялоо аянты</t>
  </si>
  <si>
    <t>Күч түзүмдөрүнүн муктаждыктарын, чарбалык ишти камсыз кылуу үчүн Кыргыз Республикасынын аймагынын Заманбап картографиялык негиздерин түзүү</t>
  </si>
  <si>
    <t>Мамлекеттик геодезиялык тармакты реконструкциялоо жана колдоо жана экспорттук Катардын топографиялык карталарын негиздөө жана басып чыгаруу</t>
  </si>
  <si>
    <t>GPS-экинчи тартиптеги түйүнүндөгү пункттар, жогорку тактыктагы нөлдүк жана биринчи Тартиптин баштапкы пункттары</t>
  </si>
  <si>
    <t>СК-42, СК-95 жана Круг-06 геодезиялык пункттардын координаталар тутумундагы геодезиялык пункттардын каталогдору 1:200 000 карталар баракчаларына</t>
  </si>
  <si>
    <t>Масштабдуу катардагы түзүлгөн жана жаңыланган мамлекеттик топографиялык карталардын саны</t>
  </si>
  <si>
    <t>Мамлекеттик чек араны делимитациялоо жана демаркациялоо боюнча иштерди камсыздоо</t>
  </si>
  <si>
    <t>Кыргыз Республикасынын Мамлекеттик чек ара тилкеси боюнча чек ара белгилери</t>
  </si>
  <si>
    <t>Космостук сүрөттөрдүн пландуу-бийиктик каптамасын аткаруу аянты</t>
  </si>
  <si>
    <t>Чек арага жанаша аймактарда жаңылоодо зарыл болгон масштабдуу катар санариптик топографиялык карталардын саны</t>
  </si>
  <si>
    <t>Жер кыртышын иликтөөнү оңдоп-түзөө, айдоо жерлерине мониторинг жүргүзүү, жер жайгаштыруу боюнча долбоорлоо-изилдөө,</t>
  </si>
  <si>
    <t>Жайыт жерлерди геоботаникалык жана кыртыштык текшерүү, калктуу конуштарды инвентаризациялоо</t>
  </si>
  <si>
    <t>саны район/айыл аймак</t>
  </si>
  <si>
    <t>3 область (Чуй, Нарын., Талас.)</t>
  </si>
  <si>
    <t>Токмок ш   1 район,     10 а/окмоту,     38 Чүй районунун поселкасы</t>
  </si>
  <si>
    <t>К-Балта ш       1 район,     10 а/окмоту,     36 Чүй районунун поселкасы</t>
  </si>
  <si>
    <t>Рекультивацияланууга тийиш болгон жерлердин жалпы аянтына карата рекультивацияланган жерлердин көлөмү</t>
  </si>
  <si>
    <t>Мамлекеттик токой фондуна токой баскан аянт</t>
  </si>
  <si>
    <t>Мамлекеттик токой фондусунун токой укуктарын бузуулардан жана өрттөрдөн коргоого тиешелүү аянты</t>
  </si>
  <si>
    <t>Токой өсүмдүктөрүн жыл сайын отургузуунун аянты</t>
  </si>
  <si>
    <t>Аймак таштап кетүүлөр</t>
  </si>
  <si>
    <t>Токойлордон киреше алуучу калктын саны</t>
  </si>
  <si>
    <t>мин адам</t>
  </si>
  <si>
    <t>Токой чарбасы чөйрөсүндө координациялоо жана шарттарды түзүү</t>
  </si>
  <si>
    <t>Өстүрүлгөн отургузуучу материалдардын саны</t>
  </si>
  <si>
    <t>млн. бирдик</t>
  </si>
  <si>
    <t>Куурап калган токой өрттөрүнүн санынын жалпы өрт өчүрүүгө карата катышы</t>
  </si>
  <si>
    <t>Токой зыянкечтерине каршы иштетилген токойлордун жалпы аянты</t>
  </si>
  <si>
    <t>Өсүмдүктөрдүн тамырын жакшыртуу</t>
  </si>
  <si>
    <t>"Кыргыз Республикасынын Токой экосистемаларын интеграцияланган башкаруу"долбоорун ишке ашыруу</t>
  </si>
  <si>
    <t xml:space="preserve">Башкаруу жана администрациялоо     </t>
  </si>
  <si>
    <t>Борбордук деңгээлде башкаруу жана администрациялоо</t>
  </si>
  <si>
    <t>Регионалдык деңгээлде администрациялоо</t>
  </si>
  <si>
    <r>
      <t xml:space="preserve">Маданиятты, искусствону жана маалымат чөйрөсүн сактоо, өнүктүрүү   
</t>
    </r>
    <r>
      <rPr>
        <i/>
        <sz val="11"/>
        <color theme="1"/>
        <rFont val="Times New Roman"/>
        <family val="1"/>
        <charset val="204"/>
      </rPr>
      <t>Программанын максаты: Калктын руханий, моралдык, маданий потенциалын өнүктүрүү жана жагымдуу маалыматтык чөйрөнү камсыздооы</t>
    </r>
  </si>
  <si>
    <t>Өлкөнүн маданий жана маалымат процессине тартылган жалпы калктын пайызы</t>
  </si>
  <si>
    <t>Китепканалардын, музейлердин, театралдык-оюн-зоок мекемелеринин, Улуттук маданий борбору, Маданият үйлөрүнүн кызматтарынын жеткиликтүүлүгүн жана сапатын жогорулатуу</t>
  </si>
  <si>
    <t>Жалпы калктын китепканаларга, театралдык-оюн-зоок мекемелеринине, маданият үйлөрүнө, фестивалдарга жана юбилейлик иш-чараларга келгендердин пайызы</t>
  </si>
  <si>
    <t>анын ичинде райондук китепканаларга, театралдык-оюн-зоок мекемелерине, маданият үйлөрүнө, музейлерге, фестивалдарга келүүчүлөрдүн жалпы калктын санынан пайызы</t>
  </si>
  <si>
    <t>Театралдык спектаклдердин, китеп жана музей көргөзмөлөрдүн, иш-чаралардын, жалпы калктын санынан  көрүүчүлөрдүн пайызы</t>
  </si>
  <si>
    <t>Тарыхый-маданий объекттеринин коопсуздугун жана корголушун камсыз кылуу үчүн шарттарды түзүү (Инспекция)</t>
  </si>
  <si>
    <t>Тарыхый -маданий мурас объекттеринин аймагынын корголуучу чөлкөмүнүн бекитилген долбоорлорунун алардын жалпы санынан пайызы</t>
  </si>
  <si>
    <t>тарых жана маданият эстеликтеринин жалпы санынан калыбына келтирилген тарых жана маданият эстеликтеринин пайызы</t>
  </si>
  <si>
    <t>Улуттук кинематографияны сактоо, өнүктүрүү жана популяризациялоо</t>
  </si>
  <si>
    <t>жыл ичинде кино көрсөтүүлөргө катышкан калктын жалпы санынын пайызы</t>
  </si>
  <si>
    <t>жылына өткөрүлгөн улуттук фильмдердин жалпы санынын эл аралык кинофестивалдарга катышкан ата мекендик фильмдердин пайызы</t>
  </si>
  <si>
    <t>Маалымат чөйрөсүн өнүктүрүү</t>
  </si>
  <si>
    <t xml:space="preserve">Басылмага, веб-сайттарга, өлкөнүн жалпы калкынын медиа борборлорунун социалдык баракчаларына жазылуучулардын пайызы </t>
  </si>
  <si>
    <t>Медиа борборлордо иштегендердин жалпы санынын медиа сабаттуулугу, мамлекеттик медиа уюмдарынын кызматкерлеринин пайызы</t>
  </si>
  <si>
    <r>
      <t xml:space="preserve"> 
</t>
    </r>
    <r>
      <rPr>
        <b/>
        <i/>
        <sz val="11"/>
        <color theme="1"/>
        <rFont val="Times New Roman"/>
        <family val="1"/>
        <charset val="204"/>
      </rPr>
      <t xml:space="preserve">Маданият жана искусство жаатында билим берүү
</t>
    </r>
    <r>
      <rPr>
        <i/>
        <sz val="11"/>
        <color theme="1"/>
        <rFont val="Times New Roman"/>
        <family val="1"/>
        <charset val="204"/>
      </rPr>
      <t>Программанын максаты: Маданият жана искусство жаатында кесипкөй кадрларды даярдоо</t>
    </r>
  </si>
  <si>
    <t>Билим берүү мекемелерин бүтүрүүчүлөрүнүн жалпы санынан маданият жана искусство билим берүү мекемелерин бүтүрүүчүлөрүнүн пайызы</t>
  </si>
  <si>
    <t>Билим берүү мекемелеринин педагогикалык кадрларынын квалификациясын жогорулатуу</t>
  </si>
  <si>
    <t>Маданият жана искусство билим берүү мекемелеринин мугалимдеринин жалпы санынан аттестацияланган мугалимдеринин пайызы</t>
  </si>
  <si>
    <t>Билим берүү мекемелериндеги жана маданият жана искусство мекемелериндеги студенттердин жалпы санынан лауреаттар менен диплом ээлеринин үлүшү</t>
  </si>
  <si>
    <t>Маданият жана искусство боюнча мектепке чейинки билим берүү мекемелерин колдоо</t>
  </si>
  <si>
    <r>
      <t xml:space="preserve">Спорт жана жаштар саясатын өнүктүрүү
</t>
    </r>
    <r>
      <rPr>
        <i/>
        <sz val="11"/>
        <color theme="1"/>
        <rFont val="Times New Roman"/>
        <family val="1"/>
        <charset val="204"/>
      </rPr>
      <t>Программанын максаты: Массалык спортту, дене тарбияны өнүктүрүү, сергек жашоону жайылтуу жана активдүү жаштардын жаңы муунун калыптандыруу</t>
    </r>
  </si>
  <si>
    <t xml:space="preserve">Ышкыбоздук спорт менен алектенгендердин, калктын жалпы санынан пайызы </t>
  </si>
  <si>
    <t>Дене тарбия жана массалык спортту өнүктүрүү</t>
  </si>
  <si>
    <t>Өлкөнүн калкынын арасында популяризациялоо, жайылтуу, активдүү жашоо образы жана спортту өнүктүрүү үчүн өткөрүлгөн иш -чаралардын саны</t>
  </si>
  <si>
    <t>Спорттук аренада байгелүү орундарга ээ болгондордун саны</t>
  </si>
  <si>
    <t>Жаштар саясатын ишке ашыруу</t>
  </si>
  <si>
    <t>Өлкөнүн жаштар саясатын өнүктүрүү үчүн өткөрүлгөн иш-чаралардын саны</t>
  </si>
  <si>
    <t xml:space="preserve">Кыргыз Республикасынын  Токтогул атындагы Мамлекеттик сыйлыктар боюнча комитети </t>
  </si>
  <si>
    <t xml:space="preserve">Адабият, искусство жана архитектура жаатында  мамлекеттик сыйлыгын тапшыруу                                </t>
  </si>
  <si>
    <t xml:space="preserve">Жалпы жетекчиликти, финансылык менеджментти жана эсепке алууну камсыз кылуу  </t>
  </si>
  <si>
    <t>Бюджеттин бузуусуз аткарылыш пайызы</t>
  </si>
  <si>
    <t>Адабият, искусство жана архитектура жаатында Токтогул атындагы Кыргыз Республикасынын мамлекеттик сыйлыгын тапшыруу</t>
  </si>
  <si>
    <t>“Кабар” Кыргыз улуттук маалымат агенттиги</t>
  </si>
  <si>
    <t>Агенттик тарабынан чыгарылган маалыматтын жалпы суммасы</t>
  </si>
  <si>
    <t>Кыргызстандын турмушу жана Кыргыз Республикасынын Президентинин иши тууралуу маалыматты үзгүлтүксүз даярдоо</t>
  </si>
  <si>
    <t>Күнүмдүк жаңылыктарды чыгаруу убактысы ар бир журналист тарабынан кыргыз жана орус тилдеринде 9-12 жаңылыктарды камтыйт</t>
  </si>
  <si>
    <t>Чет элдик окурманга биздин өлкө тууралуу маалымат жеткирүү</t>
  </si>
  <si>
    <t>Маалымат жана аналитикалык материалдарды англис, кытай жана түрк тилине которуу (даана)</t>
  </si>
  <si>
    <t>45. Кыргыз Республикасынын Өзгөчө кырдаалдар министрлиги</t>
  </si>
  <si>
    <t>45</t>
  </si>
  <si>
    <t>бал</t>
  </si>
  <si>
    <t>Профилактикалык иштерге мониторинг жүргүзүү жана божомолдоо</t>
  </si>
  <si>
    <t>Коркунучтуу жаратылыш кубулуштарын жана процесстерин божомолдоо</t>
  </si>
  <si>
    <t>Өздөштүрүү</t>
  </si>
  <si>
    <r>
      <t xml:space="preserve">ӨКдын алдын алуу жана чара көрүү;                                                              </t>
    </r>
    <r>
      <rPr>
        <i/>
        <sz val="11"/>
        <rFont val="Times New Roman"/>
        <family val="1"/>
        <charset val="204"/>
      </rPr>
      <t xml:space="preserve">Программанын максаты: Күнүмдүк алдын алуу жана коргоо чараларын жүргүзүү менен өзгөчө кырдаалдардын коркунучун жана терс кесепеттерин азайтуу, өзгөчө кырдаалдарда издөө, куткаруу жана  кырсыктардан өз убагында жана алдын алуу иш-чараларды өткөрүү.                      </t>
    </r>
    <r>
      <rPr>
        <sz val="11"/>
        <rFont val="Times New Roman"/>
        <family val="1"/>
        <charset val="204"/>
      </rPr>
      <t xml:space="preserve">                                 </t>
    </r>
  </si>
  <si>
    <t xml:space="preserve">
Корголуучу турак жайлардын саны / айыл чарба жерлери (га) / жыл</t>
  </si>
  <si>
    <t>Жакынкы куруу жана инженердик курулмаларды селден коргоо, өзгөчө кырдаалдардын кесепеттерин жоюунун алдын алуу</t>
  </si>
  <si>
    <t xml:space="preserve">Корголуучу турак жайлардын саны/жыл     
</t>
  </si>
  <si>
    <t>Мурунку уран казып алуучу өндүрүштүн калдыктарын сактоочу жайларга жана төгүндүлөргө ар тараптуу мониторинг, авариялык-профилактикалык коргонуу иштерин жүргүзүү</t>
  </si>
  <si>
    <t>Мониторинг жана объектилерди тейлөө</t>
  </si>
  <si>
    <t>Калыбына келтирилген уран калдыктары сакталуучу жайлардын саны</t>
  </si>
  <si>
    <t>Издөө жана куткаруу, тез калыбына келтирүү жана башка актуалдуу иш-чаралар боюнча өзгөчө кырдаалдардын кесепеттерин жоюу</t>
  </si>
  <si>
    <t>Материалдык зыяндын деңгээлин төмөндөтүү</t>
  </si>
  <si>
    <t>Кырсыктардын тобокелдигин азайтуунун улуттук стратегияларына ылайык жергиликтүү өз алдынча башкаруу органдарынын үлүшү</t>
  </si>
  <si>
    <t>Суучулдардын иши боюнча адистерди даярдоо жана кайра даярдоо</t>
  </si>
  <si>
    <t>Суучулдардын иши боюнча даярдалган адистердин саны</t>
  </si>
  <si>
    <t>Мамлекеттик жана мобилизациялык резервдин материалдык баалуулуктарын башкаруу</t>
  </si>
  <si>
    <t>Кыргыз Республикасынын мобилизациялык муктаждыктарын канааттандыруу</t>
  </si>
  <si>
    <t>Материалдык баалуулуктарды топтоо (мамлекеттик резерв)</t>
  </si>
  <si>
    <t>Материалдык баалуулуктарды топтоо (мобилдик резерв)</t>
  </si>
  <si>
    <t>46. Борбордук Азиялык Жерди прикладдык изилдөө институту</t>
  </si>
  <si>
    <t>46</t>
  </si>
  <si>
    <t>00101 Программасы боюнча эмгек акы чыгымдарынын бардык программалар боюнча эмгек акы чыгашаларынын суммасынын катышы</t>
  </si>
  <si>
    <t>Жалпы жетекчиликти жүргүзүү</t>
  </si>
  <si>
    <t>Обеспечение финансового менеджмента и учета Каржылык башкарууну жана бухгалтердик эсепти камсыз кылуу</t>
  </si>
  <si>
    <t>Чечилген эмгек талаштарынын саны</t>
  </si>
  <si>
    <t xml:space="preserve">колдоо ызматкерлери БАнын жалпы кызматкерлеринин үлүшүнүн  саны </t>
  </si>
  <si>
    <t>Имараттар жана курулуштар</t>
  </si>
  <si>
    <t>"Кыргызстандагы жана Борбордук Азия өлкөлөрү менен чектеш аймактардагы геодинамикалык процесстерди жана гео-тобокелдиктерди изилдөө.</t>
  </si>
  <si>
    <t>Кыргызстандагы жана Борбордук Азия өлкөлөрү менен трансчегаралык аймактардагы геодинамикалык процесстерди жана гео-тобокелдиктерди изилдөө</t>
  </si>
  <si>
    <t>Басма маалыматы</t>
  </si>
  <si>
    <t>жарыялоо</t>
  </si>
  <si>
    <t>Мониторинг маалыматы</t>
  </si>
  <si>
    <t>сунуш</t>
  </si>
  <si>
    <t>Кыргызстандын ири мөңгүлөрүн жана Ысык-Көл бассейнин изилдөө</t>
  </si>
  <si>
    <t>Трениндер жана семинарлар</t>
  </si>
  <si>
    <t>Мониторинг тармагын кеңейтүү жана модернизациялоо (станциялар)</t>
  </si>
  <si>
    <t>Кооптуу табигый процесстердин мониторинг системасын жана гео маалымат базасын иштеп чыгуу</t>
  </si>
  <si>
    <t xml:space="preserve">Маалымат базасын реалдуу убакытта толуктоо </t>
  </si>
  <si>
    <t>МБ</t>
  </si>
  <si>
    <t>Табигый кырсык коркунучун изилдөө: Айылдык коомдордо аялуу жана адаптациялоонун социалдык-экономикалык баалоо методологиясы.</t>
  </si>
  <si>
    <t xml:space="preserve">49.  Кыргыз азиздер жана дүлөйлөр коомдук бирикмеси    </t>
  </si>
  <si>
    <t xml:space="preserve">Атайын китепкананы күтүү: маянасы жана социалдык төлөмдөрдү толуктоо үчүн кайтаруу </t>
  </si>
  <si>
    <t>КАДК ичинде  көчмө  атайын китепканаларды  түзүү</t>
  </si>
  <si>
    <t>даавна</t>
  </si>
  <si>
    <t xml:space="preserve">Коммуналдык  кызматтар </t>
  </si>
  <si>
    <t>Сан арип  бөлмөлөргө катышуу</t>
  </si>
  <si>
    <t>миң даана</t>
  </si>
  <si>
    <t>Үн жазуу  студиясы менен китеп корун  түзүү, аган катуу жана жөнөкөй дискеге  кыргыз жана орус тилдеринде түшүрүү</t>
  </si>
  <si>
    <r>
      <rPr>
        <b/>
        <sz val="11"/>
        <color theme="1"/>
        <rFont val="Times New Roman"/>
        <family val="1"/>
        <charset val="204"/>
      </rPr>
      <t xml:space="preserve">Иштеген сокур дүлөй майыптарды социалдык жактан коргоо                                                   </t>
    </r>
    <r>
      <rPr>
        <i/>
        <sz val="11"/>
        <color theme="1"/>
        <rFont val="Times New Roman"/>
        <family val="1"/>
        <charset val="204"/>
      </rPr>
      <t>Программанын максаты  :  Эмгеке тартуу,  жайлуу шарттарды  түзүү</t>
    </r>
  </si>
  <si>
    <t>Майыптарды КАДК окуу өндүрүш ишканаларында иш менен камсыз кылуу</t>
  </si>
  <si>
    <t>миң сом</t>
  </si>
  <si>
    <t>Кыргыз азиздер жана дүлөйлөр коомуна  салык жана жыйымдарды, кошумча нарк салыктарын   толуктоого  кайтаруу</t>
  </si>
  <si>
    <t xml:space="preserve">КАДК окуу өндүрүш ишканаларында өндүрүштөн таза киреше алуу </t>
  </si>
  <si>
    <t xml:space="preserve"> миң.сом</t>
  </si>
  <si>
    <t xml:space="preserve">Соцфондго жумуш берүүчүдөн түшкөн жыйымдарды  Кыргыз азиздер жана дүлөйлөр коомуна толуктоого кайтаруу </t>
  </si>
  <si>
    <t>50. Кыргыз Республикасынын Президентине караштуу Мамлекеттик тил жана тил саясаты боюнча улуттук комиссия</t>
  </si>
  <si>
    <t>Дүйнөлүк адабияттын жаңы үлгүлөрүн мамлекеттик тилге которуу жана аларды басып чыгаруу: Нобель сыйлыгынын лауреаттарынын чыгармалары, Чыгыш менен Батыштын классикалык адабияты, кыргыз тилинин лингвистикалык маалымдамасы</t>
  </si>
  <si>
    <t>Иш кагаздарынын стилистикалык нормалары жана реквизиттери боюнча методикалык басылмаларды мамлекеттик тилде чыгаруу</t>
  </si>
  <si>
    <t>Кыргыз эл жомоктору китеби,  тилди үйрөнүү боюнча окуу-методикалык адабияттарды басып чыгаруу: орус тилдүү топтор үчүн кыргыз тили, конкурстук негизде мамлекеттик тилдеги балдар жана өспүрүмдөр адабияты, 5-6 жаштагы балдар үчүн адабият, Кыргыз эл жомоктору.</t>
  </si>
  <si>
    <t>57. Кыргыз Республикасынын Инвестициялар министрлиги</t>
  </si>
  <si>
    <t>57</t>
  </si>
  <si>
    <t>Түз  чет өлкөлүк инвестицияларды тартуу саясатын пландаштыруу жана инвестициялык жагымдуулугун жогорулатуу</t>
  </si>
  <si>
    <t>Ушул бюджеттик чараны алкагындагы иштин өзгөчөлʏгʏ натыйжалуулуктун индекаторун аныктоого мумкундук бербейт</t>
  </si>
  <si>
    <t>Түз чет өлкөлүк инвестицияларды тартуу, илгерилетүү жана колдоо</t>
  </si>
  <si>
    <t>Жыл сайын инвестициялык долбоорлордун саны</t>
  </si>
  <si>
    <t>Инвестициялык долбоорлордун санынын өсүү темпи</t>
  </si>
  <si>
    <t>Мамлекеттик-жеке өнөктөштүк (МЖӨ) долбоорлорун демилгелөө жана координациялоо, МЖӨ механизмин Кыргыз Республикасында жайылтуу</t>
  </si>
  <si>
    <t>Жаңы МЖӨ долбоорлорунун саны</t>
  </si>
  <si>
    <t>МЖӨ долбоорлорун каржылоо  фондуна жыл сайын кошумча каражаттарды тартуу</t>
  </si>
  <si>
    <t>Банкроттук жол -жоболорунун натыйжалуулугун жогорулатуу</t>
  </si>
  <si>
    <t>Соттордо акыркы отчетторду кароо жана корутунду даярдоо</t>
  </si>
  <si>
    <r>
      <t xml:space="preserve">Мамлекеттик мүлктү натыйжалуу башкаруу
</t>
    </r>
    <r>
      <rPr>
        <i/>
        <sz val="11"/>
        <rFont val="Times New Roman"/>
        <family val="1"/>
        <charset val="204"/>
      </rPr>
      <t>Программанын максаты: мамлекеттик менчикти башкаруудан оң социалдык-экономикалык таасирди камсыздоо</t>
    </r>
  </si>
  <si>
    <t>Мамлекеттик менчик объекттерин башкаруу жана мамлекеттик менчик объекттерин системалуу эсепке алуу</t>
  </si>
  <si>
    <t>Республикалык бюджетке мамлекеттин катышуусу менен акционердик коомдордун акцияларынын мамлекеттик пакетине дивиденддердин түшүсү.</t>
  </si>
  <si>
    <t>Мамлекеттик ишканалардын таза кирешесинин республикалык бюджетке түшүүсү</t>
  </si>
  <si>
    <t>Мамлекеттик мүлктү менчиктештирүүдөн каражаттардын түшүүсү</t>
  </si>
  <si>
    <t>Кыргыз Республикасында банкроттук жол -жоболорун жана мамлекеттик мүлктү башкарууну жөнгө салуучу ченемдик укуктук базаны өркүндөтүү</t>
  </si>
  <si>
    <t>Мамлекеттик мүлктү электрондук аукцион жана соода аркылуу ижарага берүү</t>
  </si>
  <si>
    <t>Мамлекеттик мүлктү ижарага берүүдөн каражаттын түшүүсү</t>
  </si>
  <si>
    <t>Мамлекеттик мүлктү ижарага берүүдөн түшкөн каражаттардын өсүү темпи</t>
  </si>
  <si>
    <t>59. Кыргыз Республикасынын мамлекеттик кадр кызматы</t>
  </si>
  <si>
    <r>
      <t xml:space="preserve">Башкаруу жана администрациялоо
</t>
    </r>
    <r>
      <rPr>
        <i/>
        <sz val="11"/>
        <color theme="1"/>
        <rFont val="Times New Roman"/>
        <family val="1"/>
        <charset val="204"/>
      </rPr>
      <t>Программанын максаты: Башка программалардын жүзөгө ашырылышына координациялоо жана уюштуруу жактан таасир этүү</t>
    </r>
  </si>
  <si>
    <t>Тапшырмаларды аткаруунун натыйжалуу индекси</t>
  </si>
  <si>
    <t>Жалпы жетекчиликти камсыз кылуу</t>
  </si>
  <si>
    <t>МККнын планын аткаруунун %</t>
  </si>
  <si>
    <r>
      <t xml:space="preserve">Мамлекеттик кадр саясатын өркүндөтүү
</t>
    </r>
    <r>
      <rPr>
        <i/>
        <sz val="11"/>
        <color theme="1"/>
        <rFont val="Times New Roman"/>
        <family val="1"/>
        <charset val="204"/>
      </rPr>
      <t>Программанын максаты:Мамлекеттик органдарда жана жергиликтүү өз алдынча башкаруу органдарында бирдиктүү мамлекеттик кадр саясатын иштеп чыгуу, жүзөгө ашыруу жана туруктуу иштешин камсыз кылуу.</t>
    </r>
  </si>
  <si>
    <t>Мамлекеттик жарандык кызмат жана муниципалдык кызмат чөйрөсүндөгү ченемдик укуктук базаны өркүндөтүү</t>
  </si>
  <si>
    <t>Ченемдик укуктук актылардын таасирин талдоо жана аларды өркүндөтүү боюнча сунуштарды иштеп чыгуу (түшкөн ЧУАдын санына салыштырганда)</t>
  </si>
  <si>
    <t>Мамлекеттик жарандык кызмат жана муниципалдык кызмат жөнүндө мыйзамдарына шайкеш келүүгө каралып чыккан ички жана тышкы ЧУА долбоорлорунун үлүшү (түшкөн долбоорлорунун санына салыштырганда)</t>
  </si>
  <si>
    <t>Мамлекеттик кызматка кирүүдө жана өтөөдө жарандардын бирдей жеткиликтүүлүгүн камсыз кылуу</t>
  </si>
  <si>
    <t>Карьералык көтөрүлүүнүн алкагында ээленген административдик мамлекеттик бош кызмат орундарынын үлүшү</t>
  </si>
  <si>
    <r>
      <t>Административдик мамлекеттик кызмат орундарына квалификациялык талаптарды жана кызматтык нускамаларды бекиткен мамлекеттик органдарынын үлү</t>
    </r>
    <r>
      <rPr>
        <sz val="11"/>
        <rFont val="Times New Roman"/>
        <family val="1"/>
        <charset val="204"/>
      </rPr>
      <t>ш</t>
    </r>
    <r>
      <rPr>
        <sz val="11"/>
        <color theme="1"/>
        <rFont val="Times New Roman"/>
        <family val="1"/>
        <charset val="204"/>
      </rPr>
      <t>ү</t>
    </r>
  </si>
  <si>
    <t>Кызматчылардын ишин баалоо системасын киргизген мамлекеттик органдардын үлүшү</t>
  </si>
  <si>
    <t>Мамлекеттик кызматчылардын сапаттык курамы жөнүндө кварталдык жана жылдык статистикалык маалыматтын жыйындысы жана талдоосу</t>
  </si>
  <si>
    <t>Статистикалык маалыматтарды тапшырган мамлекеттик органдардын үлүшү</t>
  </si>
  <si>
    <t>Мамлекеттик кызматка кирүүдө жана өтөөдө коррупцияга каршы иш-чараларды ишке киргизүү</t>
  </si>
  <si>
    <t>Этика боюнча комиссия иштеген мамлекеттик  органдардын үлүшү</t>
  </si>
  <si>
    <t>Муниципалдык кызматка кирүүдө жана өтөөдө жарандардын бирдей жеткиликтүүлүгүн камсыз кылуу</t>
  </si>
  <si>
    <t>Карьералык көтөрүлүүнүн алкагында ээленген административдик муниципалдык бош кызмат орундарынын үлүшү</t>
  </si>
  <si>
    <t>Квалификациялык талаптарды макулдашкан жана бекиткен ЖӨБ  органдарынын үлүшү</t>
  </si>
  <si>
    <t>Кызматчылардын ишин баалоо системасын колдонгон ЖӨБ  органдардын үлүшү</t>
  </si>
  <si>
    <t>Муниципалдык кызматчылардын сапаттык курамы жөнүндө кварталдык жана жылдык статистикалык маалыматтын жыйындысы жана талдоосу</t>
  </si>
  <si>
    <t>Статистикалык маалыматтарды тапшырган ЖӨБ органдарынын үлүшү</t>
  </si>
  <si>
    <t>Муниципалдык кызматка кирүүдө жана өтөөдө коррупцияга каршы иш-чараларды ишке киргизүү</t>
  </si>
  <si>
    <t>Этика боюнча комиссия иштеген ЖӨБ органдарынын үлүшү</t>
  </si>
  <si>
    <t>Мамлекеттик жана муниципалдык кызматка кирүүдө жана кызмат өтөөдө мыйзамдар боюнча тестирлөө өтүүдө ачык жана акыйкаттыкты камсыздоо</t>
  </si>
  <si>
    <t>Тестирлөө системасына канааттанган тестирлөөнүн катышуучуларынын үлүшү.</t>
  </si>
  <si>
    <t>Мамлекеттик жарандык кызмат жана муниципалдык кызмат чөйрөсүндөгү адам ресурстарын башкаруунун маалыматтык системасын ишке киргизүү (талдоо, колдоо жана коштоо)</t>
  </si>
  <si>
    <t>Е-кызмат" автоматташтырылган системасына канааттанган пайдалануучулардын үлүшү.</t>
  </si>
  <si>
    <t>Карьералык пландоо</t>
  </si>
  <si>
    <t>Жогорку административдик кызмат орундарынын жалпы санына салыштырганда мамлекеттик кызмат үчүн жогорку административдик кызмат орундарын ээлөөгө кадрларды резервдик камсыздоонун % (резервдегилердин санынын салыштырмалуулугу).</t>
  </si>
  <si>
    <t>Башкы административдик кызмат орундарынын жалпы санына салыштырганда мамлекеттик кызмат үчүн башкы кызмат орундарын ээлөөгө кадрларды резервдик камсыздоонун % (резервдегилердин санынын салыштырмалуулугу).</t>
  </si>
  <si>
    <t xml:space="preserve">Мамлекеттик жана муниципалдык кызматчыларды окутууга Мамлекеттик тапшырыкты мамлекеттик бюджеттин каражаттарынын эсебинен ишке ашыруу </t>
  </si>
  <si>
    <t>Окутуу менен камтылган мамлекеттик кызматчылардын % (пландаштырылган сандын мамлекеттик кызматчылардын жалпы санына салыштырмалуулугу).</t>
  </si>
  <si>
    <t>Мамлекеттик жарандык кызмат жана муниципалдык кызмат чөйрөсүндө мыйзамдарды сактоого мониторинг жүргүзүү</t>
  </si>
  <si>
    <t>Бекитилген планга ылайык мамлекеттик органдарда жана ЖӨБ органдарында өткөрүлгөн мониторингдердин саны</t>
  </si>
  <si>
    <t>Түшкөн даттануулардын санына салыштырганда өз учурунда каралган даттануулардын үлүшү</t>
  </si>
  <si>
    <t>Мамлекеттик жана муниципалдык кызмат чөйрөсүндө Улуттук (мамлекеттик) программаларды жүзөгө ашыруу</t>
  </si>
  <si>
    <t>Мамлекеттик жана муниципалдык кызмат чөйрөсүндө жүзөгө ашырылган улуттук (мамлекеттик) программалардын (ЧУА) үлүшү</t>
  </si>
  <si>
    <t>Коррупцияны алдын алуу чөйрөсүндө мамлекеттик саясатты жүзөгө ашыруу боюнча МККнын ишин координациялоо</t>
  </si>
  <si>
    <t xml:space="preserve">Коррупцияга каршы аракеттенүү боюнча планынын аткарылган иш-чараларынын үлүшү  </t>
  </si>
  <si>
    <t>Кадр саясатты аймактык деңгээлде жүзөгө ашыруу (БАӨ, ТүшАӨ, ТүнАӨ)</t>
  </si>
  <si>
    <t>Планга салыштырганда мамлекеттик органдарда жана ЖӨБ органдарында өткөрүлгөн мониторингдердин үлүшү</t>
  </si>
  <si>
    <t>Ысык-Кол курорттук -рекреациялык чөлкөмүнүн башкы системасын иштеп чыгуу</t>
  </si>
  <si>
    <t>Калктуу конуштардын ичүучү суу менен камсыздоо  жана саркынды сууларды чыгаруу жаатында өнүктүрүу үчун шарттарды түзүү</t>
  </si>
  <si>
    <t>Мамлекеттик инвестициялык долбоорлорду ишке ашыруу</t>
  </si>
  <si>
    <t>64. Кыргыз Республикаснын Дин иштери  боюнча мамлекеттик  комиссиясы</t>
  </si>
  <si>
    <t>64</t>
  </si>
  <si>
    <t>орун</t>
  </si>
  <si>
    <t>Таштанды чыгаруучу жайлардын саны стандарттык абалга келтирилди</t>
  </si>
  <si>
    <t>Таштандылар жана полигондор астындагы жерлердин өзгөргөн категорияларынын саны</t>
  </si>
  <si>
    <t>Радиациялык коопсуздук тармагындагы объекттердин санын  нормативдик абалга келтирилгени</t>
  </si>
  <si>
    <t xml:space="preserve">Химиялык, биологиялык, радиациялык жана ядролук коопсуздук боюнча иштерди координациялоо
</t>
  </si>
  <si>
    <t>Коркунучтуу, уулуу химиялык заттардан жана иондоштуруучу нурлануунун булактарынан айлана -чөйрөгө жана калктын ден соолугуна коркунучту азайтуу</t>
  </si>
  <si>
    <t>Лицензия жана берилген лицензия берүүгө арыздардын катышы.</t>
  </si>
  <si>
    <t>Эксперттик корутундуга өтүнмөлөрдүн кош колдонулуучу товарлардын импорту / экспорту боюнча берилген эксперттик корутундуларга катышы</t>
  </si>
  <si>
    <t>Экологиялык компоненттердин сапаты үчүн алынган үлгүлөрдүн саны</t>
  </si>
  <si>
    <t>Жасалган лабораториялык анализдердин саны.</t>
  </si>
  <si>
    <t>Радиациялык фондун сапаты боюнча жүргүзүлгөн изилдөөлөрдүн саны</t>
  </si>
  <si>
    <t>Гидрометеорологиялык прогноздорду берүү убактысын жогорулатуу</t>
  </si>
  <si>
    <t>сутка</t>
  </si>
  <si>
    <t>Өлкөнүн жалпы аймагына өзгөчө корголуучу жаратылыш аймактарынын үлүшү</t>
  </si>
  <si>
    <t>Корголуучу аймактардагы жапайы жаныбарлар үчүн жалаган жалбырактардын саны</t>
  </si>
  <si>
    <t>Аткарылган илимий иштердин саны</t>
  </si>
  <si>
    <t>Жапайы жаныбарлардын илдеттерин аныктоо жана жайылышын алдын алуу боюнча чаралардын саны</t>
  </si>
  <si>
    <t>Жылына орнотулган маалымат такталарынын жана панелдердин саны / бардыгы. Экологиялык мыйзамдарды бузуу фактыларын болтурбоо жана азайтуу максатында жергиликтүү калкка маалымат берүү</t>
  </si>
  <si>
    <t>Берилген мамлекеттик мергенчилик сертификаттарынын саны, республиканын мергенчилеринин маалымат базасын жүргүзүү менен мергенчилердин санын тартипке келтирүү</t>
  </si>
  <si>
    <t xml:space="preserve">Мамлекеттик инвестициялардын долбоорлорун ишке ашыруу </t>
  </si>
  <si>
    <t>Гидрометеорологиялык кызматтарды модернизациялоо</t>
  </si>
  <si>
    <t>66. Кыргыз Республикасынын Министрлер Кабинетин Соттук өкүлчүлүк борбору</t>
  </si>
  <si>
    <t>66</t>
  </si>
  <si>
    <r>
      <t xml:space="preserve">Эл аралык жана жергиликтүү  сот органдарында  Кыргыз Республикасынын Министрлер Кабинети,  ошондой эле  Кыргыз Республикасынын  укуктарын жана кызыкчылыктарын  коргоо жана жактоо               </t>
    </r>
    <r>
      <rPr>
        <sz val="11"/>
        <color theme="1"/>
        <rFont val="Times New Roman"/>
        <family val="1"/>
        <charset val="204"/>
      </rPr>
      <t xml:space="preserve">
</t>
    </r>
  </si>
  <si>
    <t>фактысы боюнча</t>
  </si>
  <si>
    <t xml:space="preserve">Талаш -тартыштардын кыйла жагымдуу чечилиши үчүн  эл аралык жана  жергиликтүү сотторго катышуу </t>
  </si>
  <si>
    <t>68</t>
  </si>
  <si>
    <t xml:space="preserve">69. Кыргыз Республикасынын Санариптик ѳнүктүрүү министрлиги </t>
  </si>
  <si>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уюштуруучулук таасир этүү</t>
    </r>
    <r>
      <rPr>
        <b/>
        <sz val="11"/>
        <rFont val="Times New Roman"/>
        <family val="1"/>
        <charset val="204"/>
      </rPr>
      <t xml:space="preserve">
</t>
    </r>
  </si>
  <si>
    <t>Башка программалар  боюнча учурдагы чыгашалардын суммасына карата Программа 1 боюнча  учурдагы чыгашалардын катышы</t>
  </si>
  <si>
    <t>692</t>
  </si>
  <si>
    <r>
      <t xml:space="preserve">Электрондук башкаруу инфраструктурасын жана электрондук кызмат көрсөтүүлөрдү өнүктүрүү
</t>
    </r>
    <r>
      <rPr>
        <i/>
        <sz val="11"/>
        <color theme="1"/>
        <rFont val="Times New Roman"/>
        <family val="1"/>
        <charset val="204"/>
      </rPr>
      <t>Программанын максаты: Электрондук башкарууну өнүктүрүү, электрондук кызмат көрсөтүүлөрдү ишке киргизүү</t>
    </r>
  </si>
  <si>
    <t>Маалыматтык системаларды түзүү, модернизациялоо, эксплуатациялоо жана  техникалык колдоо</t>
  </si>
  <si>
    <t>Санариптик трансформациялоо жолу менен модернизацияланган мамлекеттик органдардын башкаруучулук процесстеринин саны</t>
  </si>
  <si>
    <t>факт б-ча</t>
  </si>
  <si>
    <t>693</t>
  </si>
  <si>
    <r>
      <t xml:space="preserve">Электр жана почта байланышын жөнгө салуу
</t>
    </r>
    <r>
      <rPr>
        <i/>
        <sz val="11"/>
        <color theme="1"/>
        <rFont val="Times New Roman"/>
        <family val="1"/>
        <charset val="204"/>
      </rPr>
      <t>Программанын максаты: Заманбап, жогорку технологиялуу жана атаандаштыкка жөндөмдүү Улуттук маалымат жиберүү тармагын түзүү жана Улуттук тармакты жалпы дүйнөлүк маалымат айдыңына интеграциялоо</t>
    </r>
  </si>
  <si>
    <t>Кыргызстандын калктуу конуштарын байланыш (уюлдук) кызмат көрсөтүүлөрү менен орточо камтуу  %</t>
  </si>
  <si>
    <t xml:space="preserve">Электр жана почта байланышы жаатындагы лицензия алуучулардын саны. </t>
  </si>
  <si>
    <t>Жабдуу жана байланыш кызмат көрсөтүүлөрүнө шайкештик сертификаттарын берүү</t>
  </si>
  <si>
    <t>Бир жылда берилген сертификаттардын саны</t>
  </si>
  <si>
    <t>Бөлүп берүүгө мүмкүн болгон радио жыштыктарды тандоо</t>
  </si>
  <si>
    <t xml:space="preserve">Бөлүп берүүгө мүмкүн болгон радио жыштыктарды тандоо боюнча маалымат алууга  тандалып алынган суроо талаптардын саны </t>
  </si>
  <si>
    <t>694</t>
  </si>
  <si>
    <t>Калкты жана жарандык абалдын актыларын каттоо</t>
  </si>
  <si>
    <t>Натыйжалуулук көрсөткүчү</t>
  </si>
  <si>
    <t>Калкты каттоо</t>
  </si>
  <si>
    <t>Персонификацияланган паспорттордун саны</t>
  </si>
  <si>
    <t>Жарандык абалдын актыларын каттоо</t>
  </si>
  <si>
    <t xml:space="preserve">Жарандык абалдын актыларын каттоонун саны </t>
  </si>
  <si>
    <t>695</t>
  </si>
  <si>
    <t>Транспорттук каражаттарды жана айдоочулук курамды каттоо</t>
  </si>
  <si>
    <t>Транспорттук каражаттарды каттоо</t>
  </si>
  <si>
    <t>Транспорттук каражаттар катталган</t>
  </si>
  <si>
    <t>бирд.</t>
  </si>
  <si>
    <t>Айдоочулук курамды каттоо</t>
  </si>
  <si>
    <t xml:space="preserve">айдоочулук күбөлүктөр берилген </t>
  </si>
  <si>
    <t>696</t>
  </si>
  <si>
    <t>КР архив фондунун документтеринин сакталышын камсыз кылуу</t>
  </si>
  <si>
    <t>Мамлекеттин жана коомчулуктун кызыкчылыгында КР Улуттук архив фондун түзүү, комплектлөө, сактоо жана пайдалануу</t>
  </si>
  <si>
    <t>сактоо бирд.</t>
  </si>
  <si>
    <t>Архив документтерин сактоодо сапатын жана коопсуздугун жогорулатуу</t>
  </si>
  <si>
    <t>Архивдик документтерди кабыл алуу жана сактоо. Документтер карталанган</t>
  </si>
  <si>
    <t>Архивдик  документтерди санариптөө</t>
  </si>
  <si>
    <t>Документтер санариптелген</t>
  </si>
  <si>
    <t>697</t>
  </si>
  <si>
    <t>Мамлекеттик инвестициялар программасы</t>
  </si>
  <si>
    <t xml:space="preserve"> "Digital CASA - Кыргыз Республикасы" долбоору</t>
  </si>
  <si>
    <t xml:space="preserve">Бардык программалар боюнча эмгек акыга чыгымдардын суммасына карата 001 Программа боюнча  эмгек акыга чыгымдардын катышы </t>
  </si>
  <si>
    <t>Жалпы жетекчиликти, финансалык менеджментти  жана эсепке алууну камсыздоо</t>
  </si>
  <si>
    <t>Натыйжалуулук индикатрлорунун аткаруу пайызы</t>
  </si>
  <si>
    <t>Аналитикалык жана маалыматтык жогорку бийлик органдарынын колдоо иштери</t>
  </si>
  <si>
    <t>Ички жана тышкы саясатта приоритеттуу экономика тармагында изилдоолроду жургузуу</t>
  </si>
  <si>
    <t>71. Кыргыз Республикасынын Министрлер Кабинетине караштуу Финансалык чалгындоо мамлекеттик кызматы</t>
  </si>
  <si>
    <t>71</t>
  </si>
  <si>
    <r>
      <t xml:space="preserve">Башкаруу жана администрациялоо                                                                                                                       
</t>
    </r>
    <r>
      <rPr>
        <i/>
        <sz val="14"/>
        <color theme="1"/>
        <rFont val="Times New Roman"/>
        <family val="1"/>
        <charset val="204"/>
      </rPr>
      <t/>
    </r>
  </si>
  <si>
    <t>Бюджеттик каражаттарды эффективдүү пайдалануу</t>
  </si>
  <si>
    <t>Тармакты борбордук денгээлде  башкаруу жана администрациялоо</t>
  </si>
  <si>
    <t xml:space="preserve">Террористтик ишти каржылоого жана кылмыштуу кирешелерди легалдаштырууга (адалдоого) каршы аракеттенүү </t>
  </si>
  <si>
    <t>Мамлекеттик бюджетке орду толтурулган зыяндын суммасы</t>
  </si>
  <si>
    <t>миң. сом</t>
  </si>
  <si>
    <t>Тобокелдиктерди баалоо жана тармактык саясат.</t>
  </si>
  <si>
    <t>Террористтик ишти каржылоонун жана кылмыштуу кирешелерди легалдаштыруунун (адалдоонун) иштелип чыккан  типологияларынын (схемаларынын)саны.</t>
  </si>
  <si>
    <t xml:space="preserve">даана </t>
  </si>
  <si>
    <t>Ыкчам  жана стратегиялык талдоо жүргүзүү жана максаттуу финансалык санкцияларды колдонуу</t>
  </si>
  <si>
    <t>Шектүү операциялар жөнүндө иштелип чыккан билдирүүлөрдүн саны</t>
  </si>
  <si>
    <t>миң,даана</t>
  </si>
  <si>
    <t>Укук коргоо органдарынан алынган жана иштелип чыккан суроо-талаптарынын саны</t>
  </si>
  <si>
    <t>Компетенттүү органдарга түзүлгөн жана жөнөтүлгөн жалпыланган материалдардын жана маалыматтардын саны</t>
  </si>
  <si>
    <t>Эл аралык кызматташтыкты ишке ашыруу.</t>
  </si>
  <si>
    <t>Иштелип чыккан эл аралык сурамдардын саны.</t>
  </si>
  <si>
    <r>
      <t xml:space="preserve">Башкаруу жана администрациялоо                                                                                                                              
</t>
    </r>
    <r>
      <rPr>
        <i/>
        <sz val="11"/>
        <color indexed="8"/>
        <rFont val="Times New Roman"/>
        <family val="1"/>
        <charset val="204"/>
      </rPr>
      <t>Программанын максаты: Башка программаларды иштетүүгө координациялоочу жана уюштруучу таасири</t>
    </r>
  </si>
  <si>
    <r>
      <t xml:space="preserve">Сапаттуу жана ишенимдүү статистикалык эсепти камсыз кылуу.
</t>
    </r>
    <r>
      <rPr>
        <i/>
        <sz val="11"/>
        <color indexed="8"/>
        <rFont val="Times New Roman"/>
        <family val="1"/>
        <charset val="204"/>
      </rPr>
      <t>Программанын максаты: Бериле турган статистикалык жана аналитикалык маалыматтын жеткиликтүүлүгүнүн жана ишенимдүүлүгүнүн жогорку деңгээли</t>
    </r>
  </si>
  <si>
    <t>Расмий статистикалык маалыматка колдонуучулардын канааттануу индекси</t>
  </si>
  <si>
    <t>Статистикалык көрсөткүчтөрдү чогултуу жана техникалык иштетүү (КР УСК МКТБ)</t>
  </si>
  <si>
    <t xml:space="preserve">Техникалык-экономикалык жана социалдык маалыматтын классификаторлорун СББМРга (Статистикалык бирдиктердин Бирдиктүү мамлекеттик регистри) киргизүү, коштоо жана контролдоо. Статистикалык регистрге киргизилген чарбалык субъекттердин саны. </t>
  </si>
  <si>
    <t>мин.бирдик</t>
  </si>
  <si>
    <t>ЕГРСЕ маалымат базасына киргизилген чарбакер субъекттердин жалпы санына жаңыдан түзүлгөн чарбакер субъекттердин үлүшү</t>
  </si>
  <si>
    <t xml:space="preserve">Мамлекеттик статистикалык каттоого даярдык көрүү жана өткөрүү, </t>
  </si>
  <si>
    <t xml:space="preserve">Чогултула турган (каттоонун субъектилеринин) маалыматтын саны </t>
  </si>
  <si>
    <r>
      <rPr>
        <b/>
        <sz val="11"/>
        <color indexed="8"/>
        <rFont val="Times New Roman"/>
        <family val="1"/>
        <charset val="204"/>
      </rPr>
      <t xml:space="preserve">Статистика тармагынын илимий-негизденген методология-сын иштеп чыгуу, жакшыртуу жана ишке киргизүү
</t>
    </r>
    <r>
      <rPr>
        <i/>
        <sz val="11"/>
        <color indexed="8"/>
        <rFont val="Times New Roman"/>
        <family val="1"/>
        <charset val="204"/>
      </rPr>
      <t>Программанын максаты: статистикалык маалыматтын сапатынын жогорку деңгээли</t>
    </r>
  </si>
  <si>
    <t>Статистикалык маалыматты чогултуу үчүн статистикалык байкоолордун жаңы заманбап методдорун ишке киргизүү</t>
  </si>
  <si>
    <t>Статистикалык маалыматты чогултуу, иштетүү жана талдоо методикасын жакшыртуу</t>
  </si>
  <si>
    <t>Иштелип чыккан методикалардын жана сунуштардын жалпы санынан стат.органдардын күндөлүк ишине киргизилген жаңы методикалардын үлүшү</t>
  </si>
  <si>
    <t>Стат.органдардын кызматчыларынын  квалификациясын жогорулатуу</t>
  </si>
  <si>
    <t>Керектөөдөн квалификациясын жогорулаткан, стат.органдардын кызматчыларынын үлүшү</t>
  </si>
  <si>
    <t>Эл аралык стандарттарды өздөштүрүү (эл аралык уюмдар тарабынан түзүлгөн статистикалык анкеталардын индикаторлорун толтуруу)</t>
  </si>
  <si>
    <r>
      <t xml:space="preserve">Салык администрациясын жана статистикалык системаны модернизациалоо                                                                                 </t>
    </r>
    <r>
      <rPr>
        <i/>
        <sz val="11"/>
        <color theme="1"/>
        <rFont val="Times New Roman"/>
        <family val="1"/>
        <charset val="204"/>
      </rPr>
      <t>Программанын максаты: улуттук статистикалык системанын эффективдуулугун жогорулатуу, институттук реформалар жана статистикалык системада потенциалды жогорулатуу.</t>
    </r>
  </si>
  <si>
    <t>Улуттук статистикалык системанын эффективдүүлүгүн жогорулатуу, институттук реформаларды жана статистикалык системадагы потенциалды жогорулатуу.</t>
  </si>
  <si>
    <t>Улуттук  статистика системасын модернизациалоо</t>
  </si>
  <si>
    <t>Статистика жаатында адистерди даярдоону жакшыртуу жана системаны жаңыртуу, аппараттык жана программалык камсыздоонун базалык инфраструктурасын жаңыртуу</t>
  </si>
  <si>
    <t>77. Кыргыз Республикасынын Жогорку аттестациялык комиссиясы</t>
  </si>
  <si>
    <r>
      <t xml:space="preserve">Пландоо башкаруу,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 этүү</t>
    </r>
  </si>
  <si>
    <t>Бардык  программа боюнча эмгек акыга чыгымдардын суммасына 001 Програама боюнча эмгек акыга чыгымдардын катышы</t>
  </si>
  <si>
    <t>Борбордук денгеелде башкаруу жана администрациялоо</t>
  </si>
  <si>
    <t>Бюджетти укук бузууларсыз аткаруу пайызы</t>
  </si>
  <si>
    <t>Адам  ресурстарын башкаруу</t>
  </si>
  <si>
    <t>Укуктук колдоо</t>
  </si>
  <si>
    <r>
      <t xml:space="preserve">Илимий жана илимий пед-педагогикалык кадрлардын сапаттуу курамын жакшыртууга, аларды даярдоонун натыйжалуулугун жогорулатууга көмөк көрсөтүү                                                         </t>
    </r>
    <r>
      <rPr>
        <i/>
        <sz val="11"/>
        <rFont val="Times New Roman"/>
        <family val="1"/>
        <charset val="204"/>
      </rPr>
      <t xml:space="preserve">Программанын максаты: Диссертацияны илимий денгээлине, алардын илимий жанапрактикалык баалулугуна, илимий жана илимий педагогикалык кадрларды жогорку квалификацияга аттестациялоодо бирдиктүү талаптарды контролдоону камсыздоо </t>
    </r>
  </si>
  <si>
    <t>Экспертик кеңештердин корутундусуна ЖАК  Президиумунун чечимдеринин жана оң чечимдерге берилген дипломдордун пайызы</t>
  </si>
  <si>
    <t>Диссертац.  жана  эксперттик кеңештердин ишин уюштуруу, илимий даража, наамдарды ыйгаруу</t>
  </si>
  <si>
    <t xml:space="preserve"> Диссертация иштерин  жана  аттестация иштерин мөөнөтүндө кароо менен түшкөн иштердин жалпы санына карата катышы </t>
  </si>
  <si>
    <t>Илимий жана илимий-педагогикалык кадрларды   аттестациялоо маселеси боюнча  эл аралык келишимдерди даярдоо жана түзүү</t>
  </si>
  <si>
    <t>Эл аралык түзүлгөн келишимдердин саны</t>
  </si>
  <si>
    <t>Кыргыз Республикасынын Коопсуздук Кеңешинин Катчылыгы</t>
  </si>
  <si>
    <t>Улуттук коопсуздукту камсыздоо жаатында бирдиктүү мамлекеттик саясатты ишке ашыруу боюнча Кыргыз Республикасынын Коопсуздук Кеңешинин ишин камсыз кылуу</t>
  </si>
  <si>
    <t>Кыргыз Республикасынын Коопсуздук Кеңешинин жыйынында каралган маселелердин саны</t>
  </si>
  <si>
    <t>ШКУ, ЖККУ жана КМШ өлкөлөрү менен кызматташуунун алкагында эки тараптуу жана көп тараптуу жолугушуулардын саны</t>
  </si>
  <si>
    <t>80.  Кыргыз Республикасынын Улуттук илимдер академиясы</t>
  </si>
  <si>
    <t xml:space="preserve"> бюджеттик программа боюнча натыйжалуулук индикаторлорунун аткарылыш %</t>
  </si>
  <si>
    <t>Физика-техникалык, математикалык  жана кен-геолог. изилдөөлөрдү өнүктүрүү</t>
  </si>
  <si>
    <t>Технологиялык иштеп чыгууларлы өндурушкө киргизүү</t>
  </si>
  <si>
    <t xml:space="preserve">Ири ГЭСтер жайгашкан райондордогу сейсмикалык коркунучту баалоо жана инженердик-сейсмикалык кызматты түзүү </t>
  </si>
  <si>
    <t>Жүргүзүлгон жер титирөөлөрдүн саны</t>
  </si>
  <si>
    <t>д</t>
  </si>
  <si>
    <t xml:space="preserve">Суу ресурстарын талдоо жана суу ресурстарын башкарууну контролдоо методдорун жана каражаттарын түзүү. Сары-Жаз дарыясында гидроэнергетикалык ресурстарды сарамжалдуу өздөштүрүүнүн илимий негиздери </t>
  </si>
  <si>
    <t>жеке дарыялар  үчүн ар кандай жагдайды rлиматтын өзгөрүшүн эске алуу менен гидроэнергетикалык дарамети эсептөө жүзөгө ашырылган экспертизалардын саны</t>
  </si>
  <si>
    <t>электр энергиясын алдын ала керектөөнүн автоматтык  ситемасын иштеп чыгуу боюнча берилген оң чечим патен саны  жана тоо сууларынын агымынын өндүрүшүн эсепке алган датчиктин макети. конкреттүү экономикалык маселелер учун аэрокосмостук маалыматтарды кайра иштетүү.</t>
  </si>
  <si>
    <t xml:space="preserve">Жаратылыш жана техногендик кыйроолорду болжолдоо методдорун жана каражаттарын иштеп чыгуу жана алдын алуу   Шпуралар жана скважиналарды бургалоо үчүн  техникаларды иштеп чыгуу. Регионалдык геология жана Кыргызстандын пайдалуу кендери       </t>
  </si>
  <si>
    <t xml:space="preserve">Кыргызстандагы өсүмдүктөрдү интродукциялоо, селекциялоо жана сактоо. Аларды сактоо жана туруктуу пайдалануу максатында Кыргызстандын токой өсүмдүк ресурстарын  изилдөө.  Жаратылыш запастарын талдоо жана Кыргызстандын пайдалуу жана дарылык өсүмдүктөрүнөн турган биоактивдүү бирикмелерди алуу технологиясын иштеп чыгуу </t>
  </si>
  <si>
    <t>мин сом</t>
  </si>
  <si>
    <t>Уйлардын биоаттестациясын өткөрүү. Өсүмдүктөрдүн коллекциялык фондун толтуруу.</t>
  </si>
  <si>
    <t>180       19</t>
  </si>
  <si>
    <t>200       20</t>
  </si>
  <si>
    <t xml:space="preserve">Минералдык жана органикалык чийки заттарды комплекстик кайра иштетүүнүн инновациялык технологияларын иштеп чыгуу; адаптациялык мүмкүнчүлүктөрдү  оптималдаштыруу каражаттарын иликтөө жана тоо калкынын жашоосунун сапатын жогорулатуу </t>
  </si>
  <si>
    <t>804</t>
  </si>
  <si>
    <t>Гумманитардык изилдөөнү өнүктүрүү</t>
  </si>
  <si>
    <t>Жарыялоо (статья, монография, окуу материал)</t>
  </si>
  <si>
    <t xml:space="preserve">Кыргыздардын жана Кыргызстандын байыркы замандан  тартып азыркв күнгө чейинки тарыхын изилдөө; изилдөө проблемалары, Кыргызстандын маданий мурасын пайдалануу. Кыргыз Республикасынын рыноктук институттарынын өнүктүрүүнүн жана өркүндөтүү проблемаларынын өзгөчөлүгү </t>
  </si>
  <si>
    <t xml:space="preserve">Илимдин методология маселелерин изилдөө жана тоолуу райондордо социалдык изилдөөлөрдү жүргүзүү </t>
  </si>
  <si>
    <t>"КР де этникалар арасы конфликттер:социологиялык  анализ" "Кыргызстандын экономикасы:табыгый ресурстардын рационалдуу колдонуу проблемалары" темалары боюнча чыгарылган илимий иштер</t>
  </si>
  <si>
    <t xml:space="preserve">Регионалдык тарыхый-философиялык,  этно-лингвистикалык жана социалдык-экономикалык проблемаларды изилдөө  </t>
  </si>
  <si>
    <t xml:space="preserve">Өткөрүлгөн илимий конференциялардын саны </t>
  </si>
  <si>
    <t>18         22</t>
  </si>
  <si>
    <t>18          22</t>
  </si>
  <si>
    <t>20          25</t>
  </si>
  <si>
    <t>20           25</t>
  </si>
  <si>
    <t>81</t>
  </si>
  <si>
    <t>Медициналык кызмат корсотүү</t>
  </si>
  <si>
    <t>Дарылангандардын саны</t>
  </si>
  <si>
    <t>Клиникалык оорукана көрсөткөн медициналык кызматты оптималдаштыруу</t>
  </si>
  <si>
    <t>Бюджетти эреже бузууларсыз аткаруу пайызы</t>
  </si>
  <si>
    <t>Эмгек талаш-тартыштары боюнча утуп алган сот процесстеринин үлүшү</t>
  </si>
  <si>
    <t xml:space="preserve">Укуктук колдоо </t>
  </si>
  <si>
    <t>Утуп алган сот иштеринин алардын жалпы санына карата катышы</t>
  </si>
  <si>
    <t>Министрликтердин/ведомств.-дун жалпыга маалымдоо каражаттарында жакшы мааниде чагылдыруулардын саны</t>
  </si>
  <si>
    <t>Иштерди уюштуруу жана камсыздоо кызматы</t>
  </si>
  <si>
    <t>Борбордук аппараттын кызматкерлеринин жалпы санынан камсыздоо кызматынын кызматкерлеринин үлүшү</t>
  </si>
  <si>
    <t>Мониторинг, талдоо жана стратегиялык пландоону камсыздоо</t>
  </si>
  <si>
    <t xml:space="preserve">Жалпы мониторингдин натыйжаларынын санынан расмий ички документтерде аткарууга кабыл алынган мониторингдин натыйжаларынын улушу </t>
  </si>
  <si>
    <t>Региондук деңгээлде жалпы координациялоо</t>
  </si>
  <si>
    <t>Региондордо откорулгон алдын алуу баруулардын санынын борбордук аппаратта алдын алуу баруулардын санына болгон пайыздык катышы</t>
  </si>
  <si>
    <r>
      <t xml:space="preserve">Кыйноолорду жана катаал мамилени эркиндигинен ажыратуу жана чектоо жайларында алдын алуу
</t>
    </r>
    <r>
      <rPr>
        <i/>
        <sz val="11"/>
        <color theme="1"/>
        <rFont val="Times New Roman"/>
        <family val="1"/>
        <charset val="204"/>
      </rPr>
      <t>Программанын максаты:Кыйноолорду жана катаал мамилени, алардын эркиндигинен ажыратуу жана чектоо жайларында, балдар уйундо  жана психо-неврологиялык диспансерлерде колдонулушунун коркунучун туп тамыры менен жок кылуу</t>
    </r>
  </si>
  <si>
    <t>Кыйноого жана катаал мамилеге коомчулукта сабырсыздыкты пайда кылуу</t>
  </si>
  <si>
    <t>Эркиндигинен ажыратуу жана чектоо жайларында мыйзамдуу укуктарын камсыз кылуу</t>
  </si>
  <si>
    <t>Республика боюнча тушкон кабарлар жана арыздар боюнча алдын алуу баруулардын жалпы саны</t>
  </si>
  <si>
    <t>Алардын ичинен Улуттук борбордун ар жылдык планы ылайык алдын алуу баруулардын саны.</t>
  </si>
  <si>
    <t>84. "Эркин Тоо" гезитинин редакциясы</t>
  </si>
  <si>
    <t xml:space="preserve">"Эркин- Тоо" гезитин басып чыгаруу </t>
  </si>
  <si>
    <t xml:space="preserve">Кыргыз Республикасынын Өкмөтүнүн, Президентинин, Жогорку Кеңешинин ченемдик укуктук актыларын "Эркин-Тоо" гезитине жарыялоо </t>
  </si>
  <si>
    <t xml:space="preserve">Өз учурунда жарыяланган ченемдик укуктук актылардын үлүшү </t>
  </si>
  <si>
    <t>85. Кыргыз Республикасынын Коомдук телерадиоберүү корпорациясы</t>
  </si>
  <si>
    <t>Борбордук денгээлде тармакты башкаруу жана администрациялоо</t>
  </si>
  <si>
    <t>Телеберүү программасын түзүү</t>
  </si>
  <si>
    <t>Берүү көлөмү</t>
  </si>
  <si>
    <t>саат</t>
  </si>
  <si>
    <t>Телепрограммаларды  техникалык камсыздоо( РРТБ)</t>
  </si>
  <si>
    <t>Көрсөтүлгөн  техникалык кызматтардын сапаты</t>
  </si>
  <si>
    <t>Радиоуктуруу программасын түзүү</t>
  </si>
  <si>
    <t xml:space="preserve">Радиопрограммаларды бүткүл республика боюнча жайылтуу                                 </t>
  </si>
  <si>
    <t>Калктын камтылышы</t>
  </si>
  <si>
    <t>Радиопрограммаларды  техникалык камсыздоо( РРТБ)</t>
  </si>
  <si>
    <r>
      <t xml:space="preserve">Телевизиондук тасмаларды чыгаруу                                              </t>
    </r>
    <r>
      <rPr>
        <i/>
        <sz val="11"/>
        <color theme="1"/>
        <rFont val="Times New Roman"/>
        <family val="1"/>
        <charset val="204"/>
      </rPr>
      <t>Программанын максаты: Көрүүчүлөрдүн маалымдуулугу, пропагандалоо</t>
    </r>
  </si>
  <si>
    <t>Көркөм, хроникалык-документалдык телетасмаларды тартуу, телеберүүлөрдү чыгаруу</t>
  </si>
  <si>
    <t>Көрсөтүүлөрдүн саны</t>
  </si>
  <si>
    <t>Баардыгы (контролдук цифрасы)</t>
  </si>
  <si>
    <t>Кыргыз Республикасынын "ЭлТР"  мамлекеттик телерадиоберүү компаниясы</t>
  </si>
  <si>
    <t>001 программасы боюнча эмгек акыга кеткен чыгымдардын бардык программалар боюнча эмгек акыга кеткен чыгымдардын суммасына карата катышы</t>
  </si>
  <si>
    <t>Телекөрсөтүүлөрдү, радиоберүүлөрдү даярдоо жана берүү</t>
  </si>
  <si>
    <t>Телекөрсөтүүлөрдүн рейтинги</t>
  </si>
  <si>
    <t>"Мир мамлекеттер аралык телерадиокомпаниясы" ЖАКнын КРдагы Улуттук филиалы</t>
  </si>
  <si>
    <t>Камсыздоо кызматынын ишин уюштуруу</t>
  </si>
  <si>
    <t>Телевизиондук жана радио программаларды өндүрүү, аларды жайылтуу</t>
  </si>
  <si>
    <t>541с06м20</t>
  </si>
  <si>
    <t>ТВ программаларды түзүү</t>
  </si>
  <si>
    <t>41с46м20с</t>
  </si>
  <si>
    <t>87. Кыргыз Республикасынын Өкмөтүнө караштуу "Кыргызтест" мамлекеттик мекемеси</t>
  </si>
  <si>
    <t>Кыргыз Республикасында "Кыргызтест" системасын мамлекеттик, расмий жана эл аралык тилдерди билүү деңгээлин аныктоо боюнча бирдиктүү өлчөөчү курал катары түзүү жана киргизүү</t>
  </si>
  <si>
    <t xml:space="preserve">Натыйжалуулуктун индикатору </t>
  </si>
  <si>
    <t>Республика боюнча тесттерди өткөрүү</t>
  </si>
  <si>
    <t>Тесттен өткөндөрдүн саны</t>
  </si>
  <si>
    <t>Расмий тилди билүү деңгээлин баалоо боюнча илимий методикалык-нормативдик документтерди иштеп чыгуу жана басып чыгаруу</t>
  </si>
  <si>
    <t xml:space="preserve"> Нускалардын саны</t>
  </si>
  <si>
    <t>Мамлекеттик жана расмий тилдер боюнча тест тапшырмаларын иштеп чыгуу жана экспертизадан өткөрүү</t>
  </si>
  <si>
    <t xml:space="preserve"> Тест тапшырмаларынын саны</t>
  </si>
  <si>
    <t>Мамлекеттик тил боюнча  электрондук окуу китебин иштеп чыгуу</t>
  </si>
  <si>
    <t>Окуу китептеринин аталыштарынын саны</t>
  </si>
  <si>
    <t>Мамлекеттик жана расмий тилдерди билүүнү баалоонун жаңы методикасы боюнча "Кыргызтест" системасынын программалык камсыздоосун иштеп чыгуу</t>
  </si>
  <si>
    <t xml:space="preserve"> Окуу китебинин биринчи бөлүгүн иштеп чыгуу (аякташынын пайызы)</t>
  </si>
  <si>
    <t>Мамлекеттик, расмий тилдерди билүү боюнча баамдоо тесттерин жүргүзүү үчүн Интернет-ресурстарын колдонуу</t>
  </si>
  <si>
    <t>1-вебпортал (аякташынын %)</t>
  </si>
  <si>
    <t>88.  "Манас" жана Ч. Айтматов улуттук академиясы</t>
  </si>
  <si>
    <t>001 Программасы боюнча эмгек акы чыгымдарынын бардык программалардагы эмгек акы чыгымдарынын суммасына катышы</t>
  </si>
  <si>
    <t>Каржылык башкарууну жана бухгалтердик эсепти камсыз кылуу</t>
  </si>
  <si>
    <t xml:space="preserve">"Манас" эпосунун көйгөйлөрү жана Ч.Айтматовдун мурастары боюнча маданий иш -чараларды, эл аралык симпозиумдарды, конгресстерди уюштуруу жана өткөрүү. Манас жана чыңгыз таануу жаатындагы илимий материалдарды басып чыгаруу                  </t>
  </si>
  <si>
    <t>Борбордук деңгээлде тармакты башкаруу жана администрациялоо</t>
  </si>
  <si>
    <t>Аймактык деңгээлдеги администрациялоо</t>
  </si>
  <si>
    <t xml:space="preserve">Парламенттин учурдагы иш-аракеттери менен калкты тааныштыруу (алдын ала тааныш үчүн жеткиликтүү мыйзам долбоорлорунун үлүшү)
</t>
  </si>
  <si>
    <t>Парламентте иштеген кызматкерлердин жалпы санына карата депутаттардын санынын катышы</t>
  </si>
  <si>
    <t>№ 172 "Арген" ясли бакчасынан балдардын келген саны</t>
  </si>
  <si>
    <t>Кабыл алынган мыйзам долбоорлорунун саны          100 депутат-күн</t>
  </si>
  <si>
    <t>Кыргыз Республикасынын Президентинин эксперттик-аналитикалык, маалыматтык, укуктук, протоколдук, уюштуруучулук, документациялык ишин камсыздоо</t>
  </si>
  <si>
    <t>КР Президентинин Архив фондунун документтерин туруктуу сактоо жана пайдалануу</t>
  </si>
  <si>
    <t xml:space="preserve">КР Президентинин, КР    Премьер-Министринин, КР Президентинин Аппаратынын жана КР Министрлер Кабинетинин  ишин камсыздоо </t>
  </si>
  <si>
    <t xml:space="preserve">Мамлекеттин демократиялык корголушуна жана чыңдалышына, элдин биримдигине, ошондой эле мамлекет менен элдин алдында ар кандай иштерде кызмат көрсөткөн адамдарга мамлекеттик сыйлыктарды берүү боюнча иш -чараларды уюштурууну камсыз кылуу </t>
  </si>
  <si>
    <t>Саммиттерди жана башка мамлекеттик иш-чараларды өткөрүү жана уюштуруу</t>
  </si>
  <si>
    <t>Мамлекеттик сектордо транспорттук кызмат көрсөтүү</t>
  </si>
  <si>
    <t>Таланттуу  балдарды жана жаштарды, анын ичинде чет өлкөлөрдө окутууда колдоо көрсөтүү</t>
  </si>
  <si>
    <t>Жаштардын жеке сапаттарын өнүктүрүүгө багытталган билим берүү жана илим жаатындагы демилгелерди  жана башка долбоорлорду колдоо</t>
  </si>
  <si>
    <t>Кызмат көрсөтүүнүн сапатын жогорулатуу жана калкты профессионалдык искусство менен тартуу</t>
  </si>
  <si>
    <t>Тейленүүчү сметалардын саны</t>
  </si>
  <si>
    <t xml:space="preserve">Уюштурулган протоколдук иш чаралардын саны </t>
  </si>
  <si>
    <t>Мамлекеттик мекемелердин саны</t>
  </si>
  <si>
    <t>Даярдалган сыйлыктардын саны</t>
  </si>
  <si>
    <t>Мамлекеттик маанидеги иш чаралардын саны</t>
  </si>
  <si>
    <t>Бюджеттик тартип бузуусун аткарылышынын пайызы</t>
  </si>
  <si>
    <t>Уюмдун жалпы суммасына карата атайын каражаттарынын үлүшү</t>
  </si>
  <si>
    <t>- Кыргыз Республикасынын Президентинин Аппараты</t>
  </si>
  <si>
    <t>- Кыргыз Республикасынын Өкмөтүнүн Аппараты/Кыргыз Республикасынын Министрлер Кабинети</t>
  </si>
  <si>
    <t>- КРӨнүн иш башкармалыгы</t>
  </si>
  <si>
    <t>- АТО жана конок</t>
  </si>
  <si>
    <t xml:space="preserve">- АТО жана конок </t>
  </si>
  <si>
    <t>Бюджеттин жалпы суммасына салыштырма салмагынын %</t>
  </si>
  <si>
    <t>Мамлекеттик протоколдун тейленген иш чаралардын саны</t>
  </si>
  <si>
    <r>
      <rPr>
        <b/>
        <sz val="11"/>
        <rFont val="Times New Roman"/>
        <family val="1"/>
        <charset val="204"/>
      </rPr>
      <t>Конституциялык сот  адилеттигин  камсыз кылуу жана конституциялык палатанын потенциалын жогорулатуу</t>
    </r>
    <r>
      <rPr>
        <sz val="11"/>
        <rFont val="Times New Roman"/>
        <family val="1"/>
        <charset val="204"/>
      </rPr>
      <t xml:space="preserve">
</t>
    </r>
    <r>
      <rPr>
        <i/>
        <sz val="11"/>
        <rFont val="Times New Roman"/>
        <family val="1"/>
        <charset val="204"/>
      </rPr>
      <t xml:space="preserve">Программанын максаты: конституциялык сот адилеттүүлүгүн камсыз кылуунун натыйжалуулугун жогорулатуу, конституциялык сот адилеттүүлүгүн эл аралык стандарттарын үйрөнүү жана колдонуу </t>
    </r>
  </si>
  <si>
    <t>Конституциялык палата мүчө болуп саналган конституциялык сот  адилеттиги боюнча мүчөлөрүнүн эл аралык жана региондук уюмдардын жана  бирикмелердин ишине катышуу</t>
  </si>
  <si>
    <t>КП аппарат кызматкерлериннин квалификациясын жогорулатуу, чет өлкөлөрдүн конституциялык сотторунда окутуу</t>
  </si>
  <si>
    <r>
      <t xml:space="preserve">Конституциялык палатанын ишмердүүлүгүнүн  ачыктыгын жана айкындуулугун камсыздоо                                </t>
    </r>
    <r>
      <rPr>
        <i/>
        <sz val="11"/>
        <color theme="1"/>
        <rFont val="Times New Roman"/>
        <family val="1"/>
        <charset val="204"/>
      </rPr>
      <t xml:space="preserve">Программанын максаты: КП коомдун ишенимин артыруу </t>
    </r>
  </si>
  <si>
    <t xml:space="preserve">Конституциялык  адилеттүүлүк  боюнча эл аралык жана региондук  уюмдардын жана бирикмелердин линиясы боюнча  уюштурулган иш чараларга  катышуулардын саны (конституциялык  адилеттүүлүк  боюнча дүйнөлүк конференция, Европа кеңешинин венециандык комиссиясы, конст. соттордунжана эквиваленттүү институтардын азия ассоциациясы, жаңы демократия өлкөлөрүнүн конституциялык контролдоо органдар-н конференциясы)  </t>
  </si>
  <si>
    <t>Конституциялык сот адилеттүүлүгүн автоматташтыруунун бардык тутумунун иштеши</t>
  </si>
  <si>
    <r>
      <rPr>
        <b/>
        <sz val="11"/>
        <rFont val="Times New Roman"/>
        <family val="1"/>
        <charset val="204"/>
      </rPr>
      <t xml:space="preserve">Башкаруу жана администрациялоо </t>
    </r>
    <r>
      <rPr>
        <sz val="11"/>
        <rFont val="Times New Roman"/>
        <family val="1"/>
        <charset val="204"/>
      </rPr>
      <t xml:space="preserve">
</t>
    </r>
    <r>
      <rPr>
        <i/>
        <sz val="11"/>
        <rFont val="Times New Roman"/>
        <family val="1"/>
        <charset val="204"/>
      </rPr>
      <t>Программанын максаты: Конституциялык палатанын тутумунун ишин камсыздоо, ведомствонун башка программаларын ишке ашырууну координациялоо</t>
    </r>
  </si>
  <si>
    <r>
      <rPr>
        <b/>
        <sz val="11"/>
        <rFont val="Times New Roman"/>
        <family val="1"/>
        <charset val="204"/>
      </rPr>
      <t xml:space="preserve">Кыргыз Республикасынын сот системасынын натыйжалуулугун, ачыктыгын жана  көз карандысыздыгын жогорулатуу      </t>
    </r>
    <r>
      <rPr>
        <sz val="11"/>
        <rFont val="Times New Roman"/>
        <family val="1"/>
        <charset val="204"/>
      </rPr>
      <t xml:space="preserve">                                                                </t>
    </r>
    <r>
      <rPr>
        <i/>
        <sz val="11"/>
        <rFont val="Times New Roman"/>
        <family val="1"/>
        <charset val="204"/>
      </rPr>
      <t>Программанын максаты:  Кыргыз Республикасында сот адилеттүүлүгүн  сапаттуу  камсыз кылуу</t>
    </r>
  </si>
  <si>
    <t>Эл аралык байланыштарды өнүктүрүү (КМШ,  алыскы  чет өлкөлөр) судьяларды кесиптик даярдоо  чөйрөсүнө Жогорку сот акыйкаттыгы мектеби жана судьялар кеңешинде  тематикалык конференциялар жана семинарларды өткөрүү</t>
  </si>
  <si>
    <r>
      <t xml:space="preserve">Пландаштыруу, башкаруу жана администрациялоо 
</t>
    </r>
    <r>
      <rPr>
        <i/>
        <sz val="11"/>
        <rFont val="Times New Roman"/>
        <family val="1"/>
        <charset val="204"/>
      </rPr>
      <t>Программанын максаты: Сот департаментини системасынын ишин камсыздоо, ведомствонун башка программаларын ишке ашырууну  координациялоо</t>
    </r>
  </si>
  <si>
    <t xml:space="preserve">Сот процесстеринин аудио видео фиксациялоо тутумун киргизүү  </t>
  </si>
  <si>
    <t>Сот отурумдарын аудио-видео жазуу боюнча  иш чараларды кылмыш жасаган адамдардын реестрин, тартип бузуулар, мыйзам бузуулар боюнча иш-чараларды жүзөгө ашыруу</t>
  </si>
  <si>
    <t>КР сот тутумунун, САКБнин жана башка сот тутумунун имараттарын контролдоо тутумун, кирүүнү башкаруу жана коопсуздугун камсыз кылуу</t>
  </si>
  <si>
    <t>Маалыматтык тутумдар менен жабдылган соттордун саны (видео жазуу жана сот процесстерин трансляциялоо, аудио жана протоколдоштуруу ж.б.) / Соттук териштирүүлөрдүн толук ачык-айкындыгын толук камсыздалган</t>
  </si>
  <si>
    <t>КР сот системасынын өнүктүрүүнүн артыкчылыктуу багыттарын аныктоо/соттук өз алдынча башкаруу органдарынын потенциалын күчөтүлгөн</t>
  </si>
  <si>
    <t>Жарандардын реалдуу жеткиликтүүлүгү жана квалификациялуу юридикалык жардамга камсыз кылынды</t>
  </si>
  <si>
    <t>Сот адилеттүүлүгүн жүргүзүү сапатын жакшыртуу</t>
  </si>
  <si>
    <t xml:space="preserve">Сот иштерин тез чечүүнү камсыздоочу маалыматтык технологиялар киргизилген соттордун саны </t>
  </si>
  <si>
    <t>Сот тутумундагы ачыктыктын үлүшү жана адамдардын сот адилеттигине жетүү мүмкүнчүлүгүн кеңейтүү</t>
  </si>
  <si>
    <t>Соттордун адистигин өркүндөтүүнүн үлүшү</t>
  </si>
  <si>
    <t>Аудио-видео фиксациялоо жана сот жыйындарын протоколдоштуруу системалары менен жабдылган соттордун саны</t>
  </si>
  <si>
    <t xml:space="preserve">сот процессинин катышуучулар үчүн коопсуздукту камсыздоо </t>
  </si>
  <si>
    <r>
      <t xml:space="preserve">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координациялык жана уюштуруучулук таасир этүү</t>
    </r>
    <r>
      <rPr>
        <b/>
        <sz val="11"/>
        <color theme="1"/>
        <rFont val="Times New Roman"/>
        <family val="1"/>
        <charset val="204"/>
      </rPr>
      <t xml:space="preserve">
</t>
    </r>
  </si>
  <si>
    <t>Республикалык  бюджеттин аткарылышын, жергиликтүү бюджеттердин, бюджеттен сырткары жана атайын каражаттардын түзүлүшүн жана аткарылышы, мамлекеттик  жана муниципалдык менчиктин пайдаланылышы баалоо, аудиттин эл аралык стандарттарынын камсыздалышы жана ишке ашырылышы</t>
  </si>
  <si>
    <t>Иш-чараларды каржы камсыздоо</t>
  </si>
  <si>
    <t xml:space="preserve">Каралган ченемдик-укуктук актылардын долбоорлорунун, ведомство аралык макулдашуулардын долбоорлорунун саны  </t>
  </si>
  <si>
    <t>Пландалган аудитордук иш-чаралардын иш жүзүндө аткарылышынын %</t>
  </si>
  <si>
    <r>
      <t xml:space="preserve">Башкаруу жана тескөө                                                                                                </t>
    </r>
    <r>
      <rPr>
        <i/>
        <sz val="11"/>
        <color theme="1"/>
        <rFont val="Times New Roman"/>
        <family val="1"/>
        <charset val="204"/>
      </rPr>
      <t xml:space="preserve">Программанын максаттары: Башка программаларды ишке ашырууга координациялоочу жана уюштуруучу таасир этүүлөр                                    </t>
    </r>
  </si>
  <si>
    <r>
      <rPr>
        <b/>
        <sz val="11"/>
        <rFont val="Times New Roman"/>
        <family val="1"/>
        <charset val="204"/>
      </rPr>
      <t xml:space="preserve">Башкаруу жана администрациялоо                                           </t>
    </r>
    <r>
      <rPr>
        <i/>
        <sz val="11"/>
        <rFont val="Times New Roman"/>
        <family val="1"/>
        <charset val="204"/>
      </rPr>
      <t xml:space="preserve">Программанын максаты: Башка программаларды ишке ашырууга координациялоочу жана уюштуруучу таасир этүүлөр                                    </t>
    </r>
  </si>
  <si>
    <t>Борбордук деңгээлде тармакты башкаруу жана администрациялоо (Жалпы жетекчиликти камсыздоо)</t>
  </si>
  <si>
    <t>Регионалдык деңгелдээ администрациялоо (Финансылык  менеджмент жана эсепке алууну камсыздоо)</t>
  </si>
  <si>
    <t>Тышкы коомчулук менен байланыштарды колдоо (Эл аралык-укуктук кызматташуу. Коомчулук менен өз ара аракеттешүү,кайрылууларды кабыл алуу жана каттоо).</t>
  </si>
  <si>
    <t>Ишмердүүлүктү жана камсыздоо кызматын уюштуруу</t>
  </si>
  <si>
    <t>Ички териштирүүлөрдү жүргүзүү</t>
  </si>
  <si>
    <t>"КЖБР" АМТ түзүү жана ишке киргизүү долбоорун ишке ашыруу</t>
  </si>
  <si>
    <t>Эмгек талаш-тартыштары боюнча утуп алган сот процессинин үлүшү</t>
  </si>
  <si>
    <t>Жалпыга маалымдоо каражаттарында министрликтер/ведомстволор жакшы эскерүүлөрдүн саны</t>
  </si>
  <si>
    <t>Борбордук аппараттын кызматкерлеринин жалпы санында көмөкчү кызматтардын кызматкерлеринин үлүшү</t>
  </si>
  <si>
    <t>Жүргүзүлгөн териштирүүлөрдүн саны, каралган даттануулардын саны, козголгон кылмыш иштеринин саны</t>
  </si>
  <si>
    <t>Жүргүзүлгөн текшерүүлөрдүн саны (2020-жылы укук бузуулар аныкталган): прокурордук чара көрүүнүн киргизилген, административдик, тартиптик тартипте жазаланган адамдардын актылары, келтирилген зыяндын ордун толтуруу суммасы.</t>
  </si>
  <si>
    <t>Жүргүзүлгөн текшерүүлөрдүн саны, кылмыш ишин козгоодон баш тартуу тууралуу текшерилген материалдардын саны, аныкталган жабык бөгөт коюулардын саны, тергөөчүлөрдүн негизсиз чечимдеринин саны, киргизилген сунуштардын саны, администрациялык жана тартиптик тартипте жазаланган адамдардын саны, жазык жоопкерчилигине тартылган укук коргоо органдарынын кызмат адамдарынын саны.</t>
  </si>
  <si>
    <t>Сот процесстеринде кабыл алынган катышуучулардын саны. Биринчи инстанциядагы айыптоочу өкүмдөрдүн саны. Киргизилген апелляциялык, кассациялык жана көзөмөлдүк көрсөтмөлөрдүн саны. Доолор боюнча орду толтурулган зыяндын суммасы.</t>
  </si>
  <si>
    <t>Сот процесстеринде кабыл алынган катышуучулардын саны. Биринчи инстанциядагы айыптоочу өкүмдөрдүн саны. Киргизилген сунуштардын саны. Доо боюнча орду толтурулган зыяндын суммасы</t>
  </si>
  <si>
    <t>Сот процесстеринде кабыл алынган катышуучулардын саны. Айыптоочу өкүмдөрдүн саны. Киргизилген апелляциялык, кассациялык жана көзөмөлдүк көрсөтмөлөрдүн саны.</t>
  </si>
  <si>
    <t>Жер-жерлерде жазык-укуктук статистиканын аныктыгы жана аны түзүү боюнча жүргүзүлгөн текшерүүлөрдүн саны (анын ичинде көзөмөлдө турган органдар), укук коргоо органдарынын жана прокуратура органдарынын толук кандуу иштеши үчүн бардык талаптарга жооп берген технологиялык программалык камсыздоону түзүү</t>
  </si>
  <si>
    <t>Жер-жерлерде жазык-укуктук статистиканын аныктыгы жана аны түзүү боюнча жүргүзүлгөн текшерүүлөрдүн саны (о.э.. көзөмөлдө турган органдар), укук коргоо органдары менен прокуратура органдарынын толук кандуу иштеши үчүн бардык талаптарга жооп берген технологиялык программалык камсыздоону түзүү, жер-жерлерде жазык-укуктук статистиканын аныктыгы жана аны түзүү боюнча жүргүзүлгөн текшерүүлөрдүн саны (анын ичинде көзөмөлдө турган органдар), укук коргоо органдарынын жана прокуратура органдарынын толук кандуу иштеши учун бардык талаптарга жооп берет</t>
  </si>
  <si>
    <t>Сотко жиберилген иштердин көрсөткүчтөрүнүн саны, зыяндын ордун толтуруунун суммасы</t>
  </si>
  <si>
    <t>Аймактык деңгээлде тармакты башкаруу жана администрациялоо</t>
  </si>
  <si>
    <t xml:space="preserve">Сотттордо мамлекеттик айыптоону колдоо </t>
  </si>
  <si>
    <t xml:space="preserve">Кыргыз Республикасынын Аскер прокуратурасынын органдарынын ишмердүүлүгүнө сапаттуу контролдоо жана натыйжалуу башкаруу </t>
  </si>
  <si>
    <t xml:space="preserve">Иштелип чыккан ченемдик актылардын жалпы санындагы кошумча иштеп чыгууга кайтарылган ченемдик актылардын саны </t>
  </si>
  <si>
    <t xml:space="preserve">Куралдуу Күчтөрдөгү кылмыштардын бетин ачуунун пайызынын көрсөткүчүнүн жогорулашы </t>
  </si>
  <si>
    <t>Куралдуу Күчтөрдөгү бети ачылган кылмыштардын саны</t>
  </si>
  <si>
    <t>Кылмыштардын алдын алуу боюнча сабактарга катышкан аскер кызматкерлеринин саны (аскер кызматкерлеринин жалпы санына карата)</t>
  </si>
  <si>
    <t xml:space="preserve">Аскер сотунун чечими менен колдоого алынган мамлекеттик айыптоолордун саны </t>
  </si>
  <si>
    <t xml:space="preserve">Соттор караган кылмыш иштеринин саны </t>
  </si>
  <si>
    <t xml:space="preserve">Соттун чечими менен колдоого алынган мамлекеттик айыптоолордун саны </t>
  </si>
  <si>
    <t xml:space="preserve">Ишти уюштуруу жана камсыз кылуу кызматтары </t>
  </si>
  <si>
    <t xml:space="preserve">Мониторинг жүргүзүүнү, талдоону жана стратегиялык пландаштырууну камсыз кылуу    </t>
  </si>
  <si>
    <t xml:space="preserve">Региондук деңгээлде жалпы координациялоо </t>
  </si>
  <si>
    <t xml:space="preserve">Адамдардын эркиндигин, укуктарын жана дискриминациялардын бардык формаларынын сакталышын контролдоо                                                                         </t>
  </si>
  <si>
    <t>Адамдардын укугун эркиндигин коргоо</t>
  </si>
  <si>
    <t>Психитриялык стационаларда болгон бейтаптардын укуктарын коргоо</t>
  </si>
  <si>
    <t>Балдардын жана жаштардын укуктарын коргоо</t>
  </si>
  <si>
    <t>Адамдардын жарандык саясий укугун жана мигранттардын, чет элдик граждандардын укугун коргоо</t>
  </si>
  <si>
    <t>Материалдык техникалык базаны камсыздоо</t>
  </si>
  <si>
    <t>Кыргыз Республикасынын Омбудсменинин Аппаратынын кызмат көрсөтүүлөрүнө канааттанган кайрылуучулардын санын жакшыртуу жана көбөйтүү (арыз бергендердин жалпы санына (Программанын максаттуу көрсөткүчүнө)</t>
  </si>
  <si>
    <t>Кыргыз Республикасынын Акыйкатчысынын (Омбудсменинин) Аппаратынын региондук деңгээлдеги кызматтарына канааттанган кайрылуучулардын санын жакшыртуу жана көбөйтүү (арыз бергендердин жалпы санына карата (Программанын максаттуу көрсөткүчү)</t>
  </si>
  <si>
    <t>Женип чыккан сот иштеринин алардын жалпы санына карата катышы</t>
  </si>
  <si>
    <t>Аймактардагы адам укуктары боюнча жарандардан түшкөн арыздардын үлүшү</t>
  </si>
  <si>
    <t>Министрликтердин/ведомстволордун ЖМКдагы оң эскертүүлөрүнүн саны</t>
  </si>
  <si>
    <t>Мамлекеттик органдардын жана жергиликтүү өз алдынча башкаруу органдарынын чара көрүү актылары боюнча оң чечимдеринин үлүшү</t>
  </si>
  <si>
    <t>Адам укуктарын коргоону жакшыртуу</t>
  </si>
  <si>
    <t>Адам укуктарын жана эркиндиктерин коргоо боюнча даттанууларына тез арада чара көрүү</t>
  </si>
  <si>
    <t>Психиатриялык стационардагы пациенттердин укуктарынын бузулушу боюнча даттануулардын үлүшү</t>
  </si>
  <si>
    <t>Балдардын жана аялдардын, үй-бүлөнүн укуктарын бузуу боюнча даттануулардын үлүшү (бардык арыздардын жана даттануулардын жалпы санына карата)ү</t>
  </si>
  <si>
    <t>Эркиндигинен ажыратуу жана чектөө жайларындагы жарандардын кайрылууларынан оң чечилген маселелердин бири</t>
  </si>
  <si>
    <t>Социалдык-экономикалык укуктарды гендердик дискриминациялоонун бузулушу боюнча даттануулардын үлүшү (бардык арыздардын жана даттануулардын жалпы санына карата)</t>
  </si>
  <si>
    <t>Мигранттардын жана чет өлкөлүк жарандардын укуктарын бузуу боюнча даттануулардын үлүшү</t>
  </si>
  <si>
    <t>Бюджетти тартип бузууларсыз аткарылышынын пайызы</t>
  </si>
  <si>
    <t>Коомдон бөлүүгө байланышпаган кылмыштык жазаларды аткаруу</t>
  </si>
  <si>
    <t>Келип түшкөн суроо-талаптардын санынан иштелип чыккан суроо талаптардын үлүшү</t>
  </si>
  <si>
    <t>Мыйзам бузган жарандарды түзөтүү жана кайрадан окутуу, о.э. соттолгон адамдарды социалдык интеграциялоо</t>
  </si>
  <si>
    <t>Соттук-эксперттик ишти жүргүзүү. Соттук экспертизаларды жүзөгө ашыруу</t>
  </si>
  <si>
    <t>Соттук экспертизаларды жүзөгө ашыруу</t>
  </si>
  <si>
    <r>
      <t>Башкаруу жана администрациялоо                                                                                                                           
П</t>
    </r>
    <r>
      <rPr>
        <b/>
        <i/>
        <sz val="11"/>
        <color indexed="8"/>
        <rFont val="Times New Roman"/>
        <family val="1"/>
        <charset val="204"/>
      </rPr>
      <t>рограмманын максаттары: Соттолгондорду жана тергөөдө жүргөндөрдү түзөтүү жана кармоо</t>
    </r>
  </si>
  <si>
    <t>ЖАМКнын ишин камсыздоону жетектөө жана контролдоо жана бөлүмдүн ишин уюштуруу</t>
  </si>
  <si>
    <t>ЖАМКнын бөлүмдөрүн жана камсыздоо кызматтарынын ишин уюштуруу</t>
  </si>
  <si>
    <t>Соттолгондорду кармоо жана программанын тергелип жаткан максаты: жаза колдонуу максаттарына жетүүнү камсыз кылуучу жана жазадан бошотулгандан кийин соттолгондорду кайра социалдаштырууга көмөктөшүүчү жазаны өтөө шарттарын түзүү жана колдоо</t>
  </si>
  <si>
    <t>Түзөтүү колонияларынан которулган жаза өтөөнүн белгиленген тартибин кара ниеттик менен бузган соттолгондорду кармоо үчүн абак куруу</t>
  </si>
  <si>
    <t xml:space="preserve">Соттолгондордун билим алуу укугун камсыздоо </t>
  </si>
  <si>
    <t>Эркиндигинен ажыратуу жайларынан бошотулган адамдарга социалдык жардам көрсөтүүнү уюштуруу</t>
  </si>
  <si>
    <r>
      <t xml:space="preserve">Атайын контингенттин ден соолугун камсыздоо
</t>
    </r>
    <r>
      <rPr>
        <i/>
        <sz val="11"/>
        <color indexed="8"/>
        <rFont val="Times New Roman"/>
        <family val="1"/>
        <charset val="204"/>
      </rPr>
      <t>Программанын максаты: соттолгондорго жана тергөөдө жүргөн адамдарга зарыл медициналык кызмат көрсөтүү</t>
    </r>
  </si>
  <si>
    <t>Вариативдүү мектепке чейинки билим берүү мекемелерин кеңейтүү</t>
  </si>
  <si>
    <t xml:space="preserve">Соттолгондорду жана кайтарыкка алынгандарды кармоону пландоо, башкаруу, администрациялоо жана кармоо: Пргорамманын максаттары: Соттолгондорду кармоо жана түзөтүү                                                               </t>
  </si>
  <si>
    <t>ЖАМКнын иш-аракеттерин камсыз кылууга жетекчилик жана контролдоо жана бөлүмдүн иш-аракеттерин уюштуруу</t>
  </si>
  <si>
    <t xml:space="preserve">Эркиндигинен ажыратуучу жайларда соттолгондордун жазасын өтөө боюнча ишти уюштуруу </t>
  </si>
  <si>
    <t>Соттолгондордун санына категориялар боюнча тамак берүүнүн нормалары</t>
  </si>
  <si>
    <t>Дарылоо мекемелеринде оорулардын санын жалпы төмөндөтүү</t>
  </si>
  <si>
    <t>Мектепке чейинки курактагы балдардын акыл жана дене-бой жагынан өсүшүн жогорулатуу пайызы</t>
  </si>
  <si>
    <t>Мектепке чейинки мекемелерди каржылоо пайызын жакшыртуу</t>
  </si>
  <si>
    <t>Түзөтүүчү жайларды кайтаруу жана соттолгондорду конвой менен коштоо</t>
  </si>
  <si>
    <t>Түзөтүүчү жайларды кайтаруу, коргоо жана соттолгондордуконвой менен коштоо</t>
  </si>
  <si>
    <t>Түзөтүү мекемелеринин администрациялары , соттор, ички иштер жана улуттук коопсуздук органдары, Коргоо министрлер мекемелери менен өз ара аракеттенүү</t>
  </si>
  <si>
    <t>Соттолгондордун качуусун болтурбоонун учурлардын саны</t>
  </si>
  <si>
    <t>Процесстерди камсыздоонун саны</t>
  </si>
  <si>
    <r>
      <t xml:space="preserve">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координациялык жана уюштуруучулук таасир этүү</t>
    </r>
  </si>
  <si>
    <t>Аймактык деңгээлде башкаруу жана администрациялоо</t>
  </si>
  <si>
    <t>КР жарандарын тышкы рынокто жумушка орноштурууга көмөк көрсөтүү, мекенине кайтып келүүгө байланышкан чыгымдарга компенсация төлөп берүү</t>
  </si>
  <si>
    <t>Берилген иммигрант статусунун саны</t>
  </si>
  <si>
    <r>
      <t xml:space="preserve">Кыргыз Республикасынын жана анын чет өлкөлөрдөгү  жарандарынын кызыкчылыгын коргоо                               </t>
    </r>
    <r>
      <rPr>
        <i/>
        <sz val="11"/>
        <color theme="1"/>
        <rFont val="Times New Roman"/>
        <family val="1"/>
        <charset val="204"/>
      </rPr>
      <t xml:space="preserve">Программанын максаты: Чет өлкөлөрдө мамлекеттин сапатын жана кызыкчылыктарын ар тараптуу чагылдыруу. Эл аралык аренада өлкөнүн позитивдүү имиджи. </t>
    </r>
  </si>
  <si>
    <t>Облустун социалдык-экономикалык өнүгүшү</t>
  </si>
  <si>
    <t>Райондордун инфраструктурасын өнүктүрүү</t>
  </si>
  <si>
    <t>Облустардын инфраструктурасын өнүктүрүү</t>
  </si>
  <si>
    <t>Облустардагы маанилүү маселелерди чечүү</t>
  </si>
  <si>
    <r>
      <t xml:space="preserve">МКПнын көлөмүнөн тышкары калкка көрсөтүлүүчү медициналык жана башка кызматтардын жеткиликтүүлүгүн камсыз кылуу                                                                                              </t>
    </r>
    <r>
      <rPr>
        <i/>
        <sz val="10"/>
        <rFont val="Times New Roman"/>
        <family val="1"/>
        <charset val="204"/>
      </rPr>
      <t>Программанын максаты: менчигинин түрүнө карабастан саламаттык сактоо уюмдары тарабынан кеңейтилген кызмат көрсөтүү аркылуу жарандардын канааттануусун жогорулатуу.</t>
    </r>
  </si>
  <si>
    <t>Бешинчи стадиядагы өнөкөт бөйрөк жетишсиздигинин терминалдык стадиясы бар муктаж болгон өтө муктаж пациенттерди жеңилдетилген гемодиализ менен дарылоого жеткиликтүүлүктү камсыз кылуу</t>
  </si>
  <si>
    <t>Жеңилдетилген гемодиализ менен дарыланган өнөкөт бөйрөк жетишсиздигинин терминалдык стадиясы менен ооруган бейтаптардын каттоодо турган бейтаптардын жалпы санына карата катышы</t>
  </si>
  <si>
    <t>Жеке медициналык борборлордон акы төлөп дарылануучу жана мамлекеттик саламаттык сактоо уюмдарында толук бюджеттик гемодиализке которууну күтүп турган, ошондой эле гемодиализ кызмат көрсөтүүлөрүндө оорулуулардын чыгымдарынын оорчулугун кыскартуу максатында өнөкөт бөйрөк жетишсиздигинин терминалдык стадиясы менен ооруган бейтаптардын саны</t>
  </si>
  <si>
    <t>"Электр станциялар"ААК</t>
  </si>
  <si>
    <t>COVID-19 каршы иш-чаралар жана анын экономикага тийгизген таасири</t>
  </si>
  <si>
    <t>"Улуу көчмөндөрдүн мурасы"улуттук холдинг компаниясы" ААК</t>
  </si>
  <si>
    <t>Баткен облусунун коопсуздугун камсыз кылуу жана социалдык-экономикалык өнүктүрүү боюнча мамлекеттик программа</t>
  </si>
  <si>
    <t>Түрткү берүүчү гранттар</t>
  </si>
  <si>
    <t>Жалпы мамлекеттик программалар боюнча бюджеттин аткаруу пайызы</t>
  </si>
  <si>
    <t>Улуттук программаны ишке ашыруу планын аткаруу</t>
  </si>
  <si>
    <t>Туруктуу санариптик инфраструктураны түзүү боюнча планды ишке ашыруу пайызы</t>
  </si>
  <si>
    <t>Контролдоо чекиттерин байкоо каражаттары менен камтуу</t>
  </si>
  <si>
    <t>Жыл сайын мүчөлүк акыны төлөө боюнча милдеттенмелерди аткаруу</t>
  </si>
  <si>
    <t>Негизги сумманы жана пайыздарды төлөө боюнча милдеттенмелерди аткаруу жыл сайын</t>
  </si>
  <si>
    <t>Жыл сайын КНСти кайтарып берүү боюнча милдеттенмелерди аткаруу</t>
  </si>
  <si>
    <t>Соттун чечимдерин өз убагында аткаруу пайызы</t>
  </si>
  <si>
    <t>Банктардын кызмат көрсөтүүлөрүнө төлөө боюнча милдеттенмелерди аткаруу</t>
  </si>
  <si>
    <t>Пайыздык чендерди субсидиялоо боюнча милдеттенмелерди аткаруу</t>
  </si>
  <si>
    <t>Чек ара аймактарын өнүктүрүү боюнча планды ишке ашыруу пайызы</t>
  </si>
  <si>
    <t>Фискалдаштыруу боюнча иш-чаралардын бюджетин аткаруу</t>
  </si>
  <si>
    <t>Милдеттенмелерди төлөп берүү</t>
  </si>
  <si>
    <t>Экономикалык өнүктүрүү долбоорлорун каржылоо боюнча бюджетти аткаруу</t>
  </si>
  <si>
    <t>Covid - 19 каршы күрөшүү боюнча иш-чаралардын бюджетти аткаруу жана анын экономикага тийгизген таасири</t>
  </si>
  <si>
    <t>Стратегиялык объектилерди сатып алуу планын ишке ашыруу</t>
  </si>
  <si>
    <t>Мамлекеттик программаны ишке ашыруу планын аткаруу</t>
  </si>
  <si>
    <t>Мамлекеттик программалар, иш-чаралар жана төлөөлөр боюнча бюджетти аткаруу пайызы</t>
  </si>
  <si>
    <t>Капиталдык салымдарды каржылоо боюнча бюджетти аткаруу</t>
  </si>
  <si>
    <t>Жаратылыш кырсыктарын жоюуну каржылоо боюнча бюджетти аткаруу</t>
  </si>
  <si>
    <t>Жогорулатылган социалдык төлөөлөр боюнча милдеттенмелерди аткаруу</t>
  </si>
  <si>
    <t>Теңдештирүүчү трансферттер боюнча бюджетти аткаруу</t>
  </si>
  <si>
    <t>Максаттуу трансферттер боюнча бюджеттин аткарылышы</t>
  </si>
  <si>
    <t>ЖЖБ боюнча бюджеттин аткарылышы</t>
  </si>
  <si>
    <t>Өткөрүп берилген мекемелерди каржылоо боюнча милдеттенмелердин</t>
  </si>
  <si>
    <t>Мамлекеттик бюджеттик резервдин жыл сайын пландык мааниден болгон суммасынын үлүшү</t>
  </si>
  <si>
    <t>МЧМ атайын эсебинин пландык мааниден турган суммасынын үлүшү</t>
  </si>
  <si>
    <t xml:space="preserve">Башкаруу, администрациялоо                                                                                           </t>
  </si>
  <si>
    <t xml:space="preserve">Бюджетти түзүү жана бюджеттин балансын жана туруктуулугун камсыз кылуу          </t>
  </si>
  <si>
    <t>Пландаштыруу жана болжолдоо бюджети</t>
  </si>
  <si>
    <t>Республикалык бюджеттин ресурстук базасын талдоо жана баалоо</t>
  </si>
  <si>
    <t>Капиталдык чыгымдарды пландаштыруу</t>
  </si>
  <si>
    <t>Түрткү берүүчү гранттардын эсебинен долбоорлорду каржылоо</t>
  </si>
  <si>
    <t>Мамлекеттик инвестицияларды пландаштыруу жана тартуу</t>
  </si>
  <si>
    <t>Орто мөөнөттүү келечекте мамлекеттик карыздын туруктуулугун колдоо</t>
  </si>
  <si>
    <t>Жергиликтүү бюджеттерди пландоого жана аткарууга мониторинг</t>
  </si>
  <si>
    <t>Кирешелер жана чыгашалар боюнча бюджеттин аткарылышын кассалык тейлөө</t>
  </si>
  <si>
    <t>Бюджетти кассалык аткаруу жана бюджеттин аткарылышы жөнүндө отчетту түзүү</t>
  </si>
  <si>
    <t>Мамлекеттик каржыларды натыйжалуу башкаруу</t>
  </si>
  <si>
    <t>Мамлекеттик каржылоону натыйжалуу башкаруу маселелери боюнча мамлекеттик башкаруу жана ЖӨБ органдарынын кызматкерлерин кайра даярдоо жана квалификациясын жогорулатуу</t>
  </si>
  <si>
    <t>Мамлекеттик сатып алуулардын натыйжалуулугун камсыз кылуу</t>
  </si>
  <si>
    <t>Кыргыз Республикасынын аймагында баалуу металлдар жана асыл таштар менен операцияларга мамлекеттик контролдукту жана көзөмөлдү ишке ашыруу</t>
  </si>
  <si>
    <t>Бюджеттик кредиттерди эсепке алуу, талдоо жана башкаруу</t>
  </si>
  <si>
    <t>Мамлекеттик кирешелерди башкаруу</t>
  </si>
  <si>
    <t>Борбордук деңгээлде салыктык администрациялоо</t>
  </si>
  <si>
    <t>Аймактык денгээлде салыктардын, камсыздандыруу төгүмдөрүнүн жана башка төлөмдөрдүн келип түшүүсүнүн толуктугун жана өз убагында болушун камсыз кылуу</t>
  </si>
  <si>
    <t xml:space="preserve">Борбордук деңгээлде башкаруу жана бажылык администрациялоо </t>
  </si>
  <si>
    <t>Ведомстволук деңгээлде бажы иштерин администрациялоо, бажы төлөмдөрүнүн, жыйымдардын жана төлөмдөрдүн башка түрлөрүнүн толук жана өз убагында келип түшүүсүн камсыздоо</t>
  </si>
  <si>
    <r>
      <t xml:space="preserve">Кыргыз Республикасынын социалдык-экономикалык өнүгүүсүн камсыз кылуу                                               </t>
    </r>
    <r>
      <rPr>
        <i/>
        <sz val="11"/>
        <rFont val="Times New Roman"/>
        <family val="1"/>
        <charset val="204"/>
      </rPr>
      <t>Программанын максаты: ишкердик иш-аракетти жүргүзүү үчүн бирдиктүү, макулдашылган, мамлекеттик экономикалык саясатты калыптандыруу жана жагымдуу чөйрөнү түзүү</t>
    </r>
  </si>
  <si>
    <t>Бирдиктүү макулдашылган макроэкономикалык саясатты жүргүзүү</t>
  </si>
  <si>
    <t>Экспортту өнүктүрүү</t>
  </si>
  <si>
    <t>Салык жол-жоболорун фискалдаштыруунун электрондук системасын ишке ашыруу</t>
  </si>
  <si>
    <t>Эл аралык рейтингдерде өлкөнүн позициясын жакшыртуу</t>
  </si>
  <si>
    <t>Региондордун өнүгүүсүнө мониторинг жүргүзүү жана баалоо системасын иштеп чыгуу жана Кыргыз Республикасынын Президентинин жана жергиликтүү мамлекеттик администрациялардын, Бишкек, Ош шаарларынын мэрияларынын ишин баалоо</t>
  </si>
  <si>
    <t>Бирдиктүү тизмеге киргизилген товарлардын экспортуна жана импортуна лицензияларды берүү боюнча автоматташтырылган маалыматтык системаны иштеп чыгуу жана киргизүү</t>
  </si>
  <si>
    <t>Министрликтин уюштуруу-техникалык ишин камсыз кылуу, ошондой эле кызматкерлерди окутуу жана квалификациясын жогорулатуу</t>
  </si>
  <si>
    <t xml:space="preserve">Бизнес үчүн өнүгүү чөйрөсүн түзүү
</t>
  </si>
  <si>
    <t>Региондорду комплекстүү өнүктүрүү программасын иштеп чыгууга көмөк көрсөтүү, анын ичинде экономикалык божомолдорду түзүү</t>
  </si>
  <si>
    <t>Кыргыз Республикасынын Дүйнөлүк Соода Уюмунун алдындагы Эл аралык милдеттенмелерин сактоону камсыз кылуу жана көп тараптуу соода системасынын алкагында Кыргыз Республикасынын катышуусунун артыкчылыктарын натыйжалуу пайдалануу</t>
  </si>
  <si>
    <t>Бирдиктүү терезе принциби боюнча тышкы экономикалык иш боюнча кызмат көрсөтүүлөрдү өнүктүрүү</t>
  </si>
  <si>
    <t>Улуттук стандарттарды эл аралык жана европалык ченемдерге шайкеш келтирүү деңгээлин жогорулатуу жана мамлекеттин жана жарандардын кызыкчылыктарын өлчөөлөрдүн анык эмес натыйжаларынын кесепеттеринен коргоо</t>
  </si>
  <si>
    <t>2.8. КАБдын ИСО/МЭК 17011ге шайкештигин ырастоо</t>
  </si>
  <si>
    <t>Артыкчылыктуу багыттарда экономикалык саясатты өркүндөтүү боюнча билимдерди түзүүнүн жана сунуштарды иштеп чыгуунун, өкмөттүн программаларын жана стратегияларын иштеп чыгууга катышуунун эсебинен министрликтин потенциалын күчөтүү</t>
  </si>
  <si>
    <t>Туризмди үгүттөөгө көмөк көрсөтүүчү билим берүүчү жана маркетингдик иш-чараларды иштеп чыгуу жана ишке ашыруу</t>
  </si>
  <si>
    <t>Монополияга каршы башкаруу негизги тармактардагы атаандаштык рынокторун колдоо</t>
  </si>
  <si>
    <t>7. Эл аралык стандарттарга жана адал - индустрияга карата талаптарга ылайык ички жана тышкы рыноктордо атаандаштыкка жөндөмдүү айыл чарба продукциясын жана кайра иштетүү өнөр жайынын продукциясын өндүрүү жана экспорттоо үчүн шарттарды түзүү</t>
  </si>
  <si>
    <t>Банктык эмес финансылык рынокту өнүктүрүү</t>
  </si>
  <si>
    <t>Тармакты аймактык деңгээлде башкаруу жана администрациялоо</t>
  </si>
  <si>
    <t>Баалуу кагаздар рыногун өнүктүрүү</t>
  </si>
  <si>
    <t>Камсыздандыруу рыногун жана ТПФтин ишин өнүктүрүү</t>
  </si>
  <si>
    <t>Аудитти жана бухгалтердик эсепти өнүктүрүү</t>
  </si>
  <si>
    <t>Инфраструктуралык долбоорлорду жүзөгө ашыруу</t>
  </si>
  <si>
    <t>Мамлекеттик инвестициялар долбоорлорун ишке ашыруу</t>
  </si>
  <si>
    <t>Бюджеттин ачыктыгынын индекси</t>
  </si>
  <si>
    <t>Республикалык бюджет жөнүндө мыйзам долбоору үчүн программалык негиздеги бюджеттердин долбоорлорун сунуштаган БКБТнын үлүшү</t>
  </si>
  <si>
    <t xml:space="preserve">Кыргыз Республикасынын фискалдык саясатынын негизги багыттарына бюджеттик чыгымдардын орто мөөнөттүк стратегиясын берген министрликтердин жана ведомстволордун саны </t>
  </si>
  <si>
    <t>Республикалык бюджеттин кирешелеринин көлөмү</t>
  </si>
  <si>
    <t>Капиталдык салымдардын объекттерин каржылоо</t>
  </si>
  <si>
    <t>Түрткү берүүчү гранттарды каржылоонун ар жылдык жалпы көлөмү</t>
  </si>
  <si>
    <t>Тартылган гранттык жардамдын көлөмү</t>
  </si>
  <si>
    <t>Жеңилдетилген негизде тартылган кредиттик каражаттардын көлөмү</t>
  </si>
  <si>
    <t>Мамлекеттик карыз боюнча мөөнөтү өткөн карыздын көлөмү</t>
  </si>
  <si>
    <t>Жаңы тышкы карыз алуу деңгээли (грант элементинин %)</t>
  </si>
  <si>
    <t>Аукциондук негизде МБКны чыгаруу үлүшү</t>
  </si>
  <si>
    <t>Мамлекеттик ички карыз боюнча мөөнөтү өткөн карыздын көлөмү</t>
  </si>
  <si>
    <t>Бюджеттер аралык трансферттерди албаган жергиликтүү бюджеттердин үлүшү</t>
  </si>
  <si>
    <t>Жергиликтүү бюджеттердин чыгымдарындагы мөөнөтү өткөн кредитордук карыздын үлүшү</t>
  </si>
  <si>
    <t>ЖϴБОнун жылдык текшерүүлөрдүн саны</t>
  </si>
  <si>
    <t>ЖϴБО суммасы</t>
  </si>
  <si>
    <t>Республикалык бюджеттин бюджеттик каражаттарын алуучулардын үлүшү, аларга чейин казыналыктын органдары тарабынан бюджеттик ассигнованиелер, бюджеттик каражаттардын лимиттери жана кассалык пландар жөнүндө маалыматтар билдирилет</t>
  </si>
  <si>
    <t>Мамлекеттик бюджеттин аткарылышы жөнүндө жылдык отчетту берүүнүн белгиленген мөөнөтү</t>
  </si>
  <si>
    <t>Угуучулардын саны</t>
  </si>
  <si>
    <t>Сатып алуучу уюмдардын жана берүүчүлөрдүн (подрядчылардын) көрсөтүлгөн жардамга канааттануусунун даражасы)</t>
  </si>
  <si>
    <t>баасы</t>
  </si>
  <si>
    <t>PEFA "D" баалоо</t>
  </si>
  <si>
    <t>Мамлекеттик сатып алуулар порталында Мамлекеттик сатып алуулар жөнүндө жарыялардын Департаментке берилген маалыматтын жалпы көлөмүнүн үлүшү</t>
  </si>
  <si>
    <t>үлүш</t>
  </si>
  <si>
    <t>Сатып алуулар процессинин катышуучуларынын орточо саны (мамлекеттик сатып алуулардын кулактандырууларынын жалпы санына болгон арыздардын жалпы санынын катышы)</t>
  </si>
  <si>
    <t>7 үчүн 1</t>
  </si>
  <si>
    <t>Жыл ичинде Порталдын үзгүлтүксүз иштөөсүнүн жалпы убактысы</t>
  </si>
  <si>
    <t>Белгиленген мөөнөттө даярдалган эксперттик корутундулардын үлүшү</t>
  </si>
  <si>
    <t>Мамлекеттик зайымдык каражаттарды кайтаруу боюнча пландык көрсөткүчтөрдү аткаруунун көлөмү</t>
  </si>
  <si>
    <t>салыктарды,камсыздандыруу төгүмдөрүн жана башка төлөмдөрдү жыйноонун пландык көрсөткүчтөрүн аткаруу %</t>
  </si>
  <si>
    <t>Бажы төлөмдөрүн, жыйымдарды жана төлөмдөрдүн башка түрлөрүнүн пландык көрсөткүчтөрүн аткаруу пайызы (%)</t>
  </si>
  <si>
    <t>Жыйналган бажы төлөмдөрүнүн жана жыйымдардын 1 сомунун өздүк наркы (МБК чыгашалары/жыл ичинде төлөмдөрдүн жана жыйымдардын жалпы суммасы)</t>
  </si>
  <si>
    <t>ИДПнын реалдуу өсүү темпи, өткөн жылдын%</t>
  </si>
  <si>
    <t>ИДПдагы чакан жана орто ишканалардын үлүшү</t>
  </si>
  <si>
    <t>Экспорттун көлөмүнүн өсүү темпи, өткөн жылга карата % менен</t>
  </si>
  <si>
    <t>анын ичинде алтындын үлүшү</t>
  </si>
  <si>
    <t>Республикалык бюджетке түшүүлөр</t>
  </si>
  <si>
    <t>Өлкөнүн эл аралык рейтинги боюнча жыл сайын берилүүчү отчетту (бизнес жүргүзүү жана эгемендүү рейтинг)жарыялоо жана жаңылоо</t>
  </si>
  <si>
    <t>"Төлөөгө жөндөмсүздүктү чечүү" Бизнес жүргүзүү</t>
  </si>
  <si>
    <t>"Салык салуу" Бизнес жүргүзүү</t>
  </si>
  <si>
    <t>Региондордун социалдык-экономикалык өнүгүүсүн баалоонун рейтингдик системасын киргизүү. Башкаруу чечимдеринин системалуулугун, негиздүүлүгүн, объективдүүлүгүн жогорулатуу жана майнаптуулугун жогорулатуу</t>
  </si>
  <si>
    <t>Электрондук форматта бирдиктүү тизмеге киргизилген товарларды экспорттоого жана импорттоого берилген лицензиялардын үлүшү</t>
  </si>
  <si>
    <t>Киргизилген жаңы ишканалардын саны</t>
  </si>
  <si>
    <t>Түзүлгөн жаңы жумуш орундарынын саны</t>
  </si>
  <si>
    <t>ДСУ өлкөлөрү менен Кыргыз Республикасынын тышкы соода жүгүртүүсүнүн көлөмү</t>
  </si>
  <si>
    <t>млн долл</t>
  </si>
  <si>
    <t>ϴсүү темпи</t>
  </si>
  <si>
    <t>"Бирдиктүү терезе" принциби боюнча берилген документтердин үлүшү тартылган ведомстволор тарабынан, мында ички бизнес процесстерди толук автоматташтыруу жүргүзүлгөн"</t>
  </si>
  <si>
    <t>Бизнестин кызыкчылыктарын коргоо максатында улуттук стандарттардын негизинде иштелип чыккан мамлекеттер аралык стандарттардын саны</t>
  </si>
  <si>
    <t>Башка өлкөлөрдүн улуттук институттарында өлчөөнүн түрлөрү боюнча иштелип чыккан эталондордун бирдиктеринин саны жана метрология боюнча региондук органдардын алкагында ченөөлөрдүн түрлөрү боюнча эталондорду салыштырууга катышуу</t>
  </si>
  <si>
    <t>Продукцияны/кызмат көрсөтүүлөрдү сертификациялоо боюнча, менеджмент системасын сертификациялоо боюнча , персоналды сертификациялоо боюнча, контролдоо органдары эл аралык стандарттарга ылайык келүүсүн тастыктоо жөнүндө документти көрсөтүү.</t>
  </si>
  <si>
    <t>Кыргыз Республикасынын министрликтери, министрлер кабинети үчүн аналитикалык каттарды даярдоо</t>
  </si>
  <si>
    <t>Отчетторду, буклеттерди, брошюраларды жарыялоо</t>
  </si>
  <si>
    <t>ДСУнун классификациясына туура келген алыскы жана жакынкы чет өлкөлөрдөн келген жарандардын саны (Дүйнөлүк туристтик уюм)</t>
  </si>
  <si>
    <t>Туристтик иш-аракеттер чөйрөсүнүн ИДПдагы үлүшү</t>
  </si>
  <si>
    <t>Туристтик кызматтардын экспорттоо
(чет элдик жарандарды кабыл алуудан түшкөн кирешелер)</t>
  </si>
  <si>
    <t>млн долл.</t>
  </si>
  <si>
    <t>Туризм чөйрөсүнө негизги капиталга инвестициялар</t>
  </si>
  <si>
    <t>таандаштыктын абалына жүргүзүлгөн анализдердин саны; доминанттардын Мамресурсунан чыгарылган доминанттардын доминанттарынын субъекттеринин саны; табигый монополиянын субьектеринин Мамреестрине киргизилген чарбакер обьекттердин саны</t>
  </si>
  <si>
    <t>77 бирдик</t>
  </si>
  <si>
    <t>келип түшүшүнө жараша</t>
  </si>
  <si>
    <t>Кыргыз Республикасынын областы боюнча регионалдык өкүлчүлүктөрдүн кызматкерлеринин орточо саны</t>
  </si>
  <si>
    <t>Адал-индустрия чөйрөсүндө кызмат көрсөтүү, адал-индустрия чөйрөсүндө ченемдик-укуктук актыларды шайкеш келтирүүгө жана өркүндөтүү боюнча сунуштарды берүүгө катышуу, адал-индустрия чөйрөсүндө стандарттарды иштеп чыгууга катышуу, адал-стандарттарды киргизүү маселелери боюнча өндүрүүчүлөргө методикалык жардам көрсөтүү жана консультацияларды берүү; тармактар боюнча адал-индустрия чөйрөсүндө стандарттарды иштеп чыгууга катышуу, адал-индустрия чөйрөсүндө эл аралык (региондук);</t>
  </si>
  <si>
    <t>Бюджеттин мыйзам бузуусуз аткарылышы</t>
  </si>
  <si>
    <t>Баалуу кагаздар менен биржалык бүтүмдөрдүн көлөмү</t>
  </si>
  <si>
    <t>млрд сом</t>
  </si>
  <si>
    <t>Баалуу кагаздар рыногунун эмиссиясынын көлөмү</t>
  </si>
  <si>
    <t>Биржалык соода көлөмү</t>
  </si>
  <si>
    <t>Милдеттүү жана ыктыярдуу камсыздандыруунун түрлөрү боюнча чогулган камсыздандыруу сыйлыктарынын көлөмү</t>
  </si>
  <si>
    <t>Улуттук кайракамсыздандыруунун үлүшү</t>
  </si>
  <si>
    <t>ТПФтин пенсиялык топтолмо каражаттарынын көлөмү</t>
  </si>
  <si>
    <t>Ломбарддык уюмдардын уставдык капиталынын өлчөмүн көбөйтүү</t>
  </si>
  <si>
    <t>млн тсом</t>
  </si>
  <si>
    <t>Жаңы стандарттар боюнча отчет берген уюмдардын үлүшү</t>
  </si>
  <si>
    <t>Катталган аудиторлордун саны</t>
  </si>
  <si>
    <t>Катталган аудитордук уюмдардын саны</t>
  </si>
  <si>
    <t xml:space="preserve">Башкаруу, администрациялоо    </t>
  </si>
  <si>
    <t>Макроэкономикалык саясат, стратегиялык пландаштыруу жана донордук жардамды координациялоо</t>
  </si>
  <si>
    <t>Региондорду комплекстүү өнүктүрүүнүн бирдиктүү мамлекеттик саясатын иштеп чыгууга жана жүзөгө ашырууга көмөк көрсөтүү, анын ичинде экономикалык болжолдорду түзүү</t>
  </si>
  <si>
    <t>Анын жагынан экспансия менен экспорттун туруктуу өсүшү, ошондой эле жүк номенклатура</t>
  </si>
  <si>
    <t>Кыргыз Республикасынын Дүйнөлүк Соода Уюмунун алдындагы Эл аралык милдеттенмелери сакталышын жана көп тараптуу соода системасынын алкагында Кыргыз Республикасынын катышуусунун артыкчылыктарын натыйжалуу пайдаланууну камсыз кылуу</t>
  </si>
  <si>
    <t>Авторлорду интеллектуалдык иштин жаңы натыйжаларын түзүүгө жана ойлоп табуучулардын, авторлордун, илимий кызматкерлердин жана жеке ишканалардын аброюн жогорулатууга демилгелөө жана тартуу</t>
  </si>
  <si>
    <t xml:space="preserve">Кыргызпатенттин иши жөнүндө медиаөндүрүмдөрдүн саны </t>
  </si>
  <si>
    <t>28. Кыргыз Республикасынын Экономика министрлиги</t>
  </si>
  <si>
    <t>27. Кыргыз Республикасынын Экономика жана финансы министрлиги</t>
  </si>
  <si>
    <t>Кыргыз Республикасынын Юстиция министрлигине караштуу Жазаларды аткаруу мамлекеттик кызматынын Түзөтүү мекемелерин кайтаруу, соттолгондорду жана камакка алынган адамдарды конвой менен коштоп жүрүү боюнча департаменти</t>
  </si>
  <si>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уюштуруучулук таасир</t>
    </r>
  </si>
  <si>
    <t xml:space="preserve"> Борбордук денгээлде  тармакты башкаруу жана администрациялоо</t>
  </si>
  <si>
    <t>Мал чарбасынан өндүрүлүүчү продукциялар</t>
  </si>
  <si>
    <t>Физикалык көлөмдүн индекси, өткөн жылга карата % менен</t>
  </si>
  <si>
    <t>Малдын саны</t>
  </si>
  <si>
    <t>Балык продукцияны өндүрүү процессинде</t>
  </si>
  <si>
    <t>ЮСАИД линиясы боюнча сатып алынган бодо малдын төлүн алуу</t>
  </si>
  <si>
    <t>Айыл чарба багытындагы жерлериндеги жайыттарынын аянты</t>
  </si>
  <si>
    <t>Жайыт пайдалануучулардан түшкөн каражаттар</t>
  </si>
  <si>
    <t>Экологиялык жактан туруктуу жайыт комитеттеринин саны</t>
  </si>
  <si>
    <t>Товардык балык (аквакультура) өндүрүүнүн көлөмү, бардыгы</t>
  </si>
  <si>
    <t>Товардык балык кармоонун көлөмү (балык уулоо), бардыгы</t>
  </si>
  <si>
    <t>Кыргыз Республикасынын көлмөлөрүнө чабактарды басып чыгаруу</t>
  </si>
  <si>
    <t>Бузууларды табуу фактылары боюнча жүргүзүлгөн иш-чаралардын саны</t>
  </si>
  <si>
    <t>штук</t>
  </si>
  <si>
    <t>Берилген балык уулоо карточкаларынын саны</t>
  </si>
  <si>
    <t>Бир уйдан алынган орточо жылдык сүт</t>
  </si>
  <si>
    <t>кг</t>
  </si>
  <si>
    <t>Өсүмдүк өстүрүү продукцияларын өндүрүү</t>
  </si>
  <si>
    <t>Айыл чарба өсүмдүктөрүнүн айдоо аянтын көбөйтүү</t>
  </si>
  <si>
    <t>Айыл чарба багытындагы талап кылынбаган жерлерди азайтуу</t>
  </si>
  <si>
    <t>Айыл чарба жерлеринин аянты</t>
  </si>
  <si>
    <t>АББ карантиндик зыянкечтерге каршы айыл чарба жерлерин химиялык тазалоо аянттары</t>
  </si>
  <si>
    <t>Минералдык жер семирткичтер менен муктаждык жана камсыздалгандыгы</t>
  </si>
  <si>
    <t>мин тонн</t>
  </si>
  <si>
    <t>Чегирткелерди аныктоого айыл чарба жерлериндеги изилдөөнүн аянты</t>
  </si>
  <si>
    <t>АББ карантиндик зыянкечтин табууга айыл чарба жерлериндеги  текшерүү аянты</t>
  </si>
  <si>
    <t>Пестициддерге болгон муктаждык жана камсыздалышы</t>
  </si>
  <si>
    <t>мин литр</t>
  </si>
  <si>
    <t>Карантинге алынуучу объекттерди карантиндик фитосанитардык текшерүүлөрдүн аянты</t>
  </si>
  <si>
    <t>Фитосанитардык контролдоо пункттарынын саны</t>
  </si>
  <si>
    <t>Берилген карантиндик, реэкспорттук жана фитосанитардык сертификаттардын саны</t>
  </si>
  <si>
    <t>Айыл чарба өсүмдүктөрүнүн жалпы себүү аянты</t>
  </si>
  <si>
    <t xml:space="preserve"> мин га</t>
  </si>
  <si>
    <t>Үрөндүк айдоолордун талаа инспекцияларынын аянты</t>
  </si>
  <si>
    <t xml:space="preserve">Элиталык үрөндөр себилген аянттардын салыштырма салмагы, </t>
  </si>
  <si>
    <t>Сертификацияланган үрөндөрдүн болушу</t>
  </si>
  <si>
    <t xml:space="preserve"> мин тонн</t>
  </si>
  <si>
    <t>Сертификацияланган үрөндөрдүн көлөмү</t>
  </si>
  <si>
    <t>Сугат жерлеринин аянты</t>
  </si>
  <si>
    <t>Ирригациялык объекттерди оңдоо жана калыбына келтирүү (МБК/ми/насос/канал)</t>
  </si>
  <si>
    <t>Сугат суу берүү</t>
  </si>
  <si>
    <t>СРМА түзүмүндө суу ресурстарынын бассейндик башкармалыктарын түзүү</t>
  </si>
  <si>
    <t>Айыл чарба өсүмдүктөрүнүн өндүрүмдүүлүгүн жогорулатуу</t>
  </si>
  <si>
    <t>Чарбалар аралык ирригациялык каналдарда 4 чакан долбоор менен модернизациялык жана реабилитациялык иштерди аткаруу</t>
  </si>
  <si>
    <t>СПАнын ички чарбалык каналдарында 4 чакан долбоор модернизациялоо жана реабилитациялык иштерди аткаруу</t>
  </si>
  <si>
    <t>Болжол менен 15 селосстук курулуштар жогорку деңгээлдеги коргоодогу конструкция менен курулган жана модернизацияланган (2018-жылдагы базалык көрсөткүч= колдонулбайт).</t>
  </si>
  <si>
    <t>Болжол менен 4 долбоордун ар бири үчүн ирригациялык системаны эксплуатациялоо жана күтүү боюнча биргелешкен план иштелип чыккан жана долбоордук координациялык комитет алдында жактырылган (базалык көрсөткүч 2018-жылдын =0)</t>
  </si>
  <si>
    <t>Ар бир долбоордун болжол менен 4 долбоору үчүн СПАнын суу ресурстарын ички чарбалык башкаруу жана айыл чарбасын гендердик аспекттери менен башкаруу боюнча пландары иштелип чыккан жана жактырылган</t>
  </si>
  <si>
    <t>Болжол менен 6 000 дыйкандар жана коомчулуктун тургундары (аялдардын 30% болгон) табигый кырсыктарга туруктуулугу жана климаттын өзгөрүүсүнүн кесепеттери жөнүндө билимди жакшыртуу жана айыл чарба тажрыйбалар жөнүндө маалымат (базалык көрсөткүч 2017 жыл = 0)</t>
  </si>
  <si>
    <r>
      <t xml:space="preserve">Өсүмдүктөрдү өстүрүүгө, механизациялаштырууга, коргоого жана карантиндөөгө мамлекеттик колдоо көрсөтүү жана өнүктүрүү   </t>
    </r>
    <r>
      <rPr>
        <sz val="11"/>
        <rFont val="Times New Roman"/>
        <family val="1"/>
        <charset val="204"/>
      </rPr>
      <t xml:space="preserve">                                                         </t>
    </r>
    <r>
      <rPr>
        <i/>
        <sz val="11"/>
        <rFont val="Times New Roman"/>
        <family val="1"/>
        <charset val="204"/>
      </rPr>
      <t>Программанын максаты: Өндүрүштү өнүктүрүү үчүн шарттарды түзүү жолу менен агроөнөр жай комплексиндеги өндүрүштүн натыйжалуулугун жогорулатуу жана талаачылык азык-түлүк сатуу</t>
    </r>
  </si>
  <si>
    <t>Айыл чарба өсүмдүктөрүнүн сортторуна жана гибриддерине расмий сыноо жүргүзүү</t>
  </si>
  <si>
    <t>Жаныбарлардан жана өсүмдүктөрдөн алынган продуктуларга ветеринардык-санитардык экспертиза жүргүзүлүшүн көзөмөлдөө, контролдоо, ветеринардык жана фитосанитардык коопсуздукту камсыздоо жана ЕАЭБдин техникалык регламенттеринин талаптарын сактоону камсыздоо</t>
  </si>
  <si>
    <t>Эпизоотиялык бейпилдикти, тамак-аштын коопсуздугун, ошондой эле адам жана жаныбарлар үчүн жалпы оорулардын контролун камсыздоо</t>
  </si>
  <si>
    <t>Калктын жашоосунун коопсуздугун камсыз кылуу үчүн суу ресурстарына жана объекттерине мониторинг  жана жарандардык консультация жүргүзүү</t>
  </si>
  <si>
    <t>Жер ресурстары жана жер укук мамилелери, кыймылсыз мүлккө укуктарды мамлекеттик каттоо, геодезия жана картография, жер жана кыймылсыз мүлк рыногун өнүктүрүү жаатындагы мамилелерди жөнгө салуу</t>
  </si>
  <si>
    <t>Жерди көзөмөлдөө, контролдоо жана коргоону жүзөгө ашыруу</t>
  </si>
  <si>
    <r>
      <t xml:space="preserve">Токой ресурстарын башкаруу, сактоону жана өнүктүрүүнү камсыз кылуу                                            </t>
    </r>
    <r>
      <rPr>
        <i/>
        <sz val="11"/>
        <rFont val="Times New Roman"/>
        <family val="1"/>
        <charset val="204"/>
      </rPr>
      <t>Программанын максаты: Кыргыз Республикасынын жарандарынын жашоосу үчүн алдын-ала жагымсыз жерлер, социалдык болуп-камсыз кылуу, бак-каршылык жерлер блогун камсыз кылуу үчүн токойлорду туруктуу башкаруу.</t>
    </r>
  </si>
  <si>
    <t>Токой ресурстарын арбытып өндүрүү, токойлорду токой эрежелерин бузуулардан коргоо</t>
  </si>
  <si>
    <t>Токой жайгаштыруу, аңчылык жайгаштыруу, камералык иштерди жүргүзүү, токойлорго инвентаризация</t>
  </si>
  <si>
    <t xml:space="preserve">Калктын ишеним  индекси  </t>
  </si>
  <si>
    <t>тарыхый-маданий мурастын текшерилген (изилденген) жана документтештирилген объектилеринин жалпы санынан %</t>
  </si>
  <si>
    <t>Чыгарылган фильмдердин саны (анын ичинде улуттук фильмдер; анимациялык, даректүү тасмалар, кыска метраждуу фильмдер, биргелешкен өндүрүш)</t>
  </si>
  <si>
    <t>Мамлекеттик сыйлык алган катышуучулардын саны</t>
  </si>
  <si>
    <r>
      <t xml:space="preserve">Маалыматтык кызмат көрсөтүүлөр
</t>
    </r>
    <r>
      <rPr>
        <i/>
        <sz val="11"/>
        <color theme="1"/>
        <rFont val="Times New Roman"/>
        <family val="1"/>
        <charset val="204"/>
      </rPr>
      <t>Программанын максаты: КР калкына жана чет өлкөлүк аудиторияга мамлекеттик бийликтин расмий булактарынан маалымат кызматын көрсөтүү</t>
    </r>
  </si>
  <si>
    <r>
      <t xml:space="preserve">Башкаруу жана администрациялоо                                                                                                                              
</t>
    </r>
    <r>
      <rPr>
        <i/>
        <sz val="11"/>
        <rFont val="Times New Roman"/>
        <family val="1"/>
        <charset val="204"/>
      </rPr>
      <t>Программанын максаты: Башка программаларды ишке ашырууга координациялоочу жана уюштуруучу таасири</t>
    </r>
  </si>
  <si>
    <t>Борбордук деңгээлде тармактарды пландоо, башкаруу жана администрациялоо</t>
  </si>
  <si>
    <r>
      <t xml:space="preserve">Кооптуу табигый процесстерди жана кубулуштарды болжолдоо
</t>
    </r>
    <r>
      <rPr>
        <i/>
        <sz val="11"/>
        <rFont val="Times New Roman"/>
        <family val="1"/>
        <charset val="204"/>
      </rPr>
      <t>Программанын максаты: Кыргыз Республикасында тобокелдиктерге баа берүүнү жана өзгөчө кырдаалдарга эртелеп алдын алууну өркүндөтүү</t>
    </r>
  </si>
  <si>
    <t>Коркунучтуу табигый, техногендик процесстерге жана кубулуштарга мониторинг жана талдоо жүргүзүү, айрым коркунучтуу участоктордо илимий-изилдөө иштерин аткаруу</t>
  </si>
  <si>
    <t>Мамлекеттик инвестициялардын долбоорун ишке ашыруу: Кыргыз Республикасында табигый кырсыктардын тобокелдигине туруктуулукту жогорулатуу</t>
  </si>
  <si>
    <r>
      <t xml:space="preserve">Өз алдынча башкаруу органдарын, жарандык коргонуу күчтөрүн жана калкты өзгөчө кырдаалдардагы аракеттерге даярдоо.
</t>
    </r>
    <r>
      <rPr>
        <i/>
        <sz val="11"/>
        <rFont val="Times New Roman"/>
        <family val="1"/>
        <charset val="204"/>
      </rPr>
      <t>Программанын максаты: жарандык коргонуунун күчтөрүн жана калкты окутуу жана башкаруу органдарын даярдоонун жана кабардар болуунун деңгээлин жогорулатуунун эсебинен өзгөчө кырдаалдардын тобокелдиктерин жана терс кесепеттерин минималдаштыруу.</t>
    </r>
  </si>
  <si>
    <t xml:space="preserve">Жарандык коргонуу иши боюнча даярдалган адистердин саны  </t>
  </si>
  <si>
    <t>Суучулдар иши боюнча адистерди даярдоо жана кайра даярдоо, суу алдындагы техникалык, баардык суу объектилеринде издөө-куткаруу, илимий-изилдөө жана эксперттик иштерди жүргүзүү.</t>
  </si>
  <si>
    <t>Мамлекеттик жана мобилизациялык резервдин материалдык баалуулуктарын башкаруу (администрациялоо)</t>
  </si>
  <si>
    <t>Мамматрезервдерди сактоого коюуну, топтоону, сактоону жана пайдаланууну уюштуруу</t>
  </si>
  <si>
    <t xml:space="preserve"> Борбордук деңгээлде башкаруу жана администрациялоо                                                                                                           
</t>
  </si>
  <si>
    <t>Ишти уюштуруу жана колдоо кызматтары</t>
  </si>
  <si>
    <r>
      <t xml:space="preserve">Сокур дүлөй майыптардын тең укуктарын жана мүмкүнчүлүктөрүн   камсыз кылуу                                   </t>
    </r>
    <r>
      <rPr>
        <i/>
        <sz val="11"/>
        <color theme="1"/>
        <rFont val="Times New Roman"/>
        <family val="1"/>
        <charset val="204"/>
      </rPr>
      <t>Программанын максаты: Мүмкүнчүлүгү чектелган адамдарды социалдык жактан кайра жандандыруу</t>
    </r>
  </si>
  <si>
    <t>Көзү жана угуу боюнча майыптар үчүн тифло сурдочөйрөдө калыбына келтирүү жана интеграциялоо үчүн сатып алуу</t>
  </si>
  <si>
    <t>КАДК атайын китепканасын сокур дүлөй майыптар үчүн китеп корун(фондусун) толуктоо  алардын окууга жана  эмгеке орноштурууга  өбөлгө түзөт</t>
  </si>
  <si>
    <t>Жалпы  китеп кору(фонду) анын ичинен  Брайлдын жалпак чекит  ариб  менен керектүү адабиятты жетиштүү  кылуу</t>
  </si>
  <si>
    <t>Тифлосурдо каражат менен  көзү жана кулагы  боюнча майыптарды камсыз кылуу</t>
  </si>
  <si>
    <t>КАДК окуу өндүрүш ишканаларында продукцияны өндүрүү  2020 ж карата накта чыгарылган продукциянын  көлөмүнө карата өсүшү</t>
  </si>
  <si>
    <t>Көзү жана кулагы  боюнча майыптардын орточо маянасынын 2020 ж салыштырмалуу өсүшү</t>
  </si>
  <si>
    <t>Кыргыз сүйлөө синтезатору санариптешкен жана үн чыгарышкан</t>
  </si>
  <si>
    <t xml:space="preserve"> Башкаруу жана администрациялоо</t>
  </si>
  <si>
    <t>Кыргыз тилинин улуттук корпусун түзүү жана өнүктүрүү, кыргыз тилинин илимий стилинин өнүктүрүү</t>
  </si>
  <si>
    <t xml:space="preserve"> программага ылайык</t>
  </si>
  <si>
    <t xml:space="preserve">Башкаруу жана администрациялоо </t>
  </si>
  <si>
    <t>Тармакты борбордук деңгээлде башкаруу жана  администрациялоо</t>
  </si>
  <si>
    <r>
      <t xml:space="preserve">Республикага түз чет элдик инвестицияларды тартуу
</t>
    </r>
    <r>
      <rPr>
        <i/>
        <sz val="11"/>
        <rFont val="Times New Roman"/>
        <family val="1"/>
        <charset val="204"/>
      </rPr>
      <t xml:space="preserve">Программанын максаты: Өлкөнүн инвестициялык чөйрөсүн  жакшыртууга өбөлгө түзүү чет элдик инвестицияларды тартуу үчүн жагымдуу шарттарды түзүү </t>
    </r>
  </si>
  <si>
    <t>Мамлекеттик мүлктү башкаруудан кирешелердин түшүүсү</t>
  </si>
  <si>
    <t>Жыл сайын тартылган тике чет өлкөлүк инвестициялардын көлөмү</t>
  </si>
  <si>
    <t>млн долл США</t>
  </si>
  <si>
    <t>Кыргыз Республикасынын мыйзамдарына ылайык ээлеген администрациялык мамлекеттик бош кызмат орундарынын үлүшү</t>
  </si>
  <si>
    <t>Кыргыз Республикасынын мыйзамдарына ылайык ээлеген администрациялык муниципалдык бош кызмат орундарынын үлүшү</t>
  </si>
  <si>
    <t>Пландалган сандын ичинен өткөрүлгөн окутуу жана практикалык семинарлардын үлүшү</t>
  </si>
  <si>
    <t>Келип түшкөн арыздардын санынан каралган даттануулардын жана арыздардын үлүшү</t>
  </si>
  <si>
    <r>
      <rPr>
        <b/>
        <sz val="11"/>
        <color theme="1"/>
        <rFont val="Times New Roman"/>
        <family val="1"/>
        <charset val="204"/>
      </rPr>
      <t xml:space="preserve">Башкаруу жана администрациялоо  </t>
    </r>
    <r>
      <rPr>
        <sz val="11"/>
        <color theme="1"/>
        <rFont val="Times New Roman"/>
        <family val="1"/>
        <charset val="204"/>
      </rPr>
      <t xml:space="preserve">                            борбордук деңгээлде тармакты башкаруу</t>
    </r>
  </si>
  <si>
    <t>Диний кырдаалды изилдөө, мониторинг жүргүзүү жана талдоо боюнча улуттук системаны түзүү жана өнүктүрүү; диний маселелер боюнча консультацияларды берүү, диний негиздеги көйгөйлүү маселелерди жана конфликттерди болтурбоо жана болтурбоо боюнча сунуштарды жана рекомендацияларды иштеп чыгуу, кызматкерлеринин квалификациясын жогорулатуу; мамлекеттик органдар жана жергиликтүү өз алдынча башкаруу органдары диний маселелер боюнча, адистерди даярдоо жана семинарлар аркылуу калктын диний сабаттуулугун жогорулатуу</t>
  </si>
  <si>
    <t>Диний окуу жайлардын (медреселер, жекшемби күндөрү окуган мектептер, семинарлар ж. б.) окуу-методикалык жана техникалык талаптарга шайкештигине мониторинг жүргүзүү</t>
  </si>
  <si>
    <t>Диний уюмдардын жана жергиликтүү коомдоштуктун өкүлдөрү үчүн саламаттык сактоо (энеликти жана үй-бүлөнүн ден соолугун коргоо, вакцинациялоо ж. б.), үй-бүлөдөгү зомбулуктун алдын алуу жана эрте никеге туруу маселелери боюнча системалуу алдын алуу иш-чараларын жүргүзүү</t>
  </si>
  <si>
    <t>Жергиликтүү жамааттын катышуусу менен региондордо диний негиздеги дискриминациянын, экстремизмдин жана чыр-чатактардын алдын алуу маселелери боюнча системалуу алдын алуу иш-чараларын жүргүзүү</t>
  </si>
  <si>
    <t>Маалыматтык материалдарды жана талдоо отчетторун даярдоо, маалыматтык-практикалык материалдарды, методикалык колдонмолорду иштеп чыгуу жана жарыялоо</t>
  </si>
  <si>
    <t>Диний чөйрөдөгү эксперттик жана консультативдик коомчулук менен кызматташтыкты жүргүзүү, белгиленген тартипте катталган диний уюмдар менен кызматташтык</t>
  </si>
  <si>
    <t>Диний жагдай эртелеп чара көрүү жана диний кырдаалды болтурбоо максатында терең иликтөөнү талап кылган өлкөнүн региондорунда талаа изилдөөлөрүн жүргүзүү</t>
  </si>
  <si>
    <t>Диний кырдаалды изилдөө жана мониторинг жүргүзүү, диний маселелер боюнча чыр-чатактуу жана проблемалуу кырдаалдарды алдын алуу үчүн мамлекеттик органдардын, ЖӨБ органдарынын, ошондой эле өкмөттүк эмес донорлордун ресурстарын тартуу</t>
  </si>
  <si>
    <r>
      <t xml:space="preserve">Башкаруу жана  администрациялоо                                           </t>
    </r>
    <r>
      <rPr>
        <i/>
        <sz val="11"/>
        <rFont val="Times New Roman"/>
        <family val="1"/>
        <charset val="204"/>
      </rPr>
      <t xml:space="preserve">Программанын максаты: Башка программаларды ишке ашырууга жана камсыздоого координациялык жана уюштуруучулук таасири, коюлган милдеттерге жетүү              </t>
    </r>
    <r>
      <rPr>
        <b/>
        <sz val="11"/>
        <rFont val="Times New Roman"/>
        <family val="1"/>
        <charset val="204"/>
      </rPr>
      <t xml:space="preserve">                                                                                                                                                                                         </t>
    </r>
  </si>
  <si>
    <t xml:space="preserve">Өнөр жайдын борбордук деңгээлинде башкаруу жана администрациялоо </t>
  </si>
  <si>
    <t>Курчап турган чөйрөнү коргоону жана жаратылыш ресурстарын сарамжалдуу пайдаланууну көзөмөлдөө жана контролду жүзөгө ашыруу</t>
  </si>
  <si>
    <t>"Экологиялык натыйжалуулуктун индекси"рейтингинде Кыргыз Республикасынын позициясы</t>
  </si>
  <si>
    <t>Айлана -чөйрөнүн абалына мониторинг системасын өнүктүрүү</t>
  </si>
  <si>
    <t>ӨКЖА ишин координациялоо жана экосистемаларды сактоо боюнча маселелерди пропагандалоо, ӨКЖАнын аймагында биологиялык түрлөрдү сактоо боюнча иш-чаралар, ошондой эле илимий иштерди жүргүзүү, биологиялык ар түрдүүлүктүн объекттерин сактоо жана көбөйтүү</t>
  </si>
  <si>
    <t>Божомолдоонун бардык түрлөрүн чыгаруу, атайын гидрометеорологиялык жана айлана - чөйрөнүн булганышы жөнүндө маалымат берүү</t>
  </si>
  <si>
    <t>Өзгөчө корголуучу жаратылыш аймактарынын аянты</t>
  </si>
  <si>
    <r>
      <t xml:space="preserve">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координациялык жана уюштуруучулук таасир этүү</t>
    </r>
  </si>
  <si>
    <t>Борбордук деңгээлде тармакты башкаруу жана  администрациялоо</t>
  </si>
  <si>
    <t>Жеңип алган сот иштеринин алардын жалпы санына карата катышы</t>
  </si>
  <si>
    <t>Жеңип чыккан соттук иштердин саны</t>
  </si>
  <si>
    <t>Борбордук деңгээлде  тармакты администрациялоо</t>
  </si>
  <si>
    <t>Иштеп жаткан маалымат тутумдардын, порталдарынын саны</t>
  </si>
  <si>
    <t>Электр жана почта байланышын жөнгө салууну жүзөгө ашыруу</t>
  </si>
  <si>
    <r>
      <t xml:space="preserve">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координациялоочу жана уюштуруучу таасирлер</t>
    </r>
  </si>
  <si>
    <t>Социалдык-экономикалык чөйрө,ички жана тышкы саясат жагында изилдөө продукттарынын саны (отчеттор,аналитикалык каттар,справкалар,сунуштар,статьялар, докладдар(баяндамаларга тезисдар) усулдук аманаттар ж. б.)</t>
  </si>
  <si>
    <t xml:space="preserve">Бюджетти укук бузууларсыз аткаруу пайызы/ кызматкерлерди кызматка алуу/кызматтан алуу боюнча процедураларды бузбай өткөрүү менен кадрлык эсепти уюштуруу / ЖАКтын Президиумунун чечимдерине карата келип түшкөн аппеляцияларды белгиленген мөөноттө кароонун пайызы </t>
  </si>
  <si>
    <t xml:space="preserve">Жеңип алган сот иштеринин алардын санына карата катышы/ЖАКтын Президиумунун чечимдерине карата келип тушкон аппеляцияларды белгиленген мөөноттө кароонун пайызы </t>
  </si>
  <si>
    <t xml:space="preserve">Эмгектик талаш-тартыштар боюнча утуп алган сот процессинин  үлүшү/кызматкерлерди кызматка алуу/кызматтан алуу боюнча процедураларды бузбай өткөрүү менен кадрлык эсепти уюштуруу </t>
  </si>
  <si>
    <t>Электрондук программаларды, маалыматтар базасын, "Антиплагиат"программасын киргизүү жана пайдалануу</t>
  </si>
  <si>
    <t>Электрондук түргө келтирилген жана диссертациялык иштердин жана материалдардын саны/ "Антиплагиат" программасы боюнча диссертациялык иштердин мөөнөтүндө текшериле тургандардын санынын текшерүү үчүн түшкөн иштердин жалпы санына болгон катышы</t>
  </si>
  <si>
    <t xml:space="preserve"> Башкаруу жана администрациялоо                                                                                                                
</t>
  </si>
  <si>
    <t>Аймактык денгээлде башкаруу жана администрациялоо</t>
  </si>
  <si>
    <t>Жогорку вольттуу энергетикалык объекттердин жабдууларына мониторинг жүргүзүүнүн автоматташтырылган тутумун иштеп чыгуу. Изилдөө жана структуралар жана ыкмалары иштеп чыгуу</t>
  </si>
  <si>
    <t>Иштелип чыккан методдорго жана геоэкосферанын абалын контролдоо каражаттарына алынган патенттердин саны. Конкреттүү эл чарбалык милдеттерди аткаруу үчүн аэрокосмикалык маалыматты иштеп чыгуу</t>
  </si>
  <si>
    <t>Геологиялык карталарды киргизүүнүн саны</t>
  </si>
  <si>
    <t>Химиялык-технологиялык, медициналык-биологиялык жана айыл чарбалык изилдөөлөрдү өнүктүрүү</t>
  </si>
  <si>
    <t>Лабораториялык изилдөөлөрдүн саны</t>
  </si>
  <si>
    <t>Кыргызстандын генетикалык ресурстарынын банкына номерленген жаныбарларды биотестирлөө. Кыргызстандын табиятынын биологиялык компоненттеринин абалына мониторинг жүргүзүүнүн илимий негиздерин иштеп чыгуу</t>
  </si>
  <si>
    <t>Сатып өткөрүлгөн продукциянын саны (отургузуучу материал, эфир майлары) / коллекциялык гербдик фондду толтуруу</t>
  </si>
  <si>
    <t>Мыйзамдарды мамлекеттик экспертизадан өткөрүү</t>
  </si>
  <si>
    <t>Тышкы байланыштарды жана коомчулук менен байланышты сактоо</t>
  </si>
  <si>
    <t>Эркиндигинен ажыратуу жана чектөө жайларында, балдар мекемелеринде жана психоневрологиялык диспансерлерде кыйноо фактыларынын төмөндөшүнүн (жогорулашынын) динамикасы</t>
  </si>
  <si>
    <t xml:space="preserve">Эркиндигинен ажыратуу жана чектоо жайларында, балдар уйундо жана психоневрологиялык диспансерлерде кармоо шарттарын жакшыртууга көмөк көрсөтүү    </t>
  </si>
  <si>
    <t>Эркиндигинен ажыратуу жана чектоо жайларында, балдар уйундо жана психоневрологиялык диспансерде алдын алуу баруулардын үзгүлтүксүз өткөрүлүшүн камсыз кылуу.</t>
  </si>
  <si>
    <t xml:space="preserve">Кыргыз Республикасы тарабынан кыйнолорду жана катаал мамиленин туп тамыры менен жок кылуу боюнча Эл аралык конвенциянын талаптарынын аткарылышын мониторинг жана анализ кылуу. </t>
  </si>
  <si>
    <t>Өткөрүлгөн иш-чаралардын (тегерек столдордун, семинарлардын, тренингдердин) саны</t>
  </si>
  <si>
    <t>Башка мамлекеттик мүчөлөрү аткарууга кабыл алган улуттук борбор тарабынан иштелип чыккан сунуштарынын саны.</t>
  </si>
  <si>
    <t>Эркиндигинен ажыратуу жана чектөө жайларында, балдар мекемелеринде жана психоневрологиялык диспансерлерде кармоонун шарттарынын оң өзгөрүшүнө канааттануусу (сурамжылоолордун жыйынтыктары)</t>
  </si>
  <si>
    <t>Кыйноолорду алдын алуу жаатында эл аралык келишимдердин талаптарын аткаруу пайызы</t>
  </si>
  <si>
    <r>
      <t xml:space="preserve">Координациялоо, ТВ программаларын түзүү
</t>
    </r>
    <r>
      <rPr>
        <i/>
        <sz val="11"/>
        <color theme="1"/>
        <rFont val="Times New Roman"/>
        <family val="1"/>
        <charset val="204"/>
      </rPr>
      <t>Программанын максаты: ТВ боюнча маалыматтарды сапаттуу жана жеткиликтүү алуу</t>
    </r>
  </si>
  <si>
    <r>
      <t xml:space="preserve">Башкаруу жана администрациялоо
</t>
    </r>
    <r>
      <rPr>
        <i/>
        <sz val="11"/>
        <color theme="1"/>
        <rFont val="Times New Roman"/>
        <family val="1"/>
        <charset val="204"/>
      </rPr>
      <t>Программанын максаты: Башка программаларды ишке ашырууга координациялык жана уюштуруучулук таасир этүү</t>
    </r>
  </si>
  <si>
    <r>
      <t xml:space="preserve">КР аймагына, анын чегинен сырткары телерадиоберүүлөрдү түзүү жана таркатуу.                                                                                    </t>
    </r>
    <r>
      <rPr>
        <i/>
        <sz val="11"/>
        <color theme="1"/>
        <rFont val="Times New Roman"/>
        <family val="1"/>
        <charset val="204"/>
      </rPr>
      <t xml:space="preserve">Программвнын максаты: маалыматтык-агартуучулук кызматтарды телерадиоберүү чыгарылыштары аркылуу эфирден беррүүгө  көмөк көрсөтүү </t>
    </r>
  </si>
  <si>
    <t>Телекөрсөтүүнү техникалык камсыздоо</t>
  </si>
  <si>
    <t>Натыйжалуулук индикатору: калктын жалпы санынан телекөрсөтүүнү камтуу % менен камтуу</t>
  </si>
  <si>
    <t>Телекөрсөтүүгө тартылган Кыргыз Республикасынын аймагынын салыштырма салмагы</t>
  </si>
  <si>
    <t>"Мир"МТРК консолидацияланган эфиринде түзүлгөн ТВ жана РВ программаларынын жалпы саны</t>
  </si>
  <si>
    <t>"Мир"МТРК үчүн ТВ программаларды филиалы тарабынан түзүлгөн хронометраж</t>
  </si>
  <si>
    <t>"Мир"МТРК үчүн РВ программаларды филиалы тарабынан түзүлгөн хронометраж</t>
  </si>
  <si>
    <t>Дистанциялык тестирлөө үчүн" Кыргызтест " системасынын мобилдик тиркемесин техникалык колдоо жана өнүктүрүү</t>
  </si>
  <si>
    <r>
      <t xml:space="preserve">Башкаруу жана администрациялоо                                                                                                                            
</t>
    </r>
    <r>
      <rPr>
        <i/>
        <sz val="11"/>
        <color indexed="8"/>
        <rFont val="Times New Roman"/>
        <family val="1"/>
        <charset val="204"/>
      </rPr>
      <t>Программанын максаты: Башка программаларды ишке ашырууга координациялык жана уюштуруучулук таасир этүү</t>
    </r>
  </si>
  <si>
    <r>
      <t xml:space="preserve">Мекеменин иш-чараларын уюштуруу жана пландоо
</t>
    </r>
    <r>
      <rPr>
        <i/>
        <sz val="11"/>
        <color indexed="8"/>
        <rFont val="Times New Roman"/>
        <family val="1"/>
        <charset val="204"/>
      </rPr>
      <t>Программанын максаты: "Манас" эпосунун үчилтигин, ошондой эле Кыргыз Республикасынын эл жазуучусу Чыңгыз Айтматовдун маданий мурастарынын баалуулуктарын кеңири жайылтуу, сактоо, өнүктүрүү жана популяризациялоо</t>
    </r>
  </si>
  <si>
    <t>Бюджетти бузуусуз аткаруу пайызыз</t>
  </si>
  <si>
    <t>Бюджетти бузуусуз аткаруу пайызы</t>
  </si>
  <si>
    <t>Аймактык денгээлде тармакты башкаруу жана администрациялоо</t>
  </si>
  <si>
    <t>Финансалык менеджментти жана эсепке алууну касыз кылуу/Аймактык деңгээлинде тармакты башкаруу жана администрациялоо</t>
  </si>
  <si>
    <t>Аймактык деңгээлде тармакты  администрациялоо</t>
  </si>
  <si>
    <t>Аймактык  денгээлде тармакты администрациялоо</t>
  </si>
  <si>
    <t xml:space="preserve">Аймактык деңгээлде тармакты администрациялоо
</t>
  </si>
  <si>
    <t>Аймактык деңгээлде тармакты администрациялоо</t>
  </si>
  <si>
    <t>Калк ишеним индекси</t>
  </si>
  <si>
    <r>
      <t xml:space="preserve">Гидрометеокызматтын экологиялык контролун, коопсуздугун, мониторингин жана өнүгүүсүн камсыздоо
</t>
    </r>
    <r>
      <rPr>
        <i/>
        <sz val="11"/>
        <rFont val="Times New Roman"/>
        <family val="1"/>
        <charset val="204"/>
      </rPr>
      <t>Программанын максаты: Кыргыз Республикасында климаттын өзгөрүшүн эске алуу менен чарбалык жана башка иш аракеттердин калктын ден соолугуна жана айлана-чөйрөгө мүмкүн болгон терс таасиринин кесепеттерин болтурбоо</t>
    </r>
  </si>
  <si>
    <r>
      <t xml:space="preserve">Биологиялык ар түрдүүлүктү сактоо
</t>
    </r>
    <r>
      <rPr>
        <i/>
        <sz val="11"/>
        <rFont val="Times New Roman"/>
        <family val="1"/>
        <charset val="204"/>
      </rPr>
      <t>Программанын максаты: биологиялык ар түрдүүлүктү сактоо жана жакшыртуу, анын ичинде жаныбарлар жана өсүмдүктөр дүйнөсүнүн сейрек жана жок болуп бараткан түрлөрүнүн популяцияларынын санын калыбына келтирүү; Кыргыз Республикасынын биологиялык түрлөрүн туруктуу пайдалануу.</t>
    </r>
  </si>
  <si>
    <r>
      <t xml:space="preserve">Программалоо, РВ программаларын түзүү
</t>
    </r>
    <r>
      <rPr>
        <i/>
        <sz val="11"/>
        <color theme="1"/>
        <rFont val="Times New Roman"/>
        <family val="1"/>
        <charset val="204"/>
      </rPr>
      <t xml:space="preserve">Программанын максаты: РВ боюнча сапаттуу жана жеткиликтүү маалымат алууу                    </t>
    </r>
    <r>
      <rPr>
        <b/>
        <sz val="11"/>
        <color theme="1"/>
        <rFont val="Times New Roman"/>
        <family val="1"/>
        <charset val="204"/>
      </rPr>
      <t xml:space="preserve">              </t>
    </r>
  </si>
  <si>
    <t>КР калкын ТВ жана РВ берүү менен камтуу</t>
  </si>
  <si>
    <t>РВ программаларды түзүү</t>
  </si>
  <si>
    <t>ТВ жана РВ программаларды техникалык камсыздоо жана жайылтуу</t>
  </si>
  <si>
    <t>ТВ жана РВ программаларды түзүү жана жайылтуу</t>
  </si>
  <si>
    <t>ТВ жана РВ программаларды түзүү жана жайылтуу жана аларды техникалык тейлөө</t>
  </si>
  <si>
    <t>"Мир" МТРК бириктирилген эфиринде филиал түзгөн ТВ жана РВ программалардын жалпы саны</t>
  </si>
  <si>
    <t>«Кыргыз Республикасынын 2022-жылга республикалык 
бюджети жана 2023-2024-жылдарга болжолу жөнүндө» 
Кыргыз Республикасынын Мыйзамына
11-тиркеме</t>
  </si>
  <si>
    <t>Жыйналган салыктын 1 сомунун өздүк наркы(МСКнын чыгымдары / салыктык түшүүлөрдүн жалпы көлөмүнө карата)</t>
  </si>
  <si>
    <t>15.Кыргыз Республикасынын Президентинин иш башкармасы</t>
  </si>
  <si>
    <t>Кыргыз Республикасынын Президентинин иш башкармасы</t>
  </si>
  <si>
    <t>Изин суутпай издөө ишин тергөө жүргүзүүчү органдар тарабынан мыйзамдардын аткарылышына көзөмөл жүргүзүү</t>
  </si>
  <si>
    <t>Жалпы жетекчиликти камсыздоо/Борбордук деңгээлде тармакты башкаруу жана администрациялоо</t>
  </si>
  <si>
    <t>35. Кыргыз Республикасынын Министрлер Кабинетине караштуу Интеллектуалдык менчик жана инновациялар мамлекеттик агенттиги</t>
  </si>
  <si>
    <t>44. Кыргыз Республикасынын Маданият, маалымат, спорт жана жаштар саясаты министрлиги</t>
  </si>
  <si>
    <t>Болжолдун акталышы</t>
  </si>
  <si>
    <t>Айыл чарба жерлеринин саны (га)/ жыл</t>
  </si>
  <si>
    <t>68. Кыргыз Республикасынын ЮНЕСКОнун иштери боюнча улуттук комиссиясынын катчылыгы</t>
  </si>
  <si>
    <t>60. Кыргыз Республикасынын Министрлер Кабинетине караштуу  Архитектура, курулуш жана турак-жай коммуналдык чарба мамлекеттик агенттиги</t>
  </si>
  <si>
    <t>65. Кыргыз Республикасынын Экология жана климат боюнча мамлекеттик комитети</t>
  </si>
  <si>
    <t>70. Кыргыз Республикасынын Стратегиялык изилдоолор улуттук институту</t>
  </si>
  <si>
    <t>74.  Кыргыз Республикасынын Улуттук статистика комитети</t>
  </si>
  <si>
    <t>79. Кыргыз Республикасынын Коопсуздук кеңешинин катчылыгы</t>
  </si>
  <si>
    <t>81. Кыргыз Республикасынын Президентинин Аппаратынын  клиникалык ооруканасы</t>
  </si>
  <si>
    <t>82. Кыйноолорду жана башка катаал, адамгерчиликсиз же кадыр-баркты басмырлаган мамиленин жана жазанын түрлөрүнүн алдын алуу боюнча Кыргыз Республикасынын Улуттук борбору</t>
  </si>
  <si>
    <t xml:space="preserve"> ИН коду</t>
  </si>
  <si>
    <t xml:space="preserve"> МЕ коду</t>
  </si>
  <si>
    <t xml:space="preserve"> ПР коду</t>
  </si>
  <si>
    <t>БКБТ коду</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</si>
</sst>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4" formatCode="_-* #,##0.00&quot;р.&quot;_-;\-* #,##0.00&quot;р.&quot;_-;_-* &quot;-&quot;??&quot;р.&quot;_-;_-@_-"/>
    <numFmt numFmtId="43" formatCode="_-* #,##0.00_р_._-;\-* #,##0.00_р_._-;_-* &quot;-&quot;??_р_._-;_-@_-"/>
    <numFmt numFmtId="164" formatCode="_-* #,##0.00\ _с_о_м_-;\-* #,##0.00\ _с_о_м_-;_-* &quot;-&quot;??\ _с_о_м_-;_-@_-"/>
    <numFmt numFmtId="165" formatCode="_-* #,##0.00\ &quot;₽&quot;_-;\-* #,##0.00\ &quot;₽&quot;_-;_-* &quot;-&quot;??\ &quot;₽&quot;_-;_-@_-"/>
    <numFmt numFmtId="166" formatCode="_-* #,##0.00\ _₽_-;\-* #,##0.00\ _₽_-;_-* &quot;-&quot;??\ _₽_-;_-@_-"/>
    <numFmt numFmtId="167" formatCode="#,##0.0"/>
    <numFmt numFmtId="168" formatCode="0.0"/>
    <numFmt numFmtId="169" formatCode="_(* #,##0.00_);_(* \(#,##0.00\);_(* &quot;-&quot;??_);_(@_)"/>
    <numFmt numFmtId="170" formatCode="###,000__;\-###,000__"/>
    <numFmt numFmtId="171" formatCode="##,#00__;\-##,#00__"/>
    <numFmt numFmtId="172" formatCode="#,##0.0_р_."/>
    <numFmt numFmtId="173" formatCode="000000"/>
    <numFmt numFmtId="174" formatCode="0.00;[Red]0.00"/>
    <numFmt numFmtId="175" formatCode="0;[Red]0"/>
    <numFmt numFmtId="176" formatCode="0.000"/>
    <numFmt numFmtId="177" formatCode="###,000;[Red]\-###,000"/>
    <numFmt numFmtId="178" formatCode="#,##0_ ;[Red]\-#,##0\ "/>
    <numFmt numFmtId="179" formatCode="#,##0_ ;\-#,##0\ "/>
    <numFmt numFmtId="180" formatCode="0.0%"/>
    <numFmt numFmtId="181" formatCode="_-* #,##0.0_р_._-;\-* #,##0.0_р_._-;_-* &quot;-&quot;??_р_._-;_-@_-"/>
    <numFmt numFmtId="182" formatCode="_-* #,##0.0_р_._-;\-* #,##0.0_р_._-;_-* &quot;-&quot;?_р_._-;_-@_-"/>
    <numFmt numFmtId="183" formatCode="_-* #,##0.00\ _р_._-;\-* #,##0.00\ _р_._-;_-* &quot;-&quot;??\ _р_._-;_-@_-"/>
    <numFmt numFmtId="184" formatCode="_-* #,##0.0\ _₽_-;\-* #,##0.0\ _₽_-;_-* &quot;-&quot;?\ _₽_-;_-@_-"/>
    <numFmt numFmtId="185" formatCode="#,##0.0_ ;[Red]\-#,##0.0\ "/>
    <numFmt numFmtId="186" formatCode="#,##0.0\ _₽"/>
    <numFmt numFmtId="187" formatCode="0.0000"/>
    <numFmt numFmtId="188" formatCode="#,##0_р_."/>
    <numFmt numFmtId="189" formatCode="_-* #,##0.0\ _₽_-;\-* #,##0.0\ _₽_-;_-* &quot;-&quot;??\ _₽_-;_-@_-"/>
    <numFmt numFmtId="190" formatCode="#,##0.0_ ;\-#,##0.0\ "/>
    <numFmt numFmtId="191" formatCode="#,##0.0;[Red]#,##0.0"/>
    <numFmt numFmtId="192" formatCode="_ * #,##0.00_ ;_ * \-#,##0.00_ ;_ * &quot;-&quot;??_ ;_ @_ "/>
  </numFmts>
  <fonts count="68" x14ac:knownFonts="1">
    <font>
      <sz val="11"/>
      <color theme="1"/>
      <name val="Calibri"/>
      <family val="2"/>
      <scheme val="minor"/>
    </font>
    <font>
      <sz val="11"/>
      <color theme="1"/>
      <name val="Calibri"/>
      <family val="2"/>
      <charset val="204"/>
      <scheme val="minor"/>
    </font>
    <font>
      <sz val="11"/>
      <color theme="1"/>
      <name val="Calibri"/>
      <family val="2"/>
      <scheme val="minor"/>
    </font>
    <font>
      <sz val="10"/>
      <color theme="1"/>
      <name val="Arial"/>
      <family val="2"/>
      <charset val="204"/>
    </font>
    <font>
      <sz val="10"/>
      <name val="Arial Cyr"/>
      <charset val="204"/>
    </font>
    <font>
      <b/>
      <sz val="11"/>
      <color theme="1"/>
      <name val="Times New Roman"/>
      <family val="1"/>
      <charset val="204"/>
    </font>
    <font>
      <sz val="11"/>
      <color theme="1"/>
      <name val="Times New Roman"/>
      <family val="1"/>
      <charset val="204"/>
    </font>
    <font>
      <sz val="11"/>
      <color rgb="FF000000"/>
      <name val="Times New Roman"/>
      <family val="1"/>
      <charset val="204"/>
    </font>
    <font>
      <sz val="10"/>
      <name val="Arial"/>
      <family val="2"/>
      <charset val="204"/>
    </font>
    <font>
      <b/>
      <sz val="11"/>
      <name val="Times New Roman"/>
      <family val="1"/>
      <charset val="204"/>
    </font>
    <font>
      <sz val="11"/>
      <name val="Times New Roman"/>
      <family val="1"/>
      <charset val="204"/>
    </font>
    <font>
      <sz val="10"/>
      <name val="Arial"/>
      <family val="2"/>
      <charset val="204"/>
    </font>
    <font>
      <sz val="11"/>
      <color theme="1"/>
      <name val="Calibri"/>
      <family val="2"/>
      <charset val="204"/>
      <scheme val="minor"/>
    </font>
    <font>
      <sz val="10"/>
      <color theme="1"/>
      <name val="Calibri"/>
      <family val="2"/>
      <charset val="204"/>
      <scheme val="minor"/>
    </font>
    <font>
      <sz val="10"/>
      <name val="Times New Roman"/>
      <family val="1"/>
    </font>
    <font>
      <sz val="10"/>
      <color indexed="8"/>
      <name val="MS Sans Serif"/>
      <family val="2"/>
      <charset val="204"/>
    </font>
    <font>
      <sz val="10"/>
      <name val="Times New Roman Cyr"/>
      <charset val="204"/>
    </font>
    <font>
      <b/>
      <sz val="11"/>
      <color indexed="8"/>
      <name val="Times New Roman"/>
      <family val="1"/>
      <charset val="204"/>
    </font>
    <font>
      <sz val="11"/>
      <color indexed="8"/>
      <name val="Times New Roman"/>
      <family val="1"/>
      <charset val="204"/>
    </font>
    <font>
      <sz val="11"/>
      <color rgb="FF2B2B2B"/>
      <name val="Times New Roman"/>
      <family val="1"/>
      <charset val="204"/>
    </font>
    <font>
      <b/>
      <sz val="11"/>
      <color rgb="FF2B2B2B"/>
      <name val="Times New Roman"/>
      <family val="1"/>
      <charset val="204"/>
    </font>
    <font>
      <i/>
      <sz val="11"/>
      <color theme="1"/>
      <name val="Times New Roman"/>
      <family val="1"/>
      <charset val="204"/>
    </font>
    <font>
      <sz val="11"/>
      <color indexed="8"/>
      <name val="Calibri"/>
      <family val="2"/>
      <charset val="204"/>
    </font>
    <font>
      <b/>
      <sz val="11"/>
      <color indexed="10"/>
      <name val="Times New Roman"/>
      <family val="1"/>
      <charset val="204"/>
    </font>
    <font>
      <i/>
      <sz val="11"/>
      <name val="Times New Roman"/>
      <family val="1"/>
      <charset val="204"/>
    </font>
    <font>
      <sz val="10"/>
      <color indexed="8"/>
      <name val="Arial"/>
      <family val="2"/>
      <charset val="204"/>
    </font>
    <font>
      <sz val="11"/>
      <color rgb="FFFF0000"/>
      <name val="Times New Roman"/>
      <family val="1"/>
      <charset val="204"/>
    </font>
    <font>
      <b/>
      <i/>
      <sz val="11"/>
      <color theme="1"/>
      <name val="Times New Roman"/>
      <family val="1"/>
      <charset val="204"/>
    </font>
    <font>
      <b/>
      <i/>
      <sz val="11"/>
      <color indexed="8"/>
      <name val="Times New Roman"/>
      <family val="1"/>
      <charset val="204"/>
    </font>
    <font>
      <i/>
      <sz val="11"/>
      <color indexed="8"/>
      <name val="Times New Roman"/>
      <family val="1"/>
      <charset val="204"/>
    </font>
    <font>
      <sz val="11"/>
      <color theme="1" tint="4.9989318521683403E-2"/>
      <name val="Times New Roman"/>
      <family val="1"/>
      <charset val="204"/>
    </font>
    <font>
      <sz val="10"/>
      <color theme="1"/>
      <name val="Times New Roman"/>
      <family val="1"/>
      <charset val="204"/>
    </font>
    <font>
      <sz val="12"/>
      <color theme="1"/>
      <name val="Times New Roman"/>
      <family val="1"/>
      <charset val="204"/>
    </font>
    <font>
      <sz val="11"/>
      <color indexed="9"/>
      <name val="Calibri"/>
      <family val="2"/>
      <charset val="204"/>
    </font>
    <font>
      <sz val="11"/>
      <color indexed="62"/>
      <name val="Calibri"/>
      <family val="2"/>
      <charset val="204"/>
    </font>
    <font>
      <b/>
      <sz val="11"/>
      <color indexed="63"/>
      <name val="Calibri"/>
      <family val="2"/>
      <charset val="204"/>
    </font>
    <font>
      <b/>
      <sz val="11"/>
      <color indexed="52"/>
      <name val="Calibri"/>
      <family val="2"/>
      <charset val="204"/>
    </font>
    <font>
      <b/>
      <sz val="11"/>
      <color indexed="8"/>
      <name val="Calibri"/>
      <family val="2"/>
      <charset val="204"/>
    </font>
    <font>
      <b/>
      <sz val="11"/>
      <color indexed="9"/>
      <name val="Calibri"/>
      <family val="2"/>
      <charset val="204"/>
    </font>
    <font>
      <sz val="11"/>
      <color indexed="60"/>
      <name val="Calibri"/>
      <family val="2"/>
      <charset val="204"/>
    </font>
    <font>
      <sz val="11"/>
      <color indexed="20"/>
      <name val="Calibri"/>
      <family val="2"/>
      <charset val="204"/>
    </font>
    <font>
      <i/>
      <sz val="11"/>
      <color indexed="23"/>
      <name val="Calibri"/>
      <family val="2"/>
      <charset val="204"/>
    </font>
    <font>
      <sz val="11"/>
      <color indexed="52"/>
      <name val="Calibri"/>
      <family val="2"/>
      <charset val="204"/>
    </font>
    <font>
      <sz val="11"/>
      <color indexed="10"/>
      <name val="Calibri"/>
      <family val="2"/>
      <charset val="204"/>
    </font>
    <font>
      <sz val="11"/>
      <color indexed="17"/>
      <name val="Calibri"/>
      <family val="2"/>
      <charset val="204"/>
    </font>
    <font>
      <b/>
      <sz val="15"/>
      <color indexed="56"/>
      <name val="Calibri"/>
      <family val="2"/>
      <charset val="204"/>
    </font>
    <font>
      <b/>
      <sz val="13"/>
      <color indexed="56"/>
      <name val="Calibri"/>
      <family val="2"/>
      <charset val="204"/>
    </font>
    <font>
      <b/>
      <sz val="11"/>
      <color indexed="56"/>
      <name val="Calibri"/>
      <family val="2"/>
      <charset val="204"/>
    </font>
    <font>
      <b/>
      <sz val="18"/>
      <color indexed="56"/>
      <name val="Cambria"/>
      <family val="2"/>
      <charset val="204"/>
    </font>
    <font>
      <sz val="11"/>
      <color indexed="8"/>
      <name val="Calibri"/>
      <family val="2"/>
    </font>
    <font>
      <sz val="8"/>
      <name val="Arial"/>
      <family val="2"/>
      <charset val="1"/>
    </font>
    <font>
      <sz val="8"/>
      <name val="Arial"/>
      <family val="2"/>
      <charset val="204"/>
    </font>
    <font>
      <i/>
      <sz val="14"/>
      <color theme="1"/>
      <name val="Times New Roman"/>
      <family val="1"/>
      <charset val="204"/>
    </font>
    <font>
      <b/>
      <sz val="11"/>
      <color theme="1"/>
      <name val="Arial"/>
      <family val="2"/>
      <charset val="204"/>
    </font>
    <font>
      <b/>
      <i/>
      <sz val="11"/>
      <name val="Times New Roman"/>
      <family val="1"/>
      <charset val="204"/>
    </font>
    <font>
      <b/>
      <sz val="11"/>
      <color rgb="FF000000"/>
      <name val="Times New Roman"/>
      <family val="1"/>
      <charset val="204"/>
    </font>
    <font>
      <sz val="12"/>
      <name val="Times New Roman"/>
      <family val="1"/>
      <charset val="204"/>
    </font>
    <font>
      <b/>
      <sz val="14"/>
      <name val="Times New Roman"/>
      <family val="1"/>
      <charset val="204"/>
    </font>
    <font>
      <b/>
      <sz val="11"/>
      <color theme="0"/>
      <name val="Times New Roman"/>
      <family val="1"/>
      <charset val="204"/>
    </font>
    <font>
      <sz val="11"/>
      <name val="Calibri"/>
      <family val="2"/>
      <charset val="204"/>
    </font>
    <font>
      <b/>
      <sz val="11"/>
      <color theme="1"/>
      <name val="Calibri"/>
      <family val="2"/>
      <charset val="204"/>
      <scheme val="minor"/>
    </font>
    <font>
      <sz val="11"/>
      <color rgb="FF222222"/>
      <name val="Times New Roman"/>
      <family val="1"/>
      <charset val="204"/>
    </font>
    <font>
      <b/>
      <sz val="11"/>
      <color rgb="FF222222"/>
      <name val="Times New Roman"/>
      <family val="1"/>
      <charset val="204"/>
    </font>
    <font>
      <sz val="11"/>
      <color rgb="FF202124"/>
      <name val="Times New Roman"/>
      <family val="1"/>
      <charset val="204"/>
    </font>
    <font>
      <b/>
      <sz val="10"/>
      <name val="Times New Roman"/>
      <family val="1"/>
      <charset val="204"/>
    </font>
    <font>
      <sz val="10"/>
      <name val="Times New Roman"/>
      <family val="1"/>
      <charset val="204"/>
    </font>
    <font>
      <i/>
      <sz val="10"/>
      <name val="Times New Roman"/>
      <family val="1"/>
      <charset val="204"/>
    </font>
    <font>
      <sz val="10"/>
      <color rgb="FF000000"/>
      <name val="Times New Roman"/>
      <family val="1"/>
      <charset val="204"/>
    </font>
  </fonts>
  <fills count="3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indexed="9"/>
        <bgColor indexed="64"/>
      </patternFill>
    </fill>
    <fill>
      <patternFill patternType="solid">
        <fgColor rgb="FFFFFFFF"/>
        <bgColor indexed="64"/>
      </patternFill>
    </fill>
    <fill>
      <patternFill patternType="solid">
        <fgColor indexed="47"/>
      </patternFill>
    </fill>
    <fill>
      <patternFill patternType="solid">
        <fgColor indexed="26"/>
      </patternFill>
    </fill>
    <fill>
      <patternFill patternType="solid">
        <fgColor indexed="22"/>
      </patternFill>
    </fill>
    <fill>
      <patternFill patternType="solid">
        <fgColor indexed="43"/>
      </patternFill>
    </fill>
    <fill>
      <patternFill patternType="solid">
        <fgColor indexed="49"/>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FF"/>
        <bgColor rgb="FFFFFFCC"/>
      </patternFill>
    </fill>
    <fill>
      <patternFill patternType="solid">
        <fgColor theme="0"/>
        <bgColor rgb="FFFFFFCC"/>
      </patternFill>
    </fill>
    <fill>
      <patternFill patternType="solid">
        <fgColor theme="0"/>
        <bgColor theme="0"/>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right/>
      <top style="thin">
        <color indexed="64"/>
      </top>
      <bottom/>
      <diagonal/>
    </border>
    <border>
      <left/>
      <right/>
      <top/>
      <bottom style="thin">
        <color indexed="64"/>
      </bottom>
      <diagonal/>
    </border>
    <border>
      <left style="thin">
        <color indexed="8"/>
      </left>
      <right style="thin">
        <color indexed="8"/>
      </right>
      <top style="thin">
        <color indexed="64"/>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232">
    <xf numFmtId="0" fontId="0" fillId="0" borderId="0"/>
    <xf numFmtId="0" fontId="3" fillId="0" borderId="0"/>
    <xf numFmtId="9" fontId="3" fillId="0" borderId="0" applyFont="0" applyFill="0" applyBorder="0" applyAlignment="0" applyProtection="0"/>
    <xf numFmtId="0" fontId="2" fillId="0" borderId="0"/>
    <xf numFmtId="166" fontId="2" fillId="0" borderId="0" applyFont="0" applyFill="0" applyBorder="0" applyAlignment="0" applyProtection="0"/>
    <xf numFmtId="0" fontId="3" fillId="0" borderId="0"/>
    <xf numFmtId="0" fontId="4" fillId="0" borderId="0"/>
    <xf numFmtId="43" fontId="3" fillId="0" borderId="0" applyFont="0" applyFill="0" applyBorder="0" applyAlignment="0" applyProtection="0"/>
    <xf numFmtId="165" fontId="3" fillId="0" borderId="0" applyFont="0" applyFill="0" applyBorder="0" applyAlignment="0" applyProtection="0"/>
    <xf numFmtId="0" fontId="8" fillId="0" borderId="0"/>
    <xf numFmtId="9" fontId="8" fillId="0" borderId="0" applyFont="0" applyFill="0" applyBorder="0" applyAlignment="0" applyProtection="0"/>
    <xf numFmtId="169" fontId="8" fillId="0" borderId="0" applyFont="0" applyFill="0" applyBorder="0" applyAlignment="0" applyProtection="0"/>
    <xf numFmtId="0" fontId="12" fillId="0" borderId="0"/>
    <xf numFmtId="0" fontId="13" fillId="0" borderId="0"/>
    <xf numFmtId="0" fontId="3" fillId="0" borderId="0"/>
    <xf numFmtId="43" fontId="3" fillId="0" borderId="0" applyFont="0" applyFill="0" applyBorder="0" applyAlignment="0" applyProtection="0"/>
    <xf numFmtId="0" fontId="2" fillId="0" borderId="0"/>
    <xf numFmtId="167" fontId="14" fillId="0" borderId="0"/>
    <xf numFmtId="0" fontId="15" fillId="0" borderId="0"/>
    <xf numFmtId="0" fontId="16" fillId="0" borderId="0"/>
    <xf numFmtId="0" fontId="16" fillId="0" borderId="0"/>
    <xf numFmtId="9" fontId="4" fillId="0" borderId="0" applyFont="0" applyFill="0" applyBorder="0" applyAlignment="0" applyProtection="0"/>
    <xf numFmtId="9" fontId="11" fillId="0" borderId="0" applyFont="0" applyFill="0" applyBorder="0" applyAlignment="0" applyProtection="0"/>
    <xf numFmtId="43" fontId="4" fillId="0" borderId="0" applyFont="0" applyFill="0" applyBorder="0" applyAlignment="0" applyProtection="0"/>
    <xf numFmtId="43" fontId="16" fillId="0" borderId="0" applyFont="0" applyFill="0" applyBorder="0" applyAlignment="0" applyProtection="0"/>
    <xf numFmtId="0" fontId="12" fillId="0" borderId="0"/>
    <xf numFmtId="43" fontId="12" fillId="0" borderId="0" applyFont="0" applyFill="0" applyBorder="0" applyAlignment="0" applyProtection="0"/>
    <xf numFmtId="0" fontId="22" fillId="0" borderId="0"/>
    <xf numFmtId="164" fontId="2" fillId="0" borderId="0" applyFont="0" applyFill="0" applyBorder="0" applyAlignment="0" applyProtection="0"/>
    <xf numFmtId="0" fontId="12" fillId="0" borderId="0"/>
    <xf numFmtId="0" fontId="12" fillId="0" borderId="0"/>
    <xf numFmtId="0" fontId="25" fillId="0" borderId="0"/>
    <xf numFmtId="0" fontId="3" fillId="0" borderId="0"/>
    <xf numFmtId="166" fontId="3" fillId="0" borderId="0" applyFont="0" applyFill="0" applyBorder="0" applyAlignment="0" applyProtection="0"/>
    <xf numFmtId="0" fontId="11" fillId="0" borderId="0"/>
    <xf numFmtId="0" fontId="11" fillId="0" borderId="0"/>
    <xf numFmtId="43" fontId="12" fillId="0" borderId="0" applyFont="0" applyFill="0" applyBorder="0" applyAlignment="0" applyProtection="0"/>
    <xf numFmtId="9" fontId="12" fillId="0" borderId="0" applyFont="0" applyFill="0" applyBorder="0" applyAlignment="0" applyProtection="0"/>
    <xf numFmtId="0" fontId="12" fillId="0" borderId="0"/>
    <xf numFmtId="0" fontId="3" fillId="0" borderId="0"/>
    <xf numFmtId="43" fontId="3" fillId="0" borderId="0" applyFont="0" applyFill="0" applyBorder="0" applyAlignment="0" applyProtection="0"/>
    <xf numFmtId="43" fontId="4"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 fillId="0" borderId="0"/>
    <xf numFmtId="0" fontId="4"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9" fontId="22" fillId="0" borderId="0" applyFont="0" applyFill="0" applyBorder="0" applyAlignment="0" applyProtection="0"/>
    <xf numFmtId="43" fontId="2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5"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32" fillId="0" borderId="4">
      <alignment vertical="center" wrapText="1"/>
    </xf>
    <xf numFmtId="0" fontId="22"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2" fillId="15" borderId="0" applyNumberFormat="0" applyBorder="0" applyAlignment="0" applyProtection="0"/>
    <xf numFmtId="0" fontId="22" fillId="17" borderId="0" applyNumberFormat="0" applyBorder="0" applyAlignment="0" applyProtection="0"/>
    <xf numFmtId="0" fontId="22" fillId="20" borderId="0" applyNumberFormat="0" applyBorder="0" applyAlignment="0" applyProtection="0"/>
    <xf numFmtId="0" fontId="33" fillId="21"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2" borderId="0" applyNumberFormat="0" applyBorder="0" applyAlignment="0" applyProtection="0"/>
    <xf numFmtId="0" fontId="33" fillId="11"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2" borderId="0" applyNumberFormat="0" applyBorder="0" applyAlignment="0" applyProtection="0"/>
    <xf numFmtId="0" fontId="33" fillId="11" borderId="0" applyNumberFormat="0" applyBorder="0" applyAlignment="0" applyProtection="0"/>
    <xf numFmtId="0" fontId="33" fillId="27" borderId="0" applyNumberFormat="0" applyBorder="0" applyAlignment="0" applyProtection="0"/>
    <xf numFmtId="0" fontId="40" fillId="13" borderId="0" applyNumberFormat="0" applyBorder="0" applyAlignment="0" applyProtection="0"/>
    <xf numFmtId="0" fontId="36" fillId="9" borderId="9" applyNumberFormat="0" applyAlignment="0" applyProtection="0"/>
    <xf numFmtId="0" fontId="38" fillId="28" borderId="10" applyNumberFormat="0" applyAlignment="0" applyProtection="0"/>
    <xf numFmtId="0" fontId="41" fillId="0" borderId="0" applyNumberFormat="0" applyFill="0" applyBorder="0" applyAlignment="0" applyProtection="0"/>
    <xf numFmtId="0" fontId="44" fillId="14" borderId="0" applyNumberFormat="0" applyBorder="0" applyAlignment="0" applyProtection="0"/>
    <xf numFmtId="0" fontId="45" fillId="0" borderId="11" applyNumberFormat="0" applyFill="0" applyAlignment="0" applyProtection="0"/>
    <xf numFmtId="0" fontId="46" fillId="0" borderId="12" applyNumberFormat="0" applyFill="0" applyAlignment="0" applyProtection="0"/>
    <xf numFmtId="0" fontId="47" fillId="0" borderId="13" applyNumberFormat="0" applyFill="0" applyAlignment="0" applyProtection="0"/>
    <xf numFmtId="0" fontId="47" fillId="0" borderId="0" applyNumberFormat="0" applyFill="0" applyBorder="0" applyAlignment="0" applyProtection="0"/>
    <xf numFmtId="0" fontId="34" fillId="7" borderId="9" applyNumberFormat="0" applyAlignment="0" applyProtection="0"/>
    <xf numFmtId="0" fontId="42" fillId="0" borderId="14" applyNumberFormat="0" applyFill="0" applyAlignment="0" applyProtection="0"/>
    <xf numFmtId="0" fontId="39" fillId="10" borderId="0" applyNumberFormat="0" applyBorder="0" applyAlignment="0" applyProtection="0"/>
    <xf numFmtId="0" fontId="25" fillId="8" borderId="15" applyNumberFormat="0" applyFont="0" applyAlignment="0" applyProtection="0"/>
    <xf numFmtId="0" fontId="35" fillId="9" borderId="16" applyNumberFormat="0" applyAlignment="0" applyProtection="0"/>
    <xf numFmtId="0" fontId="48" fillId="0" borderId="0" applyNumberFormat="0" applyFill="0" applyBorder="0" applyAlignment="0" applyProtection="0"/>
    <xf numFmtId="0" fontId="37" fillId="0" borderId="17" applyNumberFormat="0" applyFill="0" applyAlignment="0" applyProtection="0"/>
    <xf numFmtId="0" fontId="43" fillId="0" borderId="0" applyNumberFormat="0" applyFill="0" applyBorder="0" applyAlignment="0" applyProtection="0"/>
    <xf numFmtId="0" fontId="25" fillId="0" borderId="0"/>
    <xf numFmtId="0" fontId="4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5" fillId="0" borderId="0"/>
    <xf numFmtId="0" fontId="22" fillId="0" borderId="0"/>
    <xf numFmtId="0" fontId="22" fillId="0" borderId="0"/>
    <xf numFmtId="0" fontId="22" fillId="0" borderId="0"/>
    <xf numFmtId="0" fontId="22" fillId="0" borderId="0"/>
    <xf numFmtId="0" fontId="22" fillId="0" borderId="0"/>
    <xf numFmtId="0" fontId="22"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50" fillId="0" borderId="0"/>
    <xf numFmtId="0" fontId="50" fillId="0" borderId="0"/>
    <xf numFmtId="9" fontId="12" fillId="0" borderId="0" applyFont="0" applyFill="0" applyBorder="0" applyAlignment="0" applyProtection="0"/>
    <xf numFmtId="43" fontId="12" fillId="0" borderId="0" applyFont="0" applyFill="0" applyBorder="0" applyAlignment="0" applyProtection="0"/>
    <xf numFmtId="0" fontId="50" fillId="0" borderId="0"/>
    <xf numFmtId="183" fontId="22" fillId="0" borderId="0" applyFont="0" applyFill="0" applyBorder="0" applyAlignment="0" applyProtection="0"/>
    <xf numFmtId="0" fontId="51" fillId="0" borderId="0"/>
    <xf numFmtId="43" fontId="51" fillId="0" borderId="0" applyFont="0" applyFill="0" applyBorder="0" applyAlignment="0" applyProtection="0"/>
    <xf numFmtId="0" fontId="16" fillId="0" borderId="0"/>
    <xf numFmtId="43" fontId="16" fillId="0" borderId="0" applyFont="0" applyFill="0" applyBorder="0" applyAlignment="0" applyProtection="0"/>
    <xf numFmtId="0" fontId="12" fillId="0" borderId="0"/>
    <xf numFmtId="166" fontId="12" fillId="0" borderId="0" applyFon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0" fontId="3" fillId="0" borderId="0"/>
    <xf numFmtId="43" fontId="12" fillId="0" borderId="0" applyFont="0" applyFill="0" applyBorder="0" applyAlignment="0" applyProtection="0"/>
    <xf numFmtId="0" fontId="36" fillId="9" borderId="18" applyNumberFormat="0" applyAlignment="0" applyProtection="0"/>
    <xf numFmtId="0" fontId="34" fillId="7" borderId="18" applyNumberFormat="0" applyAlignment="0" applyProtection="0"/>
    <xf numFmtId="0" fontId="25" fillId="8" borderId="19" applyNumberFormat="0" applyFont="0" applyAlignment="0" applyProtection="0"/>
    <xf numFmtId="0" fontId="35" fillId="9" borderId="20" applyNumberFormat="0" applyAlignment="0" applyProtection="0"/>
    <xf numFmtId="0" fontId="37" fillId="0" borderId="21" applyNumberFormat="0" applyFill="0" applyAlignment="0" applyProtection="0"/>
    <xf numFmtId="0" fontId="8" fillId="0" borderId="0"/>
    <xf numFmtId="0" fontId="25" fillId="0" borderId="0"/>
    <xf numFmtId="0" fontId="1" fillId="0" borderId="0"/>
    <xf numFmtId="43" fontId="1" fillId="0" borderId="0" applyFont="0" applyFill="0" applyBorder="0" applyAlignment="0" applyProtection="0"/>
    <xf numFmtId="0" fontId="1" fillId="0" borderId="0"/>
    <xf numFmtId="0" fontId="1" fillId="0" borderId="0"/>
    <xf numFmtId="0" fontId="3" fillId="0" borderId="0"/>
    <xf numFmtId="190" fontId="1" fillId="0" borderId="0" applyFont="0" applyFill="0" applyBorder="0" applyAlignment="0" applyProtection="0"/>
    <xf numFmtId="9" fontId="1" fillId="0" borderId="0" applyFont="0" applyFill="0" applyBorder="0" applyAlignment="0" applyProtection="0"/>
    <xf numFmtId="190" fontId="3" fillId="0" borderId="0" applyFont="0" applyFill="0" applyBorder="0" applyAlignment="0" applyProtection="0"/>
    <xf numFmtId="0" fontId="8" fillId="0" borderId="0"/>
    <xf numFmtId="0" fontId="8" fillId="0" borderId="0"/>
    <xf numFmtId="43" fontId="25" fillId="0" borderId="0" applyFont="0" applyFill="0" applyBorder="0" applyAlignment="0" applyProtection="0"/>
    <xf numFmtId="0" fontId="1" fillId="0" borderId="0"/>
    <xf numFmtId="43" fontId="3"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1" fillId="0" borderId="0"/>
    <xf numFmtId="0" fontId="3" fillId="0" borderId="0"/>
    <xf numFmtId="0" fontId="1" fillId="0" borderId="0">
      <alignment vertical="center"/>
    </xf>
    <xf numFmtId="0" fontId="8" fillId="0" borderId="0"/>
    <xf numFmtId="9" fontId="25" fillId="0" borderId="0" applyFont="0" applyFill="0" applyBorder="0" applyAlignment="0" applyProtection="0"/>
    <xf numFmtId="9" fontId="3" fillId="0" borderId="0" applyFont="0" applyFill="0" applyBorder="0" applyAlignment="0" applyProtection="0"/>
    <xf numFmtId="192" fontId="22" fillId="0" borderId="0" applyFont="0" applyFill="0" applyBorder="0" applyAlignment="0" applyProtection="0">
      <alignment vertical="center"/>
    </xf>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51"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cellStyleXfs>
  <cellXfs count="1801">
    <xf numFmtId="0" fontId="0" fillId="0" borderId="0" xfId="0"/>
    <xf numFmtId="167" fontId="5" fillId="3" borderId="1" xfId="0" applyNumberFormat="1" applyFont="1" applyFill="1" applyBorder="1" applyAlignment="1">
      <alignment horizontal="center" vertical="center" wrapText="1"/>
    </xf>
    <xf numFmtId="168" fontId="6" fillId="0"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167" fontId="17" fillId="0" borderId="1" xfId="14" applyNumberFormat="1" applyFont="1" applyFill="1" applyBorder="1" applyAlignment="1">
      <alignment horizontal="center" vertical="center" wrapText="1"/>
    </xf>
    <xf numFmtId="0" fontId="6" fillId="0" borderId="1" xfId="0" applyFont="1" applyFill="1" applyBorder="1" applyAlignment="1">
      <alignment wrapText="1"/>
    </xf>
    <xf numFmtId="0" fontId="6" fillId="2" borderId="1" xfId="31" applyFont="1" applyFill="1" applyBorder="1" applyAlignment="1">
      <alignment horizontal="center" vertical="center" wrapText="1"/>
    </xf>
    <xf numFmtId="0" fontId="6" fillId="2" borderId="1" xfId="31" applyFont="1" applyFill="1" applyBorder="1" applyAlignment="1">
      <alignment horizontal="center" vertical="center"/>
    </xf>
    <xf numFmtId="168" fontId="6" fillId="0" borderId="1" xfId="0" applyNumberFormat="1" applyFont="1" applyFill="1" applyBorder="1" applyAlignment="1">
      <alignment horizontal="center" vertical="center"/>
    </xf>
    <xf numFmtId="168" fontId="6" fillId="2" borderId="1" xfId="0" applyNumberFormat="1" applyFont="1" applyFill="1" applyBorder="1" applyAlignment="1">
      <alignment horizontal="center" vertical="center" wrapText="1"/>
    </xf>
    <xf numFmtId="168" fontId="18" fillId="0" borderId="1" xfId="0" applyNumberFormat="1" applyFont="1" applyFill="1" applyBorder="1" applyAlignment="1">
      <alignment horizontal="center" vertical="center" wrapText="1"/>
    </xf>
    <xf numFmtId="0" fontId="18" fillId="5" borderId="1" xfId="5" applyFont="1" applyFill="1" applyBorder="1" applyAlignment="1">
      <alignment horizontal="left" vertical="center" wrapText="1"/>
    </xf>
    <xf numFmtId="4" fontId="6" fillId="0" borderId="1" xfId="0" applyNumberFormat="1" applyFont="1" applyFill="1" applyBorder="1" applyAlignment="1">
      <alignment horizontal="center" vertical="center" wrapText="1"/>
    </xf>
    <xf numFmtId="0" fontId="6" fillId="2" borderId="1" xfId="5" applyFont="1" applyFill="1" applyBorder="1" applyAlignment="1">
      <alignment horizontal="center" vertical="center" wrapText="1"/>
    </xf>
    <xf numFmtId="0" fontId="6" fillId="0" borderId="1" xfId="5" applyFont="1" applyFill="1" applyBorder="1" applyAlignment="1">
      <alignment horizontal="center" vertical="center" wrapText="1"/>
    </xf>
    <xf numFmtId="168" fontId="5" fillId="2" borderId="1" xfId="0" applyNumberFormat="1" applyFont="1" applyFill="1" applyBorder="1" applyAlignment="1">
      <alignment horizontal="center" vertical="center" wrapText="1"/>
    </xf>
    <xf numFmtId="0" fontId="10" fillId="0" borderId="1" xfId="0" applyFont="1" applyFill="1" applyBorder="1"/>
    <xf numFmtId="0" fontId="10" fillId="0" borderId="1" xfId="0" applyFont="1" applyBorder="1" applyAlignment="1">
      <alignment horizontal="center" vertical="center" wrapText="1"/>
    </xf>
    <xf numFmtId="16" fontId="10" fillId="0" borderId="1" xfId="0" applyNumberFormat="1" applyFont="1" applyBorder="1" applyAlignment="1">
      <alignment horizontal="left" vertical="center" wrapText="1"/>
    </xf>
    <xf numFmtId="0" fontId="6" fillId="0" borderId="1" xfId="0" applyFont="1" applyFill="1" applyBorder="1" applyAlignment="1">
      <alignment vertical="top"/>
    </xf>
    <xf numFmtId="2" fontId="6"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xf>
    <xf numFmtId="167" fontId="5" fillId="0" borderId="1" xfId="0" applyNumberFormat="1" applyFont="1" applyFill="1" applyBorder="1" applyAlignment="1">
      <alignment horizontal="center" vertical="center"/>
    </xf>
    <xf numFmtId="0" fontId="6" fillId="0" borderId="1" xfId="0" applyFont="1" applyFill="1" applyBorder="1" applyAlignment="1">
      <alignment horizontal="right" vertical="center" wrapText="1"/>
    </xf>
    <xf numFmtId="0" fontId="21" fillId="0"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10" fillId="0" borderId="1" xfId="0" applyFont="1" applyFill="1" applyBorder="1" applyAlignment="1">
      <alignment vertical="center" wrapText="1"/>
    </xf>
    <xf numFmtId="0" fontId="5" fillId="3" borderId="1" xfId="0" applyFont="1" applyFill="1" applyBorder="1" applyAlignment="1">
      <alignment horizontal="center" vertical="center"/>
    </xf>
    <xf numFmtId="168" fontId="6" fillId="2" borderId="1" xfId="0" applyNumberFormat="1" applyFont="1" applyFill="1" applyBorder="1" applyAlignment="1">
      <alignment horizontal="center" vertical="center"/>
    </xf>
    <xf numFmtId="1" fontId="6" fillId="2" borderId="1" xfId="0" applyNumberFormat="1" applyFont="1" applyFill="1" applyBorder="1" applyAlignment="1">
      <alignment horizontal="center" vertical="center"/>
    </xf>
    <xf numFmtId="168" fontId="10" fillId="0"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26" fillId="2" borderId="1" xfId="0" applyFont="1" applyFill="1" applyBorder="1" applyAlignment="1">
      <alignment horizontal="center" vertical="center" wrapText="1"/>
    </xf>
    <xf numFmtId="172" fontId="10" fillId="2" borderId="1" xfId="0" applyNumberFormat="1" applyFont="1" applyFill="1" applyBorder="1" applyAlignment="1">
      <alignment horizontal="center" vertical="center"/>
    </xf>
    <xf numFmtId="181" fontId="10" fillId="0" borderId="1" xfId="26" applyNumberFormat="1" applyFont="1" applyFill="1" applyBorder="1" applyAlignment="1">
      <alignment horizontal="center" vertical="center"/>
    </xf>
    <xf numFmtId="0" fontId="10" fillId="4" borderId="1" xfId="0" applyFont="1" applyFill="1" applyBorder="1" applyAlignment="1">
      <alignment horizontal="center" vertical="center"/>
    </xf>
    <xf numFmtId="167" fontId="5" fillId="0" borderId="1" xfId="14" applyNumberFormat="1" applyFont="1" applyFill="1" applyBorder="1" applyAlignment="1">
      <alignment horizontal="center"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167" fontId="18" fillId="0" borderId="1" xfId="0" applyNumberFormat="1" applyFont="1" applyFill="1" applyBorder="1" applyAlignment="1">
      <alignment horizontal="center" vertical="center" wrapText="1"/>
    </xf>
    <xf numFmtId="167" fontId="5" fillId="0" borderId="1" xfId="5" applyNumberFormat="1" applyFont="1" applyBorder="1" applyAlignment="1">
      <alignment horizontal="center" vertical="center" wrapText="1"/>
    </xf>
    <xf numFmtId="181" fontId="10" fillId="0" borderId="1" xfId="26" applyNumberFormat="1" applyFont="1" applyBorder="1" applyAlignment="1">
      <alignment vertical="center" wrapText="1"/>
    </xf>
    <xf numFmtId="167" fontId="6" fillId="0" borderId="1" xfId="0" applyNumberFormat="1" applyFont="1" applyBorder="1" applyAlignment="1">
      <alignment horizontal="center"/>
    </xf>
    <xf numFmtId="0" fontId="6" fillId="2" borderId="1" xfId="0" applyFont="1" applyFill="1" applyBorder="1" applyAlignment="1">
      <alignment horizontal="left" vertical="top" wrapText="1"/>
    </xf>
    <xf numFmtId="168" fontId="18" fillId="0" borderId="1" xfId="184" applyNumberFormat="1" applyFont="1" applyBorder="1" applyAlignment="1">
      <alignment horizontal="center" vertical="center" wrapText="1"/>
    </xf>
    <xf numFmtId="0" fontId="18" fillId="2" borderId="1" xfId="0" applyFont="1" applyFill="1" applyBorder="1" applyAlignment="1">
      <alignment horizontal="center" vertical="center" wrapText="1"/>
    </xf>
    <xf numFmtId="49" fontId="18" fillId="0" borderId="1" xfId="184" applyNumberFormat="1" applyFont="1" applyBorder="1" applyAlignment="1">
      <alignment horizontal="center" vertical="center"/>
    </xf>
    <xf numFmtId="167" fontId="5" fillId="2" borderId="1" xfId="0" applyNumberFormat="1" applyFont="1" applyFill="1" applyBorder="1" applyAlignment="1">
      <alignment horizontal="center" vertical="center"/>
    </xf>
    <xf numFmtId="0" fontId="5" fillId="2" borderId="1" xfId="5" applyFont="1" applyFill="1" applyBorder="1" applyAlignment="1">
      <alignment horizontal="center" vertical="center"/>
    </xf>
    <xf numFmtId="0" fontId="5" fillId="2" borderId="1" xfId="5" applyFont="1" applyFill="1" applyBorder="1" applyAlignment="1">
      <alignment horizontal="left" vertical="center" wrapText="1"/>
    </xf>
    <xf numFmtId="168" fontId="5" fillId="2" borderId="1" xfId="5" applyNumberFormat="1" applyFont="1" applyFill="1" applyBorder="1" applyAlignment="1">
      <alignment horizontal="center" vertical="center" wrapText="1"/>
    </xf>
    <xf numFmtId="0" fontId="5" fillId="2" borderId="1" xfId="5" applyFont="1" applyFill="1" applyBorder="1" applyAlignment="1">
      <alignment horizontal="center" vertical="center" wrapText="1"/>
    </xf>
    <xf numFmtId="167" fontId="5" fillId="2" borderId="1" xfId="5" applyNumberFormat="1" applyFont="1" applyFill="1" applyBorder="1" applyAlignment="1">
      <alignment horizontal="center" vertical="center" wrapText="1"/>
    </xf>
    <xf numFmtId="3" fontId="6" fillId="2" borderId="1" xfId="5" applyNumberFormat="1" applyFont="1" applyFill="1" applyBorder="1" applyAlignment="1">
      <alignment horizontal="center" vertical="center" wrapText="1"/>
    </xf>
    <xf numFmtId="0" fontId="6" fillId="2" borderId="1" xfId="5" applyFont="1" applyFill="1" applyBorder="1" applyAlignment="1">
      <alignment vertical="center" wrapText="1"/>
    </xf>
    <xf numFmtId="0" fontId="10" fillId="2" borderId="1" xfId="5" applyFont="1" applyFill="1" applyBorder="1" applyAlignment="1">
      <alignment horizontal="center" vertical="center" wrapText="1"/>
    </xf>
    <xf numFmtId="167" fontId="10" fillId="2" borderId="1" xfId="5" applyNumberFormat="1" applyFont="1" applyFill="1" applyBorder="1" applyAlignment="1">
      <alignment horizontal="center" vertical="center" wrapText="1"/>
    </xf>
    <xf numFmtId="167" fontId="5" fillId="3" borderId="1" xfId="5" applyNumberFormat="1" applyFont="1" applyFill="1" applyBorder="1" applyAlignment="1">
      <alignment horizontal="center"/>
    </xf>
    <xf numFmtId="0" fontId="6" fillId="3" borderId="1" xfId="5" applyFont="1" applyFill="1" applyBorder="1" applyAlignment="1">
      <alignment vertical="center"/>
    </xf>
    <xf numFmtId="167" fontId="6" fillId="0" borderId="1" xfId="0" applyNumberFormat="1" applyFont="1" applyFill="1" applyBorder="1" applyAlignment="1">
      <alignment vertical="center" wrapText="1"/>
    </xf>
    <xf numFmtId="9" fontId="6" fillId="2" borderId="1" xfId="43" applyFont="1" applyFill="1" applyBorder="1" applyAlignment="1">
      <alignment horizontal="center" vertical="center" wrapText="1"/>
    </xf>
    <xf numFmtId="9" fontId="5" fillId="0" borderId="1" xfId="43" applyFont="1" applyFill="1" applyBorder="1" applyAlignment="1">
      <alignment horizontal="center" vertical="center" wrapText="1"/>
    </xf>
    <xf numFmtId="9" fontId="5" fillId="0" borderId="1" xfId="43" applyNumberFormat="1" applyFont="1" applyFill="1" applyBorder="1" applyAlignment="1">
      <alignment horizontal="center" vertical="center" wrapText="1"/>
    </xf>
    <xf numFmtId="167" fontId="17" fillId="0" borderId="1" xfId="0" applyNumberFormat="1" applyFont="1" applyFill="1" applyBorder="1" applyAlignment="1">
      <alignment horizontal="center" vertical="center" wrapText="1"/>
    </xf>
    <xf numFmtId="0" fontId="17" fillId="2" borderId="1" xfId="0" applyFont="1" applyFill="1" applyBorder="1" applyAlignment="1">
      <alignment horizontal="center" vertical="center" wrapText="1"/>
    </xf>
    <xf numFmtId="0" fontId="6" fillId="2" borderId="1" xfId="6" applyFont="1" applyFill="1" applyBorder="1" applyAlignment="1">
      <alignment vertical="top" wrapText="1"/>
    </xf>
    <xf numFmtId="0" fontId="18" fillId="2" borderId="1" xfId="185" applyFont="1" applyFill="1" applyBorder="1" applyAlignment="1">
      <alignment vertical="center" wrapText="1"/>
    </xf>
    <xf numFmtId="185" fontId="18" fillId="2" borderId="1" xfId="5" applyNumberFormat="1" applyFont="1" applyFill="1" applyBorder="1" applyAlignment="1">
      <alignment horizontal="center" vertical="center"/>
    </xf>
    <xf numFmtId="167" fontId="10" fillId="5" borderId="1" xfId="0" applyNumberFormat="1" applyFont="1" applyFill="1" applyBorder="1" applyAlignment="1">
      <alignment horizontal="center" vertical="center" wrapText="1"/>
    </xf>
    <xf numFmtId="181" fontId="5" fillId="2" borderId="1" xfId="28" applyNumberFormat="1" applyFont="1" applyFill="1" applyBorder="1" applyAlignment="1">
      <alignment vertical="center" wrapText="1"/>
    </xf>
    <xf numFmtId="181" fontId="6" fillId="2" borderId="1" xfId="28" applyNumberFormat="1" applyFont="1" applyFill="1" applyBorder="1" applyAlignment="1">
      <alignment vertical="center" wrapText="1"/>
    </xf>
    <xf numFmtId="0" fontId="5" fillId="0" borderId="1" xfId="6" applyFont="1" applyFill="1" applyBorder="1" applyAlignment="1">
      <alignment vertical="center" wrapText="1"/>
    </xf>
    <xf numFmtId="186" fontId="5" fillId="2" borderId="1" xfId="0" applyNumberFormat="1" applyFont="1" applyFill="1" applyBorder="1" applyAlignment="1">
      <alignment horizontal="center" vertical="center" wrapText="1"/>
    </xf>
    <xf numFmtId="186" fontId="6" fillId="2" borderId="1" xfId="0" applyNumberFormat="1" applyFont="1" applyFill="1" applyBorder="1" applyAlignment="1">
      <alignment horizontal="center" vertical="center" wrapText="1"/>
    </xf>
    <xf numFmtId="167" fontId="6" fillId="0" borderId="1" xfId="0" applyNumberFormat="1" applyFont="1" applyFill="1" applyBorder="1" applyAlignment="1">
      <alignment horizontal="center" vertical="center"/>
    </xf>
    <xf numFmtId="49" fontId="6" fillId="0" borderId="1" xfId="0" applyNumberFormat="1" applyFont="1" applyFill="1" applyBorder="1" applyAlignment="1">
      <alignment vertical="center"/>
    </xf>
    <xf numFmtId="167" fontId="9" fillId="0" borderId="1" xfId="14" applyNumberFormat="1" applyFont="1" applyFill="1" applyBorder="1" applyAlignment="1">
      <alignment horizontal="center" vertical="center" wrapText="1"/>
    </xf>
    <xf numFmtId="181" fontId="9" fillId="0" borderId="1" xfId="26" applyNumberFormat="1" applyFont="1" applyBorder="1" applyAlignment="1">
      <alignment vertical="center" wrapText="1"/>
    </xf>
    <xf numFmtId="170" fontId="5" fillId="0" borderId="1" xfId="5" applyNumberFormat="1" applyFont="1" applyBorder="1" applyAlignment="1">
      <alignment horizontal="right" vertical="center"/>
    </xf>
    <xf numFmtId="167" fontId="6" fillId="2" borderId="1" xfId="0" applyNumberFormat="1" applyFont="1" applyFill="1" applyBorder="1" applyAlignment="1">
      <alignment horizontal="center" vertical="top" wrapText="1"/>
    </xf>
    <xf numFmtId="2" fontId="6" fillId="2" borderId="1" xfId="0" applyNumberFormat="1" applyFont="1" applyFill="1" applyBorder="1" applyAlignment="1">
      <alignment horizontal="center" vertical="center" wrapText="1"/>
    </xf>
    <xf numFmtId="4" fontId="6" fillId="2" borderId="1" xfId="0" applyNumberFormat="1" applyFont="1" applyFill="1" applyBorder="1" applyAlignment="1">
      <alignment horizontal="center" vertical="center" wrapText="1"/>
    </xf>
    <xf numFmtId="168" fontId="6" fillId="2" borderId="23" xfId="0" applyNumberFormat="1" applyFont="1" applyFill="1" applyBorder="1" applyAlignment="1">
      <alignment horizontal="center" vertical="center" wrapText="1"/>
    </xf>
    <xf numFmtId="0" fontId="6" fillId="2" borderId="23" xfId="0" applyFont="1" applyFill="1" applyBorder="1" applyAlignment="1">
      <alignment horizontal="center" vertical="center"/>
    </xf>
    <xf numFmtId="168" fontId="6" fillId="0" borderId="23" xfId="0" applyNumberFormat="1" applyFont="1" applyFill="1" applyBorder="1" applyAlignment="1">
      <alignment horizontal="center" vertical="center" wrapText="1"/>
    </xf>
    <xf numFmtId="0" fontId="5" fillId="3" borderId="23" xfId="0" applyFont="1" applyFill="1" applyBorder="1" applyAlignment="1">
      <alignment horizontal="center" vertical="center"/>
    </xf>
    <xf numFmtId="0" fontId="10" fillId="4" borderId="23" xfId="0" applyFont="1" applyFill="1" applyBorder="1" applyAlignment="1">
      <alignment horizontal="center" vertical="center"/>
    </xf>
    <xf numFmtId="0" fontId="10" fillId="0" borderId="23" xfId="0" applyFont="1" applyFill="1" applyBorder="1" applyAlignment="1">
      <alignment horizontal="center" vertical="center" wrapText="1"/>
    </xf>
    <xf numFmtId="168" fontId="10" fillId="0" borderId="23" xfId="0" applyNumberFormat="1" applyFont="1" applyFill="1" applyBorder="1" applyAlignment="1">
      <alignment horizontal="center" vertical="center" wrapText="1"/>
    </xf>
    <xf numFmtId="168" fontId="6" fillId="0" borderId="23" xfId="0" applyNumberFormat="1" applyFont="1" applyFill="1" applyBorder="1" applyAlignment="1">
      <alignment horizontal="center" vertical="center"/>
    </xf>
    <xf numFmtId="2" fontId="6" fillId="0" borderId="23" xfId="0" applyNumberFormat="1" applyFont="1" applyFill="1" applyBorder="1" applyAlignment="1">
      <alignment horizontal="center" vertical="center"/>
    </xf>
    <xf numFmtId="167" fontId="5" fillId="0" borderId="23" xfId="0" applyNumberFormat="1" applyFont="1" applyFill="1" applyBorder="1" applyAlignment="1">
      <alignment horizontal="center" vertical="center"/>
    </xf>
    <xf numFmtId="168" fontId="6" fillId="2" borderId="23" xfId="0" applyNumberFormat="1" applyFont="1" applyFill="1" applyBorder="1" applyAlignment="1">
      <alignment horizontal="center" vertical="center"/>
    </xf>
    <xf numFmtId="1" fontId="6" fillId="2" borderId="23" xfId="0" applyNumberFormat="1" applyFont="1" applyFill="1" applyBorder="1" applyAlignment="1">
      <alignment horizontal="center" vertical="center"/>
    </xf>
    <xf numFmtId="0" fontId="26" fillId="2" borderId="23" xfId="0" applyFont="1" applyFill="1" applyBorder="1" applyAlignment="1">
      <alignment horizontal="center" vertical="center" wrapText="1"/>
    </xf>
    <xf numFmtId="0" fontId="10" fillId="0" borderId="23" xfId="0" applyFont="1" applyBorder="1" applyAlignment="1">
      <alignment horizontal="center" vertical="center"/>
    </xf>
    <xf numFmtId="167" fontId="17" fillId="3" borderId="24" xfId="0" applyNumberFormat="1" applyFont="1" applyFill="1" applyBorder="1" applyAlignment="1">
      <alignment horizontal="center"/>
    </xf>
    <xf numFmtId="0" fontId="9" fillId="0" borderId="1" xfId="0" applyFont="1" applyFill="1" applyBorder="1" applyAlignment="1">
      <alignment vertical="center" wrapText="1"/>
    </xf>
    <xf numFmtId="49" fontId="6" fillId="2" borderId="3" xfId="5" applyNumberFormat="1" applyFont="1" applyFill="1" applyBorder="1" applyAlignment="1">
      <alignment vertical="center"/>
    </xf>
    <xf numFmtId="49" fontId="6" fillId="2" borderId="8" xfId="5" applyNumberFormat="1" applyFont="1" applyFill="1" applyBorder="1" applyAlignment="1">
      <alignment vertical="center"/>
    </xf>
    <xf numFmtId="0" fontId="6" fillId="2" borderId="23" xfId="0" applyFont="1" applyFill="1" applyBorder="1" applyAlignment="1">
      <alignment horizontal="center" vertical="center" wrapText="1"/>
    </xf>
    <xf numFmtId="172" fontId="10" fillId="2" borderId="1" xfId="0" applyNumberFormat="1" applyFont="1" applyFill="1" applyBorder="1" applyAlignment="1">
      <alignment vertical="center" wrapText="1"/>
    </xf>
    <xf numFmtId="172" fontId="10" fillId="2" borderId="1" xfId="0" applyNumberFormat="1" applyFont="1" applyFill="1" applyBorder="1" applyAlignment="1">
      <alignment horizontal="center" vertical="center" wrapText="1"/>
    </xf>
    <xf numFmtId="172" fontId="9" fillId="2" borderId="1" xfId="0" applyNumberFormat="1" applyFont="1" applyFill="1" applyBorder="1" applyAlignment="1">
      <alignment vertical="center" wrapText="1"/>
    </xf>
    <xf numFmtId="49" fontId="6" fillId="2" borderId="3" xfId="5" applyNumberFormat="1" applyFont="1" applyFill="1" applyBorder="1" applyAlignment="1">
      <alignment horizontal="center" vertical="center"/>
    </xf>
    <xf numFmtId="49" fontId="6" fillId="2" borderId="8" xfId="5" applyNumberFormat="1" applyFont="1" applyFill="1" applyBorder="1" applyAlignment="1">
      <alignment horizontal="center" vertical="center"/>
    </xf>
    <xf numFmtId="0" fontId="6" fillId="2" borderId="1" xfId="5" applyFont="1" applyFill="1" applyBorder="1" applyAlignment="1">
      <alignment horizontal="center" vertical="center"/>
    </xf>
    <xf numFmtId="0" fontId="6" fillId="2" borderId="1" xfId="5" applyFont="1" applyFill="1" applyBorder="1" applyAlignment="1">
      <alignment horizontal="left" vertical="center" wrapText="1"/>
    </xf>
    <xf numFmtId="49" fontId="6" fillId="2" borderId="1" xfId="5" applyNumberFormat="1" applyFont="1" applyFill="1" applyBorder="1" applyAlignment="1">
      <alignment horizontal="center" vertical="center"/>
    </xf>
    <xf numFmtId="167" fontId="5" fillId="3" borderId="1" xfId="5" applyNumberFormat="1" applyFont="1" applyFill="1" applyBorder="1"/>
    <xf numFmtId="168" fontId="6" fillId="2" borderId="1" xfId="5" applyNumberFormat="1" applyFont="1" applyFill="1" applyBorder="1" applyAlignment="1">
      <alignment horizontal="center" vertical="center" wrapText="1"/>
    </xf>
    <xf numFmtId="49" fontId="5" fillId="2" borderId="3"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0" fontId="10" fillId="2" borderId="1" xfId="5" applyFont="1" applyFill="1" applyBorder="1" applyAlignment="1">
      <alignment horizontal="left" vertical="center" wrapText="1"/>
    </xf>
    <xf numFmtId="0" fontId="10" fillId="2" borderId="1" xfId="5" applyFont="1" applyFill="1" applyBorder="1" applyAlignment="1">
      <alignment vertical="center" wrapText="1"/>
    </xf>
    <xf numFmtId="0" fontId="9" fillId="2" borderId="1" xfId="5" applyFont="1" applyFill="1" applyBorder="1" applyAlignment="1">
      <alignment vertical="center" wrapText="1"/>
    </xf>
    <xf numFmtId="0" fontId="58" fillId="0" borderId="23" xfId="0" applyFont="1" applyFill="1" applyBorder="1" applyAlignment="1">
      <alignment horizontal="center" vertical="center" wrapText="1"/>
    </xf>
    <xf numFmtId="0" fontId="58" fillId="0" borderId="1" xfId="0" applyFont="1" applyFill="1" applyBorder="1" applyAlignment="1">
      <alignment horizontal="center" vertical="center" wrapText="1"/>
    </xf>
    <xf numFmtId="0" fontId="58" fillId="0" borderId="1" xfId="0" applyFont="1" applyFill="1" applyBorder="1" applyAlignment="1">
      <alignment vertical="center" wrapText="1"/>
    </xf>
    <xf numFmtId="49" fontId="10" fillId="0" borderId="1" xfId="0" applyNumberFormat="1" applyFont="1" applyFill="1" applyBorder="1" applyAlignment="1">
      <alignment vertical="center"/>
    </xf>
    <xf numFmtId="0" fontId="5" fillId="0" borderId="1" xfId="0" applyNumberFormat="1" applyFont="1" applyFill="1" applyBorder="1" applyAlignment="1">
      <alignment horizontal="center" vertical="center"/>
    </xf>
    <xf numFmtId="0" fontId="10" fillId="0" borderId="23" xfId="12" applyFont="1" applyFill="1" applyBorder="1" applyAlignment="1">
      <alignment horizontal="center" vertical="center"/>
    </xf>
    <xf numFmtId="0" fontId="10" fillId="0" borderId="1" xfId="12" applyFont="1" applyFill="1" applyBorder="1" applyAlignment="1">
      <alignment horizontal="center" vertical="center"/>
    </xf>
    <xf numFmtId="3" fontId="10" fillId="0" borderId="1" xfId="12" applyNumberFormat="1" applyFont="1" applyFill="1" applyBorder="1" applyAlignment="1">
      <alignment horizontal="center" vertical="center" wrapText="1"/>
    </xf>
    <xf numFmtId="179" fontId="6" fillId="0" borderId="1" xfId="0" applyNumberFormat="1" applyFont="1" applyFill="1" applyBorder="1" applyAlignment="1">
      <alignment horizontal="center" vertical="center"/>
    </xf>
    <xf numFmtId="0" fontId="10" fillId="0" borderId="23" xfId="0" applyFont="1" applyFill="1" applyBorder="1" applyAlignment="1">
      <alignment horizontal="center" vertical="center"/>
    </xf>
    <xf numFmtId="0" fontId="10" fillId="0" borderId="1" xfId="0" applyFont="1" applyFill="1" applyBorder="1" applyAlignment="1">
      <alignment vertical="top" wrapText="1"/>
    </xf>
    <xf numFmtId="0" fontId="10" fillId="0" borderId="23" xfId="13" applyFont="1" applyFill="1" applyBorder="1" applyAlignment="1">
      <alignment horizontal="center" vertical="center"/>
    </xf>
    <xf numFmtId="0" fontId="10" fillId="0" borderId="1" xfId="13" applyFont="1" applyFill="1" applyBorder="1" applyAlignment="1">
      <alignment horizontal="center" vertical="center"/>
    </xf>
    <xf numFmtId="3" fontId="10" fillId="0" borderId="1" xfId="13" applyNumberFormat="1" applyFont="1" applyFill="1" applyBorder="1" applyAlignment="1">
      <alignment horizontal="center" vertical="center" wrapText="1"/>
    </xf>
    <xf numFmtId="0" fontId="10" fillId="0" borderId="1" xfId="13" applyFont="1" applyFill="1" applyBorder="1" applyAlignment="1">
      <alignment horizontal="center" vertical="center" wrapText="1"/>
    </xf>
    <xf numFmtId="0" fontId="10" fillId="0" borderId="1" xfId="13" applyFont="1" applyFill="1" applyBorder="1" applyAlignment="1">
      <alignment vertical="top" wrapText="1"/>
    </xf>
    <xf numFmtId="3" fontId="10" fillId="0" borderId="23" xfId="0" applyNumberFormat="1" applyFont="1" applyFill="1" applyBorder="1" applyAlignment="1">
      <alignment horizontal="center" vertical="center" wrapText="1"/>
    </xf>
    <xf numFmtId="3" fontId="10" fillId="0" borderId="1" xfId="0" applyNumberFormat="1" applyFont="1" applyFill="1" applyBorder="1" applyAlignment="1">
      <alignment horizontal="center" vertical="center" wrapText="1"/>
    </xf>
    <xf numFmtId="0" fontId="10" fillId="0" borderId="1" xfId="0" applyFont="1" applyFill="1" applyBorder="1" applyAlignment="1">
      <alignment horizontal="left" wrapText="1"/>
    </xf>
    <xf numFmtId="0" fontId="10" fillId="0" borderId="1" xfId="0" applyFont="1" applyFill="1" applyBorder="1" applyAlignment="1">
      <alignment horizontal="left" vertical="top" wrapText="1"/>
    </xf>
    <xf numFmtId="167" fontId="6" fillId="0" borderId="1" xfId="7" applyNumberFormat="1" applyFont="1" applyFill="1" applyBorder="1" applyAlignment="1">
      <alignment horizontal="center" vertical="center" wrapText="1"/>
    </xf>
    <xf numFmtId="167" fontId="6" fillId="0" borderId="1" xfId="7" applyNumberFormat="1" applyFont="1" applyFill="1" applyBorder="1" applyAlignment="1">
      <alignment horizontal="center" wrapText="1"/>
    </xf>
    <xf numFmtId="0" fontId="10" fillId="0" borderId="1" xfId="0" applyFont="1" applyFill="1" applyBorder="1" applyAlignment="1">
      <alignment horizontal="center" vertical="top"/>
    </xf>
    <xf numFmtId="49" fontId="9" fillId="0" borderId="1" xfId="0" applyNumberFormat="1" applyFont="1" applyFill="1" applyBorder="1" applyAlignment="1">
      <alignment horizontal="center" vertical="top" wrapText="1"/>
    </xf>
    <xf numFmtId="0" fontId="6" fillId="0" borderId="1" xfId="0" applyFont="1" applyFill="1" applyBorder="1" applyAlignment="1">
      <alignment horizontal="center" wrapText="1"/>
    </xf>
    <xf numFmtId="3" fontId="10" fillId="0" borderId="1" xfId="0" applyNumberFormat="1" applyFont="1" applyFill="1" applyBorder="1" applyAlignment="1">
      <alignment horizontal="center" vertical="center"/>
    </xf>
    <xf numFmtId="167" fontId="10" fillId="0" borderId="1" xfId="0" applyNumberFormat="1" applyFont="1" applyFill="1" applyBorder="1" applyAlignment="1">
      <alignment horizontal="center" vertical="center"/>
    </xf>
    <xf numFmtId="49" fontId="10" fillId="0" borderId="23"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167" fontId="5" fillId="0" borderId="7" xfId="0" applyNumberFormat="1" applyFont="1" applyFill="1" applyBorder="1" applyAlignment="1">
      <alignment horizontal="center" vertical="center" wrapText="1"/>
    </xf>
    <xf numFmtId="0" fontId="9" fillId="0" borderId="1" xfId="0" applyFont="1" applyFill="1" applyBorder="1" applyAlignment="1">
      <alignment horizontal="left" vertical="top" wrapText="1"/>
    </xf>
    <xf numFmtId="49" fontId="10" fillId="0" borderId="5" xfId="0" applyNumberFormat="1" applyFont="1" applyFill="1" applyBorder="1" applyAlignment="1">
      <alignment horizontal="center" vertical="top"/>
    </xf>
    <xf numFmtId="187" fontId="6" fillId="0" borderId="23" xfId="0" applyNumberFormat="1" applyFont="1" applyFill="1" applyBorder="1" applyAlignment="1">
      <alignment horizontal="center" vertical="center" wrapText="1"/>
    </xf>
    <xf numFmtId="187" fontId="6" fillId="0" borderId="1" xfId="0" applyNumberFormat="1" applyFont="1" applyFill="1" applyBorder="1" applyAlignment="1">
      <alignment horizontal="center" vertical="center" wrapText="1"/>
    </xf>
    <xf numFmtId="0" fontId="6" fillId="0" borderId="3" xfId="5" applyFont="1" applyFill="1" applyBorder="1" applyAlignment="1">
      <alignment vertical="center" wrapText="1"/>
    </xf>
    <xf numFmtId="0" fontId="6" fillId="0" borderId="1" xfId="5" applyFont="1" applyFill="1" applyBorder="1" applyAlignment="1">
      <alignment vertical="center" wrapText="1"/>
    </xf>
    <xf numFmtId="0" fontId="6" fillId="0" borderId="1" xfId="0" applyFont="1" applyFill="1" applyBorder="1" applyAlignment="1">
      <alignment horizontal="right" vertical="center"/>
    </xf>
    <xf numFmtId="0" fontId="10" fillId="0" borderId="1" xfId="0" applyNumberFormat="1" applyFont="1" applyFill="1" applyBorder="1" applyAlignment="1" applyProtection="1">
      <alignment horizontal="left" vertical="center" wrapText="1"/>
    </xf>
    <xf numFmtId="0" fontId="7" fillId="0" borderId="1" xfId="0" applyNumberFormat="1" applyFont="1" applyFill="1" applyBorder="1" applyAlignment="1" applyProtection="1">
      <alignment vertical="center" wrapText="1"/>
    </xf>
    <xf numFmtId="49" fontId="9" fillId="0" borderId="1" xfId="0" applyNumberFormat="1" applyFont="1" applyFill="1" applyBorder="1" applyAlignment="1">
      <alignment horizontal="center" vertical="center" wrapText="1"/>
    </xf>
    <xf numFmtId="49" fontId="10" fillId="0" borderId="1" xfId="0" applyNumberFormat="1" applyFont="1" applyFill="1" applyBorder="1" applyAlignment="1">
      <alignment vertical="center" wrapText="1"/>
    </xf>
    <xf numFmtId="172" fontId="9" fillId="2" borderId="1" xfId="0" applyNumberFormat="1" applyFont="1" applyFill="1" applyBorder="1" applyAlignment="1">
      <alignment horizontal="center" vertical="center" wrapText="1"/>
    </xf>
    <xf numFmtId="0" fontId="10" fillId="0" borderId="0" xfId="0" applyFont="1" applyFill="1" applyAlignment="1">
      <alignment horizontal="justify" vertical="top" wrapText="1"/>
    </xf>
    <xf numFmtId="0" fontId="10" fillId="0" borderId="0" xfId="0" applyFont="1" applyFill="1" applyAlignment="1">
      <alignment horizontal="left" vertical="top" wrapText="1"/>
    </xf>
    <xf numFmtId="0" fontId="10" fillId="2" borderId="3" xfId="0" applyFont="1" applyFill="1" applyBorder="1" applyAlignment="1">
      <alignment horizontal="left" vertical="top" wrapText="1"/>
    </xf>
    <xf numFmtId="0" fontId="10" fillId="0" borderId="8" xfId="0" applyFont="1" applyFill="1" applyBorder="1" applyAlignment="1">
      <alignment horizontal="left" vertical="top" wrapText="1"/>
    </xf>
    <xf numFmtId="17" fontId="10" fillId="2" borderId="3" xfId="0" applyNumberFormat="1" applyFont="1" applyFill="1" applyBorder="1" applyAlignment="1">
      <alignment horizontal="left" vertical="top" wrapText="1"/>
    </xf>
    <xf numFmtId="0" fontId="10" fillId="0" borderId="3"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9" fillId="0" borderId="3" xfId="0" applyFont="1" applyFill="1" applyBorder="1" applyAlignment="1">
      <alignment horizontal="left" vertical="top" wrapText="1"/>
    </xf>
    <xf numFmtId="0" fontId="10" fillId="0" borderId="8" xfId="0" applyFont="1" applyFill="1" applyBorder="1" applyAlignment="1">
      <alignment horizontal="left" vertical="center" wrapText="1"/>
    </xf>
    <xf numFmtId="0" fontId="59" fillId="2" borderId="1" xfId="0" applyFont="1" applyFill="1" applyBorder="1" applyAlignment="1">
      <alignment horizontal="center" vertical="center" wrapText="1"/>
    </xf>
    <xf numFmtId="172" fontId="10" fillId="2" borderId="5" xfId="0" applyNumberFormat="1" applyFont="1" applyFill="1" applyBorder="1" applyAlignment="1">
      <alignment horizontal="center" vertical="center"/>
    </xf>
    <xf numFmtId="172" fontId="9" fillId="2" borderId="1" xfId="0" applyNumberFormat="1" applyFont="1" applyFill="1" applyBorder="1" applyAlignment="1">
      <alignment horizontal="center" vertical="center"/>
    </xf>
    <xf numFmtId="172" fontId="9" fillId="2" borderId="5" xfId="0" applyNumberFormat="1" applyFont="1" applyFill="1" applyBorder="1" applyAlignment="1">
      <alignment horizontal="center" vertical="center"/>
    </xf>
    <xf numFmtId="172" fontId="9" fillId="0" borderId="0" xfId="186" applyNumberFormat="1" applyFont="1" applyAlignment="1">
      <alignment horizontal="center"/>
    </xf>
    <xf numFmtId="188" fontId="9" fillId="0" borderId="0" xfId="186" applyNumberFormat="1" applyFont="1" applyAlignment="1">
      <alignment horizontal="center"/>
    </xf>
    <xf numFmtId="188" fontId="9" fillId="0" borderId="0" xfId="186" applyNumberFormat="1" applyFont="1" applyAlignment="1">
      <alignment horizontal="center" vertical="center"/>
    </xf>
    <xf numFmtId="172" fontId="9" fillId="0" borderId="0" xfId="186" applyNumberFormat="1" applyFont="1" applyAlignment="1">
      <alignment horizontal="left" wrapText="1"/>
    </xf>
    <xf numFmtId="181" fontId="9" fillId="0" borderId="0" xfId="187" applyNumberFormat="1" applyFont="1" applyAlignment="1">
      <alignment vertical="center"/>
    </xf>
    <xf numFmtId="172" fontId="9" fillId="0" borderId="0" xfId="186" applyNumberFormat="1" applyFont="1" applyAlignment="1">
      <alignment horizontal="center" vertical="center"/>
    </xf>
    <xf numFmtId="172" fontId="10" fillId="0" borderId="0" xfId="186" applyNumberFormat="1" applyFont="1"/>
    <xf numFmtId="181" fontId="10" fillId="0" borderId="0" xfId="187" applyNumberFormat="1" applyFont="1" applyAlignment="1"/>
    <xf numFmtId="0" fontId="10" fillId="0" borderId="0" xfId="186" applyFont="1" applyAlignment="1">
      <alignment horizontal="right"/>
    </xf>
    <xf numFmtId="0" fontId="10" fillId="0" borderId="0" xfId="186" applyFont="1" applyBorder="1" applyAlignment="1">
      <alignment horizontal="right" vertical="center"/>
    </xf>
    <xf numFmtId="172" fontId="10" fillId="0" borderId="0" xfId="186" applyNumberFormat="1" applyFont="1" applyAlignment="1">
      <alignment horizontal="center"/>
    </xf>
    <xf numFmtId="0" fontId="9" fillId="3" borderId="1" xfId="187" applyNumberFormat="1" applyFont="1" applyFill="1" applyBorder="1" applyAlignment="1">
      <alignment horizontal="center" vertical="center"/>
    </xf>
    <xf numFmtId="172" fontId="9" fillId="0" borderId="2" xfId="186" applyNumberFormat="1" applyFont="1" applyBorder="1" applyAlignment="1">
      <alignment horizontal="center" vertical="center" wrapText="1"/>
    </xf>
    <xf numFmtId="0" fontId="9" fillId="2" borderId="2" xfId="188" applyFont="1" applyFill="1" applyBorder="1" applyAlignment="1">
      <alignment horizontal="right" vertical="center"/>
    </xf>
    <xf numFmtId="0" fontId="9" fillId="2" borderId="2" xfId="188" applyFont="1" applyFill="1" applyBorder="1" applyAlignment="1">
      <alignment vertical="center" wrapText="1"/>
    </xf>
    <xf numFmtId="0" fontId="5" fillId="2" borderId="2" xfId="186" applyFont="1" applyFill="1" applyBorder="1" applyAlignment="1">
      <alignment horizontal="center" vertical="center" wrapText="1"/>
    </xf>
    <xf numFmtId="0" fontId="6" fillId="2" borderId="2" xfId="186" applyFont="1" applyFill="1" applyBorder="1" applyAlignment="1">
      <alignment horizontal="center" vertical="center" wrapText="1"/>
    </xf>
    <xf numFmtId="172" fontId="9" fillId="4" borderId="0" xfId="186" applyNumberFormat="1" applyFont="1" applyFill="1" applyBorder="1" applyAlignment="1">
      <alignment horizontal="left" vertical="center" wrapText="1"/>
    </xf>
    <xf numFmtId="0" fontId="6" fillId="2" borderId="1" xfId="186" applyFont="1" applyFill="1" applyBorder="1" applyAlignment="1">
      <alignment horizontal="center" vertical="center" wrapText="1"/>
    </xf>
    <xf numFmtId="0" fontId="10" fillId="2" borderId="1" xfId="189" applyFont="1" applyFill="1" applyBorder="1" applyAlignment="1">
      <alignment horizontal="left" vertical="center" wrapText="1"/>
    </xf>
    <xf numFmtId="0" fontId="6" fillId="2" borderId="3" xfId="186" applyFont="1" applyFill="1" applyBorder="1" applyAlignment="1">
      <alignment horizontal="center" vertical="center" wrapText="1"/>
    </xf>
    <xf numFmtId="172" fontId="5" fillId="3" borderId="1" xfId="186" applyNumberFormat="1" applyFont="1" applyFill="1" applyBorder="1" applyAlignment="1">
      <alignment horizontal="center" vertical="center"/>
    </xf>
    <xf numFmtId="0" fontId="6" fillId="3" borderId="1" xfId="186" applyFont="1" applyFill="1" applyBorder="1"/>
    <xf numFmtId="177" fontId="5" fillId="4" borderId="1" xfId="186" applyNumberFormat="1" applyFont="1" applyFill="1" applyBorder="1" applyAlignment="1">
      <alignment horizontal="center" vertical="center"/>
    </xf>
    <xf numFmtId="177" fontId="5" fillId="4" borderId="23" xfId="186" applyNumberFormat="1" applyFont="1" applyFill="1" applyBorder="1" applyAlignment="1">
      <alignment horizontal="center" vertical="center"/>
    </xf>
    <xf numFmtId="49" fontId="5" fillId="0" borderId="1" xfId="186" applyNumberFormat="1" applyFont="1" applyFill="1" applyBorder="1" applyAlignment="1">
      <alignment horizontal="center" vertical="center"/>
    </xf>
    <xf numFmtId="171" fontId="53" fillId="0" borderId="1" xfId="186" applyNumberFormat="1" applyFont="1" applyFill="1" applyBorder="1" applyAlignment="1">
      <alignment horizontal="center" vertical="center" wrapText="1"/>
    </xf>
    <xf numFmtId="0" fontId="53" fillId="0" borderId="1" xfId="186" applyFont="1" applyFill="1" applyBorder="1" applyAlignment="1">
      <alignment horizontal="center" vertical="center" wrapText="1"/>
    </xf>
    <xf numFmtId="0" fontId="53" fillId="2" borderId="1" xfId="186" applyFont="1" applyFill="1" applyBorder="1" applyAlignment="1">
      <alignment horizontal="center" vertical="center" wrapText="1"/>
    </xf>
    <xf numFmtId="0" fontId="53" fillId="2" borderId="23" xfId="186" applyFont="1" applyFill="1" applyBorder="1" applyAlignment="1">
      <alignment horizontal="center" vertical="center" wrapText="1"/>
    </xf>
    <xf numFmtId="49" fontId="6" fillId="0" borderId="1" xfId="186" applyNumberFormat="1" applyFont="1" applyFill="1" applyBorder="1" applyAlignment="1">
      <alignment horizontal="center" vertical="center"/>
    </xf>
    <xf numFmtId="0" fontId="6" fillId="0" borderId="1" xfId="186" applyFont="1" applyFill="1" applyBorder="1" applyAlignment="1">
      <alignment vertical="center" wrapText="1"/>
    </xf>
    <xf numFmtId="167" fontId="6" fillId="2" borderId="1" xfId="186" applyNumberFormat="1" applyFont="1" applyFill="1" applyBorder="1" applyAlignment="1">
      <alignment horizontal="center" vertical="center" wrapText="1"/>
    </xf>
    <xf numFmtId="0" fontId="6" fillId="2" borderId="1" xfId="186" applyFont="1" applyFill="1" applyBorder="1" applyAlignment="1">
      <alignment horizontal="left" vertical="center" wrapText="1"/>
    </xf>
    <xf numFmtId="0" fontId="6" fillId="2" borderId="1" xfId="44" applyFont="1" applyFill="1" applyBorder="1" applyAlignment="1">
      <alignment horizontal="center" vertical="center" wrapText="1"/>
    </xf>
    <xf numFmtId="176" fontId="6" fillId="2" borderId="1" xfId="186" applyNumberFormat="1" applyFont="1" applyFill="1" applyBorder="1" applyAlignment="1">
      <alignment horizontal="center" vertical="center" wrapText="1"/>
    </xf>
    <xf numFmtId="176" fontId="6" fillId="2" borderId="23" xfId="186" applyNumberFormat="1" applyFont="1" applyFill="1" applyBorder="1" applyAlignment="1">
      <alignment horizontal="center" vertical="center" wrapText="1"/>
    </xf>
    <xf numFmtId="0" fontId="6" fillId="0" borderId="1" xfId="186" applyFont="1" applyFill="1" applyBorder="1" applyAlignment="1">
      <alignment horizontal="center" vertical="center"/>
    </xf>
    <xf numFmtId="0" fontId="6" fillId="0" borderId="1" xfId="44" applyFont="1" applyFill="1" applyBorder="1" applyAlignment="1">
      <alignment horizontal="left" vertical="center" wrapText="1"/>
    </xf>
    <xf numFmtId="0" fontId="6" fillId="2" borderId="1" xfId="186" applyFont="1" applyFill="1" applyBorder="1" applyAlignment="1">
      <alignment vertical="center" wrapText="1"/>
    </xf>
    <xf numFmtId="177" fontId="6" fillId="2" borderId="1" xfId="186" applyNumberFormat="1" applyFont="1" applyFill="1" applyBorder="1" applyAlignment="1">
      <alignment horizontal="center" vertical="center"/>
    </xf>
    <xf numFmtId="177" fontId="6" fillId="2" borderId="23" xfId="186" applyNumberFormat="1" applyFont="1" applyFill="1" applyBorder="1" applyAlignment="1">
      <alignment horizontal="center" vertical="center"/>
    </xf>
    <xf numFmtId="167" fontId="6" fillId="2" borderId="1" xfId="186" applyNumberFormat="1" applyFont="1" applyFill="1" applyBorder="1" applyAlignment="1">
      <alignment horizontal="center" vertical="center"/>
    </xf>
    <xf numFmtId="178" fontId="6" fillId="2" borderId="1" xfId="186" applyNumberFormat="1" applyFont="1" applyFill="1" applyBorder="1" applyAlignment="1">
      <alignment horizontal="center" vertical="center"/>
    </xf>
    <xf numFmtId="178" fontId="6" fillId="2" borderId="23" xfId="186" applyNumberFormat="1" applyFont="1" applyFill="1" applyBorder="1" applyAlignment="1">
      <alignment horizontal="center" vertical="center"/>
    </xf>
    <xf numFmtId="0" fontId="6" fillId="2" borderId="1" xfId="186" applyNumberFormat="1" applyFont="1" applyFill="1" applyBorder="1" applyAlignment="1">
      <alignment horizontal="center" vertical="center"/>
    </xf>
    <xf numFmtId="0" fontId="6" fillId="2" borderId="23" xfId="186" applyNumberFormat="1" applyFont="1" applyFill="1" applyBorder="1" applyAlignment="1">
      <alignment horizontal="center" vertical="center"/>
    </xf>
    <xf numFmtId="0" fontId="6" fillId="0" borderId="1" xfId="190" applyFont="1" applyFill="1" applyBorder="1" applyAlignment="1">
      <alignment vertical="center" wrapText="1"/>
    </xf>
    <xf numFmtId="0" fontId="6" fillId="0" borderId="1" xfId="190" applyFont="1" applyFill="1" applyBorder="1" applyAlignment="1">
      <alignment horizontal="center" vertical="center" wrapText="1"/>
    </xf>
    <xf numFmtId="0" fontId="6" fillId="0" borderId="1" xfId="190" applyFont="1" applyFill="1" applyBorder="1" applyAlignment="1">
      <alignment horizontal="center" vertical="center"/>
    </xf>
    <xf numFmtId="167" fontId="9" fillId="3" borderId="1" xfId="187" applyNumberFormat="1" applyFont="1" applyFill="1" applyBorder="1" applyAlignment="1">
      <alignment horizontal="center" vertical="center"/>
    </xf>
    <xf numFmtId="0" fontId="5" fillId="3" borderId="1" xfId="186" applyFont="1" applyFill="1" applyBorder="1" applyAlignment="1">
      <alignment horizontal="center" vertical="center" wrapText="1"/>
    </xf>
    <xf numFmtId="171" fontId="9" fillId="2" borderId="1" xfId="186" applyNumberFormat="1" applyFont="1" applyFill="1" applyBorder="1" applyAlignment="1">
      <alignment horizontal="center" vertical="center"/>
    </xf>
    <xf numFmtId="0" fontId="6" fillId="0" borderId="1" xfId="44" applyFont="1" applyFill="1" applyBorder="1" applyAlignment="1">
      <alignment horizontal="center" vertical="center" wrapText="1"/>
    </xf>
    <xf numFmtId="49" fontId="5" fillId="0" borderId="1" xfId="186" applyNumberFormat="1" applyFont="1" applyBorder="1" applyAlignment="1">
      <alignment horizontal="center" vertical="center"/>
    </xf>
    <xf numFmtId="172" fontId="9" fillId="2" borderId="1" xfId="186" applyNumberFormat="1" applyFont="1" applyFill="1" applyBorder="1" applyAlignment="1">
      <alignment horizontal="left" vertical="center" wrapText="1"/>
    </xf>
    <xf numFmtId="172" fontId="9" fillId="2" borderId="2" xfId="186" applyNumberFormat="1" applyFont="1" applyFill="1" applyBorder="1" applyAlignment="1">
      <alignment horizontal="center" vertical="center" wrapText="1"/>
    </xf>
    <xf numFmtId="172" fontId="9" fillId="2" borderId="2" xfId="186" applyNumberFormat="1" applyFont="1" applyFill="1" applyBorder="1" applyAlignment="1">
      <alignment horizontal="left" vertical="center" wrapText="1"/>
    </xf>
    <xf numFmtId="172" fontId="9" fillId="2" borderId="32" xfId="186" applyNumberFormat="1" applyFont="1" applyFill="1" applyBorder="1" applyAlignment="1">
      <alignment horizontal="left" vertical="center" wrapText="1"/>
    </xf>
    <xf numFmtId="171" fontId="6" fillId="2" borderId="1" xfId="186" applyNumberFormat="1" applyFont="1" applyFill="1" applyBorder="1" applyAlignment="1">
      <alignment horizontal="center" vertical="center"/>
    </xf>
    <xf numFmtId="0" fontId="5" fillId="2" borderId="1" xfId="186" applyFont="1" applyFill="1" applyBorder="1" applyAlignment="1">
      <alignment horizontal="center" vertical="center"/>
    </xf>
    <xf numFmtId="0" fontId="31" fillId="0" borderId="1" xfId="186" applyFont="1" applyFill="1" applyBorder="1" applyAlignment="1">
      <alignment vertical="center" wrapText="1"/>
    </xf>
    <xf numFmtId="0" fontId="10" fillId="0" borderId="1" xfId="44" applyFont="1" applyFill="1" applyBorder="1" applyAlignment="1">
      <alignment vertical="center" wrapText="1"/>
    </xf>
    <xf numFmtId="0" fontId="10" fillId="0" borderId="1" xfId="44" applyFont="1" applyFill="1" applyBorder="1" applyAlignment="1">
      <alignment horizontal="center" vertical="center" wrapText="1"/>
    </xf>
    <xf numFmtId="0" fontId="10" fillId="2" borderId="1" xfId="186" applyFont="1" applyFill="1" applyBorder="1" applyAlignment="1">
      <alignment horizontal="center" vertical="center" wrapText="1"/>
    </xf>
    <xf numFmtId="0" fontId="10" fillId="2" borderId="23" xfId="186" applyFont="1" applyFill="1" applyBorder="1" applyAlignment="1">
      <alignment horizontal="center" vertical="center" wrapText="1"/>
    </xf>
    <xf numFmtId="0" fontId="6" fillId="0" borderId="1" xfId="186" applyFont="1" applyFill="1" applyBorder="1" applyAlignment="1">
      <alignment horizontal="center" vertical="center" wrapText="1"/>
    </xf>
    <xf numFmtId="1" fontId="6" fillId="2" borderId="1" xfId="186" applyNumberFormat="1" applyFont="1" applyFill="1" applyBorder="1" applyAlignment="1">
      <alignment horizontal="center" vertical="center" wrapText="1"/>
    </xf>
    <xf numFmtId="1" fontId="6" fillId="2" borderId="23" xfId="186" applyNumberFormat="1" applyFont="1" applyFill="1" applyBorder="1" applyAlignment="1">
      <alignment horizontal="center" vertical="center" wrapText="1"/>
    </xf>
    <xf numFmtId="179" fontId="6" fillId="2" borderId="1" xfId="7" applyNumberFormat="1" applyFont="1" applyFill="1" applyBorder="1" applyAlignment="1">
      <alignment horizontal="center" vertical="center"/>
    </xf>
    <xf numFmtId="0" fontId="6" fillId="0" borderId="1" xfId="186" applyFont="1" applyFill="1" applyBorder="1" applyAlignment="1">
      <alignment horizontal="left" vertical="center" wrapText="1"/>
    </xf>
    <xf numFmtId="9" fontId="6" fillId="2" borderId="1" xfId="21" applyFont="1" applyFill="1" applyBorder="1" applyAlignment="1">
      <alignment horizontal="center" vertical="center" wrapText="1"/>
    </xf>
    <xf numFmtId="9" fontId="6" fillId="2" borderId="23" xfId="21" applyFont="1" applyFill="1" applyBorder="1" applyAlignment="1">
      <alignment horizontal="center" vertical="center" wrapText="1"/>
    </xf>
    <xf numFmtId="170" fontId="5" fillId="2" borderId="1" xfId="186" applyNumberFormat="1" applyFont="1" applyFill="1" applyBorder="1" applyAlignment="1">
      <alignment horizontal="center" vertical="center"/>
    </xf>
    <xf numFmtId="170" fontId="5" fillId="2" borderId="23" xfId="186" applyNumberFormat="1" applyFont="1" applyFill="1" applyBorder="1" applyAlignment="1">
      <alignment horizontal="center" vertical="center"/>
    </xf>
    <xf numFmtId="180" fontId="6" fillId="2" borderId="1" xfId="21" applyNumberFormat="1" applyFont="1" applyFill="1" applyBorder="1" applyAlignment="1">
      <alignment horizontal="center" vertical="center" wrapText="1"/>
    </xf>
    <xf numFmtId="180" fontId="6" fillId="2" borderId="23" xfId="21" applyNumberFormat="1" applyFont="1" applyFill="1" applyBorder="1" applyAlignment="1">
      <alignment horizontal="center" vertical="center" wrapText="1"/>
    </xf>
    <xf numFmtId="168" fontId="6" fillId="2" borderId="1" xfId="186" applyNumberFormat="1" applyFont="1" applyFill="1" applyBorder="1" applyAlignment="1">
      <alignment horizontal="center" vertical="center" wrapText="1"/>
    </xf>
    <xf numFmtId="168" fontId="6" fillId="2" borderId="23" xfId="186" applyNumberFormat="1" applyFont="1" applyFill="1" applyBorder="1" applyAlignment="1">
      <alignment horizontal="center" vertical="center" wrapText="1"/>
    </xf>
    <xf numFmtId="49" fontId="21" fillId="0" borderId="1" xfId="44" applyNumberFormat="1" applyFont="1" applyFill="1" applyBorder="1" applyAlignment="1">
      <alignment horizontal="left" vertical="center" wrapText="1"/>
    </xf>
    <xf numFmtId="0" fontId="6" fillId="2" borderId="1" xfId="186" applyFont="1" applyFill="1" applyBorder="1" applyAlignment="1">
      <alignment horizontal="center" vertical="center"/>
    </xf>
    <xf numFmtId="0" fontId="6" fillId="2" borderId="23" xfId="186" applyFont="1" applyFill="1" applyBorder="1" applyAlignment="1">
      <alignment horizontal="center" vertical="center"/>
    </xf>
    <xf numFmtId="49" fontId="6" fillId="0" borderId="1" xfId="44" applyNumberFormat="1" applyFont="1" applyFill="1" applyBorder="1" applyAlignment="1">
      <alignment horizontal="left" vertical="center" wrapText="1"/>
    </xf>
    <xf numFmtId="168" fontId="5" fillId="2" borderId="1" xfId="186" applyNumberFormat="1" applyFont="1" applyFill="1" applyBorder="1" applyAlignment="1">
      <alignment horizontal="center" vertical="center" wrapText="1"/>
    </xf>
    <xf numFmtId="168" fontId="5" fillId="2" borderId="23" xfId="186" applyNumberFormat="1" applyFont="1" applyFill="1" applyBorder="1" applyAlignment="1">
      <alignment horizontal="center" vertical="center" wrapText="1"/>
    </xf>
    <xf numFmtId="0" fontId="5" fillId="2" borderId="1" xfId="186" applyFont="1" applyFill="1" applyBorder="1" applyAlignment="1">
      <alignment vertical="center"/>
    </xf>
    <xf numFmtId="0" fontId="9" fillId="2" borderId="1" xfId="186" applyFont="1" applyFill="1" applyBorder="1" applyAlignment="1">
      <alignment vertical="center" wrapText="1"/>
    </xf>
    <xf numFmtId="167" fontId="5" fillId="2" borderId="1" xfId="186" applyNumberFormat="1" applyFont="1" applyFill="1" applyBorder="1" applyAlignment="1">
      <alignment horizontal="center" vertical="center" wrapText="1"/>
    </xf>
    <xf numFmtId="0" fontId="10" fillId="0" borderId="1" xfId="186" applyFont="1" applyFill="1" applyBorder="1"/>
    <xf numFmtId="0" fontId="10" fillId="0" borderId="1" xfId="186" applyFont="1" applyFill="1" applyBorder="1" applyAlignment="1">
      <alignment horizontal="center" vertical="center"/>
    </xf>
    <xf numFmtId="0" fontId="26" fillId="2" borderId="23" xfId="186" applyFont="1" applyFill="1" applyBorder="1" applyAlignment="1">
      <alignment horizontal="center" vertical="center"/>
    </xf>
    <xf numFmtId="180" fontId="6" fillId="2" borderId="1" xfId="186" applyNumberFormat="1" applyFont="1" applyFill="1" applyBorder="1" applyAlignment="1">
      <alignment horizontal="center" vertical="center" wrapText="1"/>
    </xf>
    <xf numFmtId="180" fontId="6" fillId="2" borderId="1" xfId="186" applyNumberFormat="1" applyFont="1" applyFill="1" applyBorder="1" applyAlignment="1">
      <alignment horizontal="center" vertical="center"/>
    </xf>
    <xf numFmtId="180" fontId="6" fillId="2" borderId="23" xfId="186" applyNumberFormat="1" applyFont="1" applyFill="1" applyBorder="1" applyAlignment="1">
      <alignment horizontal="center" vertical="center"/>
    </xf>
    <xf numFmtId="0" fontId="6" fillId="2" borderId="1" xfId="186" applyFont="1" applyFill="1" applyBorder="1" applyAlignment="1">
      <alignment wrapText="1"/>
    </xf>
    <xf numFmtId="49" fontId="5" fillId="0" borderId="1" xfId="186" applyNumberFormat="1" applyFont="1" applyBorder="1" applyAlignment="1">
      <alignment vertical="center"/>
    </xf>
    <xf numFmtId="171" fontId="6" fillId="0" borderId="1" xfId="186" applyNumberFormat="1" applyFont="1" applyFill="1" applyBorder="1" applyAlignment="1">
      <alignment vertical="center"/>
    </xf>
    <xf numFmtId="49" fontId="5" fillId="2" borderId="1" xfId="186" applyNumberFormat="1" applyFont="1" applyFill="1" applyBorder="1" applyAlignment="1">
      <alignment horizontal="center" vertical="center"/>
    </xf>
    <xf numFmtId="0" fontId="5" fillId="2" borderId="1" xfId="186" applyFont="1" applyFill="1" applyBorder="1" applyAlignment="1">
      <alignment vertical="center" wrapText="1"/>
    </xf>
    <xf numFmtId="49" fontId="6" fillId="2" borderId="1" xfId="186" applyNumberFormat="1" applyFont="1" applyFill="1" applyBorder="1" applyAlignment="1">
      <alignment horizontal="center" vertical="center"/>
    </xf>
    <xf numFmtId="0" fontId="10" fillId="0" borderId="1" xfId="186" applyFont="1" applyFill="1" applyBorder="1" applyAlignment="1">
      <alignment horizontal="left" vertical="center" wrapText="1"/>
    </xf>
    <xf numFmtId="0" fontId="10" fillId="0" borderId="1" xfId="186" applyFont="1" applyFill="1" applyBorder="1" applyAlignment="1">
      <alignment vertical="center" wrapText="1"/>
    </xf>
    <xf numFmtId="0" fontId="6" fillId="2" borderId="8" xfId="186" applyFont="1" applyFill="1" applyBorder="1" applyAlignment="1">
      <alignment horizontal="center" vertical="center" wrapText="1"/>
    </xf>
    <xf numFmtId="49" fontId="6" fillId="2" borderId="1" xfId="186" applyNumberFormat="1" applyFont="1" applyFill="1" applyBorder="1" applyAlignment="1">
      <alignment horizontal="center" vertical="center" wrapText="1"/>
    </xf>
    <xf numFmtId="0" fontId="6" fillId="0" borderId="1" xfId="186" applyFont="1" applyBorder="1" applyAlignment="1">
      <alignment vertical="center" wrapText="1"/>
    </xf>
    <xf numFmtId="0" fontId="6" fillId="2" borderId="7" xfId="186" applyFont="1" applyFill="1" applyBorder="1" applyAlignment="1">
      <alignment horizontal="center" vertical="center" wrapText="1"/>
    </xf>
    <xf numFmtId="167" fontId="10" fillId="2" borderId="1" xfId="186" applyNumberFormat="1" applyFont="1" applyFill="1" applyBorder="1" applyAlignment="1">
      <alignment horizontal="center" vertical="center" wrapText="1"/>
    </xf>
    <xf numFmtId="0" fontId="6" fillId="0" borderId="1" xfId="186" applyFont="1" applyBorder="1" applyAlignment="1">
      <alignment wrapText="1"/>
    </xf>
    <xf numFmtId="9" fontId="6" fillId="2" borderId="1" xfId="186" applyNumberFormat="1" applyFont="1" applyFill="1" applyBorder="1" applyAlignment="1">
      <alignment horizontal="center" vertical="center" wrapText="1"/>
    </xf>
    <xf numFmtId="0" fontId="61" fillId="0" borderId="1" xfId="186" applyFont="1" applyBorder="1"/>
    <xf numFmtId="0" fontId="61" fillId="0" borderId="1" xfId="186" applyFont="1" applyBorder="1" applyAlignment="1">
      <alignment vertical="center"/>
    </xf>
    <xf numFmtId="0" fontId="61" fillId="0" borderId="1" xfId="186" applyFont="1" applyBorder="1" applyAlignment="1">
      <alignment horizontal="left" vertical="center"/>
    </xf>
    <xf numFmtId="167" fontId="6" fillId="2" borderId="7" xfId="186" applyNumberFormat="1" applyFont="1" applyFill="1" applyBorder="1" applyAlignment="1">
      <alignment horizontal="center" vertical="center" wrapText="1"/>
    </xf>
    <xf numFmtId="167" fontId="5" fillId="3" borderId="1" xfId="186" applyNumberFormat="1" applyFont="1" applyFill="1" applyBorder="1" applyAlignment="1">
      <alignment horizontal="center" vertical="center" wrapText="1"/>
    </xf>
    <xf numFmtId="0" fontId="9" fillId="3" borderId="1" xfId="186" applyFont="1" applyFill="1" applyBorder="1" applyAlignment="1">
      <alignment vertical="center" wrapText="1"/>
    </xf>
    <xf numFmtId="0" fontId="9" fillId="3" borderId="1" xfId="186" applyFont="1" applyFill="1" applyBorder="1" applyAlignment="1">
      <alignment vertical="center"/>
    </xf>
    <xf numFmtId="49" fontId="5" fillId="0" borderId="2" xfId="186" applyNumberFormat="1" applyFont="1" applyFill="1" applyBorder="1" applyAlignment="1">
      <alignment horizontal="center" vertical="center" wrapText="1"/>
    </xf>
    <xf numFmtId="49" fontId="6" fillId="0" borderId="2" xfId="186" applyNumberFormat="1" applyFont="1" applyFill="1" applyBorder="1" applyAlignment="1">
      <alignment horizontal="center" vertical="center" wrapText="1"/>
    </xf>
    <xf numFmtId="49" fontId="6" fillId="0" borderId="1" xfId="186" applyNumberFormat="1" applyFont="1" applyFill="1" applyBorder="1" applyAlignment="1">
      <alignment horizontal="center" vertical="center" wrapText="1"/>
    </xf>
    <xf numFmtId="167" fontId="6" fillId="0" borderId="1" xfId="186" applyNumberFormat="1" applyFont="1" applyFill="1" applyBorder="1" applyAlignment="1">
      <alignment horizontal="center" vertical="center" wrapText="1"/>
    </xf>
    <xf numFmtId="0" fontId="10" fillId="0" borderId="1" xfId="186" applyFont="1" applyBorder="1" applyAlignment="1">
      <alignment horizontal="left" vertical="center" wrapText="1"/>
    </xf>
    <xf numFmtId="167" fontId="5" fillId="0" borderId="1" xfId="186" applyNumberFormat="1" applyFont="1" applyFill="1" applyBorder="1" applyAlignment="1">
      <alignment horizontal="center" vertical="center" wrapText="1"/>
    </xf>
    <xf numFmtId="0" fontId="5" fillId="0" borderId="1" xfId="186" applyFont="1" applyBorder="1" applyAlignment="1">
      <alignment horizontal="left" vertical="center" wrapText="1"/>
    </xf>
    <xf numFmtId="0" fontId="6" fillId="0" borderId="1" xfId="186" applyFont="1" applyFill="1" applyBorder="1"/>
    <xf numFmtId="0" fontId="6" fillId="0" borderId="1" xfId="186" applyFont="1" applyFill="1" applyBorder="1" applyAlignment="1">
      <alignment horizontal="center"/>
    </xf>
    <xf numFmtId="49" fontId="5" fillId="0" borderId="1" xfId="186" applyNumberFormat="1" applyFont="1" applyFill="1" applyBorder="1" applyAlignment="1">
      <alignment vertical="center" wrapText="1"/>
    </xf>
    <xf numFmtId="49" fontId="5" fillId="0" borderId="1" xfId="186" applyNumberFormat="1" applyFont="1" applyFill="1" applyBorder="1" applyAlignment="1">
      <alignment horizontal="left" vertical="center" wrapText="1"/>
    </xf>
    <xf numFmtId="0" fontId="6" fillId="0" borderId="1" xfId="186" applyFont="1" applyFill="1" applyBorder="1" applyAlignment="1">
      <alignment horizontal="justify" vertical="center" wrapText="1"/>
    </xf>
    <xf numFmtId="0" fontId="6" fillId="0" borderId="1" xfId="186" applyFont="1" applyFill="1" applyBorder="1" applyAlignment="1">
      <alignment horizontal="right"/>
    </xf>
    <xf numFmtId="167" fontId="18" fillId="3" borderId="7" xfId="27" applyNumberFormat="1" applyFont="1" applyFill="1" applyBorder="1" applyAlignment="1">
      <alignment wrapText="1"/>
    </xf>
    <xf numFmtId="167" fontId="18" fillId="3" borderId="1" xfId="27" applyNumberFormat="1" applyFont="1" applyFill="1" applyBorder="1" applyAlignment="1">
      <alignment wrapText="1"/>
    </xf>
    <xf numFmtId="49" fontId="5" fillId="2" borderId="1" xfId="186" applyNumberFormat="1" applyFont="1" applyFill="1" applyBorder="1" applyAlignment="1">
      <alignment horizontal="center" vertical="center" wrapText="1"/>
    </xf>
    <xf numFmtId="0" fontId="5" fillId="2" borderId="1" xfId="186" applyFont="1" applyFill="1" applyBorder="1" applyAlignment="1">
      <alignment horizontal="center" vertical="center" wrapText="1"/>
    </xf>
    <xf numFmtId="0" fontId="9" fillId="0" borderId="1" xfId="186" applyFont="1" applyBorder="1" applyAlignment="1">
      <alignment horizontal="left" vertical="center" wrapText="1"/>
    </xf>
    <xf numFmtId="49" fontId="6" fillId="2" borderId="1" xfId="186" applyNumberFormat="1" applyFont="1" applyFill="1" applyBorder="1" applyAlignment="1">
      <alignment vertical="center"/>
    </xf>
    <xf numFmtId="0" fontId="6" fillId="2" borderId="3" xfId="186" applyFont="1" applyFill="1" applyBorder="1" applyAlignment="1">
      <alignment horizontal="center"/>
    </xf>
    <xf numFmtId="0" fontId="6" fillId="2" borderId="2" xfId="186" applyFont="1" applyFill="1" applyBorder="1" applyAlignment="1">
      <alignment horizontal="center"/>
    </xf>
    <xf numFmtId="0" fontId="6" fillId="2" borderId="1" xfId="186" applyFont="1" applyFill="1" applyBorder="1"/>
    <xf numFmtId="0" fontId="6" fillId="2" borderId="1" xfId="186" applyFont="1" applyFill="1" applyBorder="1" applyAlignment="1"/>
    <xf numFmtId="0" fontId="9" fillId="3" borderId="7" xfId="186" applyFont="1" applyFill="1" applyBorder="1" applyAlignment="1">
      <alignment vertical="center" wrapText="1"/>
    </xf>
    <xf numFmtId="0" fontId="10" fillId="3" borderId="1" xfId="186" applyFont="1" applyFill="1" applyBorder="1"/>
    <xf numFmtId="49" fontId="5" fillId="0" borderId="1" xfId="186" applyNumberFormat="1" applyFont="1" applyFill="1" applyBorder="1" applyAlignment="1">
      <alignment horizontal="center" vertical="center" wrapText="1"/>
    </xf>
    <xf numFmtId="0" fontId="9" fillId="2" borderId="1" xfId="186" applyFont="1" applyFill="1" applyBorder="1" applyAlignment="1">
      <alignment horizontal="left" vertical="center" wrapText="1"/>
    </xf>
    <xf numFmtId="0" fontId="5" fillId="0" borderId="1" xfId="186" applyFont="1" applyFill="1" applyBorder="1" applyAlignment="1">
      <alignment horizontal="center" vertical="center" wrapText="1"/>
    </xf>
    <xf numFmtId="0" fontId="6" fillId="0" borderId="1" xfId="186" applyFont="1" applyBorder="1" applyAlignment="1">
      <alignment horizontal="left" vertical="center" wrapText="1"/>
    </xf>
    <xf numFmtId="0" fontId="9" fillId="0" borderId="1" xfId="186" applyFont="1" applyFill="1" applyBorder="1" applyAlignment="1">
      <alignment horizontal="left" vertical="center" wrapText="1"/>
    </xf>
    <xf numFmtId="168" fontId="6" fillId="0" borderId="1" xfId="186" applyNumberFormat="1" applyFont="1" applyFill="1" applyBorder="1" applyAlignment="1">
      <alignment horizontal="center" vertical="center" wrapText="1"/>
    </xf>
    <xf numFmtId="0" fontId="5" fillId="0" borderId="3" xfId="186" applyFont="1" applyBorder="1" applyAlignment="1">
      <alignment horizontal="left" vertical="center" wrapText="1"/>
    </xf>
    <xf numFmtId="0" fontId="62" fillId="0" borderId="1" xfId="186" applyFont="1" applyBorder="1" applyAlignment="1">
      <alignment horizontal="left" vertical="center" wrapText="1"/>
    </xf>
    <xf numFmtId="0" fontId="19" fillId="0" borderId="1" xfId="186" applyFont="1" applyBorder="1" applyAlignment="1">
      <alignment wrapText="1"/>
    </xf>
    <xf numFmtId="49" fontId="6" fillId="0" borderId="1" xfId="186" applyNumberFormat="1" applyFont="1" applyBorder="1" applyAlignment="1">
      <alignment horizontal="left" vertical="top" wrapText="1"/>
    </xf>
    <xf numFmtId="0" fontId="61" fillId="0" borderId="0" xfId="186" applyFont="1" applyAlignment="1">
      <alignment horizontal="left" vertical="center" wrapText="1"/>
    </xf>
    <xf numFmtId="49" fontId="6" fillId="0" borderId="1" xfId="186" applyNumberFormat="1" applyFont="1" applyBorder="1" applyAlignment="1">
      <alignment horizontal="left" vertical="center" wrapText="1"/>
    </xf>
    <xf numFmtId="0" fontId="5" fillId="0" borderId="1" xfId="186" applyFont="1" applyFill="1" applyBorder="1"/>
    <xf numFmtId="0" fontId="61" fillId="0" borderId="1" xfId="186" applyFont="1" applyBorder="1" applyAlignment="1">
      <alignment horizontal="left" vertical="center" wrapText="1"/>
    </xf>
    <xf numFmtId="0" fontId="61" fillId="0" borderId="1" xfId="186" applyFont="1" applyBorder="1" applyAlignment="1">
      <alignment wrapText="1"/>
    </xf>
    <xf numFmtId="49" fontId="6" fillId="0" borderId="1" xfId="186" applyNumberFormat="1" applyFont="1" applyFill="1" applyBorder="1" applyAlignment="1">
      <alignment horizontal="left" vertical="center" wrapText="1"/>
    </xf>
    <xf numFmtId="0" fontId="5" fillId="3" borderId="1" xfId="186" applyFont="1" applyFill="1" applyBorder="1" applyAlignment="1">
      <alignment vertical="center" wrapText="1"/>
    </xf>
    <xf numFmtId="0" fontId="5" fillId="3" borderId="1" xfId="186" applyFont="1" applyFill="1" applyBorder="1" applyAlignment="1">
      <alignment vertical="center"/>
    </xf>
    <xf numFmtId="49" fontId="5" fillId="0" borderId="1" xfId="186" applyNumberFormat="1" applyFont="1" applyFill="1" applyBorder="1" applyAlignment="1">
      <alignment vertical="center"/>
    </xf>
    <xf numFmtId="49" fontId="6" fillId="0" borderId="1" xfId="186" applyNumberFormat="1" applyFont="1" applyFill="1" applyBorder="1" applyAlignment="1">
      <alignment vertical="center"/>
    </xf>
    <xf numFmtId="0" fontId="5" fillId="0" borderId="1" xfId="186" applyFont="1" applyFill="1" applyBorder="1" applyAlignment="1">
      <alignment horizontal="left" vertical="center" wrapText="1"/>
    </xf>
    <xf numFmtId="0" fontId="6" fillId="0" borderId="1" xfId="186" applyFont="1" applyBorder="1" applyAlignment="1">
      <alignment horizontal="center" vertical="center"/>
    </xf>
    <xf numFmtId="49" fontId="5" fillId="0" borderId="1" xfId="186" applyNumberFormat="1" applyFont="1" applyFill="1" applyBorder="1" applyAlignment="1">
      <alignment horizontal="right" vertical="center"/>
    </xf>
    <xf numFmtId="49" fontId="6" fillId="0" borderId="1" xfId="186" applyNumberFormat="1" applyFont="1" applyFill="1" applyBorder="1" applyAlignment="1">
      <alignment horizontal="right" vertical="center"/>
    </xf>
    <xf numFmtId="0" fontId="6" fillId="0" borderId="1" xfId="186" applyFont="1" applyFill="1" applyBorder="1" applyAlignment="1">
      <alignment horizontal="left" vertical="top" wrapText="1"/>
    </xf>
    <xf numFmtId="167" fontId="5" fillId="3" borderId="1" xfId="186" applyNumberFormat="1" applyFont="1" applyFill="1" applyBorder="1" applyAlignment="1">
      <alignment horizontal="center" vertical="top"/>
    </xf>
    <xf numFmtId="0" fontId="6" fillId="3" borderId="1" xfId="186" applyFont="1" applyFill="1" applyBorder="1" applyAlignment="1">
      <alignment vertical="top"/>
    </xf>
    <xf numFmtId="0" fontId="6" fillId="6" borderId="1" xfId="186" applyFont="1" applyFill="1" applyBorder="1" applyAlignment="1">
      <alignment horizontal="center" vertical="center" wrapText="1"/>
    </xf>
    <xf numFmtId="0" fontId="6" fillId="6" borderId="1" xfId="186" applyFont="1" applyFill="1" applyBorder="1" applyAlignment="1">
      <alignment horizontal="left" vertical="top" wrapText="1"/>
    </xf>
    <xf numFmtId="167" fontId="5" fillId="3" borderId="1" xfId="186" applyNumberFormat="1" applyFont="1" applyFill="1" applyBorder="1" applyAlignment="1">
      <alignment horizontal="center" vertical="center"/>
    </xf>
    <xf numFmtId="0" fontId="6" fillId="3" borderId="1" xfId="186" applyFont="1" applyFill="1" applyBorder="1" applyAlignment="1">
      <alignment horizontal="left" vertical="top"/>
    </xf>
    <xf numFmtId="49" fontId="5" fillId="2" borderId="1" xfId="186" applyNumberFormat="1" applyFont="1" applyFill="1" applyBorder="1" applyAlignment="1">
      <alignment horizontal="right" vertical="center"/>
    </xf>
    <xf numFmtId="0" fontId="10" fillId="2" borderId="1" xfId="186" applyFont="1" applyFill="1" applyBorder="1" applyAlignment="1">
      <alignment horizontal="left" vertical="center" wrapText="1"/>
    </xf>
    <xf numFmtId="9" fontId="6" fillId="2" borderId="23" xfId="186" applyNumberFormat="1" applyFont="1" applyFill="1" applyBorder="1" applyAlignment="1">
      <alignment horizontal="center" vertical="center" wrapText="1"/>
    </xf>
    <xf numFmtId="0" fontId="6" fillId="2" borderId="23" xfId="186" applyFont="1" applyFill="1" applyBorder="1" applyAlignment="1">
      <alignment vertical="center" wrapText="1"/>
    </xf>
    <xf numFmtId="0" fontId="10" fillId="2" borderId="1" xfId="186" applyFont="1" applyFill="1" applyBorder="1" applyAlignment="1">
      <alignment horizontal="justify" vertical="top" wrapText="1"/>
    </xf>
    <xf numFmtId="0" fontId="21" fillId="2" borderId="1" xfId="186" applyFont="1" applyFill="1" applyBorder="1" applyAlignment="1">
      <alignment vertical="center" wrapText="1"/>
    </xf>
    <xf numFmtId="9" fontId="6" fillId="2" borderId="1" xfId="186" applyNumberFormat="1" applyFont="1" applyFill="1" applyBorder="1" applyAlignment="1">
      <alignment vertical="center" wrapText="1"/>
    </xf>
    <xf numFmtId="9" fontId="6" fillId="2" borderId="23" xfId="186" applyNumberFormat="1" applyFont="1" applyFill="1" applyBorder="1" applyAlignment="1">
      <alignment vertical="center" wrapText="1"/>
    </xf>
    <xf numFmtId="0" fontId="7" fillId="2" borderId="1" xfId="186" applyFont="1" applyFill="1" applyBorder="1" applyAlignment="1">
      <alignment horizontal="left" wrapText="1"/>
    </xf>
    <xf numFmtId="49" fontId="21" fillId="2" borderId="1" xfId="186" applyNumberFormat="1" applyFont="1" applyFill="1" applyBorder="1" applyAlignment="1">
      <alignment horizontal="right" vertical="center"/>
    </xf>
    <xf numFmtId="49" fontId="6" fillId="2" borderId="1" xfId="186" applyNumberFormat="1" applyFont="1" applyFill="1" applyBorder="1" applyAlignment="1">
      <alignment horizontal="right" vertical="center"/>
    </xf>
    <xf numFmtId="0" fontId="9" fillId="2" borderId="1" xfId="186" applyFont="1" applyFill="1" applyBorder="1" applyAlignment="1">
      <alignment horizontal="justify" vertical="center" wrapText="1"/>
    </xf>
    <xf numFmtId="0" fontId="10" fillId="2" borderId="1" xfId="186" applyFont="1" applyFill="1" applyBorder="1" applyAlignment="1">
      <alignment horizontal="justify" vertical="center" wrapText="1"/>
    </xf>
    <xf numFmtId="0" fontId="9" fillId="2" borderId="1" xfId="186" applyFont="1" applyFill="1" applyBorder="1" applyAlignment="1">
      <alignment horizontal="justify" vertical="top" wrapText="1"/>
    </xf>
    <xf numFmtId="3" fontId="21" fillId="2" borderId="1" xfId="186" applyNumberFormat="1" applyFont="1" applyFill="1" applyBorder="1" applyAlignment="1">
      <alignment vertical="center" wrapText="1"/>
    </xf>
    <xf numFmtId="3" fontId="6" fillId="2" borderId="1" xfId="186" applyNumberFormat="1" applyFont="1" applyFill="1" applyBorder="1" applyAlignment="1">
      <alignment vertical="center" wrapText="1"/>
    </xf>
    <xf numFmtId="3" fontId="6" fillId="2" borderId="23" xfId="186" applyNumberFormat="1" applyFont="1" applyFill="1" applyBorder="1" applyAlignment="1">
      <alignment vertical="center" wrapText="1"/>
    </xf>
    <xf numFmtId="167" fontId="17" fillId="3" borderId="1" xfId="186" applyNumberFormat="1" applyFont="1" applyFill="1" applyBorder="1" applyAlignment="1">
      <alignment horizontal="center" vertical="center"/>
    </xf>
    <xf numFmtId="0" fontId="17" fillId="3" borderId="1" xfId="186" applyFont="1" applyFill="1" applyBorder="1" applyAlignment="1">
      <alignment horizontal="center" vertical="center"/>
    </xf>
    <xf numFmtId="170" fontId="17" fillId="2" borderId="37" xfId="186" applyNumberFormat="1" applyFont="1" applyFill="1" applyBorder="1" applyAlignment="1">
      <alignment horizontal="center" vertical="center"/>
    </xf>
    <xf numFmtId="0" fontId="18" fillId="2" borderId="2" xfId="186" applyFont="1" applyFill="1" applyBorder="1" applyAlignment="1">
      <alignment horizontal="center" vertical="center"/>
    </xf>
    <xf numFmtId="0" fontId="17" fillId="2" borderId="2" xfId="186" applyFont="1" applyFill="1" applyBorder="1" applyAlignment="1">
      <alignment horizontal="left" vertical="center" wrapText="1"/>
    </xf>
    <xf numFmtId="0" fontId="18" fillId="2" borderId="2" xfId="186" applyFont="1" applyFill="1" applyBorder="1" applyAlignment="1">
      <alignment horizontal="left" vertical="center" wrapText="1"/>
    </xf>
    <xf numFmtId="0" fontId="18" fillId="2" borderId="1" xfId="186" applyFont="1" applyFill="1" applyBorder="1" applyAlignment="1">
      <alignment horizontal="left"/>
    </xf>
    <xf numFmtId="170" fontId="18" fillId="2" borderId="3" xfId="186" applyNumberFormat="1" applyFont="1" applyFill="1" applyBorder="1" applyAlignment="1">
      <alignment horizontal="center" vertical="center"/>
    </xf>
    <xf numFmtId="171" fontId="18" fillId="2" borderId="3" xfId="186" applyNumberFormat="1" applyFont="1" applyFill="1" applyBorder="1" applyAlignment="1">
      <alignment horizontal="center" vertical="center"/>
    </xf>
    <xf numFmtId="167" fontId="18" fillId="2" borderId="1" xfId="186" applyNumberFormat="1" applyFont="1" applyFill="1" applyBorder="1" applyAlignment="1">
      <alignment horizontal="center" vertical="center" wrapText="1"/>
    </xf>
    <xf numFmtId="0" fontId="18" fillId="2" borderId="1" xfId="186" applyFont="1" applyFill="1" applyBorder="1" applyAlignment="1">
      <alignment horizontal="left" vertical="center" wrapText="1"/>
    </xf>
    <xf numFmtId="171" fontId="18" fillId="2" borderId="5" xfId="186" applyNumberFormat="1" applyFont="1" applyFill="1" applyBorder="1" applyAlignment="1">
      <alignment horizontal="center" vertical="center"/>
    </xf>
    <xf numFmtId="170" fontId="17" fillId="2" borderId="3" xfId="186" applyNumberFormat="1" applyFont="1" applyFill="1" applyBorder="1" applyAlignment="1">
      <alignment horizontal="center" vertical="center"/>
    </xf>
    <xf numFmtId="171" fontId="18" fillId="2" borderId="1" xfId="186" applyNumberFormat="1" applyFont="1" applyFill="1" applyBorder="1" applyAlignment="1">
      <alignment horizontal="center" vertical="center"/>
    </xf>
    <xf numFmtId="0" fontId="10" fillId="2" borderId="3" xfId="186" applyFont="1" applyFill="1" applyBorder="1" applyAlignment="1">
      <alignment horizontal="left" vertical="center" wrapText="1"/>
    </xf>
    <xf numFmtId="0" fontId="9" fillId="2" borderId="3" xfId="186" applyFont="1" applyFill="1" applyBorder="1" applyAlignment="1">
      <alignment horizontal="left" vertical="center" wrapText="1"/>
    </xf>
    <xf numFmtId="167" fontId="18" fillId="2" borderId="1" xfId="186" applyNumberFormat="1" applyFont="1" applyFill="1" applyBorder="1" applyAlignment="1">
      <alignment horizontal="left" vertical="center" wrapText="1"/>
    </xf>
    <xf numFmtId="0" fontId="18" fillId="2" borderId="3" xfId="186" applyFont="1" applyFill="1" applyBorder="1" applyAlignment="1">
      <alignment horizontal="left" vertical="center" wrapText="1"/>
    </xf>
    <xf numFmtId="167" fontId="17" fillId="3" borderId="1" xfId="186" applyNumberFormat="1" applyFont="1" applyFill="1" applyBorder="1" applyAlignment="1">
      <alignment horizontal="center"/>
    </xf>
    <xf numFmtId="0" fontId="18" fillId="3" borderId="1" xfId="186" applyFont="1" applyFill="1" applyBorder="1" applyAlignment="1">
      <alignment horizontal="left"/>
    </xf>
    <xf numFmtId="170" fontId="17" fillId="0" borderId="1" xfId="186" applyNumberFormat="1" applyFont="1" applyBorder="1" applyAlignment="1">
      <alignment horizontal="center" vertical="center"/>
    </xf>
    <xf numFmtId="0" fontId="18" fillId="5" borderId="1" xfId="186" applyFont="1" applyFill="1" applyBorder="1" applyAlignment="1">
      <alignment horizontal="center" vertical="center"/>
    </xf>
    <xf numFmtId="0" fontId="17" fillId="5" borderId="1" xfId="186" applyFont="1" applyFill="1" applyBorder="1" applyAlignment="1">
      <alignment horizontal="center" vertical="center"/>
    </xf>
    <xf numFmtId="0" fontId="17" fillId="2" borderId="1" xfId="186" applyFont="1" applyFill="1" applyBorder="1" applyAlignment="1">
      <alignment horizontal="left" vertical="center" wrapText="1"/>
    </xf>
    <xf numFmtId="0" fontId="17" fillId="2" borderId="1" xfId="186" applyFont="1" applyFill="1" applyBorder="1" applyAlignment="1">
      <alignment horizontal="center" vertical="center" wrapText="1"/>
    </xf>
    <xf numFmtId="0" fontId="9" fillId="5" borderId="1" xfId="186" applyFont="1" applyFill="1" applyBorder="1" applyAlignment="1">
      <alignment horizontal="left" vertical="center" wrapText="1"/>
    </xf>
    <xf numFmtId="0" fontId="18" fillId="0" borderId="1" xfId="186" applyFont="1" applyBorder="1" applyAlignment="1">
      <alignment horizontal="center"/>
    </xf>
    <xf numFmtId="0" fontId="18" fillId="5" borderId="1" xfId="186" applyFont="1" applyFill="1" applyBorder="1" applyAlignment="1">
      <alignment horizontal="left" vertical="center" wrapText="1"/>
    </xf>
    <xf numFmtId="0" fontId="18" fillId="5" borderId="1" xfId="186" applyFont="1" applyFill="1" applyBorder="1" applyAlignment="1">
      <alignment horizontal="center" vertical="center" wrapText="1"/>
    </xf>
    <xf numFmtId="0" fontId="18" fillId="2" borderId="1" xfId="186" applyFont="1" applyFill="1" applyBorder="1" applyAlignment="1">
      <alignment horizontal="center" vertical="center"/>
    </xf>
    <xf numFmtId="0" fontId="18" fillId="2" borderId="1" xfId="186" applyFont="1" applyFill="1" applyBorder="1" applyAlignment="1">
      <alignment horizontal="center" vertical="center" wrapText="1"/>
    </xf>
    <xf numFmtId="0" fontId="10" fillId="2" borderId="1" xfId="186" applyFont="1" applyFill="1" applyBorder="1" applyAlignment="1">
      <alignment vertical="center" wrapText="1"/>
    </xf>
    <xf numFmtId="168" fontId="18" fillId="2" borderId="1" xfId="186" applyNumberFormat="1" applyFont="1" applyFill="1" applyBorder="1" applyAlignment="1">
      <alignment horizontal="center" vertical="center" wrapText="1"/>
    </xf>
    <xf numFmtId="49" fontId="18" fillId="2" borderId="1" xfId="186" applyNumberFormat="1" applyFont="1" applyFill="1" applyBorder="1" applyAlignment="1">
      <alignment horizontal="center" vertical="center"/>
    </xf>
    <xf numFmtId="49" fontId="17" fillId="2" borderId="1" xfId="186" applyNumberFormat="1" applyFont="1" applyFill="1" applyBorder="1" applyAlignment="1">
      <alignment horizontal="center" vertical="center"/>
    </xf>
    <xf numFmtId="0" fontId="9" fillId="5" borderId="1" xfId="186" applyFont="1" applyFill="1" applyBorder="1" applyAlignment="1">
      <alignment vertical="center" wrapText="1"/>
    </xf>
    <xf numFmtId="0" fontId="18" fillId="2" borderId="1" xfId="186" applyFont="1" applyFill="1" applyBorder="1" applyAlignment="1">
      <alignment vertical="center" wrapText="1"/>
    </xf>
    <xf numFmtId="0" fontId="18" fillId="3" borderId="1" xfId="186" applyFont="1" applyFill="1" applyBorder="1" applyAlignment="1">
      <alignment horizontal="center"/>
    </xf>
    <xf numFmtId="0" fontId="6" fillId="2" borderId="2" xfId="186" applyFont="1" applyFill="1" applyBorder="1" applyAlignment="1">
      <alignment horizontal="left" vertical="center" wrapText="1"/>
    </xf>
    <xf numFmtId="0" fontId="5" fillId="3" borderId="1" xfId="186" applyFont="1" applyFill="1" applyBorder="1" applyAlignment="1">
      <alignment horizontal="center" vertical="center"/>
    </xf>
    <xf numFmtId="0" fontId="5" fillId="3" borderId="23" xfId="186" applyFont="1" applyFill="1" applyBorder="1" applyAlignment="1">
      <alignment horizontal="center" vertical="center"/>
    </xf>
    <xf numFmtId="0" fontId="6" fillId="4" borderId="1" xfId="186" applyFont="1" applyFill="1" applyBorder="1" applyAlignment="1">
      <alignment horizontal="center" vertical="center"/>
    </xf>
    <xf numFmtId="0" fontId="6" fillId="4" borderId="23" xfId="186" applyFont="1" applyFill="1" applyBorder="1" applyAlignment="1">
      <alignment horizontal="center" vertical="center"/>
    </xf>
    <xf numFmtId="0" fontId="6" fillId="0" borderId="1" xfId="186" applyFont="1" applyBorder="1" applyAlignment="1">
      <alignment horizontal="center"/>
    </xf>
    <xf numFmtId="0" fontId="6" fillId="0" borderId="1" xfId="186" applyFont="1" applyBorder="1"/>
    <xf numFmtId="0" fontId="18" fillId="5" borderId="2" xfId="186" applyFont="1" applyFill="1" applyBorder="1" applyAlignment="1">
      <alignment horizontal="center" vertical="center" wrapText="1"/>
    </xf>
    <xf numFmtId="49" fontId="6" fillId="0" borderId="1" xfId="186" applyNumberFormat="1" applyFont="1" applyBorder="1" applyAlignment="1">
      <alignment horizontal="center" vertical="center"/>
    </xf>
    <xf numFmtId="0" fontId="21" fillId="0" borderId="1" xfId="186" applyFont="1" applyFill="1" applyBorder="1" applyAlignment="1">
      <alignment horizontal="center" vertical="center" wrapText="1"/>
    </xf>
    <xf numFmtId="0" fontId="17" fillId="5" borderId="1" xfId="186" applyFont="1" applyFill="1" applyBorder="1" applyAlignment="1">
      <alignment horizontal="left" vertical="center" wrapText="1"/>
    </xf>
    <xf numFmtId="0" fontId="18" fillId="5" borderId="3" xfId="186" applyFont="1" applyFill="1" applyBorder="1" applyAlignment="1">
      <alignment vertical="center" wrapText="1"/>
    </xf>
    <xf numFmtId="0" fontId="6" fillId="0" borderId="3" xfId="186" applyFont="1" applyFill="1" applyBorder="1" applyAlignment="1">
      <alignment horizontal="center" vertical="center" wrapText="1"/>
    </xf>
    <xf numFmtId="0" fontId="6" fillId="0" borderId="3" xfId="186" applyFont="1" applyFill="1" applyBorder="1" applyAlignment="1">
      <alignment vertical="center" wrapText="1"/>
    </xf>
    <xf numFmtId="3" fontId="18" fillId="5" borderId="1" xfId="186" applyNumberFormat="1" applyFont="1" applyFill="1" applyBorder="1" applyAlignment="1">
      <alignment horizontal="center" vertical="center" wrapText="1"/>
    </xf>
    <xf numFmtId="0" fontId="17" fillId="5" borderId="1" xfId="186" applyFont="1" applyFill="1" applyBorder="1" applyAlignment="1">
      <alignment horizontal="right" vertical="center"/>
    </xf>
    <xf numFmtId="0" fontId="17" fillId="5" borderId="2" xfId="186" applyFont="1" applyFill="1" applyBorder="1" applyAlignment="1">
      <alignment horizontal="left" vertical="center" wrapText="1"/>
    </xf>
    <xf numFmtId="0" fontId="17" fillId="5" borderId="2" xfId="186" applyFont="1" applyFill="1" applyBorder="1" applyAlignment="1">
      <alignment horizontal="center" vertical="center" wrapText="1"/>
    </xf>
    <xf numFmtId="0" fontId="5" fillId="0" borderId="1" xfId="186" applyFont="1" applyBorder="1"/>
    <xf numFmtId="0" fontId="18" fillId="5" borderId="1" xfId="186" applyFont="1" applyFill="1" applyBorder="1" applyAlignment="1">
      <alignment horizontal="right" vertical="center"/>
    </xf>
    <xf numFmtId="0" fontId="6" fillId="0" borderId="2" xfId="186" applyFont="1" applyBorder="1" applyAlignment="1">
      <alignment horizontal="center" vertical="center"/>
    </xf>
    <xf numFmtId="171" fontId="17" fillId="0" borderId="1" xfId="186" applyNumberFormat="1" applyFont="1" applyBorder="1" applyAlignment="1">
      <alignment horizontal="center" vertical="center"/>
    </xf>
    <xf numFmtId="0" fontId="17" fillId="5" borderId="0" xfId="186" applyFont="1" applyFill="1" applyBorder="1" applyAlignment="1">
      <alignment horizontal="left" vertical="center" wrapText="1"/>
    </xf>
    <xf numFmtId="0" fontId="17" fillId="5" borderId="1" xfId="186" applyFont="1" applyFill="1" applyBorder="1" applyAlignment="1">
      <alignment horizontal="center" vertical="center" wrapText="1"/>
    </xf>
    <xf numFmtId="0" fontId="18" fillId="5" borderId="3" xfId="186" applyFont="1" applyFill="1" applyBorder="1" applyAlignment="1">
      <alignment horizontal="left" vertical="center" wrapText="1"/>
    </xf>
    <xf numFmtId="0" fontId="17" fillId="5" borderId="3" xfId="186" applyFont="1" applyFill="1" applyBorder="1" applyAlignment="1">
      <alignment horizontal="left" vertical="center" wrapText="1"/>
    </xf>
    <xf numFmtId="49" fontId="17" fillId="5" borderId="1" xfId="186" applyNumberFormat="1" applyFont="1" applyFill="1" applyBorder="1" applyAlignment="1">
      <alignment horizontal="center" vertical="center"/>
    </xf>
    <xf numFmtId="49" fontId="17" fillId="5" borderId="1" xfId="186" applyNumberFormat="1" applyFont="1" applyFill="1" applyBorder="1" applyAlignment="1">
      <alignment vertical="center"/>
    </xf>
    <xf numFmtId="0" fontId="17" fillId="5" borderId="1" xfId="186" applyFont="1" applyFill="1" applyBorder="1"/>
    <xf numFmtId="49" fontId="18" fillId="5" borderId="1" xfId="186" applyNumberFormat="1" applyFont="1" applyFill="1" applyBorder="1" applyAlignment="1">
      <alignment horizontal="center" vertical="center"/>
    </xf>
    <xf numFmtId="49" fontId="18" fillId="5" borderId="1" xfId="186" applyNumberFormat="1" applyFont="1" applyFill="1" applyBorder="1" applyAlignment="1">
      <alignment vertical="center"/>
    </xf>
    <xf numFmtId="167" fontId="18" fillId="5" borderId="1" xfId="186" applyNumberFormat="1" applyFont="1" applyFill="1" applyBorder="1" applyAlignment="1">
      <alignment horizontal="center" vertical="center" wrapText="1"/>
    </xf>
    <xf numFmtId="0" fontId="6" fillId="5" borderId="1" xfId="186" applyFont="1" applyFill="1" applyBorder="1" applyAlignment="1">
      <alignment vertical="center" wrapText="1"/>
    </xf>
    <xf numFmtId="49" fontId="17" fillId="5" borderId="3" xfId="186" applyNumberFormat="1" applyFont="1" applyFill="1" applyBorder="1" applyAlignment="1">
      <alignment horizontal="center" vertical="center"/>
    </xf>
    <xf numFmtId="49" fontId="18" fillId="5" borderId="3" xfId="186" applyNumberFormat="1" applyFont="1" applyFill="1" applyBorder="1" applyAlignment="1">
      <alignment horizontal="center" vertical="center"/>
    </xf>
    <xf numFmtId="49" fontId="18" fillId="5" borderId="3" xfId="186" applyNumberFormat="1" applyFont="1" applyFill="1" applyBorder="1" applyAlignment="1">
      <alignment vertical="center"/>
    </xf>
    <xf numFmtId="0" fontId="18" fillId="5" borderId="8" xfId="186" applyFont="1" applyFill="1" applyBorder="1" applyAlignment="1">
      <alignment horizontal="center" vertical="center" wrapText="1"/>
    </xf>
    <xf numFmtId="3" fontId="18" fillId="5" borderId="3" xfId="186" applyNumberFormat="1" applyFont="1" applyFill="1" applyBorder="1" applyAlignment="1">
      <alignment horizontal="center" vertical="center" wrapText="1"/>
    </xf>
    <xf numFmtId="0" fontId="6" fillId="0" borderId="3" xfId="186" applyFont="1" applyBorder="1"/>
    <xf numFmtId="0" fontId="5" fillId="0" borderId="1" xfId="186" applyFont="1" applyFill="1" applyBorder="1" applyAlignment="1">
      <alignment vertical="center" wrapText="1"/>
    </xf>
    <xf numFmtId="0" fontId="30" fillId="2" borderId="1" xfId="186" applyFont="1" applyFill="1" applyBorder="1" applyAlignment="1">
      <alignment vertical="center" wrapText="1"/>
    </xf>
    <xf numFmtId="0" fontId="19" fillId="6" borderId="1" xfId="186" applyFont="1" applyFill="1" applyBorder="1" applyAlignment="1">
      <alignment horizontal="left" vertical="center" wrapText="1"/>
    </xf>
    <xf numFmtId="49" fontId="6" fillId="0" borderId="2" xfId="186" applyNumberFormat="1" applyFont="1" applyFill="1" applyBorder="1" applyAlignment="1">
      <alignment horizontal="center" vertical="center"/>
    </xf>
    <xf numFmtId="1" fontId="6" fillId="2" borderId="1" xfId="186" applyNumberFormat="1" applyFont="1" applyFill="1" applyBorder="1" applyAlignment="1">
      <alignment vertical="center" wrapText="1"/>
    </xf>
    <xf numFmtId="1" fontId="6" fillId="0" borderId="1" xfId="186" applyNumberFormat="1" applyFont="1" applyFill="1" applyBorder="1" applyAlignment="1">
      <alignment vertical="center"/>
    </xf>
    <xf numFmtId="49" fontId="6" fillId="0" borderId="3" xfId="186" applyNumberFormat="1" applyFont="1" applyFill="1" applyBorder="1" applyAlignment="1">
      <alignment horizontal="center" vertical="center"/>
    </xf>
    <xf numFmtId="0" fontId="6" fillId="0" borderId="3" xfId="186" applyFont="1" applyFill="1" applyBorder="1" applyAlignment="1">
      <alignment horizontal="left" vertical="center" wrapText="1"/>
    </xf>
    <xf numFmtId="167" fontId="6" fillId="0" borderId="3" xfId="186" applyNumberFormat="1" applyFont="1" applyFill="1" applyBorder="1" applyAlignment="1">
      <alignment horizontal="center" vertical="center" wrapText="1"/>
    </xf>
    <xf numFmtId="49" fontId="5" fillId="0" borderId="3" xfId="186" applyNumberFormat="1" applyFont="1" applyFill="1" applyBorder="1" applyAlignment="1">
      <alignment horizontal="center" vertical="center"/>
    </xf>
    <xf numFmtId="0" fontId="5" fillId="0" borderId="3" xfId="186" applyFont="1" applyFill="1" applyBorder="1" applyAlignment="1">
      <alignment horizontal="left" vertical="center" wrapText="1"/>
    </xf>
    <xf numFmtId="167" fontId="5" fillId="0" borderId="3" xfId="186" applyNumberFormat="1" applyFont="1" applyFill="1" applyBorder="1" applyAlignment="1">
      <alignment horizontal="center" vertical="center" wrapText="1"/>
    </xf>
    <xf numFmtId="0" fontId="63" fillId="0" borderId="0" xfId="186" applyFont="1" applyAlignment="1">
      <alignment horizontal="left" vertical="center" wrapText="1"/>
    </xf>
    <xf numFmtId="168" fontId="6" fillId="0" borderId="1" xfId="186" applyNumberFormat="1" applyFont="1" applyFill="1" applyBorder="1" applyAlignment="1">
      <alignment vertical="center" wrapText="1"/>
    </xf>
    <xf numFmtId="168" fontId="6" fillId="0" borderId="1" xfId="186" applyNumberFormat="1" applyFont="1" applyFill="1" applyBorder="1" applyAlignment="1">
      <alignment horizontal="center" vertical="center"/>
    </xf>
    <xf numFmtId="0" fontId="6" fillId="3" borderId="0" xfId="186" applyFont="1" applyFill="1" applyBorder="1"/>
    <xf numFmtId="0" fontId="6" fillId="3" borderId="0" xfId="186" applyFont="1" applyFill="1" applyBorder="1" applyAlignment="1">
      <alignment horizontal="left" vertical="center" wrapText="1"/>
    </xf>
    <xf numFmtId="170" fontId="9" fillId="0" borderId="1" xfId="186" applyNumberFormat="1" applyFont="1" applyFill="1" applyBorder="1" applyAlignment="1">
      <alignment horizontal="center" vertical="center"/>
    </xf>
    <xf numFmtId="0" fontId="9" fillId="0" borderId="1" xfId="186" applyFont="1" applyFill="1" applyBorder="1" applyAlignment="1">
      <alignment vertical="center" wrapText="1"/>
    </xf>
    <xf numFmtId="0" fontId="9" fillId="2" borderId="1" xfId="187" applyNumberFormat="1" applyFont="1" applyFill="1" applyBorder="1" applyAlignment="1">
      <alignment horizontal="center" vertical="center"/>
    </xf>
    <xf numFmtId="0" fontId="10" fillId="0" borderId="1" xfId="186" applyFont="1" applyFill="1" applyBorder="1" applyAlignment="1">
      <alignment horizontal="center" vertical="center" wrapText="1"/>
    </xf>
    <xf numFmtId="0" fontId="65" fillId="2" borderId="1" xfId="5" applyFont="1" applyFill="1" applyBorder="1" applyAlignment="1">
      <alignment horizontal="left" vertical="center" wrapText="1"/>
    </xf>
    <xf numFmtId="0" fontId="65" fillId="0" borderId="1" xfId="5" applyFont="1" applyFill="1" applyBorder="1" applyAlignment="1">
      <alignment horizontal="center" vertical="center" wrapText="1"/>
    </xf>
    <xf numFmtId="180" fontId="65" fillId="0" borderId="1" xfId="43" applyNumberFormat="1" applyFont="1" applyFill="1" applyBorder="1" applyAlignment="1">
      <alignment horizontal="center" vertical="center" wrapText="1"/>
    </xf>
    <xf numFmtId="172" fontId="65" fillId="0" borderId="1" xfId="5" applyNumberFormat="1" applyFont="1" applyFill="1" applyBorder="1" applyAlignment="1">
      <alignment horizontal="center" vertical="center" wrapText="1"/>
    </xf>
    <xf numFmtId="172" fontId="9" fillId="4" borderId="1" xfId="186" applyNumberFormat="1" applyFont="1" applyFill="1" applyBorder="1" applyAlignment="1">
      <alignment horizontal="left" vertical="center" wrapText="1"/>
    </xf>
    <xf numFmtId="0" fontId="65" fillId="0" borderId="1" xfId="43" applyNumberFormat="1" applyFont="1" applyFill="1" applyBorder="1" applyAlignment="1">
      <alignment horizontal="center" vertical="center" wrapText="1"/>
    </xf>
    <xf numFmtId="181" fontId="65" fillId="0" borderId="1" xfId="7" applyNumberFormat="1" applyFont="1" applyFill="1" applyBorder="1" applyAlignment="1">
      <alignment horizontal="center" vertical="center" wrapText="1"/>
    </xf>
    <xf numFmtId="9" fontId="65" fillId="0" borderId="1" xfId="43" applyFont="1" applyFill="1" applyBorder="1" applyAlignment="1">
      <alignment horizontal="center" vertical="center" wrapText="1"/>
    </xf>
    <xf numFmtId="0" fontId="65" fillId="0" borderId="3" xfId="5" applyFont="1" applyFill="1" applyBorder="1" applyAlignment="1">
      <alignment horizontal="center" vertical="center" wrapText="1"/>
    </xf>
    <xf numFmtId="0" fontId="65" fillId="0" borderId="2" xfId="43" applyNumberFormat="1" applyFont="1" applyFill="1" applyBorder="1" applyAlignment="1">
      <alignment horizontal="center" vertical="center" wrapText="1"/>
    </xf>
    <xf numFmtId="0" fontId="65" fillId="0" borderId="1" xfId="5" applyFont="1" applyFill="1" applyBorder="1" applyAlignment="1">
      <alignment horizontal="left" vertical="center" wrapText="1"/>
    </xf>
    <xf numFmtId="0" fontId="65" fillId="0" borderId="2" xfId="5" applyFont="1" applyFill="1" applyBorder="1" applyAlignment="1">
      <alignment horizontal="center" vertical="center" wrapText="1"/>
    </xf>
    <xf numFmtId="49" fontId="65" fillId="0" borderId="8" xfId="186" applyNumberFormat="1" applyFont="1" applyFill="1" applyBorder="1" applyAlignment="1">
      <alignment horizontal="center" vertical="center"/>
    </xf>
    <xf numFmtId="0" fontId="65" fillId="0" borderId="1" xfId="5" applyFont="1" applyFill="1" applyBorder="1" applyAlignment="1">
      <alignment vertical="center" wrapText="1"/>
    </xf>
    <xf numFmtId="181" fontId="65" fillId="0" borderId="2" xfId="187" applyNumberFormat="1" applyFont="1" applyFill="1" applyBorder="1" applyAlignment="1">
      <alignment horizontal="center" vertical="center" wrapText="1"/>
    </xf>
    <xf numFmtId="49" fontId="65" fillId="0" borderId="1" xfId="186" applyNumberFormat="1" applyFont="1" applyFill="1" applyBorder="1" applyAlignment="1">
      <alignment horizontal="center" vertical="center"/>
    </xf>
    <xf numFmtId="181" fontId="65" fillId="0" borderId="1" xfId="187" applyNumberFormat="1" applyFont="1" applyFill="1" applyBorder="1" applyAlignment="1">
      <alignment horizontal="center" vertical="center" wrapText="1"/>
    </xf>
    <xf numFmtId="181" fontId="65" fillId="0" borderId="5" xfId="187" applyNumberFormat="1" applyFont="1" applyFill="1" applyBorder="1" applyAlignment="1">
      <alignment horizontal="center" vertical="center" wrapText="1"/>
    </xf>
    <xf numFmtId="180" fontId="65" fillId="0" borderId="7" xfId="43" applyNumberFormat="1" applyFont="1" applyFill="1" applyBorder="1" applyAlignment="1">
      <alignment horizontal="center" vertical="center" wrapText="1"/>
    </xf>
    <xf numFmtId="0" fontId="64" fillId="2" borderId="1" xfId="5" applyFont="1" applyFill="1" applyBorder="1" applyAlignment="1">
      <alignment horizontal="left" vertical="center" wrapText="1"/>
    </xf>
    <xf numFmtId="0" fontId="64" fillId="0" borderId="2" xfId="5" applyFont="1" applyFill="1" applyBorder="1" applyAlignment="1">
      <alignment horizontal="center" vertical="center" wrapText="1"/>
    </xf>
    <xf numFmtId="180" fontId="64" fillId="0" borderId="2" xfId="43" applyNumberFormat="1" applyFont="1" applyFill="1" applyBorder="1" applyAlignment="1">
      <alignment horizontal="center" vertical="center" wrapText="1"/>
    </xf>
    <xf numFmtId="0" fontId="64" fillId="0" borderId="1" xfId="5" applyFont="1" applyFill="1" applyBorder="1" applyAlignment="1">
      <alignment horizontal="left" vertical="center" wrapText="1"/>
    </xf>
    <xf numFmtId="0" fontId="64" fillId="0" borderId="8" xfId="5" applyFont="1" applyFill="1" applyBorder="1" applyAlignment="1">
      <alignment horizontal="center" vertical="center" wrapText="1"/>
    </xf>
    <xf numFmtId="180" fontId="64" fillId="0" borderId="8" xfId="43" applyNumberFormat="1" applyFont="1" applyFill="1" applyBorder="1" applyAlignment="1">
      <alignment horizontal="center" vertical="center" wrapText="1"/>
    </xf>
    <xf numFmtId="180" fontId="64" fillId="0" borderId="1" xfId="43" applyNumberFormat="1" applyFont="1" applyFill="1" applyBorder="1" applyAlignment="1">
      <alignment horizontal="center" vertical="center" wrapText="1"/>
    </xf>
    <xf numFmtId="180" fontId="64" fillId="0" borderId="3" xfId="43" applyNumberFormat="1" applyFont="1" applyFill="1" applyBorder="1" applyAlignment="1">
      <alignment horizontal="center" vertical="center" wrapText="1"/>
    </xf>
    <xf numFmtId="0" fontId="65" fillId="2" borderId="1" xfId="5" applyFont="1" applyFill="1" applyBorder="1" applyAlignment="1">
      <alignment vertical="center" wrapText="1"/>
    </xf>
    <xf numFmtId="180" fontId="65" fillId="0" borderId="2" xfId="43" applyNumberFormat="1" applyFont="1" applyFill="1" applyBorder="1" applyAlignment="1">
      <alignment horizontal="center" vertical="center" wrapText="1"/>
    </xf>
    <xf numFmtId="49" fontId="65" fillId="0" borderId="3" xfId="186" applyNumberFormat="1" applyFont="1" applyFill="1" applyBorder="1" applyAlignment="1">
      <alignment horizontal="center" vertical="center"/>
    </xf>
    <xf numFmtId="172" fontId="65" fillId="0" borderId="0" xfId="186" applyNumberFormat="1" applyFont="1" applyAlignment="1">
      <alignment wrapText="1"/>
    </xf>
    <xf numFmtId="49" fontId="64" fillId="0" borderId="1" xfId="186" applyNumberFormat="1" applyFont="1" applyFill="1" applyBorder="1" applyAlignment="1">
      <alignment horizontal="center" vertical="center"/>
    </xf>
    <xf numFmtId="0" fontId="64" fillId="0" borderId="1" xfId="5" applyFont="1" applyFill="1" applyBorder="1" applyAlignment="1">
      <alignment horizontal="center" vertical="center" wrapText="1"/>
    </xf>
    <xf numFmtId="9" fontId="64" fillId="0" borderId="1" xfId="43" applyFont="1" applyFill="1" applyBorder="1" applyAlignment="1">
      <alignment horizontal="center" vertical="center" wrapText="1"/>
    </xf>
    <xf numFmtId="1" fontId="65" fillId="0" borderId="1" xfId="43" applyNumberFormat="1" applyFont="1" applyFill="1" applyBorder="1" applyAlignment="1">
      <alignment horizontal="center" vertical="center" wrapText="1"/>
    </xf>
    <xf numFmtId="0" fontId="5" fillId="2" borderId="1" xfId="186" applyFont="1" applyFill="1" applyBorder="1" applyAlignment="1">
      <alignment horizontal="left" vertical="center" wrapText="1"/>
    </xf>
    <xf numFmtId="167" fontId="6" fillId="2" borderId="1" xfId="186" applyNumberFormat="1" applyFont="1" applyFill="1" applyBorder="1" applyAlignment="1">
      <alignment vertical="center" wrapText="1"/>
    </xf>
    <xf numFmtId="167" fontId="5" fillId="3" borderId="1" xfId="186" applyNumberFormat="1" applyFont="1" applyFill="1" applyBorder="1"/>
    <xf numFmtId="170" fontId="9" fillId="2" borderId="1" xfId="186" applyNumberFormat="1" applyFont="1" applyFill="1" applyBorder="1" applyAlignment="1">
      <alignment horizontal="center" vertical="center"/>
    </xf>
    <xf numFmtId="172" fontId="9" fillId="2" borderId="1" xfId="186" applyNumberFormat="1" applyFont="1" applyFill="1" applyBorder="1" applyAlignment="1">
      <alignment horizontal="center" vertical="center" wrapText="1"/>
    </xf>
    <xf numFmtId="49" fontId="10" fillId="0" borderId="1" xfId="186" applyNumberFormat="1" applyFont="1" applyFill="1" applyBorder="1" applyAlignment="1">
      <alignment horizontal="center" vertical="center"/>
    </xf>
    <xf numFmtId="170" fontId="10" fillId="0" borderId="1" xfId="186" applyNumberFormat="1" applyFont="1" applyFill="1" applyBorder="1" applyAlignment="1">
      <alignment horizontal="center" vertical="center"/>
    </xf>
    <xf numFmtId="167" fontId="9" fillId="2" borderId="1" xfId="187" applyNumberFormat="1" applyFont="1" applyFill="1" applyBorder="1" applyAlignment="1">
      <alignment horizontal="center" vertical="center"/>
    </xf>
    <xf numFmtId="170" fontId="9" fillId="2" borderId="1" xfId="177" applyNumberFormat="1" applyFont="1" applyFill="1" applyBorder="1" applyAlignment="1">
      <alignment horizontal="center" vertical="center"/>
    </xf>
    <xf numFmtId="49" fontId="10" fillId="2" borderId="1" xfId="161" applyNumberFormat="1" applyFont="1" applyFill="1" applyBorder="1" applyAlignment="1">
      <alignment horizontal="center" vertical="top"/>
    </xf>
    <xf numFmtId="173" fontId="10" fillId="2" borderId="1" xfId="177" applyNumberFormat="1" applyFont="1" applyFill="1" applyBorder="1"/>
    <xf numFmtId="0" fontId="9" fillId="2" borderId="5" xfId="31" applyFont="1" applyFill="1" applyBorder="1" applyAlignment="1">
      <alignment horizontal="left" vertical="center" wrapText="1"/>
    </xf>
    <xf numFmtId="191" fontId="9" fillId="2" borderId="1" xfId="31" applyNumberFormat="1" applyFont="1" applyFill="1" applyBorder="1" applyAlignment="1">
      <alignment horizontal="center" vertical="center" wrapText="1"/>
    </xf>
    <xf numFmtId="0" fontId="10" fillId="2" borderId="1" xfId="177" applyFont="1" applyFill="1" applyBorder="1" applyAlignment="1">
      <alignment horizontal="center" vertical="center" wrapText="1"/>
    </xf>
    <xf numFmtId="0" fontId="10" fillId="2" borderId="1" xfId="177" applyFont="1" applyFill="1" applyBorder="1" applyAlignment="1">
      <alignment horizontal="left" vertical="center" wrapText="1"/>
    </xf>
    <xf numFmtId="0" fontId="6" fillId="2" borderId="3" xfId="186" applyFont="1" applyFill="1" applyBorder="1" applyAlignment="1">
      <alignment horizontal="left" vertical="center" wrapText="1"/>
    </xf>
    <xf numFmtId="0" fontId="10" fillId="2" borderId="7" xfId="177" applyFont="1" applyFill="1" applyBorder="1" applyAlignment="1">
      <alignment horizontal="left" vertical="center" wrapText="1"/>
    </xf>
    <xf numFmtId="0" fontId="9" fillId="2" borderId="3" xfId="186" applyFont="1" applyFill="1" applyBorder="1" applyAlignment="1">
      <alignment vertical="center" wrapText="1"/>
    </xf>
    <xf numFmtId="0" fontId="5" fillId="2" borderId="3" xfId="186" applyFont="1" applyFill="1" applyBorder="1" applyAlignment="1">
      <alignment vertical="center" wrapText="1"/>
    </xf>
    <xf numFmtId="0" fontId="5" fillId="2" borderId="5" xfId="186" applyFont="1" applyFill="1" applyBorder="1" applyAlignment="1">
      <alignment horizontal="left" vertical="center" wrapText="1"/>
    </xf>
    <xf numFmtId="191" fontId="9" fillId="2" borderId="3" xfId="186" applyNumberFormat="1" applyFont="1" applyFill="1" applyBorder="1" applyAlignment="1">
      <alignment horizontal="center" vertical="center" wrapText="1"/>
    </xf>
    <xf numFmtId="174" fontId="5" fillId="2" borderId="3" xfId="186" applyNumberFormat="1" applyFont="1" applyFill="1" applyBorder="1" applyAlignment="1">
      <alignment horizontal="center" vertical="center" wrapText="1"/>
    </xf>
    <xf numFmtId="0" fontId="6" fillId="2" borderId="3" xfId="186" applyFont="1" applyFill="1" applyBorder="1" applyAlignment="1">
      <alignment horizontal="center" vertical="center"/>
    </xf>
    <xf numFmtId="0" fontId="6" fillId="2" borderId="1" xfId="186" applyFont="1" applyFill="1" applyBorder="1" applyAlignment="1">
      <alignment horizontal="left" vertical="top" wrapText="1"/>
    </xf>
    <xf numFmtId="0" fontId="6" fillId="2" borderId="1" xfId="186" applyFont="1" applyFill="1" applyBorder="1" applyAlignment="1">
      <alignment horizontal="center" vertical="top" wrapText="1"/>
    </xf>
    <xf numFmtId="0" fontId="6" fillId="2" borderId="1" xfId="186" applyFont="1" applyFill="1" applyBorder="1" applyAlignment="1">
      <alignment horizontal="left" wrapText="1"/>
    </xf>
    <xf numFmtId="0" fontId="6" fillId="2" borderId="2" xfId="186" applyFont="1" applyFill="1" applyBorder="1" applyAlignment="1">
      <alignment horizontal="center" vertical="center"/>
    </xf>
    <xf numFmtId="0" fontId="10" fillId="2" borderId="1" xfId="186" applyFont="1" applyFill="1" applyBorder="1" applyAlignment="1">
      <alignment vertical="top" wrapText="1"/>
    </xf>
    <xf numFmtId="0" fontId="6" fillId="2" borderId="1" xfId="186" applyFont="1" applyFill="1" applyBorder="1" applyAlignment="1">
      <alignment vertical="top" wrapText="1"/>
    </xf>
    <xf numFmtId="191" fontId="9" fillId="2" borderId="1" xfId="186" applyNumberFormat="1" applyFont="1" applyFill="1" applyBorder="1" applyAlignment="1">
      <alignment horizontal="center" vertical="center" wrapText="1"/>
    </xf>
    <xf numFmtId="0" fontId="6" fillId="2" borderId="1" xfId="186" applyFont="1" applyFill="1" applyBorder="1" applyAlignment="1">
      <alignment horizontal="left"/>
    </xf>
    <xf numFmtId="49" fontId="10" fillId="2" borderId="1" xfId="186" applyNumberFormat="1" applyFont="1" applyFill="1" applyBorder="1" applyAlignment="1">
      <alignment horizontal="center" vertical="top"/>
    </xf>
    <xf numFmtId="49" fontId="6" fillId="2" borderId="1" xfId="186" applyNumberFormat="1" applyFont="1" applyFill="1" applyBorder="1" applyAlignment="1">
      <alignment vertical="top"/>
    </xf>
    <xf numFmtId="49" fontId="6" fillId="2" borderId="1" xfId="186" applyNumberFormat="1" applyFont="1" applyFill="1" applyBorder="1" applyAlignment="1">
      <alignment horizontal="left" vertical="top" wrapText="1"/>
    </xf>
    <xf numFmtId="191" fontId="10" fillId="2" borderId="1" xfId="186" applyNumberFormat="1" applyFont="1" applyFill="1" applyBorder="1" applyAlignment="1">
      <alignment horizontal="center" vertical="center" wrapText="1"/>
    </xf>
    <xf numFmtId="175" fontId="6" fillId="2" borderId="1" xfId="186" applyNumberFormat="1" applyFont="1" applyFill="1" applyBorder="1" applyAlignment="1">
      <alignment horizontal="center" vertical="center"/>
    </xf>
    <xf numFmtId="175" fontId="6" fillId="2" borderId="5" xfId="186" applyNumberFormat="1" applyFont="1" applyFill="1" applyBorder="1" applyAlignment="1">
      <alignment horizontal="center" vertical="center"/>
    </xf>
    <xf numFmtId="170" fontId="9" fillId="2" borderId="1" xfId="177" applyNumberFormat="1" applyFont="1" applyFill="1" applyBorder="1" applyAlignment="1">
      <alignment horizontal="center" vertical="top"/>
    </xf>
    <xf numFmtId="191" fontId="10" fillId="2" borderId="1" xfId="186" applyNumberFormat="1" applyFont="1" applyFill="1" applyBorder="1" applyAlignment="1">
      <alignment horizontal="center" vertical="center"/>
    </xf>
    <xf numFmtId="191" fontId="9" fillId="3" borderId="1" xfId="186" applyNumberFormat="1" applyFont="1" applyFill="1" applyBorder="1" applyAlignment="1">
      <alignment horizontal="center"/>
    </xf>
    <xf numFmtId="0" fontId="6" fillId="3" borderId="1" xfId="186" applyFont="1" applyFill="1" applyBorder="1" applyAlignment="1">
      <alignment horizontal="center"/>
    </xf>
    <xf numFmtId="170" fontId="5" fillId="0" borderId="1" xfId="186" applyNumberFormat="1" applyFont="1" applyBorder="1" applyAlignment="1">
      <alignment horizontal="center" vertical="center"/>
    </xf>
    <xf numFmtId="10" fontId="5" fillId="2" borderId="1" xfId="192" applyNumberFormat="1" applyFont="1" applyFill="1" applyBorder="1" applyAlignment="1">
      <alignment horizontal="center" vertical="center" wrapText="1"/>
    </xf>
    <xf numFmtId="3" fontId="6" fillId="2" borderId="1" xfId="186" applyNumberFormat="1" applyFont="1" applyFill="1" applyBorder="1" applyAlignment="1">
      <alignment horizontal="center" vertical="center" wrapText="1"/>
    </xf>
    <xf numFmtId="49" fontId="6" fillId="2" borderId="1" xfId="192" applyNumberFormat="1" applyFont="1" applyFill="1" applyBorder="1" applyAlignment="1">
      <alignment horizontal="center" vertical="center"/>
    </xf>
    <xf numFmtId="49" fontId="9" fillId="0" borderId="1" xfId="186" applyNumberFormat="1" applyFont="1" applyBorder="1" applyAlignment="1">
      <alignment horizontal="center" vertical="center" wrapText="1"/>
    </xf>
    <xf numFmtId="0" fontId="10" fillId="0" borderId="1" xfId="186" applyFont="1" applyBorder="1" applyAlignment="1">
      <alignment horizontal="center" vertical="center" wrapText="1"/>
    </xf>
    <xf numFmtId="0" fontId="10" fillId="0" borderId="1" xfId="186" applyFont="1" applyBorder="1" applyAlignment="1">
      <alignment vertical="center" wrapText="1"/>
    </xf>
    <xf numFmtId="0" fontId="9" fillId="0" borderId="1" xfId="186" applyFont="1" applyBorder="1" applyAlignment="1">
      <alignment vertical="center" wrapText="1"/>
    </xf>
    <xf numFmtId="0" fontId="10" fillId="0" borderId="23" xfId="186" applyFont="1" applyBorder="1" applyAlignment="1">
      <alignment horizontal="center" vertical="center" wrapText="1"/>
    </xf>
    <xf numFmtId="49" fontId="10" fillId="0" borderId="1" xfId="186" applyNumberFormat="1" applyFont="1" applyBorder="1" applyAlignment="1">
      <alignment horizontal="center" vertical="center" wrapText="1"/>
    </xf>
    <xf numFmtId="167" fontId="5" fillId="3" borderId="3" xfId="186" applyNumberFormat="1" applyFont="1" applyFill="1" applyBorder="1" applyAlignment="1">
      <alignment horizontal="center" vertical="center"/>
    </xf>
    <xf numFmtId="0" fontId="6" fillId="3" borderId="3" xfId="186" applyFont="1" applyFill="1" applyBorder="1"/>
    <xf numFmtId="167" fontId="5" fillId="3" borderId="3" xfId="186" applyNumberFormat="1" applyFont="1" applyFill="1" applyBorder="1"/>
    <xf numFmtId="0" fontId="10" fillId="2" borderId="0" xfId="186" applyFont="1" applyFill="1"/>
    <xf numFmtId="49" fontId="9" fillId="2" borderId="3" xfId="186" applyNumberFormat="1" applyFont="1" applyFill="1" applyBorder="1" applyAlignment="1">
      <alignment horizontal="center" vertical="center"/>
    </xf>
    <xf numFmtId="0" fontId="9" fillId="2" borderId="1" xfId="186" applyFont="1" applyFill="1" applyBorder="1" applyAlignment="1">
      <alignment horizontal="center" vertical="center"/>
    </xf>
    <xf numFmtId="167" fontId="9" fillId="2" borderId="1" xfId="186" applyNumberFormat="1" applyFont="1" applyFill="1" applyBorder="1" applyAlignment="1">
      <alignment horizontal="center" vertical="center" wrapText="1"/>
    </xf>
    <xf numFmtId="49" fontId="10" fillId="2" borderId="3" xfId="186" applyNumberFormat="1" applyFont="1" applyFill="1" applyBorder="1" applyAlignment="1">
      <alignment horizontal="center" vertical="center"/>
    </xf>
    <xf numFmtId="0" fontId="10" fillId="2" borderId="3" xfId="186" applyFont="1" applyFill="1" applyBorder="1" applyAlignment="1">
      <alignment horizontal="center" vertical="center" wrapText="1"/>
    </xf>
    <xf numFmtId="0" fontId="9" fillId="2" borderId="1" xfId="186" applyFont="1" applyFill="1" applyBorder="1" applyAlignment="1">
      <alignment horizontal="center" vertical="center" wrapText="1"/>
    </xf>
    <xf numFmtId="0" fontId="10" fillId="2" borderId="1" xfId="186" applyFont="1" applyFill="1" applyBorder="1" applyAlignment="1">
      <alignment horizontal="center" vertical="center"/>
    </xf>
    <xf numFmtId="168" fontId="10" fillId="2" borderId="1" xfId="186" applyNumberFormat="1" applyFont="1" applyFill="1" applyBorder="1" applyAlignment="1">
      <alignment horizontal="center" vertical="center" wrapText="1"/>
    </xf>
    <xf numFmtId="49" fontId="10" fillId="2" borderId="1" xfId="186" applyNumberFormat="1" applyFont="1" applyFill="1" applyBorder="1" applyAlignment="1">
      <alignment vertical="center"/>
    </xf>
    <xf numFmtId="167" fontId="10" fillId="2" borderId="3" xfId="186" applyNumberFormat="1" applyFont="1" applyFill="1" applyBorder="1" applyAlignment="1">
      <alignment horizontal="center" vertical="center" wrapText="1"/>
    </xf>
    <xf numFmtId="0" fontId="10" fillId="2" borderId="1" xfId="186" applyFont="1" applyFill="1" applyBorder="1" applyAlignment="1">
      <alignment vertical="center"/>
    </xf>
    <xf numFmtId="168" fontId="10" fillId="2" borderId="1" xfId="186" applyNumberFormat="1" applyFont="1" applyFill="1" applyBorder="1" applyAlignment="1">
      <alignment horizontal="left" vertical="center" wrapText="1"/>
    </xf>
    <xf numFmtId="168" fontId="10" fillId="2" borderId="1" xfId="186" applyNumberFormat="1" applyFont="1" applyFill="1" applyBorder="1" applyAlignment="1">
      <alignment horizontal="left" vertical="center"/>
    </xf>
    <xf numFmtId="49" fontId="10" fillId="2" borderId="1" xfId="186" applyNumberFormat="1" applyFont="1" applyFill="1" applyBorder="1" applyAlignment="1">
      <alignment horizontal="left" vertical="center" wrapText="1"/>
    </xf>
    <xf numFmtId="0" fontId="10" fillId="2" borderId="1" xfId="186" applyFont="1" applyFill="1" applyBorder="1" applyAlignment="1">
      <alignment horizontal="left" vertical="center"/>
    </xf>
    <xf numFmtId="0" fontId="10" fillId="2" borderId="1" xfId="186" applyFont="1" applyFill="1" applyBorder="1" applyAlignment="1">
      <alignment horizontal="left"/>
    </xf>
    <xf numFmtId="168" fontId="10" fillId="2" borderId="1" xfId="186" applyNumberFormat="1" applyFont="1" applyFill="1" applyBorder="1" applyAlignment="1">
      <alignment horizontal="left"/>
    </xf>
    <xf numFmtId="49" fontId="9" fillId="0" borderId="36" xfId="186" applyNumberFormat="1" applyFont="1" applyBorder="1" applyAlignment="1">
      <alignment horizontal="center" vertical="center" wrapText="1"/>
    </xf>
    <xf numFmtId="0" fontId="10" fillId="2" borderId="2" xfId="186" applyFont="1" applyFill="1" applyBorder="1" applyAlignment="1">
      <alignment horizontal="left" vertical="center" wrapText="1"/>
    </xf>
    <xf numFmtId="1" fontId="10" fillId="2" borderId="2" xfId="186" applyNumberFormat="1" applyFont="1" applyFill="1" applyBorder="1" applyAlignment="1">
      <alignment horizontal="left" vertical="center" wrapText="1"/>
    </xf>
    <xf numFmtId="167" fontId="10" fillId="2" borderId="1" xfId="186" applyNumberFormat="1" applyFont="1" applyFill="1" applyBorder="1" applyAlignment="1">
      <alignment horizontal="left" vertical="center" wrapText="1"/>
    </xf>
    <xf numFmtId="0" fontId="10" fillId="2" borderId="36" xfId="186" applyFont="1" applyFill="1" applyBorder="1" applyAlignment="1">
      <alignment horizontal="left" vertical="center"/>
    </xf>
    <xf numFmtId="0" fontId="10" fillId="2" borderId="8" xfId="186" applyFont="1" applyFill="1" applyBorder="1" applyAlignment="1">
      <alignment horizontal="left" vertical="center" wrapText="1"/>
    </xf>
    <xf numFmtId="167" fontId="10" fillId="2" borderId="8" xfId="186" applyNumberFormat="1" applyFont="1" applyFill="1" applyBorder="1" applyAlignment="1">
      <alignment horizontal="left" vertical="center" wrapText="1"/>
    </xf>
    <xf numFmtId="167" fontId="10" fillId="2" borderId="2" xfId="186" applyNumberFormat="1" applyFont="1" applyFill="1" applyBorder="1" applyAlignment="1">
      <alignment horizontal="left" vertical="center" wrapText="1"/>
    </xf>
    <xf numFmtId="49" fontId="10" fillId="2" borderId="1" xfId="186" applyNumberFormat="1" applyFont="1" applyFill="1" applyBorder="1" applyAlignment="1">
      <alignment horizontal="center" vertical="center"/>
    </xf>
    <xf numFmtId="3" fontId="10" fillId="2" borderId="1" xfId="186" applyNumberFormat="1" applyFont="1" applyFill="1" applyBorder="1" applyAlignment="1">
      <alignment horizontal="left" vertical="center" wrapText="1"/>
    </xf>
    <xf numFmtId="49" fontId="9" fillId="2" borderId="3" xfId="186" applyNumberFormat="1" applyFont="1" applyFill="1" applyBorder="1" applyAlignment="1">
      <alignment vertical="center"/>
    </xf>
    <xf numFmtId="167" fontId="9" fillId="2" borderId="3" xfId="186" applyNumberFormat="1" applyFont="1" applyFill="1" applyBorder="1" applyAlignment="1">
      <alignment horizontal="center" vertical="center" wrapText="1"/>
    </xf>
    <xf numFmtId="0" fontId="10" fillId="2" borderId="3" xfId="186" applyFont="1" applyFill="1" applyBorder="1" applyAlignment="1">
      <alignment vertical="center" wrapText="1"/>
    </xf>
    <xf numFmtId="0" fontId="10" fillId="2" borderId="3" xfId="186" applyFont="1" applyFill="1" applyBorder="1" applyAlignment="1">
      <alignment vertical="center"/>
    </xf>
    <xf numFmtId="0" fontId="10" fillId="2" borderId="0" xfId="186" applyFont="1" applyFill="1" applyAlignment="1">
      <alignment wrapText="1"/>
    </xf>
    <xf numFmtId="0" fontId="10" fillId="2" borderId="2" xfId="186" applyFont="1" applyFill="1" applyBorder="1" applyAlignment="1">
      <alignment horizontal="center" vertical="center" wrapText="1"/>
    </xf>
    <xf numFmtId="0" fontId="10" fillId="2" borderId="7" xfId="186" applyFont="1" applyFill="1" applyBorder="1" applyAlignment="1">
      <alignment vertical="center" wrapText="1"/>
    </xf>
    <xf numFmtId="49" fontId="10" fillId="2" borderId="8" xfId="186" applyNumberFormat="1" applyFont="1" applyFill="1" applyBorder="1" applyAlignment="1">
      <alignment horizontal="center" vertical="center"/>
    </xf>
    <xf numFmtId="176" fontId="10" fillId="2" borderId="1" xfId="186" applyNumberFormat="1" applyFont="1" applyFill="1" applyBorder="1" applyAlignment="1">
      <alignment horizontal="left" vertical="center"/>
    </xf>
    <xf numFmtId="0" fontId="65" fillId="2" borderId="1" xfId="186" applyFont="1" applyFill="1" applyBorder="1" applyAlignment="1">
      <alignment horizontal="left" vertical="center" wrapText="1"/>
    </xf>
    <xf numFmtId="0" fontId="65" fillId="0" borderId="1" xfId="186" applyFont="1" applyBorder="1" applyAlignment="1">
      <alignment horizontal="left" vertical="center" wrapText="1"/>
    </xf>
    <xf numFmtId="0" fontId="10" fillId="2" borderId="1" xfId="32" applyFont="1" applyFill="1" applyBorder="1" applyAlignment="1">
      <alignment wrapText="1"/>
    </xf>
    <xf numFmtId="0" fontId="10" fillId="2" borderId="1" xfId="32" applyFont="1" applyFill="1" applyBorder="1" applyAlignment="1">
      <alignment horizontal="center" vertical="center" wrapText="1"/>
    </xf>
    <xf numFmtId="0" fontId="10" fillId="2" borderId="1" xfId="32" applyFont="1" applyFill="1" applyBorder="1" applyAlignment="1">
      <alignment horizontal="left" vertical="center" wrapText="1"/>
    </xf>
    <xf numFmtId="1" fontId="10" fillId="2" borderId="1" xfId="193" applyNumberFormat="1" applyFont="1" applyFill="1" applyBorder="1" applyAlignment="1">
      <alignment horizontal="left" vertical="center"/>
    </xf>
    <xf numFmtId="3" fontId="10" fillId="2" borderId="1" xfId="186" applyNumberFormat="1" applyFont="1" applyFill="1" applyBorder="1" applyAlignment="1">
      <alignment horizontal="center" vertical="center" wrapText="1"/>
    </xf>
    <xf numFmtId="16" fontId="10" fillId="2" borderId="0" xfId="186" applyNumberFormat="1" applyFont="1" applyFill="1" applyAlignment="1">
      <alignment horizontal="left" vertical="center" wrapText="1"/>
    </xf>
    <xf numFmtId="168" fontId="10" fillId="2" borderId="3" xfId="186" applyNumberFormat="1" applyFont="1" applyFill="1" applyBorder="1" applyAlignment="1">
      <alignment horizontal="left" vertical="center"/>
    </xf>
    <xf numFmtId="167" fontId="10" fillId="2" borderId="3" xfId="186" applyNumberFormat="1" applyFont="1" applyFill="1" applyBorder="1" applyAlignment="1">
      <alignment horizontal="left" vertical="center"/>
    </xf>
    <xf numFmtId="0" fontId="10" fillId="2" borderId="3" xfId="186" applyFont="1" applyFill="1" applyBorder="1" applyAlignment="1">
      <alignment horizontal="left" vertical="center"/>
    </xf>
    <xf numFmtId="168" fontId="10" fillId="2" borderId="1" xfId="186" applyNumberFormat="1" applyFont="1" applyFill="1" applyBorder="1" applyAlignment="1">
      <alignment horizontal="right" vertical="center"/>
    </xf>
    <xf numFmtId="168" fontId="10" fillId="2" borderId="1" xfId="186" applyNumberFormat="1" applyFont="1" applyFill="1" applyBorder="1" applyAlignment="1">
      <alignment horizontal="center"/>
    </xf>
    <xf numFmtId="168" fontId="10" fillId="2" borderId="1" xfId="186" applyNumberFormat="1" applyFont="1" applyFill="1" applyBorder="1" applyAlignment="1">
      <alignment horizontal="center" wrapText="1"/>
    </xf>
    <xf numFmtId="168" fontId="10" fillId="2" borderId="1" xfId="186" applyNumberFormat="1" applyFont="1" applyFill="1" applyBorder="1" applyAlignment="1">
      <alignment horizontal="right" wrapText="1"/>
    </xf>
    <xf numFmtId="168" fontId="10" fillId="2" borderId="1" xfId="186" applyNumberFormat="1" applyFont="1" applyFill="1" applyBorder="1" applyAlignment="1">
      <alignment horizontal="right"/>
    </xf>
    <xf numFmtId="49" fontId="9" fillId="0" borderId="32" xfId="186" applyNumberFormat="1" applyFont="1" applyBorder="1" applyAlignment="1">
      <alignment horizontal="center" vertical="center" wrapText="1"/>
    </xf>
    <xf numFmtId="2" fontId="10" fillId="0" borderId="0" xfId="186" applyNumberFormat="1" applyFont="1" applyAlignment="1">
      <alignment horizontal="center" wrapText="1"/>
    </xf>
    <xf numFmtId="49" fontId="9" fillId="2" borderId="8" xfId="186" applyNumberFormat="1" applyFont="1" applyFill="1" applyBorder="1" applyAlignment="1">
      <alignment horizontal="center" vertical="center"/>
    </xf>
    <xf numFmtId="49" fontId="9" fillId="2" borderId="2" xfId="186" applyNumberFormat="1" applyFont="1" applyFill="1" applyBorder="1" applyAlignment="1">
      <alignment horizontal="center" vertical="center"/>
    </xf>
    <xf numFmtId="0" fontId="10" fillId="2" borderId="8" xfId="186" applyFont="1" applyFill="1" applyBorder="1" applyAlignment="1">
      <alignment vertical="center" wrapText="1"/>
    </xf>
    <xf numFmtId="167" fontId="9" fillId="2" borderId="8" xfId="186" applyNumberFormat="1" applyFont="1" applyFill="1" applyBorder="1" applyAlignment="1">
      <alignment horizontal="center" vertical="center" wrapText="1"/>
    </xf>
    <xf numFmtId="172" fontId="10" fillId="2" borderId="1" xfId="194" applyNumberFormat="1" applyFont="1" applyFill="1" applyBorder="1" applyAlignment="1">
      <alignment horizontal="left" vertical="center" wrapText="1"/>
    </xf>
    <xf numFmtId="0" fontId="10" fillId="2" borderId="1" xfId="195" applyFont="1" applyFill="1" applyBorder="1" applyAlignment="1">
      <alignment horizontal="left" vertical="center" wrapText="1"/>
    </xf>
    <xf numFmtId="0" fontId="10" fillId="2" borderId="1" xfId="186" applyFont="1" applyFill="1" applyBorder="1" applyAlignment="1">
      <alignment wrapText="1"/>
    </xf>
    <xf numFmtId="0" fontId="10" fillId="2" borderId="1" xfId="186" applyFont="1" applyFill="1" applyBorder="1"/>
    <xf numFmtId="0" fontId="10" fillId="2" borderId="1" xfId="195" applyNumberFormat="1" applyFont="1" applyFill="1" applyBorder="1" applyAlignment="1">
      <alignment horizontal="left" vertical="center"/>
    </xf>
    <xf numFmtId="0" fontId="10" fillId="2" borderId="1" xfId="195" applyNumberFormat="1" applyFont="1" applyFill="1" applyBorder="1" applyAlignment="1">
      <alignment horizontal="left" vertical="center" wrapText="1"/>
    </xf>
    <xf numFmtId="0" fontId="10" fillId="2" borderId="1" xfId="32" applyFont="1" applyFill="1" applyBorder="1" applyAlignment="1">
      <alignment horizontal="left" wrapText="1"/>
    </xf>
    <xf numFmtId="49" fontId="9" fillId="2" borderId="1" xfId="186" applyNumberFormat="1" applyFont="1" applyFill="1" applyBorder="1" applyAlignment="1">
      <alignment horizontal="left" vertical="center"/>
    </xf>
    <xf numFmtId="167" fontId="9" fillId="3" borderId="1" xfId="186" applyNumberFormat="1" applyFont="1" applyFill="1" applyBorder="1" applyAlignment="1">
      <alignment horizontal="center" vertical="center"/>
    </xf>
    <xf numFmtId="0" fontId="10" fillId="3" borderId="1" xfId="186" applyFont="1" applyFill="1" applyBorder="1" applyAlignment="1">
      <alignment horizontal="left"/>
    </xf>
    <xf numFmtId="0" fontId="6" fillId="0" borderId="7" xfId="186" applyFont="1" applyFill="1" applyBorder="1" applyAlignment="1">
      <alignment vertical="center" wrapText="1"/>
    </xf>
    <xf numFmtId="0" fontId="6" fillId="2" borderId="7" xfId="186" applyFont="1" applyFill="1" applyBorder="1" applyAlignment="1">
      <alignment vertical="center" wrapText="1"/>
    </xf>
    <xf numFmtId="167" fontId="5" fillId="2" borderId="3" xfId="186" applyNumberFormat="1" applyFont="1" applyFill="1" applyBorder="1" applyAlignment="1">
      <alignment horizontal="center" vertical="center" wrapText="1"/>
    </xf>
    <xf numFmtId="0" fontId="6" fillId="0" borderId="23" xfId="186" applyFont="1" applyFill="1" applyBorder="1" applyAlignment="1">
      <alignment horizontal="center" vertical="center"/>
    </xf>
    <xf numFmtId="0" fontId="6" fillId="0" borderId="24" xfId="186" applyFont="1" applyBorder="1" applyAlignment="1">
      <alignment horizontal="center" vertical="center"/>
    </xf>
    <xf numFmtId="0" fontId="6" fillId="0" borderId="25" xfId="186" applyFont="1" applyBorder="1" applyAlignment="1">
      <alignment horizontal="center" vertical="center"/>
    </xf>
    <xf numFmtId="167" fontId="53" fillId="3" borderId="1" xfId="186" applyNumberFormat="1" applyFont="1" applyFill="1" applyBorder="1" applyAlignment="1">
      <alignment horizontal="center" vertical="center" wrapText="1"/>
    </xf>
    <xf numFmtId="0" fontId="53" fillId="3" borderId="1" xfId="186" applyFont="1" applyFill="1" applyBorder="1" applyAlignment="1">
      <alignment vertical="center" wrapText="1"/>
    </xf>
    <xf numFmtId="0" fontId="53" fillId="3" borderId="1" xfId="186" applyFont="1" applyFill="1" applyBorder="1" applyAlignment="1">
      <alignment horizontal="center" vertical="center" wrapText="1"/>
    </xf>
    <xf numFmtId="0" fontId="60" fillId="3" borderId="1" xfId="186" applyFont="1" applyFill="1" applyBorder="1" applyAlignment="1">
      <alignment horizontal="center" vertical="center"/>
    </xf>
    <xf numFmtId="171" fontId="9" fillId="2" borderId="1" xfId="186" applyNumberFormat="1" applyFont="1" applyFill="1" applyBorder="1" applyAlignment="1">
      <alignment horizontal="left" vertical="center"/>
    </xf>
    <xf numFmtId="0" fontId="6" fillId="0" borderId="23" xfId="186" applyFont="1" applyFill="1" applyBorder="1" applyAlignment="1">
      <alignment horizontal="center" vertical="center" wrapText="1"/>
    </xf>
    <xf numFmtId="171" fontId="10" fillId="2" borderId="1" xfId="186" applyNumberFormat="1" applyFont="1" applyFill="1" applyBorder="1" applyAlignment="1">
      <alignment horizontal="center" vertical="center"/>
    </xf>
    <xf numFmtId="181" fontId="9" fillId="3" borderId="2" xfId="187" applyNumberFormat="1" applyFont="1" applyFill="1" applyBorder="1" applyAlignment="1">
      <alignment vertical="center" wrapText="1"/>
    </xf>
    <xf numFmtId="0" fontId="10" fillId="3" borderId="2" xfId="186" applyFont="1" applyFill="1" applyBorder="1" applyAlignment="1">
      <alignment horizontal="left" vertical="center" wrapText="1"/>
    </xf>
    <xf numFmtId="0" fontId="10" fillId="3" borderId="2" xfId="186" applyFont="1" applyFill="1" applyBorder="1" applyAlignment="1">
      <alignment horizontal="center" vertical="center" wrapText="1"/>
    </xf>
    <xf numFmtId="0" fontId="9" fillId="3" borderId="2" xfId="186" applyFont="1" applyFill="1" applyBorder="1" applyAlignment="1">
      <alignment horizontal="center" vertical="center" wrapText="1"/>
    </xf>
    <xf numFmtId="0" fontId="18" fillId="5" borderId="1" xfId="186" applyFont="1" applyFill="1" applyBorder="1" applyAlignment="1">
      <alignment vertical="center" wrapText="1"/>
    </xf>
    <xf numFmtId="0" fontId="18" fillId="5" borderId="23" xfId="186" applyFont="1" applyFill="1" applyBorder="1" applyAlignment="1">
      <alignment horizontal="center" vertical="center"/>
    </xf>
    <xf numFmtId="49" fontId="6" fillId="0" borderId="3" xfId="186" applyNumberFormat="1" applyFont="1" applyFill="1" applyBorder="1" applyAlignment="1">
      <alignment horizontal="right" vertical="center"/>
    </xf>
    <xf numFmtId="0" fontId="18" fillId="5" borderId="1" xfId="186" applyFont="1" applyFill="1" applyBorder="1" applyAlignment="1">
      <alignment vertical="top" wrapText="1"/>
    </xf>
    <xf numFmtId="167" fontId="18" fillId="5" borderId="23" xfId="186" applyNumberFormat="1" applyFont="1" applyFill="1" applyBorder="1" applyAlignment="1">
      <alignment horizontal="center" vertical="center" wrapText="1"/>
    </xf>
    <xf numFmtId="181" fontId="5" fillId="2" borderId="1" xfId="196" applyNumberFormat="1" applyFont="1" applyFill="1" applyBorder="1" applyAlignment="1">
      <alignment horizontal="center" vertical="center" wrapText="1"/>
    </xf>
    <xf numFmtId="0" fontId="18" fillId="2" borderId="5" xfId="186" applyFont="1" applyFill="1" applyBorder="1" applyAlignment="1">
      <alignment horizontal="center" vertical="center" wrapText="1"/>
    </xf>
    <xf numFmtId="181" fontId="6" fillId="2" borderId="1" xfId="196" applyNumberFormat="1" applyFont="1" applyFill="1" applyBorder="1" applyAlignment="1">
      <alignment horizontal="center" vertical="center" wrapText="1"/>
    </xf>
    <xf numFmtId="184" fontId="5" fillId="2" borderId="1" xfId="196" applyNumberFormat="1" applyFont="1" applyFill="1" applyBorder="1" applyAlignment="1">
      <alignment horizontal="center" vertical="center" wrapText="1"/>
    </xf>
    <xf numFmtId="0" fontId="18" fillId="2" borderId="2" xfId="186" applyFont="1" applyFill="1" applyBorder="1" applyAlignment="1">
      <alignment horizontal="center" vertical="center" wrapText="1"/>
    </xf>
    <xf numFmtId="181" fontId="18" fillId="2" borderId="1" xfId="196" applyNumberFormat="1" applyFont="1" applyFill="1" applyBorder="1" applyAlignment="1">
      <alignment horizontal="center" vertical="center" wrapText="1"/>
    </xf>
    <xf numFmtId="0" fontId="6" fillId="0" borderId="1" xfId="186" applyFont="1" applyBorder="1" applyAlignment="1">
      <alignment horizontal="center" vertical="center" wrapText="1"/>
    </xf>
    <xf numFmtId="49" fontId="18" fillId="2" borderId="1" xfId="196" applyNumberFormat="1" applyFont="1" applyFill="1" applyBorder="1" applyAlignment="1">
      <alignment horizontal="center" vertical="center" wrapText="1"/>
    </xf>
    <xf numFmtId="49" fontId="6" fillId="0" borderId="1" xfId="196" applyNumberFormat="1" applyFont="1" applyBorder="1" applyAlignment="1">
      <alignment horizontal="center" vertical="center"/>
    </xf>
    <xf numFmtId="0" fontId="63" fillId="0" borderId="0" xfId="186" applyFont="1" applyAlignment="1">
      <alignment horizontal="left" wrapText="1"/>
    </xf>
    <xf numFmtId="49" fontId="10" fillId="2" borderId="1" xfId="186" applyNumberFormat="1" applyFont="1" applyFill="1" applyBorder="1" applyAlignment="1">
      <alignment horizontal="center" vertical="center" wrapText="1"/>
    </xf>
    <xf numFmtId="49" fontId="18" fillId="2" borderId="1" xfId="186" applyNumberFormat="1" applyFont="1" applyFill="1" applyBorder="1" applyAlignment="1">
      <alignment vertical="center"/>
    </xf>
    <xf numFmtId="2" fontId="18" fillId="2" borderId="1" xfId="186" applyNumberFormat="1" applyFont="1" applyFill="1" applyBorder="1" applyAlignment="1">
      <alignment horizontal="center" vertical="center"/>
    </xf>
    <xf numFmtId="1" fontId="6" fillId="0" borderId="1" xfId="186" applyNumberFormat="1" applyFont="1" applyBorder="1" applyAlignment="1">
      <alignment horizontal="center" vertical="center"/>
    </xf>
    <xf numFmtId="49" fontId="9" fillId="2" borderId="1" xfId="186" applyNumberFormat="1" applyFont="1" applyFill="1" applyBorder="1" applyAlignment="1">
      <alignment horizontal="center" vertical="center" wrapText="1"/>
    </xf>
    <xf numFmtId="168" fontId="5" fillId="2" borderId="1" xfId="196" applyNumberFormat="1" applyFont="1" applyFill="1" applyBorder="1" applyAlignment="1">
      <alignment horizontal="center" vertical="center" wrapText="1"/>
    </xf>
    <xf numFmtId="167" fontId="17" fillId="2" borderId="1" xfId="196" applyNumberFormat="1" applyFont="1" applyFill="1" applyBorder="1" applyAlignment="1">
      <alignment horizontal="center" vertical="center" wrapText="1"/>
    </xf>
    <xf numFmtId="168" fontId="6" fillId="0" borderId="1" xfId="186" applyNumberFormat="1" applyFont="1" applyBorder="1" applyAlignment="1">
      <alignment horizontal="center" vertical="center"/>
    </xf>
    <xf numFmtId="168" fontId="18" fillId="2" borderId="1" xfId="196" applyNumberFormat="1" applyFont="1" applyFill="1" applyBorder="1" applyAlignment="1">
      <alignment horizontal="center" vertical="center" wrapText="1"/>
    </xf>
    <xf numFmtId="167" fontId="18" fillId="2" borderId="1" xfId="196" applyNumberFormat="1" applyFont="1" applyFill="1" applyBorder="1" applyAlignment="1">
      <alignment horizontal="center" vertical="center" wrapText="1"/>
    </xf>
    <xf numFmtId="181" fontId="5" fillId="3" borderId="1" xfId="196" applyNumberFormat="1" applyFont="1" applyFill="1" applyBorder="1" applyAlignment="1">
      <alignment horizontal="center" vertical="center"/>
    </xf>
    <xf numFmtId="167" fontId="17" fillId="3" borderId="1" xfId="196" applyNumberFormat="1" applyFont="1" applyFill="1" applyBorder="1" applyAlignment="1">
      <alignment horizontal="center" vertical="center"/>
    </xf>
    <xf numFmtId="49" fontId="5" fillId="2" borderId="35" xfId="186" applyNumberFormat="1" applyFont="1" applyFill="1" applyBorder="1" applyAlignment="1">
      <alignment horizontal="center" vertical="center" wrapText="1"/>
    </xf>
    <xf numFmtId="49" fontId="5" fillId="2" borderId="2" xfId="186" applyNumberFormat="1" applyFont="1" applyFill="1" applyBorder="1" applyAlignment="1">
      <alignment horizontal="center" vertical="center" wrapText="1"/>
    </xf>
    <xf numFmtId="0" fontId="5" fillId="2" borderId="2" xfId="186" applyFont="1" applyFill="1" applyBorder="1" applyAlignment="1">
      <alignment horizontal="center" vertical="center"/>
    </xf>
    <xf numFmtId="0" fontId="5" fillId="2" borderId="2" xfId="186" applyFont="1" applyFill="1" applyBorder="1" applyAlignment="1">
      <alignment horizontal="left" vertical="center" wrapText="1"/>
    </xf>
    <xf numFmtId="168" fontId="5" fillId="2" borderId="2" xfId="186" applyNumberFormat="1" applyFont="1" applyFill="1" applyBorder="1" applyAlignment="1">
      <alignment horizontal="center" vertical="center" wrapText="1"/>
    </xf>
    <xf numFmtId="168" fontId="5" fillId="2" borderId="2" xfId="186" applyNumberFormat="1" applyFont="1" applyFill="1" applyBorder="1" applyAlignment="1">
      <alignment horizontal="center" vertical="center"/>
    </xf>
    <xf numFmtId="168" fontId="6" fillId="0" borderId="2" xfId="186" applyNumberFormat="1" applyFont="1" applyFill="1" applyBorder="1" applyAlignment="1">
      <alignment horizontal="center" vertical="center" wrapText="1"/>
    </xf>
    <xf numFmtId="168" fontId="6" fillId="2" borderId="2" xfId="186" applyNumberFormat="1" applyFont="1" applyFill="1" applyBorder="1" applyAlignment="1">
      <alignment horizontal="center" vertical="center" wrapText="1"/>
    </xf>
    <xf numFmtId="49" fontId="6" fillId="2" borderId="7" xfId="186" applyNumberFormat="1" applyFont="1" applyFill="1" applyBorder="1" applyAlignment="1">
      <alignment horizontal="center" vertical="center" wrapText="1"/>
    </xf>
    <xf numFmtId="171" fontId="6" fillId="0" borderId="3" xfId="186" applyNumberFormat="1" applyFont="1" applyBorder="1" applyAlignment="1">
      <alignment horizontal="center" vertical="center"/>
    </xf>
    <xf numFmtId="0" fontId="6" fillId="2" borderId="3" xfId="5" applyFont="1" applyFill="1" applyBorder="1" applyAlignment="1">
      <alignment vertical="center" wrapText="1"/>
    </xf>
    <xf numFmtId="168" fontId="6" fillId="2" borderId="2" xfId="186" applyNumberFormat="1" applyFont="1" applyFill="1" applyBorder="1" applyAlignment="1">
      <alignment horizontal="center" vertical="center"/>
    </xf>
    <xf numFmtId="168" fontId="6" fillId="2" borderId="1" xfId="186" applyNumberFormat="1" applyFont="1" applyFill="1" applyBorder="1" applyAlignment="1">
      <alignment horizontal="center" vertical="center"/>
    </xf>
    <xf numFmtId="171" fontId="6" fillId="0" borderId="5" xfId="186" applyNumberFormat="1" applyFont="1" applyBorder="1" applyAlignment="1">
      <alignment horizontal="center" vertical="center"/>
    </xf>
    <xf numFmtId="0" fontId="6" fillId="2" borderId="5" xfId="5" applyFont="1" applyFill="1" applyBorder="1" applyAlignment="1">
      <alignment horizontal="left" vertical="center" wrapText="1"/>
    </xf>
    <xf numFmtId="0" fontId="6" fillId="2" borderId="0" xfId="186" applyFont="1" applyFill="1" applyBorder="1" applyAlignment="1">
      <alignment horizontal="left" vertical="center" wrapText="1"/>
    </xf>
    <xf numFmtId="171" fontId="6" fillId="0" borderId="1" xfId="186" applyNumberFormat="1" applyFont="1" applyBorder="1" applyAlignment="1">
      <alignment horizontal="center" vertical="center"/>
    </xf>
    <xf numFmtId="168" fontId="6" fillId="2" borderId="0" xfId="186" applyNumberFormat="1" applyFont="1" applyFill="1" applyAlignment="1">
      <alignment horizontal="center" vertical="center"/>
    </xf>
    <xf numFmtId="49" fontId="5" fillId="2" borderId="33" xfId="186" applyNumberFormat="1" applyFont="1" applyFill="1" applyBorder="1" applyAlignment="1">
      <alignment horizontal="center" vertical="center"/>
    </xf>
    <xf numFmtId="49" fontId="6" fillId="2" borderId="3" xfId="186" applyNumberFormat="1" applyFont="1" applyFill="1" applyBorder="1" applyAlignment="1">
      <alignment horizontal="center" vertical="center"/>
    </xf>
    <xf numFmtId="168" fontId="5" fillId="2" borderId="3" xfId="186" applyNumberFormat="1" applyFont="1" applyFill="1" applyBorder="1" applyAlignment="1">
      <alignment horizontal="center" vertical="center" wrapText="1"/>
    </xf>
    <xf numFmtId="168" fontId="6" fillId="2" borderId="3" xfId="186" applyNumberFormat="1" applyFont="1" applyFill="1" applyBorder="1" applyAlignment="1">
      <alignment horizontal="center" wrapText="1"/>
    </xf>
    <xf numFmtId="168" fontId="6" fillId="2" borderId="3" xfId="186" applyNumberFormat="1" applyFont="1" applyFill="1" applyBorder="1" applyAlignment="1">
      <alignment horizontal="center"/>
    </xf>
    <xf numFmtId="168" fontId="6" fillId="2" borderId="2" xfId="186" applyNumberFormat="1" applyFont="1" applyFill="1" applyBorder="1" applyAlignment="1">
      <alignment horizontal="center" wrapText="1"/>
    </xf>
    <xf numFmtId="168" fontId="6" fillId="2" borderId="2" xfId="186" applyNumberFormat="1" applyFont="1" applyFill="1" applyBorder="1" applyAlignment="1">
      <alignment horizontal="center"/>
    </xf>
    <xf numFmtId="167" fontId="10" fillId="2" borderId="1" xfId="186" applyNumberFormat="1" applyFont="1" applyFill="1" applyBorder="1" applyAlignment="1">
      <alignment vertical="center" wrapText="1"/>
    </xf>
    <xf numFmtId="49" fontId="6" fillId="2" borderId="7" xfId="186" applyNumberFormat="1" applyFont="1" applyFill="1" applyBorder="1" applyAlignment="1">
      <alignment horizontal="center" vertical="center"/>
    </xf>
    <xf numFmtId="167" fontId="6" fillId="2" borderId="3" xfId="186" applyNumberFormat="1" applyFont="1" applyFill="1" applyBorder="1" applyAlignment="1">
      <alignment horizontal="center" vertical="center" wrapText="1"/>
    </xf>
    <xf numFmtId="0" fontId="6" fillId="2" borderId="3" xfId="186" applyFont="1" applyFill="1" applyBorder="1" applyAlignment="1">
      <alignment vertical="center" wrapText="1"/>
    </xf>
    <xf numFmtId="3" fontId="6" fillId="2" borderId="3" xfId="186" applyNumberFormat="1" applyFont="1" applyFill="1" applyBorder="1" applyAlignment="1">
      <alignment horizontal="center" vertical="center" wrapText="1"/>
    </xf>
    <xf numFmtId="167" fontId="6" fillId="0" borderId="2" xfId="186" applyNumberFormat="1" applyFont="1" applyBorder="1" applyAlignment="1">
      <alignment horizontal="center" vertical="center" wrapText="1"/>
    </xf>
    <xf numFmtId="3" fontId="6" fillId="2" borderId="5" xfId="186" applyNumberFormat="1" applyFont="1" applyFill="1" applyBorder="1" applyAlignment="1">
      <alignment horizontal="center" vertical="center" wrapText="1"/>
    </xf>
    <xf numFmtId="0" fontId="6" fillId="2" borderId="2" xfId="186" applyFont="1" applyFill="1" applyBorder="1" applyAlignment="1">
      <alignment vertical="center" wrapText="1"/>
    </xf>
    <xf numFmtId="172" fontId="9" fillId="2" borderId="0" xfId="186" applyNumberFormat="1" applyFont="1" applyFill="1"/>
    <xf numFmtId="0" fontId="6" fillId="2" borderId="8" xfId="186" applyFont="1" applyFill="1" applyBorder="1" applyAlignment="1">
      <alignment vertical="center" wrapText="1"/>
    </xf>
    <xf numFmtId="3" fontId="6" fillId="2" borderId="8" xfId="186" applyNumberFormat="1" applyFont="1" applyFill="1" applyBorder="1" applyAlignment="1">
      <alignment horizontal="center" vertical="center" wrapText="1"/>
    </xf>
    <xf numFmtId="0" fontId="6" fillId="0" borderId="8" xfId="186" applyFont="1" applyBorder="1" applyAlignment="1">
      <alignment vertical="center" wrapText="1"/>
    </xf>
    <xf numFmtId="167" fontId="6" fillId="2" borderId="8" xfId="186" applyNumberFormat="1" applyFont="1" applyFill="1" applyBorder="1" applyAlignment="1">
      <alignment horizontal="center" vertical="center" wrapText="1"/>
    </xf>
    <xf numFmtId="167" fontId="5" fillId="3" borderId="8" xfId="186" applyNumberFormat="1" applyFont="1" applyFill="1" applyBorder="1" applyAlignment="1">
      <alignment horizontal="center" vertical="center"/>
    </xf>
    <xf numFmtId="9" fontId="6" fillId="0" borderId="1" xfId="186" applyNumberFormat="1" applyFont="1" applyFill="1" applyBorder="1" applyAlignment="1">
      <alignment vertical="center" wrapText="1"/>
    </xf>
    <xf numFmtId="9" fontId="6" fillId="0" borderId="1" xfId="186" applyNumberFormat="1" applyFont="1" applyFill="1" applyBorder="1"/>
    <xf numFmtId="0" fontId="1" fillId="3" borderId="0" xfId="186" applyFont="1" applyFill="1" applyBorder="1"/>
    <xf numFmtId="172" fontId="9" fillId="2" borderId="0" xfId="186" applyNumberFormat="1" applyFont="1" applyFill="1" applyBorder="1" applyAlignment="1">
      <alignment horizontal="left" vertical="center" wrapText="1"/>
    </xf>
    <xf numFmtId="172" fontId="9" fillId="2" borderId="1" xfId="186" applyNumberFormat="1" applyFont="1" applyFill="1" applyBorder="1"/>
    <xf numFmtId="167" fontId="19" fillId="6" borderId="1" xfId="186" applyNumberFormat="1" applyFont="1" applyFill="1" applyBorder="1" applyAlignment="1">
      <alignment horizontal="center" vertical="center" wrapText="1"/>
    </xf>
    <xf numFmtId="49" fontId="6" fillId="2" borderId="3" xfId="186" applyNumberFormat="1" applyFont="1" applyFill="1" applyBorder="1" applyAlignment="1">
      <alignment vertical="center"/>
    </xf>
    <xf numFmtId="0" fontId="6" fillId="2" borderId="1" xfId="186" applyFont="1" applyFill="1" applyBorder="1" applyAlignment="1">
      <alignment horizontal="right" vertical="center" wrapText="1"/>
    </xf>
    <xf numFmtId="0" fontId="6" fillId="2" borderId="1" xfId="186" applyFont="1" applyFill="1" applyBorder="1" applyAlignment="1">
      <alignment horizontal="right" vertical="center"/>
    </xf>
    <xf numFmtId="4" fontId="10" fillId="2" borderId="1" xfId="186" applyNumberFormat="1" applyFont="1" applyFill="1" applyBorder="1" applyAlignment="1">
      <alignment vertical="center" wrapText="1"/>
    </xf>
    <xf numFmtId="0" fontId="10" fillId="2" borderId="1" xfId="186" applyFont="1" applyFill="1" applyBorder="1" applyAlignment="1"/>
    <xf numFmtId="0" fontId="6" fillId="2" borderId="2" xfId="5" applyFont="1" applyFill="1" applyBorder="1" applyAlignment="1">
      <alignment horizontal="right" vertical="center"/>
    </xf>
    <xf numFmtId="0" fontId="5" fillId="2" borderId="32" xfId="5" applyFont="1" applyFill="1" applyBorder="1" applyAlignment="1">
      <alignment horizontal="center" vertical="center"/>
    </xf>
    <xf numFmtId="170" fontId="5" fillId="0" borderId="3" xfId="5" applyNumberFormat="1" applyFont="1" applyBorder="1" applyAlignment="1">
      <alignment horizontal="right" vertical="center"/>
    </xf>
    <xf numFmtId="171" fontId="6" fillId="0" borderId="3" xfId="5" applyNumberFormat="1" applyFont="1" applyBorder="1" applyAlignment="1">
      <alignment horizontal="center" vertical="center"/>
    </xf>
    <xf numFmtId="0" fontId="6" fillId="2" borderId="32" xfId="5" applyFont="1" applyFill="1" applyBorder="1" applyAlignment="1">
      <alignment horizontal="center" vertical="center"/>
    </xf>
    <xf numFmtId="49" fontId="6" fillId="2" borderId="4" xfId="5" applyNumberFormat="1" applyFont="1" applyFill="1" applyBorder="1" applyAlignment="1">
      <alignment horizontal="center" vertical="center"/>
    </xf>
    <xf numFmtId="0" fontId="6" fillId="0" borderId="1" xfId="5" applyFont="1" applyBorder="1" applyAlignment="1">
      <alignment horizontal="left" vertical="center"/>
    </xf>
    <xf numFmtId="0" fontId="6" fillId="0" borderId="1" xfId="5" applyFont="1" applyBorder="1"/>
    <xf numFmtId="49" fontId="5" fillId="2" borderId="3" xfId="5" applyNumberFormat="1" applyFont="1" applyFill="1" applyBorder="1" applyAlignment="1">
      <alignment vertical="center"/>
    </xf>
    <xf numFmtId="49" fontId="6" fillId="2" borderId="4" xfId="5" applyNumberFormat="1" applyFont="1" applyFill="1" applyBorder="1" applyAlignment="1">
      <alignment vertical="center"/>
    </xf>
    <xf numFmtId="49" fontId="5" fillId="2" borderId="8" xfId="5" applyNumberFormat="1" applyFont="1" applyFill="1" applyBorder="1" applyAlignment="1">
      <alignment vertical="center"/>
    </xf>
    <xf numFmtId="49" fontId="6" fillId="2" borderId="36" xfId="5" applyNumberFormat="1" applyFont="1" applyFill="1" applyBorder="1" applyAlignment="1">
      <alignment vertical="center"/>
    </xf>
    <xf numFmtId="49" fontId="5" fillId="2" borderId="2" xfId="5" applyNumberFormat="1" applyFont="1" applyFill="1" applyBorder="1" applyAlignment="1">
      <alignment vertical="center"/>
    </xf>
    <xf numFmtId="167" fontId="6" fillId="2" borderId="3" xfId="5" applyNumberFormat="1" applyFont="1" applyFill="1" applyBorder="1" applyAlignment="1">
      <alignment horizontal="center" vertical="center" wrapText="1"/>
    </xf>
    <xf numFmtId="167" fontId="6" fillId="2" borderId="8" xfId="5" applyNumberFormat="1" applyFont="1" applyFill="1" applyBorder="1" applyAlignment="1">
      <alignment horizontal="center" vertical="center" wrapText="1"/>
    </xf>
    <xf numFmtId="0" fontId="7" fillId="0" borderId="1" xfId="186" applyFont="1" applyBorder="1" applyAlignment="1">
      <alignment vertical="center" wrapText="1"/>
    </xf>
    <xf numFmtId="49" fontId="6" fillId="2" borderId="36" xfId="5" applyNumberFormat="1" applyFont="1" applyFill="1" applyBorder="1" applyAlignment="1">
      <alignment horizontal="center" vertical="center"/>
    </xf>
    <xf numFmtId="0" fontId="6" fillId="2" borderId="4" xfId="5" applyFont="1" applyFill="1" applyBorder="1" applyAlignment="1">
      <alignment horizontal="left" vertical="center" wrapText="1"/>
    </xf>
    <xf numFmtId="0" fontId="7" fillId="0" borderId="0" xfId="186" applyFont="1" applyAlignment="1">
      <alignment vertical="center" wrapText="1"/>
    </xf>
    <xf numFmtId="0" fontId="10" fillId="2" borderId="2" xfId="5" applyFont="1" applyFill="1" applyBorder="1" applyAlignment="1">
      <alignment horizontal="center" vertical="center" wrapText="1"/>
    </xf>
    <xf numFmtId="168" fontId="10" fillId="2" borderId="2" xfId="5" applyNumberFormat="1" applyFont="1" applyFill="1" applyBorder="1" applyAlignment="1">
      <alignment horizontal="center" vertical="center" wrapText="1"/>
    </xf>
    <xf numFmtId="0" fontId="6" fillId="2" borderId="7" xfId="5" applyFont="1" applyFill="1" applyBorder="1" applyAlignment="1">
      <alignment vertical="center" wrapText="1"/>
    </xf>
    <xf numFmtId="3" fontId="6" fillId="2" borderId="3" xfId="5" applyNumberFormat="1" applyFont="1" applyFill="1" applyBorder="1" applyAlignment="1">
      <alignment horizontal="center" vertical="center" wrapText="1"/>
    </xf>
    <xf numFmtId="0" fontId="6" fillId="3" borderId="1" xfId="5" applyFont="1" applyFill="1" applyBorder="1"/>
    <xf numFmtId="49" fontId="5" fillId="0" borderId="1" xfId="186" applyNumberFormat="1" applyFont="1" applyBorder="1" applyAlignment="1">
      <alignment horizontal="center" vertical="center" wrapText="1"/>
    </xf>
    <xf numFmtId="49" fontId="6" fillId="0" borderId="1" xfId="186" applyNumberFormat="1" applyFont="1" applyBorder="1" applyAlignment="1">
      <alignment horizontal="center" vertical="center" wrapText="1"/>
    </xf>
    <xf numFmtId="167" fontId="5" fillId="0" borderId="1" xfId="186" applyNumberFormat="1" applyFont="1" applyBorder="1" applyAlignment="1">
      <alignment horizontal="center" vertical="center" wrapText="1"/>
    </xf>
    <xf numFmtId="168" fontId="6" fillId="0" borderId="1" xfId="186" applyNumberFormat="1" applyFont="1" applyBorder="1" applyAlignment="1">
      <alignment vertical="center" wrapText="1"/>
    </xf>
    <xf numFmtId="0" fontId="3" fillId="0" borderId="1" xfId="186" applyFont="1" applyBorder="1" applyAlignment="1">
      <alignment horizontal="center" vertical="center" wrapText="1"/>
    </xf>
    <xf numFmtId="167" fontId="6" fillId="0" borderId="1" xfId="186" applyNumberFormat="1" applyFont="1" applyBorder="1" applyAlignment="1">
      <alignment horizontal="center" vertical="center" wrapText="1"/>
    </xf>
    <xf numFmtId="167" fontId="10" fillId="0" borderId="1" xfId="186" applyNumberFormat="1" applyFont="1" applyBorder="1" applyAlignment="1">
      <alignment horizontal="center" vertical="center" wrapText="1"/>
    </xf>
    <xf numFmtId="168" fontId="6" fillId="0" borderId="1" xfId="186" applyNumberFormat="1" applyFont="1" applyBorder="1" applyAlignment="1">
      <alignment horizontal="center" vertical="center" wrapText="1"/>
    </xf>
    <xf numFmtId="0" fontId="3" fillId="0" borderId="1" xfId="186" applyFont="1" applyBorder="1" applyAlignment="1">
      <alignment vertical="center" wrapText="1"/>
    </xf>
    <xf numFmtId="0" fontId="6" fillId="3" borderId="1" xfId="186" applyFont="1" applyFill="1" applyBorder="1" applyAlignment="1">
      <alignment vertical="center" wrapText="1"/>
    </xf>
    <xf numFmtId="0" fontId="3" fillId="3" borderId="1" xfId="186" applyFont="1" applyFill="1" applyBorder="1" applyAlignment="1">
      <alignment vertical="center" wrapText="1"/>
    </xf>
    <xf numFmtId="49" fontId="6" fillId="0" borderId="1" xfId="186" applyNumberFormat="1" applyFont="1" applyFill="1" applyBorder="1" applyAlignment="1">
      <alignment horizontal="center" vertical="top"/>
    </xf>
    <xf numFmtId="0" fontId="10" fillId="2" borderId="5" xfId="44" applyFont="1" applyFill="1" applyBorder="1" applyAlignment="1">
      <alignment horizontal="left" vertical="center" wrapText="1"/>
    </xf>
    <xf numFmtId="0" fontId="19" fillId="6" borderId="1" xfId="186" applyFont="1" applyFill="1" applyBorder="1" applyAlignment="1">
      <alignment horizontal="center" vertical="center" wrapText="1"/>
    </xf>
    <xf numFmtId="0" fontId="10" fillId="2" borderId="3" xfId="44" applyFont="1" applyFill="1" applyBorder="1" applyAlignment="1">
      <alignment vertical="center" wrapText="1"/>
    </xf>
    <xf numFmtId="49" fontId="9" fillId="2" borderId="1" xfId="186" applyNumberFormat="1" applyFont="1" applyFill="1" applyBorder="1" applyAlignment="1">
      <alignment horizontal="center" vertical="center"/>
    </xf>
    <xf numFmtId="0" fontId="9" fillId="2" borderId="1" xfId="186" applyFont="1" applyFill="1" applyBorder="1" applyAlignment="1">
      <alignment vertical="top" wrapText="1"/>
    </xf>
    <xf numFmtId="167" fontId="10" fillId="2" borderId="1" xfId="186" applyNumberFormat="1" applyFont="1" applyFill="1" applyBorder="1" applyAlignment="1">
      <alignment horizontal="center" vertical="center"/>
    </xf>
    <xf numFmtId="0" fontId="6" fillId="2" borderId="1" xfId="186" applyFont="1" applyFill="1" applyBorder="1" applyAlignment="1">
      <alignment horizontal="left" vertical="center"/>
    </xf>
    <xf numFmtId="49" fontId="6" fillId="2" borderId="1" xfId="162" applyNumberFormat="1" applyFont="1" applyFill="1" applyBorder="1" applyAlignment="1">
      <alignment horizontal="center" vertical="center" wrapText="1"/>
    </xf>
    <xf numFmtId="49" fontId="6" fillId="2" borderId="1" xfId="162" applyNumberFormat="1" applyFont="1" applyFill="1" applyBorder="1" applyAlignment="1">
      <alignment horizontal="center" vertical="center"/>
    </xf>
    <xf numFmtId="0" fontId="9" fillId="2" borderId="1" xfId="186" applyFont="1" applyFill="1" applyBorder="1" applyAlignment="1">
      <alignment horizontal="left" vertical="center"/>
    </xf>
    <xf numFmtId="167" fontId="10" fillId="2" borderId="1" xfId="175" applyNumberFormat="1" applyFont="1" applyFill="1" applyBorder="1" applyAlignment="1">
      <alignment horizontal="center" vertical="center"/>
    </xf>
    <xf numFmtId="167" fontId="10" fillId="2" borderId="1" xfId="186" applyNumberFormat="1" applyFont="1" applyFill="1" applyBorder="1"/>
    <xf numFmtId="167" fontId="9" fillId="3" borderId="1" xfId="186" applyNumberFormat="1" applyFont="1" applyFill="1" applyBorder="1" applyAlignment="1">
      <alignment horizontal="center" vertical="center" wrapText="1"/>
    </xf>
    <xf numFmtId="0" fontId="9" fillId="3" borderId="1" xfId="186" applyFont="1" applyFill="1" applyBorder="1" applyAlignment="1">
      <alignment horizontal="left" vertical="center"/>
    </xf>
    <xf numFmtId="0" fontId="9" fillId="3" borderId="1" xfId="186" applyFont="1" applyFill="1" applyBorder="1" applyAlignment="1">
      <alignment horizontal="center" vertical="center"/>
    </xf>
    <xf numFmtId="1" fontId="6" fillId="0" borderId="1" xfId="186" applyNumberFormat="1" applyFont="1" applyFill="1" applyBorder="1" applyAlignment="1">
      <alignment vertical="center" wrapText="1"/>
    </xf>
    <xf numFmtId="49" fontId="17" fillId="2" borderId="41" xfId="186" applyNumberFormat="1" applyFont="1" applyFill="1" applyBorder="1" applyAlignment="1">
      <alignment horizontal="right" vertical="center"/>
    </xf>
    <xf numFmtId="49" fontId="18" fillId="2" borderId="41" xfId="186" applyNumberFormat="1" applyFont="1" applyFill="1" applyBorder="1" applyAlignment="1">
      <alignment horizontal="right" vertical="center"/>
    </xf>
    <xf numFmtId="49" fontId="17" fillId="2" borderId="41" xfId="186" applyNumberFormat="1" applyFont="1" applyFill="1" applyBorder="1" applyAlignment="1">
      <alignment horizontal="left" vertical="center" wrapText="1"/>
    </xf>
    <xf numFmtId="49" fontId="18" fillId="2" borderId="41" xfId="186" applyNumberFormat="1" applyFont="1" applyFill="1" applyBorder="1" applyAlignment="1">
      <alignment vertical="center" wrapText="1"/>
    </xf>
    <xf numFmtId="49" fontId="18" fillId="2" borderId="41" xfId="186" applyNumberFormat="1" applyFont="1" applyFill="1" applyBorder="1" applyAlignment="1">
      <alignment horizontal="center" vertical="center" wrapText="1"/>
    </xf>
    <xf numFmtId="0" fontId="18" fillId="2" borderId="41" xfId="186" applyFont="1" applyFill="1" applyBorder="1" applyAlignment="1">
      <alignment vertical="center" wrapText="1"/>
    </xf>
    <xf numFmtId="0" fontId="6" fillId="2" borderId="41" xfId="186" applyFont="1" applyFill="1" applyBorder="1" applyAlignment="1"/>
    <xf numFmtId="49" fontId="18" fillId="2" borderId="41" xfId="186" applyNumberFormat="1" applyFont="1" applyFill="1" applyBorder="1" applyAlignment="1">
      <alignment horizontal="left" vertical="center" wrapText="1"/>
    </xf>
    <xf numFmtId="49" fontId="9" fillId="0" borderId="1" xfId="186" applyNumberFormat="1" applyFont="1" applyFill="1" applyBorder="1" applyAlignment="1">
      <alignment horizontal="center" vertical="center"/>
    </xf>
    <xf numFmtId="0" fontId="18" fillId="0" borderId="1" xfId="186" applyFont="1" applyFill="1" applyBorder="1" applyAlignment="1">
      <alignment vertical="center" wrapText="1"/>
    </xf>
    <xf numFmtId="167" fontId="6" fillId="0" borderId="1" xfId="186" applyNumberFormat="1" applyFont="1" applyFill="1" applyBorder="1" applyAlignment="1">
      <alignment vertical="center" wrapText="1"/>
    </xf>
    <xf numFmtId="0" fontId="18" fillId="0" borderId="1" xfId="186" applyFont="1" applyFill="1" applyBorder="1" applyAlignment="1">
      <alignment horizontal="center" vertical="center" wrapText="1"/>
    </xf>
    <xf numFmtId="0" fontId="5" fillId="0" borderId="46" xfId="186" applyFont="1" applyFill="1" applyBorder="1" applyAlignment="1">
      <alignment horizontal="center" vertical="center" wrapText="1"/>
    </xf>
    <xf numFmtId="168" fontId="5" fillId="0" borderId="46" xfId="186" applyNumberFormat="1" applyFont="1" applyFill="1" applyBorder="1" applyAlignment="1">
      <alignment horizontal="center" vertical="center" wrapText="1"/>
    </xf>
    <xf numFmtId="0" fontId="18" fillId="0" borderId="46" xfId="186" applyFont="1" applyFill="1" applyBorder="1" applyAlignment="1">
      <alignment horizontal="left" vertical="center" wrapText="1"/>
    </xf>
    <xf numFmtId="49" fontId="18" fillId="0" borderId="1" xfId="186" applyNumberFormat="1" applyFont="1" applyFill="1" applyBorder="1" applyAlignment="1">
      <alignment horizontal="center" vertical="center" wrapText="1"/>
    </xf>
    <xf numFmtId="0" fontId="6" fillId="2" borderId="46" xfId="186" applyFont="1" applyFill="1" applyBorder="1" applyAlignment="1">
      <alignment horizontal="center" vertical="center" wrapText="1"/>
    </xf>
    <xf numFmtId="0" fontId="18" fillId="2" borderId="46" xfId="186" applyFont="1" applyFill="1" applyBorder="1" applyAlignment="1">
      <alignment horizontal="center" vertical="center" wrapText="1"/>
    </xf>
    <xf numFmtId="0" fontId="6" fillId="2" borderId="46" xfId="186" applyFont="1" applyFill="1" applyBorder="1" applyAlignment="1">
      <alignment horizontal="center" vertical="center"/>
    </xf>
    <xf numFmtId="0" fontId="17" fillId="0" borderId="1" xfId="186" applyFont="1" applyFill="1" applyBorder="1" applyAlignment="1">
      <alignment horizontal="center" vertical="center" wrapText="1"/>
    </xf>
    <xf numFmtId="0" fontId="6" fillId="0" borderId="0" xfId="186" applyFont="1"/>
    <xf numFmtId="167" fontId="5" fillId="2" borderId="46" xfId="186" applyNumberFormat="1" applyFont="1" applyFill="1" applyBorder="1" applyAlignment="1">
      <alignment horizontal="center" vertical="center" wrapText="1"/>
    </xf>
    <xf numFmtId="0" fontId="5" fillId="2" borderId="1" xfId="186" applyFont="1" applyFill="1" applyBorder="1" applyAlignment="1">
      <alignment horizontal="left" vertical="top" wrapText="1"/>
    </xf>
    <xf numFmtId="1" fontId="5" fillId="2" borderId="1" xfId="186" applyNumberFormat="1" applyFont="1" applyFill="1" applyBorder="1" applyAlignment="1">
      <alignment horizontal="center" vertical="center" wrapText="1"/>
    </xf>
    <xf numFmtId="167" fontId="5" fillId="3" borderId="1" xfId="187" applyNumberFormat="1" applyFont="1" applyFill="1" applyBorder="1" applyAlignment="1">
      <alignment horizontal="center" vertical="center"/>
    </xf>
    <xf numFmtId="0" fontId="6" fillId="3" borderId="1" xfId="186" applyFont="1" applyFill="1" applyBorder="1" applyAlignment="1">
      <alignment horizontal="left" vertical="center"/>
    </xf>
    <xf numFmtId="0" fontId="6" fillId="3" borderId="1" xfId="186" applyFont="1" applyFill="1" applyBorder="1" applyAlignment="1">
      <alignment horizontal="center" vertical="center"/>
    </xf>
    <xf numFmtId="170" fontId="5" fillId="0" borderId="37" xfId="186" applyNumberFormat="1" applyFont="1" applyBorder="1" applyAlignment="1">
      <alignment horizontal="right" vertical="center"/>
    </xf>
    <xf numFmtId="0" fontId="6" fillId="2" borderId="2" xfId="186" applyFont="1" applyFill="1" applyBorder="1" applyAlignment="1">
      <alignment horizontal="right" vertical="center"/>
    </xf>
    <xf numFmtId="0" fontId="5" fillId="2" borderId="2" xfId="186" applyFont="1" applyFill="1" applyBorder="1" applyAlignment="1">
      <alignment vertical="center" wrapText="1"/>
    </xf>
    <xf numFmtId="170" fontId="6" fillId="0" borderId="46" xfId="186" applyNumberFormat="1" applyFont="1" applyBorder="1" applyAlignment="1">
      <alignment horizontal="right" vertical="center"/>
    </xf>
    <xf numFmtId="171" fontId="6" fillId="0" borderId="46" xfId="186" applyNumberFormat="1" applyFont="1" applyBorder="1" applyAlignment="1">
      <alignment horizontal="right" vertical="center"/>
    </xf>
    <xf numFmtId="0" fontId="6" fillId="2" borderId="46" xfId="5" applyFont="1" applyFill="1" applyBorder="1" applyAlignment="1">
      <alignment vertical="center" wrapText="1"/>
    </xf>
    <xf numFmtId="170" fontId="5" fillId="0" borderId="46" xfId="186" applyNumberFormat="1" applyFont="1" applyBorder="1" applyAlignment="1">
      <alignment horizontal="right" vertical="center"/>
    </xf>
    <xf numFmtId="171" fontId="6" fillId="0" borderId="5" xfId="186" applyNumberFormat="1" applyFont="1" applyBorder="1" applyAlignment="1">
      <alignment horizontal="right" vertical="center"/>
    </xf>
    <xf numFmtId="0" fontId="5" fillId="2" borderId="5" xfId="5" applyFont="1" applyFill="1" applyBorder="1" applyAlignment="1">
      <alignment horizontal="left" vertical="center" wrapText="1"/>
    </xf>
    <xf numFmtId="167" fontId="5" fillId="3" borderId="1" xfId="186" applyNumberFormat="1" applyFont="1" applyFill="1" applyBorder="1" applyAlignment="1">
      <alignment horizontal="center"/>
    </xf>
    <xf numFmtId="167" fontId="6" fillId="3" borderId="1" xfId="186" applyNumberFormat="1" applyFont="1" applyFill="1" applyBorder="1"/>
    <xf numFmtId="170" fontId="5" fillId="0" borderId="8" xfId="186" applyNumberFormat="1" applyFont="1" applyBorder="1" applyAlignment="1">
      <alignment horizontal="center" vertical="center"/>
    </xf>
    <xf numFmtId="171" fontId="5" fillId="0" borderId="46" xfId="186" applyNumberFormat="1" applyFont="1" applyBorder="1" applyAlignment="1">
      <alignment horizontal="right" vertical="center"/>
    </xf>
    <xf numFmtId="0" fontId="5" fillId="2" borderId="2" xfId="186" applyFont="1" applyFill="1" applyBorder="1" applyAlignment="1">
      <alignment horizontal="right" vertical="center"/>
    </xf>
    <xf numFmtId="0" fontId="9" fillId="2" borderId="2" xfId="186" applyFont="1" applyFill="1" applyBorder="1" applyAlignment="1">
      <alignment vertical="center" wrapText="1"/>
    </xf>
    <xf numFmtId="170" fontId="5" fillId="0" borderId="1" xfId="186" applyNumberFormat="1" applyFont="1" applyBorder="1" applyAlignment="1">
      <alignment horizontal="left" vertical="center"/>
    </xf>
    <xf numFmtId="49" fontId="6" fillId="0" borderId="46" xfId="186" applyNumberFormat="1" applyFont="1" applyBorder="1" applyAlignment="1">
      <alignment horizontal="right" vertical="center"/>
    </xf>
    <xf numFmtId="49" fontId="5" fillId="2" borderId="46" xfId="186" applyNumberFormat="1" applyFont="1" applyFill="1" applyBorder="1" applyAlignment="1">
      <alignment horizontal="center" vertical="center"/>
    </xf>
    <xf numFmtId="49" fontId="6" fillId="0" borderId="46" xfId="186" applyNumberFormat="1" applyFont="1" applyBorder="1" applyAlignment="1">
      <alignment horizontal="center" vertical="center"/>
    </xf>
    <xf numFmtId="0" fontId="5" fillId="2" borderId="46" xfId="186" applyFont="1" applyFill="1" applyBorder="1" applyAlignment="1">
      <alignment horizontal="left" vertical="center" wrapText="1"/>
    </xf>
    <xf numFmtId="0" fontId="9" fillId="2" borderId="46" xfId="186" applyFont="1" applyFill="1" applyBorder="1" applyAlignment="1">
      <alignment horizontal="center" vertical="center" wrapText="1"/>
    </xf>
    <xf numFmtId="3" fontId="6" fillId="2" borderId="1" xfId="198" applyNumberFormat="1" applyFont="1" applyFill="1" applyBorder="1" applyAlignment="1">
      <alignment horizontal="center" vertical="center" wrapText="1"/>
    </xf>
    <xf numFmtId="49" fontId="6" fillId="2" borderId="46" xfId="186" applyNumberFormat="1" applyFont="1" applyFill="1" applyBorder="1" applyAlignment="1">
      <alignment horizontal="center" vertical="center"/>
    </xf>
    <xf numFmtId="49" fontId="6" fillId="2" borderId="46" xfId="186" applyNumberFormat="1" applyFont="1" applyFill="1" applyBorder="1" applyAlignment="1">
      <alignment vertical="center"/>
    </xf>
    <xf numFmtId="0" fontId="6" fillId="2" borderId="46" xfId="186" applyFont="1" applyFill="1" applyBorder="1" applyAlignment="1">
      <alignment vertical="center" wrapText="1"/>
    </xf>
    <xf numFmtId="1" fontId="6" fillId="2" borderId="8" xfId="186" applyNumberFormat="1" applyFont="1" applyFill="1" applyBorder="1" applyAlignment="1">
      <alignment horizontal="center" vertical="center" wrapText="1"/>
    </xf>
    <xf numFmtId="170" fontId="17" fillId="2" borderId="8" xfId="186" applyNumberFormat="1" applyFont="1" applyFill="1" applyBorder="1" applyAlignment="1">
      <alignment horizontal="center" vertical="center"/>
    </xf>
    <xf numFmtId="171" fontId="18" fillId="2" borderId="2" xfId="186" applyNumberFormat="1" applyFont="1" applyFill="1" applyBorder="1" applyAlignment="1">
      <alignment horizontal="right" vertical="center"/>
    </xf>
    <xf numFmtId="0" fontId="17" fillId="2" borderId="2" xfId="186" applyFont="1" applyFill="1" applyBorder="1" applyAlignment="1">
      <alignment horizontal="center" vertical="center"/>
    </xf>
    <xf numFmtId="0" fontId="17" fillId="2" borderId="2" xfId="186" applyFont="1" applyFill="1" applyBorder="1" applyAlignment="1">
      <alignment vertical="top" wrapText="1"/>
    </xf>
    <xf numFmtId="177" fontId="17" fillId="2" borderId="2" xfId="186" applyNumberFormat="1" applyFont="1" applyFill="1" applyBorder="1" applyAlignment="1">
      <alignment horizontal="left" vertical="center" wrapText="1"/>
    </xf>
    <xf numFmtId="0" fontId="17" fillId="2" borderId="2" xfId="186" applyFont="1" applyFill="1" applyBorder="1" applyAlignment="1">
      <alignment horizontal="center" vertical="center" wrapText="1"/>
    </xf>
    <xf numFmtId="168" fontId="17" fillId="2" borderId="2" xfId="186" applyNumberFormat="1" applyFont="1" applyFill="1" applyBorder="1" applyAlignment="1">
      <alignment horizontal="center" vertical="center" wrapText="1"/>
    </xf>
    <xf numFmtId="0" fontId="18" fillId="2" borderId="46" xfId="185" applyFont="1" applyFill="1" applyBorder="1" applyAlignment="1">
      <alignment vertical="top" wrapText="1"/>
    </xf>
    <xf numFmtId="0" fontId="18" fillId="2" borderId="2" xfId="185" applyFont="1" applyFill="1" applyBorder="1" applyAlignment="1">
      <alignment vertical="top" wrapText="1"/>
    </xf>
    <xf numFmtId="170" fontId="17" fillId="2" borderId="2" xfId="186" applyNumberFormat="1" applyFont="1" applyFill="1" applyBorder="1" applyAlignment="1">
      <alignment horizontal="center" vertical="center"/>
    </xf>
    <xf numFmtId="171" fontId="18" fillId="2" borderId="2" xfId="186" applyNumberFormat="1" applyFont="1" applyFill="1" applyBorder="1" applyAlignment="1">
      <alignment horizontal="center" vertical="center"/>
    </xf>
    <xf numFmtId="0" fontId="18" fillId="2" borderId="1" xfId="186" applyFont="1" applyFill="1" applyBorder="1" applyAlignment="1">
      <alignment vertical="top" wrapText="1"/>
    </xf>
    <xf numFmtId="0" fontId="18" fillId="2" borderId="1" xfId="186" applyFont="1" applyFill="1" applyBorder="1" applyAlignment="1">
      <alignment horizontal="left" vertical="top" wrapText="1"/>
    </xf>
    <xf numFmtId="168" fontId="17" fillId="2" borderId="1" xfId="186" applyNumberFormat="1" applyFont="1" applyFill="1" applyBorder="1" applyAlignment="1">
      <alignment horizontal="left" vertical="center"/>
    </xf>
    <xf numFmtId="177" fontId="17" fillId="2" borderId="1" xfId="186" applyNumberFormat="1" applyFont="1" applyFill="1" applyBorder="1" applyAlignment="1">
      <alignment horizontal="center"/>
    </xf>
    <xf numFmtId="177" fontId="17" fillId="2" borderId="1" xfId="186" applyNumberFormat="1" applyFont="1" applyFill="1" applyBorder="1" applyAlignment="1">
      <alignment horizontal="left"/>
    </xf>
    <xf numFmtId="177" fontId="17" fillId="2" borderId="1" xfId="186" applyNumberFormat="1" applyFont="1" applyFill="1" applyBorder="1" applyAlignment="1">
      <alignment horizontal="left" vertical="center" wrapText="1"/>
    </xf>
    <xf numFmtId="1" fontId="17" fillId="2" borderId="1" xfId="186" applyNumberFormat="1" applyFont="1" applyFill="1" applyBorder="1" applyAlignment="1">
      <alignment horizontal="left" vertical="center"/>
    </xf>
    <xf numFmtId="0" fontId="18" fillId="2" borderId="8" xfId="186" applyFont="1" applyFill="1" applyBorder="1" applyAlignment="1">
      <alignment horizontal="center"/>
    </xf>
    <xf numFmtId="0" fontId="18" fillId="2" borderId="46" xfId="185" applyFont="1" applyFill="1" applyBorder="1" applyAlignment="1">
      <alignment horizontal="left" vertical="center" wrapText="1"/>
    </xf>
    <xf numFmtId="0" fontId="18" fillId="2" borderId="46" xfId="186" applyFont="1" applyFill="1" applyBorder="1" applyAlignment="1">
      <alignment horizontal="left" vertical="top" wrapText="1"/>
    </xf>
    <xf numFmtId="0" fontId="18" fillId="2" borderId="2" xfId="185" applyFont="1" applyFill="1" applyBorder="1" applyAlignment="1">
      <alignment horizontal="left" vertical="center" wrapText="1"/>
    </xf>
    <xf numFmtId="0" fontId="18" fillId="2" borderId="1" xfId="186" applyFont="1" applyFill="1" applyBorder="1" applyAlignment="1">
      <alignment vertical="center"/>
    </xf>
    <xf numFmtId="170" fontId="17" fillId="2" borderId="1" xfId="186" applyNumberFormat="1" applyFont="1" applyFill="1" applyBorder="1" applyAlignment="1">
      <alignment vertical="center"/>
    </xf>
    <xf numFmtId="171" fontId="18" fillId="2" borderId="46" xfId="186" applyNumberFormat="1" applyFont="1" applyFill="1" applyBorder="1" applyAlignment="1"/>
    <xf numFmtId="0" fontId="6" fillId="2" borderId="46" xfId="186" applyFont="1" applyFill="1" applyBorder="1" applyAlignment="1"/>
    <xf numFmtId="0" fontId="17" fillId="2" borderId="1" xfId="185" applyFont="1" applyFill="1" applyBorder="1" applyAlignment="1">
      <alignment vertical="top" wrapText="1"/>
    </xf>
    <xf numFmtId="0" fontId="6" fillId="2" borderId="1" xfId="186" applyFont="1" applyFill="1" applyBorder="1" applyAlignment="1">
      <alignment vertical="center"/>
    </xf>
    <xf numFmtId="170" fontId="17" fillId="2" borderId="1" xfId="186" applyNumberFormat="1" applyFont="1" applyFill="1" applyBorder="1" applyAlignment="1"/>
    <xf numFmtId="171" fontId="18" fillId="2" borderId="46" xfId="186" applyNumberFormat="1" applyFont="1" applyFill="1" applyBorder="1" applyAlignment="1">
      <alignment horizontal="center" vertical="center"/>
    </xf>
    <xf numFmtId="0" fontId="18" fillId="2" borderId="2" xfId="185" applyFont="1" applyFill="1" applyBorder="1" applyAlignment="1">
      <alignment vertical="center" wrapText="1"/>
    </xf>
    <xf numFmtId="0" fontId="18" fillId="2" borderId="1" xfId="185" applyFont="1" applyFill="1" applyBorder="1" applyAlignment="1">
      <alignment horizontal="left" vertical="center" wrapText="1"/>
    </xf>
    <xf numFmtId="171" fontId="18" fillId="2" borderId="46" xfId="186" applyNumberFormat="1" applyFont="1" applyFill="1" applyBorder="1" applyAlignment="1">
      <alignment vertical="center"/>
    </xf>
    <xf numFmtId="0" fontId="6" fillId="3" borderId="1" xfId="186" applyFont="1" applyFill="1" applyBorder="1" applyAlignment="1">
      <alignment vertical="center"/>
    </xf>
    <xf numFmtId="170" fontId="17" fillId="0" borderId="37" xfId="186" applyNumberFormat="1" applyFont="1" applyBorder="1" applyAlignment="1">
      <alignment horizontal="center" vertical="center"/>
    </xf>
    <xf numFmtId="0" fontId="18" fillId="5" borderId="2" xfId="186" applyFont="1" applyFill="1" applyBorder="1" applyAlignment="1">
      <alignment horizontal="center" vertical="center"/>
    </xf>
    <xf numFmtId="0" fontId="17" fillId="5" borderId="2" xfId="186" applyFont="1" applyFill="1" applyBorder="1" applyAlignment="1">
      <alignment horizontal="center" vertical="center"/>
    </xf>
    <xf numFmtId="0" fontId="9" fillId="5" borderId="2" xfId="186" applyFont="1" applyFill="1" applyBorder="1" applyAlignment="1">
      <alignment vertical="center" wrapText="1"/>
    </xf>
    <xf numFmtId="0" fontId="9" fillId="5" borderId="2" xfId="186" applyFont="1" applyFill="1" applyBorder="1" applyAlignment="1">
      <alignment horizontal="left" vertical="center" wrapText="1"/>
    </xf>
    <xf numFmtId="171" fontId="18" fillId="0" borderId="5" xfId="186" applyNumberFormat="1" applyFont="1" applyBorder="1" applyAlignment="1">
      <alignment horizontal="center" vertical="center"/>
    </xf>
    <xf numFmtId="0" fontId="18" fillId="5" borderId="32" xfId="186" applyFont="1" applyFill="1" applyBorder="1" applyAlignment="1">
      <alignment vertical="center" wrapText="1"/>
    </xf>
    <xf numFmtId="170" fontId="17" fillId="0" borderId="46" xfId="186" applyNumberFormat="1" applyFont="1" applyBorder="1" applyAlignment="1">
      <alignment horizontal="center" vertical="center"/>
    </xf>
    <xf numFmtId="0" fontId="6" fillId="5" borderId="2" xfId="186" applyFont="1" applyFill="1" applyBorder="1" applyAlignment="1">
      <alignment horizontal="center" vertical="center"/>
    </xf>
    <xf numFmtId="0" fontId="10" fillId="5" borderId="5" xfId="5" applyFont="1" applyFill="1" applyBorder="1" applyAlignment="1">
      <alignment horizontal="left" vertical="center" wrapText="1"/>
    </xf>
    <xf numFmtId="0" fontId="10" fillId="5" borderId="1" xfId="186" applyFont="1" applyFill="1" applyBorder="1" applyAlignment="1">
      <alignment horizontal="left" vertical="center" wrapText="1"/>
    </xf>
    <xf numFmtId="0" fontId="10" fillId="5" borderId="0" xfId="186" applyFont="1" applyFill="1" applyBorder="1" applyAlignment="1">
      <alignment horizontal="left" vertical="center" wrapText="1"/>
    </xf>
    <xf numFmtId="16" fontId="18" fillId="5" borderId="1" xfId="186" applyNumberFormat="1" applyFont="1" applyFill="1" applyBorder="1" applyAlignment="1">
      <alignment horizontal="center" vertical="center" wrapText="1"/>
    </xf>
    <xf numFmtId="49" fontId="17" fillId="5" borderId="46" xfId="186" applyNumberFormat="1" applyFont="1" applyFill="1" applyBorder="1" applyAlignment="1">
      <alignment horizontal="center" vertical="center"/>
    </xf>
    <xf numFmtId="49" fontId="6" fillId="5" borderId="46" xfId="186" applyNumberFormat="1" applyFont="1" applyFill="1" applyBorder="1" applyAlignment="1">
      <alignment horizontal="center" vertical="center"/>
    </xf>
    <xf numFmtId="0" fontId="9" fillId="5" borderId="46" xfId="186" applyFont="1" applyFill="1" applyBorder="1" applyAlignment="1">
      <alignment horizontal="left" vertical="center" wrapText="1"/>
    </xf>
    <xf numFmtId="0" fontId="18" fillId="5" borderId="46" xfId="186" applyFont="1" applyFill="1" applyBorder="1" applyAlignment="1">
      <alignment horizontal="center" vertical="center" wrapText="1"/>
    </xf>
    <xf numFmtId="0" fontId="18" fillId="5" borderId="46" xfId="186" applyFont="1" applyFill="1" applyBorder="1" applyAlignment="1">
      <alignment horizontal="center" vertical="center"/>
    </xf>
    <xf numFmtId="0" fontId="10" fillId="5" borderId="1" xfId="186" applyFont="1" applyFill="1" applyBorder="1" applyAlignment="1">
      <alignment vertical="center" wrapText="1"/>
    </xf>
    <xf numFmtId="0" fontId="10" fillId="5" borderId="46" xfId="186" applyFont="1" applyFill="1" applyBorder="1" applyAlignment="1">
      <alignment horizontal="left" vertical="center" wrapText="1"/>
    </xf>
    <xf numFmtId="0" fontId="18" fillId="5" borderId="46" xfId="186" applyFont="1" applyFill="1" applyBorder="1" applyAlignment="1">
      <alignment vertical="center" wrapText="1"/>
    </xf>
    <xf numFmtId="1" fontId="18" fillId="5" borderId="46" xfId="186" applyNumberFormat="1" applyFont="1" applyFill="1" applyBorder="1" applyAlignment="1">
      <alignment horizontal="center" vertical="center" wrapText="1"/>
    </xf>
    <xf numFmtId="0" fontId="10" fillId="5" borderId="46" xfId="186" applyFont="1" applyFill="1" applyBorder="1" applyAlignment="1">
      <alignment vertical="center" wrapText="1"/>
    </xf>
    <xf numFmtId="1" fontId="18" fillId="5" borderId="46" xfId="186" applyNumberFormat="1" applyFont="1" applyFill="1" applyBorder="1" applyAlignment="1">
      <alignment horizontal="center" vertical="center"/>
    </xf>
    <xf numFmtId="170" fontId="5" fillId="0" borderId="1" xfId="186" applyNumberFormat="1" applyFont="1" applyFill="1" applyBorder="1" applyAlignment="1">
      <alignment horizontal="center" vertical="center" wrapText="1"/>
    </xf>
    <xf numFmtId="171" fontId="5" fillId="0" borderId="1" xfId="186" applyNumberFormat="1" applyFont="1" applyFill="1" applyBorder="1" applyAlignment="1">
      <alignment horizontal="center" vertical="center" wrapText="1"/>
    </xf>
    <xf numFmtId="0" fontId="5" fillId="0" borderId="23" xfId="186" applyFont="1" applyFill="1" applyBorder="1" applyAlignment="1">
      <alignment horizontal="center" vertical="center" wrapText="1"/>
    </xf>
    <xf numFmtId="168" fontId="5" fillId="0" borderId="1" xfId="186" applyNumberFormat="1" applyFont="1" applyFill="1" applyBorder="1" applyAlignment="1">
      <alignment horizontal="center" vertical="center" wrapText="1"/>
    </xf>
    <xf numFmtId="168" fontId="5" fillId="0" borderId="23" xfId="186" applyNumberFormat="1" applyFont="1" applyFill="1" applyBorder="1" applyAlignment="1">
      <alignment horizontal="center" vertical="center" wrapText="1"/>
    </xf>
    <xf numFmtId="167" fontId="17" fillId="3" borderId="1" xfId="186" applyNumberFormat="1" applyFont="1" applyFill="1" applyBorder="1"/>
    <xf numFmtId="0" fontId="17" fillId="2" borderId="2" xfId="186" applyFont="1" applyFill="1" applyBorder="1" applyAlignment="1">
      <alignment vertical="center" wrapText="1"/>
    </xf>
    <xf numFmtId="167" fontId="9" fillId="2" borderId="2" xfId="186" applyNumberFormat="1" applyFont="1" applyFill="1" applyBorder="1" applyAlignment="1">
      <alignment horizontal="center" vertical="center" wrapText="1"/>
    </xf>
    <xf numFmtId="167" fontId="17" fillId="2" borderId="2" xfId="186" applyNumberFormat="1" applyFont="1" applyFill="1" applyBorder="1" applyAlignment="1">
      <alignment horizontal="center" vertical="center"/>
    </xf>
    <xf numFmtId="170" fontId="18" fillId="2" borderId="46" xfId="186" applyNumberFormat="1" applyFont="1" applyFill="1" applyBorder="1" applyAlignment="1">
      <alignment horizontal="center" vertical="center"/>
    </xf>
    <xf numFmtId="0" fontId="18" fillId="2" borderId="5" xfId="5" applyFont="1" applyFill="1" applyBorder="1" applyAlignment="1">
      <alignment horizontal="left" vertical="center" wrapText="1"/>
    </xf>
    <xf numFmtId="167" fontId="7" fillId="2" borderId="1" xfId="186" applyNumberFormat="1" applyFont="1" applyFill="1" applyBorder="1" applyAlignment="1">
      <alignment horizontal="center" vertical="center" wrapText="1"/>
    </xf>
    <xf numFmtId="171" fontId="18" fillId="2" borderId="47" xfId="186" applyNumberFormat="1" applyFont="1" applyFill="1" applyBorder="1" applyAlignment="1">
      <alignment horizontal="center" vertical="center"/>
    </xf>
    <xf numFmtId="49" fontId="17" fillId="2" borderId="46" xfId="186" applyNumberFormat="1" applyFont="1" applyFill="1" applyBorder="1" applyAlignment="1">
      <alignment horizontal="center" vertical="center"/>
    </xf>
    <xf numFmtId="49" fontId="18" fillId="2" borderId="46" xfId="186" applyNumberFormat="1" applyFont="1" applyFill="1" applyBorder="1" applyAlignment="1">
      <alignment horizontal="center" vertical="center"/>
    </xf>
    <xf numFmtId="0" fontId="17" fillId="2" borderId="1" xfId="186" applyFont="1" applyFill="1" applyBorder="1" applyAlignment="1">
      <alignment vertical="center" wrapText="1"/>
    </xf>
    <xf numFmtId="167" fontId="7" fillId="2" borderId="46" xfId="186" applyNumberFormat="1" applyFont="1" applyFill="1" applyBorder="1" applyAlignment="1">
      <alignment horizontal="center" vertical="center" wrapText="1"/>
    </xf>
    <xf numFmtId="167" fontId="55" fillId="2" borderId="2" xfId="186" applyNumberFormat="1" applyFont="1" applyFill="1" applyBorder="1" applyAlignment="1">
      <alignment horizontal="center" vertical="center" wrapText="1"/>
    </xf>
    <xf numFmtId="167" fontId="7" fillId="2" borderId="8" xfId="186" applyNumberFormat="1" applyFont="1" applyFill="1" applyBorder="1" applyAlignment="1">
      <alignment horizontal="center" vertical="center" wrapText="1"/>
    </xf>
    <xf numFmtId="0" fontId="18" fillId="2" borderId="0" xfId="186" applyFont="1" applyFill="1" applyAlignment="1">
      <alignment vertical="center" wrapText="1"/>
    </xf>
    <xf numFmtId="167" fontId="55" fillId="2" borderId="1" xfId="186" applyNumberFormat="1" applyFont="1" applyFill="1" applyBorder="1" applyAlignment="1">
      <alignment horizontal="center" vertical="center" wrapText="1"/>
    </xf>
    <xf numFmtId="167" fontId="7" fillId="2" borderId="2" xfId="186" applyNumberFormat="1" applyFont="1" applyFill="1" applyBorder="1" applyAlignment="1">
      <alignment horizontal="center" vertical="center" wrapText="1"/>
    </xf>
    <xf numFmtId="167" fontId="10" fillId="2" borderId="46" xfId="186" applyNumberFormat="1" applyFont="1" applyFill="1" applyBorder="1" applyAlignment="1">
      <alignment horizontal="center" vertical="center" wrapText="1"/>
    </xf>
    <xf numFmtId="167" fontId="10" fillId="2" borderId="8" xfId="186" applyNumberFormat="1" applyFont="1" applyFill="1" applyBorder="1" applyAlignment="1">
      <alignment horizontal="center" vertical="center" wrapText="1"/>
    </xf>
    <xf numFmtId="0" fontId="18" fillId="2" borderId="46" xfId="186" applyFont="1" applyFill="1" applyBorder="1" applyAlignment="1">
      <alignment vertical="center" wrapText="1"/>
    </xf>
    <xf numFmtId="0" fontId="10" fillId="2" borderId="46" xfId="186" applyFont="1" applyFill="1" applyBorder="1" applyAlignment="1">
      <alignment horizontal="center" vertical="center" wrapText="1"/>
    </xf>
    <xf numFmtId="167" fontId="17" fillId="2" borderId="8" xfId="186" applyNumberFormat="1" applyFont="1" applyFill="1" applyBorder="1" applyAlignment="1">
      <alignment horizontal="center" vertical="center"/>
    </xf>
    <xf numFmtId="167" fontId="9" fillId="3" borderId="1" xfId="186" applyNumberFormat="1" applyFont="1" applyFill="1" applyBorder="1" applyAlignment="1">
      <alignment horizontal="center"/>
    </xf>
    <xf numFmtId="0" fontId="17" fillId="3" borderId="1" xfId="186" applyFont="1" applyFill="1" applyBorder="1"/>
    <xf numFmtId="49" fontId="5" fillId="0" borderId="46" xfId="186" applyNumberFormat="1" applyFont="1" applyFill="1" applyBorder="1" applyAlignment="1">
      <alignment horizontal="center" vertical="center"/>
    </xf>
    <xf numFmtId="49" fontId="6" fillId="0" borderId="46" xfId="186" applyNumberFormat="1" applyFont="1" applyFill="1" applyBorder="1" applyAlignment="1">
      <alignment horizontal="right" vertical="center"/>
    </xf>
    <xf numFmtId="49" fontId="6" fillId="0" borderId="46" xfId="186" applyNumberFormat="1" applyFont="1" applyFill="1" applyBorder="1" applyAlignment="1">
      <alignment horizontal="center" vertical="center"/>
    </xf>
    <xf numFmtId="0" fontId="6" fillId="0" borderId="46" xfId="186" applyFont="1" applyFill="1" applyBorder="1" applyAlignment="1">
      <alignment horizontal="left" vertical="center" wrapText="1"/>
    </xf>
    <xf numFmtId="172" fontId="9" fillId="3" borderId="1" xfId="186" applyNumberFormat="1" applyFont="1" applyFill="1" applyBorder="1" applyAlignment="1">
      <alignment horizontal="left" vertical="center" wrapText="1"/>
    </xf>
    <xf numFmtId="172" fontId="9" fillId="3" borderId="5" xfId="186" applyNumberFormat="1" applyFont="1" applyFill="1" applyBorder="1" applyAlignment="1">
      <alignment horizontal="left" vertical="center" wrapText="1"/>
    </xf>
    <xf numFmtId="170" fontId="17" fillId="0" borderId="1" xfId="186" applyNumberFormat="1" applyFont="1" applyBorder="1" applyAlignment="1">
      <alignment horizontal="right" vertical="center"/>
    </xf>
    <xf numFmtId="0" fontId="7" fillId="29" borderId="1" xfId="5" applyFont="1" applyFill="1" applyBorder="1" applyAlignment="1">
      <alignment horizontal="center" vertical="center" wrapText="1"/>
    </xf>
    <xf numFmtId="9" fontId="10" fillId="2" borderId="1" xfId="5" applyNumberFormat="1" applyFont="1" applyFill="1" applyBorder="1" applyAlignment="1">
      <alignment horizontal="center" vertical="center" wrapText="1"/>
    </xf>
    <xf numFmtId="171" fontId="18" fillId="0" borderId="1" xfId="186" applyNumberFormat="1" applyFont="1" applyBorder="1" applyAlignment="1">
      <alignment horizontal="right" vertical="center"/>
    </xf>
    <xf numFmtId="0" fontId="55" fillId="29" borderId="1" xfId="5" applyFont="1" applyFill="1" applyBorder="1" applyAlignment="1">
      <alignment horizontal="center" vertical="center" wrapText="1"/>
    </xf>
    <xf numFmtId="9" fontId="10" fillId="29" borderId="1" xfId="5" applyNumberFormat="1" applyFont="1" applyFill="1" applyBorder="1" applyAlignment="1">
      <alignment horizontal="center" vertical="center" wrapText="1"/>
    </xf>
    <xf numFmtId="177" fontId="10" fillId="29" borderId="1" xfId="5" applyNumberFormat="1" applyFont="1" applyFill="1" applyBorder="1" applyAlignment="1">
      <alignment horizontal="center" vertical="center" wrapText="1"/>
    </xf>
    <xf numFmtId="0" fontId="9" fillId="29" borderId="1" xfId="186" applyFont="1" applyFill="1" applyBorder="1" applyAlignment="1">
      <alignment horizontal="center" vertical="center" wrapText="1"/>
    </xf>
    <xf numFmtId="0" fontId="10" fillId="29" borderId="1" xfId="186" applyFont="1" applyFill="1" applyBorder="1" applyAlignment="1">
      <alignment horizontal="center" vertical="center" wrapText="1"/>
    </xf>
    <xf numFmtId="9" fontId="10" fillId="29" borderId="1" xfId="186" applyNumberFormat="1" applyFont="1" applyFill="1" applyBorder="1" applyAlignment="1">
      <alignment horizontal="center" vertical="center" wrapText="1"/>
    </xf>
    <xf numFmtId="10" fontId="55" fillId="29" borderId="1" xfId="5" applyNumberFormat="1" applyFont="1" applyFill="1" applyBorder="1" applyAlignment="1">
      <alignment horizontal="center" vertical="center" wrapText="1"/>
    </xf>
    <xf numFmtId="10" fontId="10" fillId="29" borderId="1" xfId="186" applyNumberFormat="1" applyFont="1" applyFill="1" applyBorder="1" applyAlignment="1">
      <alignment horizontal="center" vertical="center" wrapText="1"/>
    </xf>
    <xf numFmtId="170" fontId="17" fillId="2" borderId="1" xfId="186" applyNumberFormat="1" applyFont="1" applyFill="1" applyBorder="1" applyAlignment="1">
      <alignment horizontal="right" vertical="center"/>
    </xf>
    <xf numFmtId="171" fontId="18" fillId="2" borderId="1" xfId="186" applyNumberFormat="1" applyFont="1" applyFill="1" applyBorder="1" applyAlignment="1">
      <alignment horizontal="right" vertical="center"/>
    </xf>
    <xf numFmtId="0" fontId="18" fillId="2" borderId="1" xfId="186" applyFont="1" applyFill="1" applyBorder="1" applyAlignment="1">
      <alignment horizontal="right" vertical="center"/>
    </xf>
    <xf numFmtId="0" fontId="7" fillId="30" borderId="1" xfId="5" applyFont="1" applyFill="1" applyBorder="1" applyAlignment="1">
      <alignment horizontal="center" vertical="center"/>
    </xf>
    <xf numFmtId="177" fontId="7" fillId="29" borderId="1" xfId="5" applyNumberFormat="1" applyFont="1" applyFill="1" applyBorder="1" applyAlignment="1">
      <alignment horizontal="center" vertical="center" wrapText="1"/>
    </xf>
    <xf numFmtId="0" fontId="10" fillId="29" borderId="1" xfId="5" applyFont="1" applyFill="1" applyBorder="1" applyAlignment="1">
      <alignment horizontal="center" vertical="center" wrapText="1"/>
    </xf>
    <xf numFmtId="0" fontId="5" fillId="0" borderId="1" xfId="186" applyFont="1" applyBorder="1" applyAlignment="1">
      <alignment horizontal="center" vertical="center" wrapText="1"/>
    </xf>
    <xf numFmtId="170" fontId="5" fillId="0" borderId="1" xfId="186" applyNumberFormat="1" applyFont="1" applyBorder="1" applyAlignment="1">
      <alignment horizontal="right" vertical="center"/>
    </xf>
    <xf numFmtId="0" fontId="10" fillId="3" borderId="1" xfId="186" applyFont="1" applyFill="1" applyBorder="1" applyAlignment="1">
      <alignment horizontal="center"/>
    </xf>
    <xf numFmtId="0" fontId="10" fillId="3" borderId="1" xfId="186" applyFont="1" applyFill="1" applyBorder="1" applyAlignment="1">
      <alignment vertical="center"/>
    </xf>
    <xf numFmtId="0" fontId="6" fillId="0" borderId="0" xfId="186" applyFont="1" applyAlignment="1">
      <alignment horizontal="center" vertical="center"/>
    </xf>
    <xf numFmtId="0" fontId="6" fillId="0" borderId="1" xfId="186" applyFont="1" applyBorder="1" applyAlignment="1">
      <alignment horizontal="left" vertical="center"/>
    </xf>
    <xf numFmtId="0" fontId="6" fillId="0" borderId="46" xfId="186" applyFont="1" applyFill="1" applyBorder="1" applyAlignment="1">
      <alignment vertical="center" wrapText="1"/>
    </xf>
    <xf numFmtId="0" fontId="6" fillId="0" borderId="46" xfId="186" applyFont="1" applyFill="1" applyBorder="1" applyAlignment="1">
      <alignment horizontal="center"/>
    </xf>
    <xf numFmtId="0" fontId="6" fillId="0" borderId="46" xfId="186" applyFont="1" applyFill="1" applyBorder="1" applyAlignment="1">
      <alignment horizontal="center" vertical="center" wrapText="1"/>
    </xf>
    <xf numFmtId="0" fontId="6" fillId="0" borderId="46" xfId="186" applyFont="1" applyFill="1" applyBorder="1" applyAlignment="1">
      <alignment horizontal="center" vertical="center"/>
    </xf>
    <xf numFmtId="0" fontId="5" fillId="0" borderId="46" xfId="186" applyFont="1" applyFill="1" applyBorder="1" applyAlignment="1">
      <alignment horizontal="left" vertical="center" wrapText="1"/>
    </xf>
    <xf numFmtId="0" fontId="6" fillId="0" borderId="46" xfId="186" applyFont="1" applyFill="1" applyBorder="1" applyAlignment="1"/>
    <xf numFmtId="176" fontId="6" fillId="0" borderId="1" xfId="186" applyNumberFormat="1" applyFont="1" applyBorder="1" applyAlignment="1">
      <alignment vertical="center"/>
    </xf>
    <xf numFmtId="0" fontId="6" fillId="0" borderId="46" xfId="186" applyFont="1" applyFill="1" applyBorder="1" applyAlignment="1">
      <alignment horizontal="left" vertical="center"/>
    </xf>
    <xf numFmtId="176" fontId="6" fillId="0" borderId="1" xfId="186" applyNumberFormat="1" applyFont="1" applyBorder="1" applyAlignment="1">
      <alignment vertical="center" wrapText="1"/>
    </xf>
    <xf numFmtId="176" fontId="6" fillId="0" borderId="46" xfId="186" applyNumberFormat="1" applyFont="1" applyBorder="1" applyAlignment="1">
      <alignment horizontal="center" vertical="center"/>
    </xf>
    <xf numFmtId="176" fontId="6" fillId="0" borderId="1" xfId="186" applyNumberFormat="1" applyFont="1" applyBorder="1" applyAlignment="1">
      <alignment wrapText="1"/>
    </xf>
    <xf numFmtId="176" fontId="6" fillId="0" borderId="1" xfId="186" applyNumberFormat="1" applyFont="1" applyBorder="1" applyAlignment="1">
      <alignment horizontal="left" vertical="center"/>
    </xf>
    <xf numFmtId="176" fontId="5" fillId="3" borderId="5" xfId="186" applyNumberFormat="1" applyFont="1" applyFill="1" applyBorder="1"/>
    <xf numFmtId="176" fontId="5" fillId="3" borderId="6" xfId="186" applyNumberFormat="1" applyFont="1" applyFill="1" applyBorder="1"/>
    <xf numFmtId="176" fontId="5" fillId="3" borderId="7" xfId="186" applyNumberFormat="1" applyFont="1" applyFill="1" applyBorder="1"/>
    <xf numFmtId="0" fontId="5" fillId="3" borderId="7" xfId="186" applyNumberFormat="1" applyFont="1" applyFill="1" applyBorder="1"/>
    <xf numFmtId="176" fontId="5" fillId="3" borderId="1" xfId="186" applyNumberFormat="1" applyFont="1" applyFill="1" applyBorder="1"/>
    <xf numFmtId="0" fontId="5" fillId="3" borderId="1" xfId="186" applyFont="1" applyFill="1" applyBorder="1"/>
    <xf numFmtId="0" fontId="5" fillId="2" borderId="2" xfId="186" applyFont="1" applyFill="1" applyBorder="1" applyAlignment="1">
      <alignment horizontal="left" vertical="top" wrapText="1"/>
    </xf>
    <xf numFmtId="9" fontId="6" fillId="2" borderId="46" xfId="186" applyNumberFormat="1" applyFont="1" applyFill="1" applyBorder="1" applyAlignment="1">
      <alignment vertical="center" wrapText="1"/>
    </xf>
    <xf numFmtId="0" fontId="6" fillId="2" borderId="5" xfId="186" applyFont="1" applyFill="1" applyBorder="1" applyAlignment="1">
      <alignment vertical="center" wrapText="1"/>
    </xf>
    <xf numFmtId="0" fontId="6" fillId="2" borderId="6" xfId="186" applyFont="1" applyFill="1" applyBorder="1" applyAlignment="1">
      <alignment vertical="center" wrapText="1"/>
    </xf>
    <xf numFmtId="167" fontId="5" fillId="3" borderId="2" xfId="186" applyNumberFormat="1" applyFont="1" applyFill="1" applyBorder="1" applyAlignment="1">
      <alignment horizontal="center"/>
    </xf>
    <xf numFmtId="0" fontId="6" fillId="3" borderId="2" xfId="186" applyFont="1" applyFill="1" applyBorder="1"/>
    <xf numFmtId="167" fontId="5" fillId="3" borderId="2" xfId="186" applyNumberFormat="1" applyFont="1" applyFill="1" applyBorder="1"/>
    <xf numFmtId="49" fontId="5" fillId="0" borderId="1" xfId="177" applyNumberFormat="1" applyFont="1" applyFill="1" applyBorder="1" applyAlignment="1">
      <alignment horizontal="center" vertical="center"/>
    </xf>
    <xf numFmtId="49" fontId="6" fillId="0" borderId="1" xfId="177" applyNumberFormat="1" applyFont="1" applyFill="1" applyBorder="1" applyAlignment="1">
      <alignment horizontal="center" vertical="center"/>
    </xf>
    <xf numFmtId="49" fontId="6" fillId="0" borderId="1" xfId="177" applyNumberFormat="1" applyFont="1" applyFill="1" applyBorder="1" applyAlignment="1">
      <alignment horizontal="right" vertical="center"/>
    </xf>
    <xf numFmtId="0" fontId="5" fillId="0" borderId="1" xfId="177" applyFont="1" applyFill="1" applyBorder="1" applyAlignment="1">
      <alignment horizontal="left" vertical="center" wrapText="1"/>
    </xf>
    <xf numFmtId="0" fontId="6" fillId="0" borderId="1" xfId="177" applyFont="1" applyFill="1" applyBorder="1" applyAlignment="1">
      <alignment horizontal="left" vertical="center" wrapText="1"/>
    </xf>
    <xf numFmtId="0" fontId="6" fillId="0" borderId="1" xfId="177" applyFont="1" applyFill="1" applyBorder="1" applyAlignment="1">
      <alignment horizontal="center" vertical="center" wrapText="1"/>
    </xf>
    <xf numFmtId="0" fontId="6" fillId="0" borderId="1" xfId="177" applyFont="1" applyFill="1" applyBorder="1" applyAlignment="1">
      <alignment vertical="center" wrapText="1"/>
    </xf>
    <xf numFmtId="0" fontId="6" fillId="0" borderId="1" xfId="177" applyFont="1" applyFill="1" applyBorder="1" applyAlignment="1">
      <alignment vertical="center"/>
    </xf>
    <xf numFmtId="49" fontId="6" fillId="0" borderId="46" xfId="177" applyNumberFormat="1" applyFont="1" applyFill="1" applyBorder="1" applyAlignment="1">
      <alignment horizontal="center" vertical="center"/>
    </xf>
    <xf numFmtId="0" fontId="6" fillId="0" borderId="46" xfId="177" applyFont="1" applyFill="1" applyBorder="1" applyAlignment="1">
      <alignment horizontal="left" vertical="center" wrapText="1"/>
    </xf>
    <xf numFmtId="0" fontId="6" fillId="0" borderId="1" xfId="177" applyFont="1" applyFill="1" applyBorder="1"/>
    <xf numFmtId="49" fontId="6" fillId="0" borderId="46" xfId="177" applyNumberFormat="1" applyFont="1" applyFill="1" applyBorder="1" applyAlignment="1">
      <alignment horizontal="right" vertical="center"/>
    </xf>
    <xf numFmtId="0" fontId="6" fillId="0" borderId="46" xfId="177" applyFont="1" applyFill="1" applyBorder="1" applyAlignment="1">
      <alignment horizontal="center" vertical="center" wrapText="1"/>
    </xf>
    <xf numFmtId="0" fontId="6" fillId="0" borderId="46" xfId="177" applyFont="1" applyFill="1" applyBorder="1" applyAlignment="1">
      <alignment horizontal="center" vertical="center"/>
    </xf>
    <xf numFmtId="3" fontId="6" fillId="2" borderId="46" xfId="177" applyNumberFormat="1" applyFont="1" applyFill="1" applyBorder="1" applyAlignment="1">
      <alignment horizontal="center" vertical="center" wrapText="1"/>
    </xf>
    <xf numFmtId="0" fontId="6" fillId="0" borderId="46" xfId="177" applyFont="1" applyFill="1" applyBorder="1" applyAlignment="1">
      <alignment vertical="center" wrapText="1"/>
    </xf>
    <xf numFmtId="0" fontId="6" fillId="0" borderId="46" xfId="177" applyFont="1" applyFill="1" applyBorder="1" applyAlignment="1">
      <alignment vertical="center"/>
    </xf>
    <xf numFmtId="0" fontId="17" fillId="5" borderId="1" xfId="186" applyFont="1" applyFill="1" applyBorder="1" applyAlignment="1">
      <alignment vertical="center" wrapText="1"/>
    </xf>
    <xf numFmtId="0" fontId="6" fillId="5" borderId="1" xfId="186" applyFont="1" applyFill="1" applyBorder="1" applyAlignment="1">
      <alignment horizontal="center" vertical="center"/>
    </xf>
    <xf numFmtId="173" fontId="6" fillId="5" borderId="1" xfId="186" applyNumberFormat="1" applyFont="1" applyFill="1" applyBorder="1" applyAlignment="1">
      <alignment horizontal="center" vertical="center"/>
    </xf>
    <xf numFmtId="49" fontId="6" fillId="5" borderId="1" xfId="186" applyNumberFormat="1" applyFont="1" applyFill="1" applyBorder="1" applyAlignment="1">
      <alignment horizontal="center" vertical="center"/>
    </xf>
    <xf numFmtId="0" fontId="6" fillId="5" borderId="1" xfId="186" applyNumberFormat="1" applyFont="1" applyFill="1" applyBorder="1" applyAlignment="1">
      <alignment horizontal="center" vertical="center"/>
    </xf>
    <xf numFmtId="1" fontId="18" fillId="5" borderId="1" xfId="186" applyNumberFormat="1" applyFont="1" applyFill="1" applyBorder="1" applyAlignment="1">
      <alignment horizontal="center" vertical="center" wrapText="1"/>
    </xf>
    <xf numFmtId="188" fontId="10" fillId="0" borderId="0" xfId="186" applyNumberFormat="1" applyFont="1" applyAlignment="1">
      <alignment horizontal="center"/>
    </xf>
    <xf numFmtId="188" fontId="10" fillId="0" borderId="0" xfId="186" applyNumberFormat="1" applyFont="1" applyAlignment="1">
      <alignment horizontal="center" vertical="center"/>
    </xf>
    <xf numFmtId="172" fontId="10" fillId="0" borderId="0" xfId="186" applyNumberFormat="1" applyFont="1" applyAlignment="1">
      <alignment horizontal="left" wrapText="1"/>
    </xf>
    <xf numFmtId="181" fontId="10" fillId="0" borderId="0" xfId="187" applyNumberFormat="1" applyFont="1" applyAlignment="1">
      <alignment vertical="center"/>
    </xf>
    <xf numFmtId="172" fontId="10" fillId="0" borderId="0" xfId="186" applyNumberFormat="1" applyFont="1" applyAlignment="1"/>
    <xf numFmtId="167" fontId="10" fillId="2" borderId="3" xfId="186" applyNumberFormat="1" applyFont="1" applyFill="1" applyBorder="1" applyAlignment="1">
      <alignment horizontal="center" vertical="center" wrapText="1"/>
    </xf>
    <xf numFmtId="0" fontId="10" fillId="2" borderId="3" xfId="186" applyFont="1" applyFill="1" applyBorder="1" applyAlignment="1">
      <alignment horizontal="left" vertical="center" wrapText="1"/>
    </xf>
    <xf numFmtId="49" fontId="10" fillId="2" borderId="3" xfId="186" applyNumberFormat="1" applyFont="1" applyFill="1" applyBorder="1" applyAlignment="1">
      <alignment horizontal="center" vertical="center"/>
    </xf>
    <xf numFmtId="49" fontId="10" fillId="2" borderId="8" xfId="186" applyNumberFormat="1" applyFont="1" applyFill="1" applyBorder="1" applyAlignment="1">
      <alignment horizontal="center" vertical="center"/>
    </xf>
    <xf numFmtId="0" fontId="6" fillId="2" borderId="1" xfId="186" applyFont="1" applyFill="1" applyBorder="1" applyAlignment="1">
      <alignment horizontal="center" vertical="center" wrapText="1"/>
    </xf>
    <xf numFmtId="0" fontId="6" fillId="2" borderId="23" xfId="186" applyFont="1" applyFill="1" applyBorder="1" applyAlignment="1">
      <alignment horizontal="center" vertical="center" wrapText="1"/>
    </xf>
    <xf numFmtId="0" fontId="21" fillId="2" borderId="1" xfId="186" applyFont="1" applyFill="1" applyBorder="1" applyAlignment="1">
      <alignment horizontal="center" vertical="center" wrapText="1"/>
    </xf>
    <xf numFmtId="49" fontId="21" fillId="2" borderId="1" xfId="186" applyNumberFormat="1" applyFont="1" applyFill="1" applyBorder="1" applyAlignment="1">
      <alignment horizontal="center" vertical="center"/>
    </xf>
    <xf numFmtId="172" fontId="9" fillId="0" borderId="2" xfId="186" applyNumberFormat="1" applyFont="1" applyBorder="1" applyAlignment="1">
      <alignment horizontal="center" vertical="center" wrapText="1"/>
    </xf>
    <xf numFmtId="167" fontId="6" fillId="2" borderId="1" xfId="0" applyNumberFormat="1" applyFont="1" applyFill="1" applyBorder="1" applyAlignment="1">
      <alignment horizontal="center" vertical="center" wrapText="1"/>
    </xf>
    <xf numFmtId="167" fontId="6" fillId="0"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23" xfId="0" applyFont="1" applyFill="1" applyBorder="1" applyAlignment="1">
      <alignment horizontal="center" vertical="center"/>
    </xf>
    <xf numFmtId="167" fontId="5" fillId="0"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67" fontId="7" fillId="0" borderId="1" xfId="0" applyNumberFormat="1" applyFont="1" applyFill="1" applyBorder="1" applyAlignment="1">
      <alignment horizontal="center" vertical="center" wrapText="1"/>
    </xf>
    <xf numFmtId="167" fontId="5" fillId="2" borderId="1" xfId="0" applyNumberFormat="1" applyFont="1" applyFill="1" applyBorder="1" applyAlignment="1">
      <alignment horizontal="center" vertical="center" wrapText="1"/>
    </xf>
    <xf numFmtId="0" fontId="9" fillId="2" borderId="1" xfId="0" applyFont="1" applyFill="1" applyBorder="1" applyAlignment="1">
      <alignment horizontal="left" vertical="center" wrapText="1"/>
    </xf>
    <xf numFmtId="167" fontId="10" fillId="2" borderId="1" xfId="0" applyNumberFormat="1" applyFont="1" applyFill="1" applyBorder="1" applyAlignment="1">
      <alignment horizontal="center" vertical="center" wrapText="1"/>
    </xf>
    <xf numFmtId="167"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10" fillId="2" borderId="23" xfId="0" applyFont="1" applyFill="1" applyBorder="1" applyAlignment="1">
      <alignment horizontal="center" vertical="center"/>
    </xf>
    <xf numFmtId="181" fontId="10" fillId="0" borderId="1" xfId="64" applyNumberFormat="1" applyFont="1" applyFill="1" applyBorder="1" applyAlignment="1">
      <alignment vertical="center" wrapText="1"/>
    </xf>
    <xf numFmtId="181" fontId="9" fillId="0" borderId="1" xfId="64" applyNumberFormat="1" applyFont="1" applyFill="1" applyBorder="1" applyAlignment="1">
      <alignment vertical="center" wrapText="1"/>
    </xf>
    <xf numFmtId="167" fontId="6" fillId="0" borderId="1" xfId="0" applyNumberFormat="1" applyFont="1" applyFill="1" applyBorder="1" applyAlignment="1">
      <alignment horizontal="center"/>
    </xf>
    <xf numFmtId="167" fontId="7" fillId="0" borderId="1" xfId="0" applyNumberFormat="1" applyFont="1" applyFill="1" applyBorder="1" applyAlignment="1" applyProtection="1">
      <alignment horizontal="center" vertical="center" wrapText="1"/>
    </xf>
    <xf numFmtId="167" fontId="7" fillId="2" borderId="1" xfId="0" applyNumberFormat="1" applyFont="1" applyFill="1" applyBorder="1" applyAlignment="1" applyProtection="1">
      <alignment horizontal="center" vertical="center" wrapText="1"/>
    </xf>
    <xf numFmtId="167" fontId="10" fillId="0" borderId="1" xfId="7" applyNumberFormat="1" applyFont="1" applyFill="1" applyBorder="1" applyAlignment="1">
      <alignment horizontal="center" vertical="center" wrapText="1"/>
    </xf>
    <xf numFmtId="167" fontId="10" fillId="2" borderId="1" xfId="7" applyNumberFormat="1" applyFont="1" applyFill="1" applyBorder="1" applyAlignment="1">
      <alignment horizontal="center" vertical="center" wrapText="1"/>
    </xf>
    <xf numFmtId="167" fontId="19" fillId="0" borderId="1" xfId="0" applyNumberFormat="1" applyFont="1" applyFill="1" applyBorder="1" applyAlignment="1">
      <alignment horizontal="center" vertical="center" wrapText="1"/>
    </xf>
    <xf numFmtId="172" fontId="10" fillId="0" borderId="2" xfId="186" applyNumberFormat="1" applyFont="1" applyBorder="1" applyAlignment="1">
      <alignment horizontal="center" vertical="center" wrapText="1"/>
    </xf>
    <xf numFmtId="172" fontId="10" fillId="4" borderId="0" xfId="186" applyNumberFormat="1" applyFont="1" applyFill="1" applyBorder="1" applyAlignment="1">
      <alignment horizontal="left" vertical="center" wrapText="1"/>
    </xf>
    <xf numFmtId="0" fontId="18" fillId="2" borderId="1" xfId="6" applyFont="1" applyFill="1" applyBorder="1" applyAlignment="1">
      <alignment horizontal="left" vertical="center" wrapText="1"/>
    </xf>
    <xf numFmtId="172" fontId="10" fillId="2" borderId="0" xfId="186" applyNumberFormat="1" applyFont="1" applyFill="1" applyAlignment="1">
      <alignment horizontal="center"/>
    </xf>
    <xf numFmtId="49" fontId="10" fillId="2" borderId="3" xfId="186" applyNumberFormat="1" applyFont="1" applyFill="1" applyBorder="1" applyAlignment="1">
      <alignment vertical="center"/>
    </xf>
    <xf numFmtId="167" fontId="10" fillId="0" borderId="1" xfId="0" applyNumberFormat="1" applyFont="1" applyFill="1" applyBorder="1" applyAlignment="1">
      <alignment horizontal="center" vertical="center" wrapText="1"/>
    </xf>
    <xf numFmtId="167" fontId="6"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left" vertical="center" wrapText="1"/>
    </xf>
    <xf numFmtId="167" fontId="6" fillId="2" borderId="1" xfId="0" applyNumberFormat="1" applyFont="1" applyFill="1" applyBorder="1" applyAlignment="1">
      <alignment horizontal="center" vertical="center" wrapText="1"/>
    </xf>
    <xf numFmtId="0" fontId="6" fillId="2" borderId="1" xfId="0" applyFont="1" applyFill="1" applyBorder="1" applyAlignment="1">
      <alignment vertical="center" wrapText="1"/>
    </xf>
    <xf numFmtId="0" fontId="6" fillId="0" borderId="23" xfId="0" applyFont="1" applyFill="1" applyBorder="1" applyAlignment="1">
      <alignment horizontal="center" vertical="center" wrapText="1"/>
    </xf>
    <xf numFmtId="0" fontId="5" fillId="0" borderId="23" xfId="0" applyFont="1" applyFill="1" applyBorder="1" applyAlignment="1">
      <alignment horizontal="center" vertical="center"/>
    </xf>
    <xf numFmtId="0" fontId="10" fillId="0" borderId="1" xfId="0" applyFont="1" applyFill="1" applyBorder="1" applyAlignment="1">
      <alignment horizontal="center" vertical="center"/>
    </xf>
    <xf numFmtId="49" fontId="10" fillId="0" borderId="1" xfId="0" applyNumberFormat="1" applyFont="1" applyFill="1" applyBorder="1" applyAlignment="1">
      <alignment horizontal="center" vertical="top"/>
    </xf>
    <xf numFmtId="49" fontId="9"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top" wrapText="1"/>
    </xf>
    <xf numFmtId="167" fontId="5"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top"/>
    </xf>
    <xf numFmtId="0" fontId="10" fillId="0" borderId="3" xfId="0" applyFont="1" applyFill="1" applyBorder="1" applyAlignment="1">
      <alignment horizontal="left" vertical="top" wrapText="1"/>
    </xf>
    <xf numFmtId="0" fontId="10" fillId="0" borderId="2" xfId="0" applyFont="1" applyFill="1" applyBorder="1" applyAlignment="1">
      <alignment horizontal="left" vertical="top" wrapText="1"/>
    </xf>
    <xf numFmtId="49" fontId="10" fillId="0" borderId="1" xfId="0" applyNumberFormat="1" applyFont="1" applyFill="1" applyBorder="1" applyAlignment="1">
      <alignment horizontal="center" vertical="center"/>
    </xf>
    <xf numFmtId="0" fontId="10" fillId="0" borderId="1" xfId="0" applyFont="1" applyFill="1" applyBorder="1" applyAlignment="1">
      <alignment horizontal="left" vertical="center" wrapText="1"/>
    </xf>
    <xf numFmtId="49" fontId="6" fillId="0" borderId="1" xfId="0" applyNumberFormat="1" applyFont="1" applyFill="1" applyBorder="1" applyAlignment="1">
      <alignment horizontal="right" vertical="center"/>
    </xf>
    <xf numFmtId="0" fontId="5" fillId="0" borderId="1" xfId="0" applyFont="1" applyFill="1" applyBorder="1" applyAlignment="1">
      <alignment horizontal="left" vertical="center" wrapText="1"/>
    </xf>
    <xf numFmtId="167" fontId="5" fillId="2" borderId="1"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7" fillId="0" borderId="1" xfId="0" applyNumberFormat="1" applyFont="1" applyFill="1" applyBorder="1" applyAlignment="1" applyProtection="1">
      <alignment horizontal="left" vertical="center" wrapText="1"/>
    </xf>
    <xf numFmtId="0" fontId="6" fillId="0" borderId="2" xfId="186" applyFont="1" applyFill="1" applyBorder="1" applyAlignment="1">
      <alignment horizontal="center" vertical="center"/>
    </xf>
    <xf numFmtId="49" fontId="6" fillId="0" borderId="2" xfId="186" applyNumberFormat="1" applyFont="1" applyFill="1" applyBorder="1" applyAlignment="1">
      <alignment horizontal="center" vertical="center"/>
    </xf>
    <xf numFmtId="0" fontId="6" fillId="0" borderId="2" xfId="186" applyFont="1" applyFill="1" applyBorder="1" applyAlignment="1">
      <alignment horizontal="left" vertical="center" wrapText="1"/>
    </xf>
    <xf numFmtId="0" fontId="6" fillId="0" borderId="1" xfId="186" applyFont="1" applyFill="1" applyBorder="1" applyAlignment="1">
      <alignment vertical="center" wrapText="1"/>
    </xf>
    <xf numFmtId="0" fontId="6" fillId="0" borderId="1" xfId="186" applyFont="1" applyFill="1" applyBorder="1" applyAlignment="1">
      <alignment horizontal="center" vertical="center" wrapText="1"/>
    </xf>
    <xf numFmtId="49" fontId="5" fillId="0" borderId="1" xfId="186" applyNumberFormat="1" applyFont="1" applyFill="1" applyBorder="1" applyAlignment="1">
      <alignment horizontal="center" vertical="center"/>
    </xf>
    <xf numFmtId="49" fontId="6" fillId="0" borderId="1" xfId="186" applyNumberFormat="1" applyFont="1" applyFill="1" applyBorder="1" applyAlignment="1">
      <alignment horizontal="center" vertical="center"/>
    </xf>
    <xf numFmtId="49" fontId="6" fillId="0" borderId="1" xfId="186" applyNumberFormat="1" applyFont="1" applyFill="1" applyBorder="1" applyAlignment="1">
      <alignment horizontal="right" vertical="center"/>
    </xf>
    <xf numFmtId="0" fontId="5" fillId="0" borderId="1" xfId="186" applyFont="1" applyFill="1" applyBorder="1" applyAlignment="1">
      <alignment horizontal="left" vertical="center" wrapText="1"/>
    </xf>
    <xf numFmtId="170" fontId="17" fillId="2" borderId="1" xfId="186" applyNumberFormat="1" applyFont="1" applyFill="1" applyBorder="1" applyAlignment="1">
      <alignment horizontal="center" vertical="center"/>
    </xf>
    <xf numFmtId="171" fontId="18" fillId="0" borderId="1" xfId="186" applyNumberFormat="1" applyFont="1" applyBorder="1" applyAlignment="1">
      <alignment horizontal="center" vertical="center"/>
    </xf>
    <xf numFmtId="0" fontId="18" fillId="5" borderId="1" xfId="186" applyFont="1" applyFill="1" applyBorder="1" applyAlignment="1">
      <alignment horizontal="center" vertical="center"/>
    </xf>
    <xf numFmtId="0" fontId="10" fillId="2" borderId="1" xfId="186" applyFont="1" applyFill="1" applyBorder="1" applyAlignment="1">
      <alignment horizontal="left" vertical="center" wrapText="1"/>
    </xf>
    <xf numFmtId="170" fontId="5" fillId="0" borderId="1" xfId="186" applyNumberFormat="1" applyFont="1" applyFill="1" applyBorder="1" applyAlignment="1">
      <alignment horizontal="center" vertical="center"/>
    </xf>
    <xf numFmtId="171" fontId="6" fillId="0" borderId="1" xfId="186" applyNumberFormat="1" applyFont="1" applyFill="1" applyBorder="1" applyAlignment="1">
      <alignment horizontal="center" vertical="center"/>
    </xf>
    <xf numFmtId="0" fontId="5" fillId="0" borderId="1" xfId="186" applyFont="1" applyFill="1" applyBorder="1" applyAlignment="1">
      <alignment horizontal="center" vertical="center"/>
    </xf>
    <xf numFmtId="0" fontId="6" fillId="0" borderId="1" xfId="186" applyFont="1" applyFill="1" applyBorder="1" applyAlignment="1">
      <alignment horizontal="left" vertical="center" wrapText="1"/>
    </xf>
    <xf numFmtId="0" fontId="17" fillId="2" borderId="2" xfId="186" applyFont="1" applyFill="1" applyBorder="1" applyAlignment="1">
      <alignment horizontal="center" vertical="center" wrapText="1"/>
    </xf>
    <xf numFmtId="0" fontId="18" fillId="2" borderId="2" xfId="186" applyFont="1" applyFill="1" applyBorder="1" applyAlignment="1">
      <alignment horizontal="center" vertical="center"/>
    </xf>
    <xf numFmtId="0" fontId="6" fillId="2" borderId="2" xfId="186" applyFont="1" applyFill="1" applyBorder="1" applyAlignment="1">
      <alignment horizontal="left" vertical="center" wrapText="1"/>
    </xf>
    <xf numFmtId="0" fontId="6" fillId="2" borderId="46" xfId="186" applyFont="1" applyFill="1" applyBorder="1" applyAlignment="1">
      <alignment horizontal="center" vertical="center" wrapText="1"/>
    </xf>
    <xf numFmtId="0" fontId="6" fillId="2" borderId="8" xfId="186" applyFont="1" applyFill="1" applyBorder="1" applyAlignment="1">
      <alignment horizontal="center" vertical="center" wrapText="1"/>
    </xf>
    <xf numFmtId="0" fontId="6" fillId="2" borderId="2" xfId="186" applyFont="1" applyFill="1" applyBorder="1" applyAlignment="1">
      <alignment horizontal="center" vertical="center" wrapText="1"/>
    </xf>
    <xf numFmtId="0" fontId="6" fillId="0" borderId="1" xfId="186" applyFont="1" applyFill="1" applyBorder="1" applyAlignment="1">
      <alignment vertical="center"/>
    </xf>
    <xf numFmtId="49" fontId="5" fillId="0" borderId="3" xfId="186" applyNumberFormat="1" applyFont="1" applyFill="1" applyBorder="1" applyAlignment="1">
      <alignment horizontal="center" vertical="center"/>
    </xf>
    <xf numFmtId="0" fontId="10" fillId="2" borderId="1" xfId="186" applyFont="1" applyFill="1" applyBorder="1" applyAlignment="1">
      <alignment vertical="center" wrapText="1"/>
    </xf>
    <xf numFmtId="0" fontId="9" fillId="2" borderId="1" xfId="186" applyFont="1" applyFill="1" applyBorder="1" applyAlignment="1">
      <alignment horizontal="center" vertical="center"/>
    </xf>
    <xf numFmtId="0" fontId="10" fillId="2" borderId="1" xfId="186" applyFont="1" applyFill="1" applyBorder="1" applyAlignment="1">
      <alignment horizontal="center" vertical="center" wrapText="1"/>
    </xf>
    <xf numFmtId="0" fontId="10" fillId="2" borderId="1" xfId="186" applyFont="1" applyFill="1" applyBorder="1" applyAlignment="1">
      <alignment horizontal="center" vertical="center"/>
    </xf>
    <xf numFmtId="0" fontId="6" fillId="2" borderId="1" xfId="186" applyFont="1" applyFill="1" applyBorder="1" applyAlignment="1">
      <alignment horizontal="left" vertical="center" wrapText="1"/>
    </xf>
    <xf numFmtId="0" fontId="6" fillId="0" borderId="1" xfId="186" applyFont="1" applyFill="1" applyBorder="1" applyAlignment="1">
      <alignment horizontal="center" vertical="center"/>
    </xf>
    <xf numFmtId="167" fontId="5" fillId="0" borderId="1" xfId="186" applyNumberFormat="1" applyFont="1" applyFill="1" applyBorder="1" applyAlignment="1">
      <alignment horizontal="center" vertical="center" wrapText="1"/>
    </xf>
    <xf numFmtId="49" fontId="5" fillId="0" borderId="1" xfId="186" applyNumberFormat="1" applyFont="1" applyFill="1" applyBorder="1" applyAlignment="1">
      <alignment horizontal="right" vertical="center"/>
    </xf>
    <xf numFmtId="0" fontId="6" fillId="2" borderId="3" xfId="186" applyFont="1" applyFill="1" applyBorder="1" applyAlignment="1">
      <alignment horizontal="left" vertical="center" wrapText="1"/>
    </xf>
    <xf numFmtId="0" fontId="10" fillId="2" borderId="3" xfId="186" applyFont="1" applyFill="1" applyBorder="1" applyAlignment="1">
      <alignment horizontal="left" vertical="center" wrapText="1"/>
    </xf>
    <xf numFmtId="49" fontId="6" fillId="0" borderId="3" xfId="186" applyNumberFormat="1" applyFont="1" applyFill="1" applyBorder="1" applyAlignment="1">
      <alignment horizontal="center" vertical="center"/>
    </xf>
    <xf numFmtId="49" fontId="6" fillId="2" borderId="1" xfId="186" applyNumberFormat="1" applyFont="1" applyFill="1" applyBorder="1" applyAlignment="1">
      <alignment horizontal="center" vertical="center"/>
    </xf>
    <xf numFmtId="49" fontId="6" fillId="2" borderId="1" xfId="186" applyNumberFormat="1" applyFont="1" applyFill="1" applyBorder="1" applyAlignment="1">
      <alignment horizontal="right" vertical="center"/>
    </xf>
    <xf numFmtId="0" fontId="6" fillId="0" borderId="1" xfId="186" applyFont="1" applyFill="1" applyBorder="1"/>
    <xf numFmtId="49" fontId="5" fillId="2" borderId="1" xfId="186" applyNumberFormat="1" applyFont="1" applyFill="1" applyBorder="1" applyAlignment="1">
      <alignment horizontal="center" vertical="center"/>
    </xf>
    <xf numFmtId="0" fontId="6" fillId="0" borderId="1" xfId="186" applyFont="1" applyBorder="1" applyAlignment="1">
      <alignment horizontal="center" vertical="center"/>
    </xf>
    <xf numFmtId="0" fontId="5" fillId="0" borderId="1" xfId="186" applyFont="1" applyFill="1" applyBorder="1" applyAlignment="1">
      <alignment vertical="center" wrapText="1"/>
    </xf>
    <xf numFmtId="0" fontId="6" fillId="2" borderId="3" xfId="186" applyFont="1" applyFill="1" applyBorder="1" applyAlignment="1">
      <alignment horizontal="center" vertical="center" wrapText="1"/>
    </xf>
    <xf numFmtId="0" fontId="18" fillId="2" borderId="1" xfId="186" applyFont="1" applyFill="1" applyBorder="1" applyAlignment="1">
      <alignment horizontal="left" vertical="center" wrapText="1"/>
    </xf>
    <xf numFmtId="49" fontId="18" fillId="2" borderId="3" xfId="186" applyNumberFormat="1" applyFont="1" applyFill="1" applyBorder="1" applyAlignment="1">
      <alignment horizontal="center" vertical="center"/>
    </xf>
    <xf numFmtId="49" fontId="17" fillId="2" borderId="3" xfId="186" applyNumberFormat="1" applyFont="1" applyFill="1" applyBorder="1" applyAlignment="1">
      <alignment horizontal="center" vertical="center"/>
    </xf>
    <xf numFmtId="0" fontId="6" fillId="0" borderId="3" xfId="186" applyFont="1" applyFill="1" applyBorder="1" applyAlignment="1">
      <alignment horizontal="left" vertical="center" wrapText="1"/>
    </xf>
    <xf numFmtId="0" fontId="6" fillId="0" borderId="3" xfId="186" applyFont="1" applyFill="1" applyBorder="1" applyAlignment="1">
      <alignment vertical="center" wrapText="1"/>
    </xf>
    <xf numFmtId="49" fontId="9" fillId="2" borderId="3" xfId="186" applyNumberFormat="1" applyFont="1" applyFill="1" applyBorder="1" applyAlignment="1">
      <alignment horizontal="center" vertical="center"/>
    </xf>
    <xf numFmtId="49" fontId="10" fillId="2" borderId="8" xfId="186" applyNumberFormat="1" applyFont="1" applyFill="1" applyBorder="1" applyAlignment="1">
      <alignment horizontal="center" vertical="center"/>
    </xf>
    <xf numFmtId="0" fontId="9" fillId="2" borderId="1" xfId="186" applyFont="1" applyFill="1" applyBorder="1" applyAlignment="1">
      <alignment horizontal="left" vertical="center" wrapText="1"/>
    </xf>
    <xf numFmtId="170" fontId="9" fillId="2" borderId="3" xfId="177" applyNumberFormat="1" applyFont="1" applyFill="1" applyBorder="1" applyAlignment="1">
      <alignment horizontal="center" vertical="top"/>
    </xf>
    <xf numFmtId="170" fontId="9" fillId="2" borderId="3" xfId="177" applyNumberFormat="1" applyFont="1" applyFill="1" applyBorder="1" applyAlignment="1">
      <alignment horizontal="center" vertical="center"/>
    </xf>
    <xf numFmtId="49" fontId="6" fillId="2" borderId="1" xfId="186" applyNumberFormat="1" applyFont="1" applyFill="1" applyBorder="1" applyAlignment="1">
      <alignment horizontal="center" vertical="center" wrapText="1"/>
    </xf>
    <xf numFmtId="0" fontId="65" fillId="0" borderId="1" xfId="5" applyFont="1" applyFill="1" applyBorder="1" applyAlignment="1">
      <alignment vertical="center" wrapText="1"/>
    </xf>
    <xf numFmtId="0" fontId="64" fillId="2" borderId="1" xfId="186" applyFont="1" applyFill="1" applyBorder="1" applyAlignment="1">
      <alignment vertical="center" wrapText="1"/>
    </xf>
    <xf numFmtId="0" fontId="6" fillId="2" borderId="1" xfId="186" applyFont="1" applyFill="1" applyBorder="1" applyAlignment="1">
      <alignment vertical="center" wrapText="1"/>
    </xf>
    <xf numFmtId="0" fontId="5" fillId="2" borderId="1" xfId="186" applyFont="1" applyFill="1" applyBorder="1" applyAlignment="1">
      <alignment horizontal="left" vertical="center" wrapText="1"/>
    </xf>
    <xf numFmtId="0" fontId="5" fillId="0" borderId="2" xfId="186" applyFont="1" applyFill="1" applyBorder="1" applyAlignment="1">
      <alignment horizontal="center" vertical="center" wrapText="1"/>
    </xf>
    <xf numFmtId="0" fontId="5" fillId="0" borderId="3" xfId="186" applyFont="1" applyFill="1" applyBorder="1" applyAlignment="1">
      <alignment horizontal="left" vertical="center" wrapText="1"/>
    </xf>
    <xf numFmtId="0" fontId="5" fillId="2" borderId="3" xfId="186" applyFont="1" applyFill="1" applyBorder="1" applyAlignment="1">
      <alignment horizontal="center" vertical="center" wrapText="1"/>
    </xf>
    <xf numFmtId="0" fontId="5" fillId="2" borderId="2" xfId="186" applyFont="1" applyFill="1" applyBorder="1" applyAlignment="1">
      <alignment horizontal="center" vertical="center" wrapText="1"/>
    </xf>
    <xf numFmtId="49" fontId="6" fillId="0" borderId="1" xfId="186" applyNumberFormat="1" applyFont="1" applyBorder="1" applyAlignment="1">
      <alignment horizontal="center" vertical="center"/>
    </xf>
    <xf numFmtId="49" fontId="5" fillId="0" borderId="1" xfId="186" applyNumberFormat="1" applyFont="1" applyBorder="1" applyAlignment="1">
      <alignment horizontal="center" vertical="center"/>
    </xf>
    <xf numFmtId="0" fontId="5" fillId="2" borderId="1" xfId="186" applyFont="1" applyFill="1" applyBorder="1" applyAlignment="1">
      <alignment horizontal="center" vertical="center"/>
    </xf>
    <xf numFmtId="172" fontId="9" fillId="0" borderId="2" xfId="186" applyNumberFormat="1" applyFont="1" applyBorder="1" applyAlignment="1">
      <alignment horizontal="center" vertical="center" wrapText="1"/>
    </xf>
    <xf numFmtId="170" fontId="9" fillId="2" borderId="8" xfId="188" applyNumberFormat="1" applyFont="1" applyFill="1" applyBorder="1" applyAlignment="1">
      <alignment horizontal="center" vertical="center"/>
    </xf>
    <xf numFmtId="0" fontId="10" fillId="2" borderId="8" xfId="188" applyFont="1" applyFill="1" applyBorder="1" applyAlignment="1">
      <alignment horizontal="center" vertical="center"/>
    </xf>
    <xf numFmtId="0" fontId="10" fillId="2" borderId="3" xfId="5" applyFont="1" applyFill="1" applyBorder="1" applyAlignment="1">
      <alignment horizontal="left" vertical="center" wrapText="1"/>
    </xf>
    <xf numFmtId="167" fontId="6" fillId="2" borderId="1" xfId="5" applyNumberFormat="1" applyFont="1" applyFill="1" applyBorder="1" applyAlignment="1">
      <alignment horizontal="center" vertical="center"/>
    </xf>
    <xf numFmtId="0" fontId="6" fillId="2" borderId="1" xfId="0" applyFont="1" applyFill="1" applyBorder="1" applyAlignment="1">
      <alignment horizontal="left" vertical="center" wrapText="1"/>
    </xf>
    <xf numFmtId="167" fontId="6" fillId="2" borderId="3" xfId="0" applyNumberFormat="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23" xfId="0" applyFont="1" applyFill="1" applyBorder="1" applyAlignment="1">
      <alignment horizontal="center" vertical="center"/>
    </xf>
    <xf numFmtId="0" fontId="6" fillId="0" borderId="1" xfId="0" applyFont="1" applyFill="1" applyBorder="1" applyAlignment="1">
      <alignment vertical="center" wrapText="1"/>
    </xf>
    <xf numFmtId="0" fontId="6" fillId="0" borderId="1" xfId="0" applyFont="1" applyFill="1" applyBorder="1" applyAlignment="1">
      <alignment horizontal="center"/>
    </xf>
    <xf numFmtId="170" fontId="5" fillId="0" borderId="1" xfId="0" applyNumberFormat="1" applyFont="1" applyFill="1" applyBorder="1" applyAlignment="1">
      <alignment horizontal="center" vertical="center"/>
    </xf>
    <xf numFmtId="171" fontId="6" fillId="0" borderId="1" xfId="0" applyNumberFormat="1" applyFont="1" applyFill="1" applyBorder="1" applyAlignment="1">
      <alignment horizontal="center" vertical="center"/>
    </xf>
    <xf numFmtId="167" fontId="18" fillId="2" borderId="1" xfId="5"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1" fontId="6" fillId="2" borderId="23"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9" fillId="2"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left" vertical="center" wrapText="1"/>
    </xf>
    <xf numFmtId="0" fontId="10" fillId="2" borderId="23" xfId="0" applyFont="1" applyFill="1" applyBorder="1" applyAlignment="1">
      <alignment horizontal="center" vertical="center" wrapText="1"/>
    </xf>
    <xf numFmtId="0" fontId="10"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10" fillId="2" borderId="23" xfId="0" applyFont="1" applyFill="1" applyBorder="1" applyAlignment="1">
      <alignment horizontal="center" vertical="center"/>
    </xf>
    <xf numFmtId="167" fontId="6" fillId="2" borderId="1" xfId="0" applyNumberFormat="1" applyFont="1" applyFill="1" applyBorder="1" applyAlignment="1">
      <alignment horizontal="center" vertical="center"/>
    </xf>
    <xf numFmtId="167" fontId="18"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0" fontId="10" fillId="2" borderId="1" xfId="5" applyFont="1" applyFill="1" applyBorder="1" applyAlignment="1">
      <alignment horizontal="left" vertical="center" wrapText="1"/>
    </xf>
    <xf numFmtId="0" fontId="6" fillId="0" borderId="1" xfId="0" applyFont="1" applyFill="1" applyBorder="1" applyAlignment="1">
      <alignment horizontal="left" vertical="top" wrapText="1"/>
    </xf>
    <xf numFmtId="0" fontId="10" fillId="0" borderId="1" xfId="5" applyFont="1" applyFill="1" applyBorder="1" applyAlignment="1">
      <alignment horizontal="left" vertical="center" wrapText="1"/>
    </xf>
    <xf numFmtId="0" fontId="10" fillId="2" borderId="1" xfId="0" applyFont="1" applyFill="1" applyBorder="1" applyAlignment="1">
      <alignment horizontal="left" vertical="top" wrapText="1"/>
    </xf>
    <xf numFmtId="170" fontId="9" fillId="2" borderId="46" xfId="188" applyNumberFormat="1" applyFont="1" applyFill="1" applyBorder="1" applyAlignment="1">
      <alignment horizontal="center" vertical="center"/>
    </xf>
    <xf numFmtId="49" fontId="5" fillId="0" borderId="1" xfId="190" applyNumberFormat="1" applyFont="1" applyFill="1" applyBorder="1" applyAlignment="1">
      <alignment vertical="center"/>
    </xf>
    <xf numFmtId="49" fontId="6" fillId="0" borderId="1" xfId="190" applyNumberFormat="1" applyFont="1" applyFill="1" applyBorder="1" applyAlignment="1">
      <alignment vertical="center"/>
    </xf>
    <xf numFmtId="0" fontId="5" fillId="0" borderId="1" xfId="190" applyFont="1" applyFill="1" applyBorder="1" applyAlignment="1">
      <alignment vertical="center" wrapText="1"/>
    </xf>
    <xf numFmtId="0" fontId="5" fillId="0" borderId="1" xfId="1" applyFont="1" applyFill="1" applyBorder="1" applyAlignment="1">
      <alignment vertical="center" wrapText="1"/>
    </xf>
    <xf numFmtId="167" fontId="5" fillId="0" borderId="1" xfId="1" applyNumberFormat="1" applyFont="1" applyFill="1" applyBorder="1" applyAlignment="1">
      <alignment vertical="center" wrapText="1"/>
    </xf>
    <xf numFmtId="167" fontId="5" fillId="0" borderId="1" xfId="186" applyNumberFormat="1" applyFont="1" applyFill="1" applyBorder="1" applyAlignment="1">
      <alignment horizontal="center"/>
    </xf>
    <xf numFmtId="167" fontId="6" fillId="0" borderId="1" xfId="186" applyNumberFormat="1" applyFont="1" applyFill="1" applyBorder="1" applyAlignment="1">
      <alignment horizontal="center" vertical="center"/>
    </xf>
    <xf numFmtId="0" fontId="10" fillId="0" borderId="1" xfId="188" applyFont="1" applyFill="1" applyBorder="1" applyAlignment="1">
      <alignment vertical="center" wrapText="1"/>
    </xf>
    <xf numFmtId="172" fontId="5" fillId="0" borderId="2" xfId="186" applyNumberFormat="1" applyFont="1" applyFill="1" applyBorder="1" applyAlignment="1">
      <alignment horizontal="center" vertical="center" wrapText="1"/>
    </xf>
    <xf numFmtId="0" fontId="9" fillId="0" borderId="2" xfId="189" applyFont="1" applyFill="1" applyBorder="1" applyAlignment="1">
      <alignment horizontal="left" vertical="center" wrapText="1"/>
    </xf>
    <xf numFmtId="0" fontId="10" fillId="0" borderId="1" xfId="189" applyFont="1" applyFill="1" applyBorder="1" applyAlignment="1">
      <alignment vertical="center" wrapText="1"/>
    </xf>
    <xf numFmtId="0" fontId="10" fillId="0" borderId="1" xfId="189" applyFont="1" applyFill="1" applyBorder="1" applyAlignment="1">
      <alignment horizontal="left" vertical="center" wrapText="1"/>
    </xf>
    <xf numFmtId="0" fontId="10" fillId="0" borderId="46" xfId="189" applyFont="1" applyFill="1" applyBorder="1" applyAlignment="1">
      <alignment horizontal="left" vertical="center" wrapText="1"/>
    </xf>
    <xf numFmtId="49" fontId="21" fillId="2" borderId="1" xfId="5" applyNumberFormat="1" applyFont="1" applyFill="1" applyBorder="1" applyAlignment="1">
      <alignment horizontal="left" vertical="center" wrapText="1"/>
    </xf>
    <xf numFmtId="185" fontId="5" fillId="0" borderId="1" xfId="0" applyNumberFormat="1" applyFont="1" applyFill="1" applyBorder="1" applyAlignment="1">
      <alignment horizontal="center" vertical="center"/>
    </xf>
    <xf numFmtId="182" fontId="5" fillId="0" borderId="1" xfId="0" applyNumberFormat="1" applyFont="1" applyFill="1" applyBorder="1" applyAlignment="1">
      <alignment vertical="center" wrapText="1"/>
    </xf>
    <xf numFmtId="181" fontId="6" fillId="0" borderId="1" xfId="0" applyNumberFormat="1" applyFont="1" applyFill="1" applyBorder="1" applyAlignment="1">
      <alignment horizontal="center" vertical="center" wrapText="1"/>
    </xf>
    <xf numFmtId="181" fontId="6" fillId="0" borderId="1" xfId="28" applyNumberFormat="1" applyFont="1" applyFill="1" applyBorder="1" applyAlignment="1">
      <alignment horizontal="center" vertical="center" wrapText="1"/>
    </xf>
    <xf numFmtId="0" fontId="10" fillId="2" borderId="1" xfId="0" applyFont="1" applyFill="1" applyBorder="1" applyAlignment="1">
      <alignment horizontal="justify" vertical="top" wrapText="1"/>
    </xf>
    <xf numFmtId="0" fontId="18" fillId="5" borderId="2" xfId="186" applyFont="1" applyFill="1" applyBorder="1" applyAlignment="1">
      <alignment horizontal="left" vertical="center" wrapText="1"/>
    </xf>
    <xf numFmtId="3" fontId="18" fillId="5" borderId="1" xfId="186" applyNumberFormat="1" applyFont="1" applyFill="1" applyBorder="1" applyAlignment="1">
      <alignment horizontal="left" vertical="center" wrapText="1"/>
    </xf>
    <xf numFmtId="0" fontId="17" fillId="0" borderId="2" xfId="186" applyFont="1" applyFill="1" applyBorder="1" applyAlignment="1">
      <alignment vertical="center" wrapText="1"/>
    </xf>
    <xf numFmtId="168" fontId="17" fillId="0" borderId="2" xfId="186" applyNumberFormat="1" applyFont="1" applyFill="1" applyBorder="1" applyAlignment="1">
      <alignment horizontal="center" vertical="center" wrapText="1"/>
    </xf>
    <xf numFmtId="0" fontId="5" fillId="0" borderId="2" xfId="186" applyFont="1" applyFill="1" applyBorder="1" applyAlignment="1">
      <alignment horizontal="center" vertical="center"/>
    </xf>
    <xf numFmtId="0" fontId="18" fillId="0" borderId="3" xfId="44" applyFont="1" applyFill="1" applyBorder="1" applyAlignment="1">
      <alignment vertical="center" wrapText="1"/>
    </xf>
    <xf numFmtId="168" fontId="18" fillId="0" borderId="1" xfId="186" applyNumberFormat="1" applyFont="1" applyFill="1" applyBorder="1" applyAlignment="1">
      <alignment horizontal="center" vertical="center" wrapText="1"/>
    </xf>
    <xf numFmtId="0" fontId="18" fillId="0" borderId="5" xfId="44" applyFont="1" applyFill="1" applyBorder="1" applyAlignment="1">
      <alignment horizontal="left" vertical="center" wrapText="1"/>
    </xf>
    <xf numFmtId="0" fontId="17" fillId="0" borderId="5" xfId="44" applyFont="1" applyFill="1" applyBorder="1" applyAlignment="1">
      <alignment horizontal="left" vertical="center" wrapText="1"/>
    </xf>
    <xf numFmtId="168" fontId="17" fillId="0" borderId="1" xfId="186" applyNumberFormat="1" applyFont="1" applyFill="1" applyBorder="1" applyAlignment="1">
      <alignment horizontal="center" vertical="center" wrapText="1"/>
    </xf>
    <xf numFmtId="0" fontId="17" fillId="0" borderId="1" xfId="186" applyFont="1" applyFill="1" applyBorder="1" applyAlignment="1">
      <alignment horizontal="left" vertical="center" wrapText="1"/>
    </xf>
    <xf numFmtId="167" fontId="17" fillId="0" borderId="1" xfId="186" applyNumberFormat="1" applyFont="1" applyFill="1" applyBorder="1" applyAlignment="1">
      <alignment horizontal="center" vertical="center" wrapText="1"/>
    </xf>
    <xf numFmtId="167" fontId="18" fillId="0" borderId="1" xfId="186" applyNumberFormat="1" applyFont="1" applyFill="1" applyBorder="1" applyAlignment="1">
      <alignment horizontal="center" vertical="center" wrapText="1"/>
    </xf>
    <xf numFmtId="167" fontId="18" fillId="0" borderId="3" xfId="186" applyNumberFormat="1" applyFont="1" applyFill="1" applyBorder="1" applyAlignment="1">
      <alignment horizontal="center" vertical="center" wrapText="1"/>
    </xf>
    <xf numFmtId="0" fontId="6" fillId="0" borderId="8" xfId="186" applyFont="1" applyFill="1" applyBorder="1" applyAlignment="1">
      <alignment horizontal="center" vertical="center"/>
    </xf>
    <xf numFmtId="0" fontId="21" fillId="0" borderId="3" xfId="186" applyFont="1" applyFill="1" applyBorder="1" applyAlignment="1">
      <alignment horizontal="center" vertical="center" wrapText="1"/>
    </xf>
    <xf numFmtId="0" fontId="18" fillId="0" borderId="1" xfId="44" applyFont="1" applyFill="1" applyBorder="1" applyAlignment="1">
      <alignment horizontal="left" vertical="center" wrapText="1"/>
    </xf>
    <xf numFmtId="168" fontId="17" fillId="0" borderId="1" xfId="0" applyNumberFormat="1" applyFont="1" applyFill="1" applyBorder="1" applyAlignment="1">
      <alignment horizontal="center" vertical="center" wrapText="1"/>
    </xf>
    <xf numFmtId="0" fontId="18" fillId="0" borderId="2" xfId="186" applyFont="1" applyFill="1" applyBorder="1" applyAlignment="1">
      <alignment horizontal="left" vertical="center" wrapText="1"/>
    </xf>
    <xf numFmtId="0" fontId="18" fillId="0" borderId="1" xfId="186" applyFont="1" applyFill="1" applyBorder="1" applyAlignment="1">
      <alignment horizontal="left" vertical="center" wrapText="1"/>
    </xf>
    <xf numFmtId="0" fontId="18" fillId="0" borderId="3" xfId="186" applyFont="1" applyFill="1" applyBorder="1" applyAlignment="1">
      <alignment vertical="center" wrapText="1"/>
    </xf>
    <xf numFmtId="1" fontId="6" fillId="0" borderId="1" xfId="186" applyNumberFormat="1" applyFont="1" applyFill="1" applyBorder="1" applyAlignment="1">
      <alignment horizontal="center" vertical="center" wrapText="1"/>
    </xf>
    <xf numFmtId="1" fontId="6" fillId="0" borderId="23" xfId="186" applyNumberFormat="1" applyFont="1" applyFill="1" applyBorder="1" applyAlignment="1">
      <alignment horizontal="center" vertical="center" wrapText="1"/>
    </xf>
    <xf numFmtId="167" fontId="19" fillId="0" borderId="1" xfId="25" applyNumberFormat="1" applyFont="1" applyFill="1" applyBorder="1" applyAlignment="1">
      <alignment horizontal="center" vertical="center" wrapText="1"/>
    </xf>
    <xf numFmtId="167" fontId="20" fillId="0" borderId="1" xfId="25" applyNumberFormat="1" applyFont="1" applyFill="1" applyBorder="1" applyAlignment="1">
      <alignment horizontal="center" vertical="center" wrapText="1"/>
    </xf>
    <xf numFmtId="167" fontId="20" fillId="0" borderId="7" xfId="25" applyNumberFormat="1" applyFont="1" applyFill="1" applyBorder="1" applyAlignment="1">
      <alignment horizontal="center" vertical="center" wrapText="1"/>
    </xf>
    <xf numFmtId="0" fontId="17" fillId="0" borderId="2" xfId="0" applyFont="1" applyFill="1" applyBorder="1" applyAlignment="1">
      <alignment horizontal="left" vertical="center" wrapText="1"/>
    </xf>
    <xf numFmtId="167" fontId="17" fillId="0" borderId="1" xfId="9" applyNumberFormat="1" applyFont="1" applyFill="1" applyBorder="1" applyAlignment="1">
      <alignment horizontal="center" vertical="center" wrapText="1"/>
    </xf>
    <xf numFmtId="0" fontId="18" fillId="0" borderId="2" xfId="0" applyFont="1" applyFill="1" applyBorder="1" applyAlignment="1">
      <alignment horizontal="left" vertical="center" wrapText="1"/>
    </xf>
    <xf numFmtId="167" fontId="18" fillId="0" borderId="1" xfId="9" applyNumberFormat="1" applyFont="1" applyFill="1" applyBorder="1" applyAlignment="1">
      <alignment horizontal="center" vertical="center" wrapText="1"/>
    </xf>
    <xf numFmtId="0" fontId="17" fillId="0" borderId="3" xfId="6" applyFont="1" applyFill="1" applyBorder="1" applyAlignment="1">
      <alignment horizontal="left" vertical="center" wrapText="1"/>
    </xf>
    <xf numFmtId="0" fontId="9" fillId="0" borderId="3" xfId="186" applyFont="1" applyFill="1" applyBorder="1" applyAlignment="1">
      <alignment horizontal="left" vertical="center" wrapText="1"/>
    </xf>
    <xf numFmtId="0" fontId="10" fillId="0" borderId="3" xfId="186" applyFont="1" applyFill="1" applyBorder="1" applyAlignment="1">
      <alignment horizontal="left" vertical="center" wrapText="1"/>
    </xf>
    <xf numFmtId="167" fontId="6" fillId="0" borderId="1" xfId="14" applyNumberFormat="1" applyFont="1" applyFill="1" applyBorder="1" applyAlignment="1">
      <alignment horizontal="center" vertical="center" wrapText="1"/>
    </xf>
    <xf numFmtId="167" fontId="18" fillId="0" borderId="1" xfId="14" applyNumberFormat="1" applyFont="1" applyFill="1" applyBorder="1" applyAlignment="1">
      <alignment horizontal="center" vertical="center" wrapText="1"/>
    </xf>
    <xf numFmtId="167" fontId="10" fillId="0" borderId="1" xfId="14" applyNumberFormat="1" applyFont="1" applyFill="1" applyBorder="1" applyAlignment="1">
      <alignment horizontal="center" vertical="center" wrapText="1"/>
    </xf>
    <xf numFmtId="167" fontId="23" fillId="0" borderId="1" xfId="14" applyNumberFormat="1" applyFont="1" applyFill="1" applyBorder="1" applyAlignment="1">
      <alignment horizontal="center" vertical="center" wrapText="1"/>
    </xf>
    <xf numFmtId="0" fontId="9" fillId="0" borderId="1" xfId="186" applyFont="1" applyFill="1" applyBorder="1" applyAlignment="1">
      <alignment horizontal="left" vertical="top" wrapText="1"/>
    </xf>
    <xf numFmtId="0" fontId="10" fillId="0" borderId="1" xfId="186" applyFont="1" applyFill="1" applyBorder="1" applyAlignment="1">
      <alignment horizontal="left" vertical="top" wrapText="1"/>
    </xf>
    <xf numFmtId="189" fontId="21" fillId="0" borderId="1" xfId="187" applyNumberFormat="1" applyFont="1" applyFill="1" applyBorder="1" applyAlignment="1">
      <alignment vertical="center" wrapText="1"/>
    </xf>
    <xf numFmtId="172" fontId="10" fillId="0" borderId="0" xfId="186" applyNumberFormat="1" applyFont="1" applyFill="1" applyAlignment="1">
      <alignment horizontal="center"/>
    </xf>
    <xf numFmtId="0" fontId="63" fillId="0" borderId="0" xfId="186" applyFont="1" applyFill="1" applyAlignment="1">
      <alignment horizontal="left" vertical="center" wrapText="1"/>
    </xf>
    <xf numFmtId="181" fontId="9" fillId="0" borderId="1" xfId="26" applyNumberFormat="1" applyFont="1" applyFill="1" applyBorder="1" applyAlignment="1">
      <alignment horizontal="center" vertical="center"/>
    </xf>
    <xf numFmtId="172" fontId="10" fillId="0" borderId="1" xfId="0" applyNumberFormat="1" applyFont="1" applyFill="1" applyBorder="1" applyAlignment="1">
      <alignment vertical="center" wrapText="1"/>
    </xf>
    <xf numFmtId="0" fontId="67" fillId="31" borderId="50" xfId="0" applyFont="1" applyFill="1" applyBorder="1" applyAlignment="1">
      <alignment horizontal="left" vertical="center" wrapText="1"/>
    </xf>
    <xf numFmtId="0" fontId="10" fillId="31" borderId="51" xfId="0" applyFont="1" applyFill="1" applyBorder="1" applyAlignment="1">
      <alignment vertical="center" wrapText="1"/>
    </xf>
    <xf numFmtId="0" fontId="6" fillId="31" borderId="53" xfId="0" applyFont="1" applyFill="1" applyBorder="1" applyAlignment="1">
      <alignment horizontal="left" vertical="center" wrapText="1"/>
    </xf>
    <xf numFmtId="0" fontId="9" fillId="2" borderId="1" xfId="197" applyFont="1" applyFill="1" applyBorder="1" applyAlignment="1">
      <alignment vertical="center" wrapText="1"/>
    </xf>
    <xf numFmtId="0" fontId="10" fillId="6" borderId="1" xfId="186" applyFont="1" applyFill="1" applyBorder="1" applyAlignment="1">
      <alignment horizontal="left" wrapText="1"/>
    </xf>
    <xf numFmtId="167" fontId="17" fillId="2" borderId="41" xfId="186" applyNumberFormat="1" applyFont="1" applyFill="1" applyBorder="1" applyAlignment="1">
      <alignment horizontal="center" vertical="center" wrapText="1"/>
    </xf>
    <xf numFmtId="167" fontId="9" fillId="2" borderId="1" xfId="28" applyNumberFormat="1" applyFont="1" applyFill="1" applyBorder="1" applyAlignment="1">
      <alignment horizontal="center" vertical="center" wrapText="1"/>
    </xf>
    <xf numFmtId="167" fontId="7" fillId="2" borderId="1" xfId="0" applyNumberFormat="1" applyFont="1" applyFill="1" applyBorder="1" applyAlignment="1">
      <alignment horizontal="center" vertical="center" wrapText="1"/>
    </xf>
    <xf numFmtId="167" fontId="17" fillId="2" borderId="1" xfId="0" applyNumberFormat="1" applyFont="1" applyFill="1" applyBorder="1" applyAlignment="1">
      <alignment horizontal="center" vertical="center" wrapText="1"/>
    </xf>
    <xf numFmtId="167" fontId="5" fillId="2" borderId="2" xfId="186" applyNumberFormat="1" applyFont="1" applyFill="1" applyBorder="1" applyAlignment="1">
      <alignment horizontal="center" vertical="center" wrapText="1"/>
    </xf>
    <xf numFmtId="167" fontId="17" fillId="2" borderId="8" xfId="186" applyNumberFormat="1" applyFont="1" applyFill="1" applyBorder="1" applyAlignment="1">
      <alignment horizontal="center" vertical="center" wrapText="1"/>
    </xf>
    <xf numFmtId="185" fontId="9" fillId="2" borderId="1" xfId="186" applyNumberFormat="1" applyFont="1" applyFill="1" applyBorder="1" applyAlignment="1">
      <alignment horizontal="center" vertical="center"/>
    </xf>
    <xf numFmtId="167" fontId="9" fillId="2" borderId="46" xfId="186" applyNumberFormat="1" applyFont="1" applyFill="1" applyBorder="1" applyAlignment="1">
      <alignment horizontal="center" vertical="center"/>
    </xf>
    <xf numFmtId="167" fontId="6" fillId="2" borderId="46" xfId="186" applyNumberFormat="1" applyFont="1" applyFill="1" applyBorder="1" applyAlignment="1">
      <alignment horizontal="center" vertical="center"/>
    </xf>
    <xf numFmtId="168" fontId="18" fillId="2" borderId="2" xfId="186" applyNumberFormat="1" applyFont="1" applyFill="1" applyBorder="1" applyAlignment="1">
      <alignment horizontal="center" vertical="center" wrapText="1"/>
    </xf>
    <xf numFmtId="167" fontId="17" fillId="2" borderId="46" xfId="186" applyNumberFormat="1" applyFont="1" applyFill="1" applyBorder="1" applyAlignment="1">
      <alignment horizontal="right" vertical="center" wrapText="1"/>
    </xf>
    <xf numFmtId="167" fontId="6" fillId="2" borderId="46" xfId="186" applyNumberFormat="1" applyFont="1" applyFill="1" applyBorder="1" applyAlignment="1">
      <alignment horizontal="center" vertical="center" wrapText="1"/>
    </xf>
    <xf numFmtId="0" fontId="6" fillId="2" borderId="1" xfId="3" applyFont="1" applyFill="1" applyBorder="1" applyAlignment="1">
      <alignment horizontal="center" vertical="center"/>
    </xf>
    <xf numFmtId="0" fontId="7" fillId="2" borderId="1" xfId="3" applyFont="1" applyFill="1" applyBorder="1" applyAlignment="1">
      <alignment horizontal="center" vertical="center"/>
    </xf>
    <xf numFmtId="167" fontId="6" fillId="2" borderId="1" xfId="3" applyNumberFormat="1" applyFont="1" applyFill="1" applyBorder="1" applyAlignment="1">
      <alignment horizontal="center" vertical="center"/>
    </xf>
    <xf numFmtId="167" fontId="7" fillId="30" borderId="1" xfId="3" applyNumberFormat="1" applyFont="1" applyFill="1" applyBorder="1" applyAlignment="1">
      <alignment horizontal="center" vertical="center"/>
    </xf>
    <xf numFmtId="167" fontId="5" fillId="2" borderId="1" xfId="186" applyNumberFormat="1" applyFont="1" applyFill="1" applyBorder="1" applyAlignment="1">
      <alignment horizontal="center" vertical="center"/>
    </xf>
    <xf numFmtId="167" fontId="5" fillId="2" borderId="5" xfId="186" applyNumberFormat="1" applyFont="1" applyFill="1" applyBorder="1" applyAlignment="1">
      <alignment horizontal="center" vertical="center" wrapText="1"/>
    </xf>
    <xf numFmtId="167" fontId="6" fillId="2" borderId="47" xfId="186" applyNumberFormat="1" applyFont="1" applyFill="1" applyBorder="1" applyAlignment="1">
      <alignment horizontal="center" vertical="center" wrapText="1"/>
    </xf>
    <xf numFmtId="167" fontId="5" fillId="2" borderId="47" xfId="186" applyNumberFormat="1" applyFont="1" applyFill="1" applyBorder="1" applyAlignment="1">
      <alignment horizontal="center" vertical="center" wrapText="1"/>
    </xf>
    <xf numFmtId="186" fontId="6" fillId="2" borderId="1" xfId="0" applyNumberFormat="1" applyFont="1" applyFill="1" applyBorder="1" applyAlignment="1">
      <alignment horizontal="center" vertical="center"/>
    </xf>
    <xf numFmtId="167" fontId="17" fillId="2" borderId="3" xfId="0" applyNumberFormat="1" applyFont="1" applyFill="1" applyBorder="1" applyAlignment="1">
      <alignment vertical="center" wrapText="1"/>
    </xf>
    <xf numFmtId="167" fontId="5" fillId="2" borderId="46" xfId="177" applyNumberFormat="1" applyFont="1" applyFill="1" applyBorder="1" applyAlignment="1">
      <alignment horizontal="center" vertical="center" wrapText="1"/>
    </xf>
    <xf numFmtId="167" fontId="6" fillId="2" borderId="46" xfId="177" applyNumberFormat="1" applyFont="1" applyFill="1" applyBorder="1" applyAlignment="1">
      <alignment horizontal="center" vertical="center" wrapText="1"/>
    </xf>
    <xf numFmtId="167" fontId="6" fillId="2" borderId="1" xfId="177" applyNumberFormat="1" applyFont="1" applyFill="1" applyBorder="1" applyAlignment="1">
      <alignment horizontal="center" vertical="center" wrapText="1"/>
    </xf>
    <xf numFmtId="172" fontId="9" fillId="0" borderId="32" xfId="186" applyNumberFormat="1" applyFont="1" applyBorder="1" applyAlignment="1">
      <alignment horizontal="center" vertical="center" wrapText="1"/>
    </xf>
    <xf numFmtId="49" fontId="9" fillId="0" borderId="47" xfId="186" applyNumberFormat="1" applyFont="1" applyBorder="1" applyAlignment="1">
      <alignment horizontal="center" vertical="center" wrapText="1"/>
    </xf>
    <xf numFmtId="0" fontId="63" fillId="0" borderId="1" xfId="186" applyFont="1" applyBorder="1" applyAlignment="1">
      <alignment horizontal="left" vertical="center" wrapText="1"/>
    </xf>
    <xf numFmtId="0" fontId="10" fillId="2" borderId="46" xfId="188" applyFont="1" applyFill="1" applyBorder="1" applyAlignment="1">
      <alignment horizontal="center" vertical="center"/>
    </xf>
    <xf numFmtId="0" fontId="10" fillId="2" borderId="8" xfId="188" applyFont="1" applyFill="1" applyBorder="1" applyAlignment="1">
      <alignment horizontal="center" vertical="center"/>
    </xf>
    <xf numFmtId="0" fontId="10" fillId="2" borderId="46" xfId="5" applyFont="1" applyFill="1" applyBorder="1" applyAlignment="1">
      <alignment horizontal="left" vertical="center" wrapText="1"/>
    </xf>
    <xf numFmtId="0" fontId="10" fillId="2" borderId="8" xfId="5" applyFont="1" applyFill="1" applyBorder="1" applyAlignment="1">
      <alignment horizontal="left" vertical="center" wrapText="1"/>
    </xf>
    <xf numFmtId="172" fontId="6" fillId="0" borderId="3" xfId="186" applyNumberFormat="1" applyFont="1" applyFill="1" applyBorder="1" applyAlignment="1">
      <alignment horizontal="center" vertical="center" wrapText="1"/>
    </xf>
    <xf numFmtId="172" fontId="6" fillId="0" borderId="2" xfId="186" applyNumberFormat="1" applyFont="1" applyFill="1" applyBorder="1" applyAlignment="1">
      <alignment horizontal="center" vertical="center" wrapText="1"/>
    </xf>
    <xf numFmtId="0" fontId="5" fillId="3" borderId="1" xfId="186" applyFont="1" applyFill="1" applyBorder="1" applyAlignment="1">
      <alignment horizontal="center" vertical="center" wrapText="1"/>
    </xf>
    <xf numFmtId="0" fontId="10" fillId="3" borderId="1" xfId="187" applyNumberFormat="1" applyFont="1" applyFill="1" applyBorder="1" applyAlignment="1">
      <alignment horizontal="center" vertical="center" wrapText="1"/>
    </xf>
    <xf numFmtId="172" fontId="9" fillId="4" borderId="1" xfId="186" applyNumberFormat="1" applyFont="1" applyFill="1" applyBorder="1" applyAlignment="1">
      <alignment horizontal="left" vertical="center" wrapText="1"/>
    </xf>
    <xf numFmtId="171" fontId="10" fillId="2" borderId="1" xfId="188" applyNumberFormat="1" applyFont="1" applyFill="1" applyBorder="1" applyAlignment="1">
      <alignment horizontal="center" vertical="center"/>
    </xf>
    <xf numFmtId="171" fontId="10" fillId="2" borderId="46" xfId="188" applyNumberFormat="1" applyFont="1" applyFill="1" applyBorder="1" applyAlignment="1">
      <alignment horizontal="center" vertical="center"/>
    </xf>
    <xf numFmtId="171" fontId="10" fillId="2" borderId="2" xfId="188" applyNumberFormat="1" applyFont="1" applyFill="1" applyBorder="1" applyAlignment="1">
      <alignment horizontal="center" vertical="center"/>
    </xf>
    <xf numFmtId="171" fontId="10" fillId="2" borderId="8" xfId="188" applyNumberFormat="1" applyFont="1" applyFill="1" applyBorder="1" applyAlignment="1">
      <alignment horizontal="center" vertical="center"/>
    </xf>
    <xf numFmtId="0" fontId="10" fillId="2" borderId="2" xfId="5" applyFont="1" applyFill="1" applyBorder="1" applyAlignment="1">
      <alignment horizontal="left" vertical="center" wrapText="1"/>
    </xf>
    <xf numFmtId="177" fontId="5" fillId="4" borderId="22" xfId="186" applyNumberFormat="1" applyFont="1" applyFill="1" applyBorder="1" applyAlignment="1">
      <alignment horizontal="left" vertical="center"/>
    </xf>
    <xf numFmtId="177" fontId="5" fillId="4" borderId="1" xfId="186" applyNumberFormat="1" applyFont="1" applyFill="1" applyBorder="1" applyAlignment="1">
      <alignment horizontal="left" vertical="center"/>
    </xf>
    <xf numFmtId="167" fontId="6" fillId="0" borderId="1" xfId="0" applyNumberFormat="1" applyFont="1" applyFill="1" applyBorder="1" applyAlignment="1">
      <alignment horizontal="center" vertical="center" wrapText="1"/>
    </xf>
    <xf numFmtId="172" fontId="9" fillId="4" borderId="2" xfId="186" applyNumberFormat="1" applyFont="1" applyFill="1" applyBorder="1" applyAlignment="1">
      <alignment horizontal="left" vertical="center" wrapText="1"/>
    </xf>
    <xf numFmtId="0" fontId="5" fillId="0" borderId="1" xfId="186" applyFont="1" applyBorder="1" applyAlignment="1">
      <alignment horizontal="center" vertical="center"/>
    </xf>
    <xf numFmtId="49" fontId="5" fillId="0" borderId="3" xfId="186" applyNumberFormat="1" applyFont="1" applyBorder="1" applyAlignment="1">
      <alignment horizontal="center" vertical="center"/>
    </xf>
    <xf numFmtId="49" fontId="5" fillId="0" borderId="8" xfId="186" applyNumberFormat="1" applyFont="1" applyBorder="1" applyAlignment="1">
      <alignment horizontal="center" vertical="center"/>
    </xf>
    <xf numFmtId="49" fontId="5" fillId="0" borderId="2" xfId="186" applyNumberFormat="1" applyFont="1" applyBorder="1" applyAlignment="1">
      <alignment horizontal="center" vertical="center"/>
    </xf>
    <xf numFmtId="171" fontId="6" fillId="2" borderId="3" xfId="186" applyNumberFormat="1" applyFont="1" applyFill="1" applyBorder="1" applyAlignment="1">
      <alignment horizontal="center" vertical="center"/>
    </xf>
    <xf numFmtId="171" fontId="6" fillId="2" borderId="8" xfId="186" applyNumberFormat="1" applyFont="1" applyFill="1" applyBorder="1" applyAlignment="1">
      <alignment horizontal="center" vertical="center"/>
    </xf>
    <xf numFmtId="171" fontId="6" fillId="2" borderId="2" xfId="186" applyNumberFormat="1" applyFont="1" applyFill="1" applyBorder="1" applyAlignment="1">
      <alignment horizontal="center" vertical="center"/>
    </xf>
    <xf numFmtId="0" fontId="5" fillId="2" borderId="3" xfId="186" applyFont="1" applyFill="1" applyBorder="1" applyAlignment="1">
      <alignment horizontal="center" vertical="center"/>
    </xf>
    <xf numFmtId="0" fontId="5" fillId="2" borderId="8" xfId="186" applyFont="1" applyFill="1" applyBorder="1" applyAlignment="1">
      <alignment horizontal="center" vertical="center"/>
    </xf>
    <xf numFmtId="0" fontId="5" fillId="2" borderId="2" xfId="186" applyFont="1" applyFill="1" applyBorder="1" applyAlignment="1">
      <alignment horizontal="center" vertical="center"/>
    </xf>
    <xf numFmtId="0" fontId="6" fillId="2" borderId="1" xfId="186" applyFont="1" applyFill="1" applyBorder="1" applyAlignment="1">
      <alignment horizontal="left" vertical="center" wrapText="1"/>
    </xf>
    <xf numFmtId="0" fontId="6" fillId="0" borderId="1" xfId="1" applyFont="1" applyFill="1" applyBorder="1" applyAlignment="1">
      <alignment horizontal="center" vertical="center" wrapText="1"/>
    </xf>
    <xf numFmtId="167" fontId="6" fillId="0" borderId="1" xfId="1" applyNumberFormat="1" applyFont="1" applyFill="1" applyBorder="1" applyAlignment="1">
      <alignment horizontal="center" vertical="center" wrapText="1"/>
    </xf>
    <xf numFmtId="171" fontId="9" fillId="3" borderId="5" xfId="186" applyNumberFormat="1" applyFont="1" applyFill="1" applyBorder="1" applyAlignment="1">
      <alignment horizontal="left" vertical="center"/>
    </xf>
    <xf numFmtId="171" fontId="9" fillId="3" borderId="6" xfId="186" applyNumberFormat="1" applyFont="1" applyFill="1" applyBorder="1" applyAlignment="1">
      <alignment horizontal="left" vertical="center"/>
    </xf>
    <xf numFmtId="171" fontId="9" fillId="3" borderId="7" xfId="186" applyNumberFormat="1" applyFont="1" applyFill="1" applyBorder="1" applyAlignment="1">
      <alignment horizontal="left" vertical="center"/>
    </xf>
    <xf numFmtId="167" fontId="5" fillId="3" borderId="1" xfId="186" applyNumberFormat="1" applyFont="1" applyFill="1" applyBorder="1"/>
    <xf numFmtId="172" fontId="57" fillId="0" borderId="0" xfId="186" applyNumberFormat="1" applyFont="1" applyFill="1" applyAlignment="1">
      <alignment horizontal="center" wrapText="1"/>
    </xf>
    <xf numFmtId="172" fontId="9" fillId="0" borderId="3" xfId="186" applyNumberFormat="1" applyFont="1" applyBorder="1" applyAlignment="1">
      <alignment horizontal="center" vertical="center" wrapText="1"/>
    </xf>
    <xf numFmtId="172" fontId="9" fillId="0" borderId="8" xfId="186" applyNumberFormat="1" applyFont="1" applyBorder="1" applyAlignment="1">
      <alignment horizontal="center" vertical="center" wrapText="1"/>
    </xf>
    <xf numFmtId="172" fontId="9" fillId="0" borderId="2" xfId="186" applyNumberFormat="1" applyFont="1" applyBorder="1" applyAlignment="1">
      <alignment horizontal="center" vertical="center" wrapText="1"/>
    </xf>
    <xf numFmtId="172" fontId="9" fillId="3" borderId="1" xfId="186" applyNumberFormat="1" applyFont="1" applyFill="1" applyBorder="1" applyAlignment="1">
      <alignment horizontal="center" vertical="center" wrapText="1"/>
    </xf>
    <xf numFmtId="188" fontId="9" fillId="3" borderId="1" xfId="186" applyNumberFormat="1" applyFont="1" applyFill="1" applyBorder="1" applyAlignment="1">
      <alignment horizontal="center" vertical="center" wrapText="1"/>
    </xf>
    <xf numFmtId="0" fontId="9" fillId="3" borderId="1" xfId="187" applyNumberFormat="1" applyFont="1" applyFill="1" applyBorder="1" applyAlignment="1">
      <alignment horizontal="center" vertical="center" wrapText="1"/>
    </xf>
    <xf numFmtId="170" fontId="9" fillId="2" borderId="46" xfId="188" applyNumberFormat="1" applyFont="1" applyFill="1" applyBorder="1" applyAlignment="1">
      <alignment horizontal="center" vertical="center"/>
    </xf>
    <xf numFmtId="170" fontId="9" fillId="2" borderId="8" xfId="188" applyNumberFormat="1" applyFont="1" applyFill="1" applyBorder="1" applyAlignment="1">
      <alignment horizontal="center" vertical="center"/>
    </xf>
    <xf numFmtId="167" fontId="5" fillId="3" borderId="23" xfId="186" applyNumberFormat="1" applyFont="1" applyFill="1" applyBorder="1"/>
    <xf numFmtId="171" fontId="9" fillId="3" borderId="1" xfId="186" applyNumberFormat="1" applyFont="1" applyFill="1" applyBorder="1" applyAlignment="1">
      <alignment horizontal="left" vertical="center"/>
    </xf>
    <xf numFmtId="171" fontId="9" fillId="2" borderId="3" xfId="186" applyNumberFormat="1" applyFont="1" applyFill="1" applyBorder="1" applyAlignment="1">
      <alignment horizontal="center" vertical="center"/>
    </xf>
    <xf numFmtId="171" fontId="9" fillId="2" borderId="8" xfId="186" applyNumberFormat="1" applyFont="1" applyFill="1" applyBorder="1" applyAlignment="1">
      <alignment horizontal="center" vertical="center"/>
    </xf>
    <xf numFmtId="171" fontId="9" fillId="2" borderId="2" xfId="186" applyNumberFormat="1" applyFont="1" applyFill="1" applyBorder="1" applyAlignment="1">
      <alignment horizontal="center" vertical="center"/>
    </xf>
    <xf numFmtId="171" fontId="9" fillId="0" borderId="3" xfId="186" applyNumberFormat="1" applyFont="1" applyFill="1" applyBorder="1" applyAlignment="1">
      <alignment horizontal="center" vertical="center"/>
    </xf>
    <xf numFmtId="171" fontId="9" fillId="0" borderId="8" xfId="186" applyNumberFormat="1" applyFont="1" applyFill="1" applyBorder="1" applyAlignment="1">
      <alignment horizontal="center" vertical="center"/>
    </xf>
    <xf numFmtId="0" fontId="6" fillId="0" borderId="3" xfId="186" applyFont="1" applyBorder="1" applyAlignment="1">
      <alignment horizontal="left" vertical="top" wrapText="1"/>
    </xf>
    <xf numFmtId="0" fontId="6" fillId="0" borderId="2" xfId="186" applyFont="1" applyBorder="1" applyAlignment="1">
      <alignment horizontal="left" vertical="top" wrapText="1"/>
    </xf>
    <xf numFmtId="0" fontId="6" fillId="0" borderId="3" xfId="186" applyFont="1" applyBorder="1" applyAlignment="1">
      <alignment horizontal="left" vertical="center" wrapText="1"/>
    </xf>
    <xf numFmtId="0" fontId="6" fillId="0" borderId="8" xfId="186" applyFont="1" applyBorder="1" applyAlignment="1">
      <alignment horizontal="left" vertical="center" wrapText="1"/>
    </xf>
    <xf numFmtId="0" fontId="6" fillId="0" borderId="2" xfId="186" applyFont="1" applyBorder="1" applyAlignment="1">
      <alignment horizontal="left" vertical="center" wrapText="1"/>
    </xf>
    <xf numFmtId="171" fontId="9" fillId="2" borderId="1" xfId="186" applyNumberFormat="1" applyFont="1" applyFill="1" applyBorder="1" applyAlignment="1">
      <alignment horizontal="center" vertical="center"/>
    </xf>
    <xf numFmtId="171" fontId="9" fillId="0" borderId="33" xfId="186" applyNumberFormat="1" applyFont="1" applyFill="1" applyBorder="1" applyAlignment="1">
      <alignment horizontal="center" vertical="center"/>
    </xf>
    <xf numFmtId="171" fontId="9" fillId="0" borderId="34" xfId="186" applyNumberFormat="1" applyFont="1" applyFill="1" applyBorder="1" applyAlignment="1">
      <alignment horizontal="center" vertical="center"/>
    </xf>
    <xf numFmtId="49" fontId="5" fillId="0" borderId="3" xfId="186" applyNumberFormat="1" applyFont="1" applyFill="1" applyBorder="1" applyAlignment="1">
      <alignment horizontal="center" vertical="center"/>
    </xf>
    <xf numFmtId="49" fontId="5" fillId="0" borderId="8" xfId="186" applyNumberFormat="1" applyFont="1" applyFill="1" applyBorder="1" applyAlignment="1">
      <alignment horizontal="center" vertical="center"/>
    </xf>
    <xf numFmtId="49" fontId="5" fillId="0" borderId="2" xfId="186" applyNumberFormat="1" applyFont="1" applyFill="1" applyBorder="1" applyAlignment="1">
      <alignment horizontal="center" vertical="center"/>
    </xf>
    <xf numFmtId="0" fontId="6" fillId="0" borderId="3" xfId="186" applyFont="1" applyFill="1" applyBorder="1" applyAlignment="1">
      <alignment horizontal="left" vertical="center" wrapText="1"/>
    </xf>
    <xf numFmtId="0" fontId="6" fillId="0" borderId="8" xfId="186" applyFont="1" applyFill="1" applyBorder="1" applyAlignment="1">
      <alignment horizontal="left" vertical="center" wrapText="1"/>
    </xf>
    <xf numFmtId="0" fontId="6" fillId="0" borderId="2" xfId="186" applyFont="1" applyFill="1" applyBorder="1" applyAlignment="1">
      <alignment horizontal="left" vertical="center" wrapText="1"/>
    </xf>
    <xf numFmtId="49" fontId="5" fillId="0" borderId="1" xfId="186" applyNumberFormat="1" applyFont="1" applyBorder="1" applyAlignment="1">
      <alignment horizontal="center" vertical="center"/>
    </xf>
    <xf numFmtId="171" fontId="6" fillId="0" borderId="1" xfId="186" applyNumberFormat="1" applyFont="1" applyFill="1" applyBorder="1" applyAlignment="1">
      <alignment horizontal="center" vertical="center"/>
    </xf>
    <xf numFmtId="0" fontId="5" fillId="2" borderId="1" xfId="186" applyFont="1" applyFill="1" applyBorder="1" applyAlignment="1">
      <alignment horizontal="center" vertical="center"/>
    </xf>
    <xf numFmtId="0" fontId="6" fillId="2" borderId="1" xfId="44" applyFont="1" applyFill="1" applyBorder="1" applyAlignment="1">
      <alignment horizontal="left" vertical="center" wrapText="1"/>
    </xf>
    <xf numFmtId="167" fontId="6" fillId="0" borderId="1" xfId="186" applyNumberFormat="1" applyFont="1" applyFill="1" applyBorder="1" applyAlignment="1">
      <alignment horizontal="center" vertical="center" wrapText="1"/>
    </xf>
    <xf numFmtId="0" fontId="6" fillId="0" borderId="1" xfId="186" applyFont="1" applyFill="1" applyBorder="1" applyAlignment="1">
      <alignment horizontal="center" vertical="center" wrapText="1"/>
    </xf>
    <xf numFmtId="49" fontId="5" fillId="0" borderId="1" xfId="186" applyNumberFormat="1" applyFont="1" applyFill="1" applyBorder="1" applyAlignment="1">
      <alignment horizontal="center" vertical="center"/>
    </xf>
    <xf numFmtId="49" fontId="6" fillId="0" borderId="1" xfId="186" applyNumberFormat="1" applyFont="1" applyFill="1" applyBorder="1" applyAlignment="1">
      <alignment horizontal="right" vertical="center"/>
    </xf>
    <xf numFmtId="0" fontId="5" fillId="0" borderId="3" xfId="186" applyFont="1" applyFill="1" applyBorder="1" applyAlignment="1">
      <alignment horizontal="left" vertical="center" wrapText="1"/>
    </xf>
    <xf numFmtId="0" fontId="5" fillId="0" borderId="2" xfId="186" applyFont="1" applyFill="1" applyBorder="1" applyAlignment="1">
      <alignment horizontal="left" vertical="center" wrapText="1"/>
    </xf>
    <xf numFmtId="167" fontId="5" fillId="0" borderId="1" xfId="186" applyNumberFormat="1" applyFont="1" applyFill="1" applyBorder="1" applyAlignment="1">
      <alignment horizontal="center" vertical="center" wrapText="1"/>
    </xf>
    <xf numFmtId="171" fontId="9" fillId="3" borderId="1" xfId="186" applyNumberFormat="1" applyFont="1" applyFill="1" applyBorder="1" applyAlignment="1"/>
    <xf numFmtId="49" fontId="5" fillId="0" borderId="4" xfId="186" applyNumberFormat="1" applyFont="1" applyFill="1" applyBorder="1" applyAlignment="1">
      <alignment horizontal="center" vertical="center"/>
    </xf>
    <xf numFmtId="49" fontId="5" fillId="0" borderId="36" xfId="186" applyNumberFormat="1" applyFont="1" applyFill="1" applyBorder="1" applyAlignment="1">
      <alignment horizontal="center" vertical="center"/>
    </xf>
    <xf numFmtId="49" fontId="6" fillId="0" borderId="1" xfId="186" applyNumberFormat="1" applyFont="1" applyBorder="1" applyAlignment="1">
      <alignment horizontal="center" vertical="center"/>
    </xf>
    <xf numFmtId="0" fontId="5" fillId="0" borderId="3" xfId="186" applyFont="1" applyBorder="1" applyAlignment="1">
      <alignment horizontal="center" vertical="center"/>
    </xf>
    <xf numFmtId="0" fontId="5" fillId="0" borderId="8" xfId="186" applyFont="1" applyBorder="1" applyAlignment="1">
      <alignment horizontal="center" vertical="center"/>
    </xf>
    <xf numFmtId="0" fontId="5" fillId="0" borderId="2" xfId="186" applyFont="1" applyBorder="1" applyAlignment="1">
      <alignment horizontal="center" vertical="center"/>
    </xf>
    <xf numFmtId="0" fontId="6" fillId="3" borderId="1" xfId="186" applyFont="1" applyFill="1" applyBorder="1" applyAlignment="1">
      <alignment horizontal="left" vertical="top"/>
    </xf>
    <xf numFmtId="49" fontId="5" fillId="2" borderId="26" xfId="186" applyNumberFormat="1" applyFont="1" applyFill="1" applyBorder="1" applyAlignment="1">
      <alignment horizontal="center" vertical="center"/>
    </xf>
    <xf numFmtId="49" fontId="5" fillId="2" borderId="28" xfId="186" applyNumberFormat="1" applyFont="1" applyFill="1" applyBorder="1" applyAlignment="1">
      <alignment horizontal="center" vertical="center"/>
    </xf>
    <xf numFmtId="49" fontId="5" fillId="2" borderId="27" xfId="186" applyNumberFormat="1" applyFont="1" applyFill="1" applyBorder="1" applyAlignment="1">
      <alignment horizontal="center" vertical="center"/>
    </xf>
    <xf numFmtId="0" fontId="6" fillId="0" borderId="1" xfId="186" applyFont="1" applyFill="1" applyBorder="1" applyAlignment="1">
      <alignment horizontal="center" vertical="center"/>
    </xf>
    <xf numFmtId="167" fontId="5" fillId="3" borderId="1" xfId="186" applyNumberFormat="1" applyFont="1" applyFill="1" applyBorder="1" applyAlignment="1">
      <alignment vertical="top"/>
    </xf>
    <xf numFmtId="0" fontId="6" fillId="0" borderId="1" xfId="186" applyFont="1" applyFill="1" applyBorder="1" applyAlignment="1">
      <alignment horizontal="left" vertical="center" wrapText="1"/>
    </xf>
    <xf numFmtId="167" fontId="17" fillId="3" borderId="1" xfId="186" applyNumberFormat="1" applyFont="1" applyFill="1" applyBorder="1"/>
    <xf numFmtId="177" fontId="5" fillId="4" borderId="6" xfId="186" applyNumberFormat="1" applyFont="1" applyFill="1" applyBorder="1" applyAlignment="1">
      <alignment horizontal="left" vertical="center"/>
    </xf>
    <xf numFmtId="177" fontId="5" fillId="4" borderId="7" xfId="186" applyNumberFormat="1" applyFont="1" applyFill="1" applyBorder="1" applyAlignment="1">
      <alignment horizontal="left" vertical="center"/>
    </xf>
    <xf numFmtId="49" fontId="5" fillId="0" borderId="26" xfId="186" applyNumberFormat="1" applyFont="1" applyFill="1" applyBorder="1" applyAlignment="1">
      <alignment horizontal="center" vertical="center"/>
    </xf>
    <xf numFmtId="49" fontId="5" fillId="0" borderId="28" xfId="186" applyNumberFormat="1" applyFont="1" applyFill="1" applyBorder="1" applyAlignment="1">
      <alignment horizontal="center" vertical="center"/>
    </xf>
    <xf numFmtId="49" fontId="5" fillId="0" borderId="27" xfId="186" applyNumberFormat="1" applyFont="1" applyFill="1" applyBorder="1" applyAlignment="1">
      <alignment horizontal="center" vertical="center"/>
    </xf>
    <xf numFmtId="49" fontId="6" fillId="0" borderId="3" xfId="186" applyNumberFormat="1" applyFont="1" applyFill="1" applyBorder="1" applyAlignment="1">
      <alignment horizontal="center" vertical="center"/>
    </xf>
    <xf numFmtId="49" fontId="6" fillId="0" borderId="2" xfId="186" applyNumberFormat="1" applyFont="1" applyFill="1" applyBorder="1" applyAlignment="1">
      <alignment horizontal="center" vertical="center"/>
    </xf>
    <xf numFmtId="49" fontId="6" fillId="0" borderId="3" xfId="186" applyNumberFormat="1" applyFont="1" applyFill="1" applyBorder="1" applyAlignment="1">
      <alignment horizontal="right" vertical="center"/>
    </xf>
    <xf numFmtId="49" fontId="6" fillId="0" borderId="2" xfId="186" applyNumberFormat="1" applyFont="1" applyFill="1" applyBorder="1" applyAlignment="1">
      <alignment horizontal="right" vertical="center"/>
    </xf>
    <xf numFmtId="0" fontId="5" fillId="0" borderId="1" xfId="186" applyFont="1" applyFill="1" applyBorder="1" applyAlignment="1">
      <alignment horizontal="left" vertical="center" wrapText="1"/>
    </xf>
    <xf numFmtId="0" fontId="5" fillId="0" borderId="1" xfId="0" applyFont="1" applyFill="1" applyBorder="1" applyAlignment="1">
      <alignment horizontal="center" vertical="center" wrapText="1"/>
    </xf>
    <xf numFmtId="0" fontId="17" fillId="2" borderId="3" xfId="186" applyFont="1" applyFill="1" applyBorder="1" applyAlignment="1">
      <alignment horizontal="center" vertical="center"/>
    </xf>
    <xf numFmtId="0" fontId="17" fillId="2" borderId="8" xfId="186" applyFont="1" applyFill="1" applyBorder="1" applyAlignment="1">
      <alignment horizontal="center" vertical="center"/>
    </xf>
    <xf numFmtId="167" fontId="18" fillId="3" borderId="1" xfId="186" applyNumberFormat="1" applyFont="1" applyFill="1" applyBorder="1" applyAlignment="1">
      <alignment horizontal="left"/>
    </xf>
    <xf numFmtId="0" fontId="17" fillId="0" borderId="3" xfId="186" applyFont="1" applyBorder="1" applyAlignment="1">
      <alignment horizontal="center" vertical="center"/>
    </xf>
    <xf numFmtId="0" fontId="17" fillId="0" borderId="8" xfId="186" applyFont="1" applyBorder="1" applyAlignment="1">
      <alignment horizontal="center" vertical="center"/>
    </xf>
    <xf numFmtId="167" fontId="17" fillId="3" borderId="1" xfId="186" applyNumberFormat="1" applyFont="1" applyFill="1" applyBorder="1" applyAlignment="1">
      <alignment vertical="center"/>
    </xf>
    <xf numFmtId="0" fontId="5" fillId="0" borderId="3" xfId="186" applyFont="1" applyFill="1" applyBorder="1" applyAlignment="1">
      <alignment horizontal="center" vertical="center" wrapText="1"/>
    </xf>
    <xf numFmtId="0" fontId="5" fillId="0" borderId="2" xfId="186" applyFont="1" applyFill="1" applyBorder="1" applyAlignment="1">
      <alignment horizontal="center" vertical="center" wrapText="1"/>
    </xf>
    <xf numFmtId="1" fontId="5" fillId="0" borderId="3" xfId="186" applyNumberFormat="1" applyFont="1" applyFill="1" applyBorder="1" applyAlignment="1">
      <alignment horizontal="center" vertical="center" wrapText="1"/>
    </xf>
    <xf numFmtId="1" fontId="5" fillId="0" borderId="2" xfId="186" applyNumberFormat="1" applyFont="1" applyFill="1" applyBorder="1" applyAlignment="1">
      <alignment horizontal="center" vertical="center" wrapText="1"/>
    </xf>
    <xf numFmtId="1" fontId="5" fillId="0" borderId="30" xfId="186" applyNumberFormat="1" applyFont="1" applyFill="1" applyBorder="1" applyAlignment="1">
      <alignment horizontal="center" vertical="center" wrapText="1"/>
    </xf>
    <xf numFmtId="1" fontId="5" fillId="0" borderId="31" xfId="186" applyNumberFormat="1" applyFont="1" applyFill="1" applyBorder="1" applyAlignment="1">
      <alignment horizontal="center" vertical="center" wrapText="1"/>
    </xf>
    <xf numFmtId="49" fontId="6" fillId="0" borderId="8" xfId="186"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3" xfId="186" applyFont="1" applyFill="1" applyBorder="1" applyAlignment="1">
      <alignment horizontal="center" vertical="center" wrapText="1"/>
    </xf>
    <xf numFmtId="0" fontId="6" fillId="0" borderId="2" xfId="186" applyFont="1" applyFill="1" applyBorder="1" applyAlignment="1">
      <alignment horizontal="center" vertical="center" wrapText="1"/>
    </xf>
    <xf numFmtId="0" fontId="6" fillId="0" borderId="30" xfId="186" applyFont="1" applyFill="1" applyBorder="1" applyAlignment="1">
      <alignment horizontal="center" vertical="center" wrapText="1"/>
    </xf>
    <xf numFmtId="0" fontId="6" fillId="0" borderId="31" xfId="186" applyFont="1" applyFill="1" applyBorder="1" applyAlignment="1">
      <alignment horizontal="center" vertical="center" wrapText="1"/>
    </xf>
    <xf numFmtId="0" fontId="6" fillId="0" borderId="5" xfId="186" applyFont="1" applyFill="1" applyBorder="1" applyAlignment="1">
      <alignment vertical="center" wrapText="1"/>
    </xf>
    <xf numFmtId="0" fontId="6" fillId="0" borderId="6" xfId="186" applyFont="1" applyFill="1" applyBorder="1" applyAlignment="1">
      <alignment vertical="center" wrapText="1"/>
    </xf>
    <xf numFmtId="0" fontId="6" fillId="0" borderId="29" xfId="186" applyFont="1" applyFill="1" applyBorder="1" applyAlignment="1">
      <alignment vertical="center" wrapText="1"/>
    </xf>
    <xf numFmtId="0" fontId="5" fillId="0" borderId="1" xfId="186" applyFont="1" applyFill="1" applyBorder="1" applyAlignment="1">
      <alignment vertical="center" wrapText="1"/>
    </xf>
    <xf numFmtId="0" fontId="5" fillId="0" borderId="30" xfId="186" applyFont="1" applyFill="1" applyBorder="1" applyAlignment="1">
      <alignment horizontal="center" vertical="center" wrapText="1"/>
    </xf>
    <xf numFmtId="0" fontId="5" fillId="0" borderId="31" xfId="186" applyFont="1" applyFill="1" applyBorder="1" applyAlignment="1">
      <alignment horizontal="center" vertical="center" wrapText="1"/>
    </xf>
    <xf numFmtId="0" fontId="5" fillId="0" borderId="1" xfId="0" applyFont="1" applyFill="1" applyBorder="1" applyAlignment="1">
      <alignment horizontal="center" vertical="center"/>
    </xf>
    <xf numFmtId="0" fontId="6" fillId="0" borderId="3" xfId="186" applyFont="1" applyFill="1" applyBorder="1" applyAlignment="1">
      <alignment horizontal="center" vertical="center"/>
    </xf>
    <xf numFmtId="0" fontId="6" fillId="0" borderId="2" xfId="186" applyFont="1" applyFill="1" applyBorder="1" applyAlignment="1">
      <alignment horizontal="center" vertical="center"/>
    </xf>
    <xf numFmtId="0" fontId="6" fillId="0" borderId="30" xfId="186" applyFont="1" applyFill="1" applyBorder="1" applyAlignment="1">
      <alignment horizontal="center" vertical="center"/>
    </xf>
    <xf numFmtId="0" fontId="6" fillId="0" borderId="31" xfId="186" applyFont="1" applyFill="1" applyBorder="1" applyAlignment="1">
      <alignment horizontal="center" vertical="center"/>
    </xf>
    <xf numFmtId="49" fontId="6" fillId="0" borderId="1" xfId="186" applyNumberFormat="1" applyFont="1" applyFill="1" applyBorder="1" applyAlignment="1">
      <alignment horizontal="center" vertical="center"/>
    </xf>
    <xf numFmtId="167" fontId="20" fillId="0" borderId="1" xfId="0" applyNumberFormat="1" applyFont="1" applyFill="1" applyBorder="1" applyAlignment="1">
      <alignment horizontal="center" vertical="center" wrapText="1"/>
    </xf>
    <xf numFmtId="167" fontId="5" fillId="0" borderId="1" xfId="0" applyNumberFormat="1" applyFont="1" applyFill="1" applyBorder="1" applyAlignment="1">
      <alignment horizontal="center" vertical="center" wrapText="1"/>
    </xf>
    <xf numFmtId="0" fontId="5" fillId="0" borderId="22" xfId="186" applyFont="1" applyBorder="1" applyAlignment="1">
      <alignment horizontal="center" vertical="center"/>
    </xf>
    <xf numFmtId="49" fontId="5" fillId="0" borderId="22" xfId="186" applyNumberFormat="1" applyFont="1" applyFill="1" applyBorder="1" applyAlignment="1">
      <alignment horizontal="center" vertical="center"/>
    </xf>
    <xf numFmtId="0" fontId="5" fillId="0" borderId="5" xfId="186" applyFont="1" applyFill="1" applyBorder="1" applyAlignment="1">
      <alignment horizontal="center" vertical="center" wrapText="1"/>
    </xf>
    <xf numFmtId="0" fontId="5" fillId="0" borderId="6" xfId="186" applyFont="1" applyFill="1" applyBorder="1" applyAlignment="1">
      <alignment horizontal="center" vertical="center" wrapText="1"/>
    </xf>
    <xf numFmtId="0" fontId="5" fillId="0" borderId="7" xfId="186" applyFont="1" applyFill="1" applyBorder="1" applyAlignment="1">
      <alignment horizontal="center" vertical="center" wrapText="1"/>
    </xf>
    <xf numFmtId="0" fontId="6" fillId="0" borderId="1" xfId="186" applyFont="1" applyFill="1" applyBorder="1"/>
    <xf numFmtId="167" fontId="19" fillId="0" borderId="1" xfId="0" applyNumberFormat="1" applyFont="1" applyFill="1" applyBorder="1" applyAlignment="1">
      <alignment horizontal="center" vertical="center" wrapText="1"/>
    </xf>
    <xf numFmtId="0" fontId="6" fillId="2" borderId="1" xfId="186" applyFont="1" applyFill="1" applyBorder="1" applyAlignment="1">
      <alignment vertical="center" wrapText="1"/>
    </xf>
    <xf numFmtId="0" fontId="6" fillId="0" borderId="1" xfId="186" applyFont="1" applyFill="1" applyBorder="1" applyAlignment="1">
      <alignment vertical="center" wrapText="1"/>
    </xf>
    <xf numFmtId="0" fontId="63" fillId="0" borderId="3" xfId="186" applyFont="1" applyBorder="1" applyAlignment="1">
      <alignment horizontal="left" vertical="center" wrapText="1"/>
    </xf>
    <xf numFmtId="0" fontId="63" fillId="0" borderId="2" xfId="186" applyFont="1" applyBorder="1" applyAlignment="1">
      <alignment horizontal="left" vertical="center" wrapText="1"/>
    </xf>
    <xf numFmtId="0" fontId="6" fillId="0" borderId="1" xfId="186" applyFont="1" applyFill="1" applyBorder="1" applyAlignment="1">
      <alignment vertical="center"/>
    </xf>
    <xf numFmtId="168" fontId="6" fillId="0" borderId="1" xfId="186" applyNumberFormat="1" applyFont="1" applyFill="1" applyBorder="1" applyAlignment="1">
      <alignment vertical="center"/>
    </xf>
    <xf numFmtId="181" fontId="64" fillId="0" borderId="1" xfId="187" applyNumberFormat="1" applyFont="1" applyFill="1" applyBorder="1" applyAlignment="1">
      <alignment horizontal="center" vertical="center" wrapText="1"/>
    </xf>
    <xf numFmtId="49" fontId="65" fillId="0" borderId="3" xfId="186" applyNumberFormat="1" applyFont="1" applyFill="1" applyBorder="1" applyAlignment="1">
      <alignment horizontal="center" vertical="center"/>
    </xf>
    <xf numFmtId="49" fontId="65" fillId="0" borderId="2" xfId="186" applyNumberFormat="1" applyFont="1" applyFill="1" applyBorder="1" applyAlignment="1">
      <alignment horizontal="center" vertical="center"/>
    </xf>
    <xf numFmtId="0" fontId="65" fillId="0" borderId="1" xfId="5" applyFont="1" applyFill="1" applyBorder="1" applyAlignment="1">
      <alignment vertical="center" wrapText="1"/>
    </xf>
    <xf numFmtId="181" fontId="65" fillId="0" borderId="3" xfId="187" applyNumberFormat="1" applyFont="1" applyFill="1" applyBorder="1" applyAlignment="1">
      <alignment horizontal="center" vertical="center" wrapText="1"/>
    </xf>
    <xf numFmtId="181" fontId="65" fillId="0" borderId="2" xfId="187" applyNumberFormat="1" applyFont="1" applyFill="1" applyBorder="1" applyAlignment="1">
      <alignment horizontal="center" vertical="center" wrapText="1"/>
    </xf>
    <xf numFmtId="181" fontId="10" fillId="0" borderId="1" xfId="64" applyNumberFormat="1" applyFont="1" applyFill="1" applyBorder="1" applyAlignment="1">
      <alignment vertical="center" wrapText="1"/>
    </xf>
    <xf numFmtId="49" fontId="64" fillId="0" borderId="3" xfId="186" applyNumberFormat="1" applyFont="1" applyBorder="1" applyAlignment="1">
      <alignment horizontal="center" vertical="center"/>
    </xf>
    <xf numFmtId="49" fontId="64" fillId="0" borderId="8" xfId="186" applyNumberFormat="1" applyFont="1" applyBorder="1" applyAlignment="1">
      <alignment horizontal="center" vertical="center"/>
    </xf>
    <xf numFmtId="49" fontId="64" fillId="0" borderId="2" xfId="186" applyNumberFormat="1" applyFont="1" applyBorder="1" applyAlignment="1">
      <alignment horizontal="center" vertical="center"/>
    </xf>
    <xf numFmtId="49" fontId="9" fillId="0" borderId="3"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2" xfId="0" applyNumberFormat="1" applyFont="1" applyFill="1" applyBorder="1" applyAlignment="1">
      <alignment horizontal="center" vertical="center"/>
    </xf>
    <xf numFmtId="49" fontId="65" fillId="0" borderId="8" xfId="186" applyNumberFormat="1" applyFont="1" applyFill="1" applyBorder="1" applyAlignment="1">
      <alignment horizontal="center" vertical="center"/>
    </xf>
    <xf numFmtId="0" fontId="64" fillId="2" borderId="1" xfId="186" applyFont="1" applyFill="1" applyBorder="1" applyAlignment="1">
      <alignment vertical="center" wrapText="1"/>
    </xf>
    <xf numFmtId="181" fontId="65" fillId="0" borderId="8" xfId="187" applyNumberFormat="1" applyFont="1" applyFill="1" applyBorder="1" applyAlignment="1">
      <alignment horizontal="center" vertical="center" wrapText="1"/>
    </xf>
    <xf numFmtId="0" fontId="65" fillId="0" borderId="3" xfId="5" applyFont="1" applyFill="1" applyBorder="1" applyAlignment="1">
      <alignment vertical="center" wrapText="1"/>
    </xf>
    <xf numFmtId="0" fontId="65" fillId="0" borderId="8" xfId="5" applyFont="1" applyFill="1" applyBorder="1" applyAlignment="1">
      <alignment vertical="center" wrapText="1"/>
    </xf>
    <xf numFmtId="181" fontId="9" fillId="0" borderId="1" xfId="64" applyNumberFormat="1" applyFont="1" applyFill="1" applyBorder="1" applyAlignment="1">
      <alignment vertical="center" wrapText="1"/>
    </xf>
    <xf numFmtId="0" fontId="64" fillId="0" borderId="3" xfId="5" applyFont="1" applyFill="1" applyBorder="1" applyAlignment="1">
      <alignment horizontal="center" vertical="center" wrapText="1"/>
    </xf>
    <xf numFmtId="0" fontId="64" fillId="0" borderId="8" xfId="5" applyFont="1" applyFill="1" applyBorder="1" applyAlignment="1">
      <alignment horizontal="center" vertical="center" wrapText="1"/>
    </xf>
    <xf numFmtId="0" fontId="64" fillId="0" borderId="2" xfId="5" applyFont="1" applyFill="1" applyBorder="1" applyAlignment="1">
      <alignment horizontal="center" vertical="center" wrapText="1"/>
    </xf>
    <xf numFmtId="0" fontId="65" fillId="0" borderId="2" xfId="5" applyFont="1" applyFill="1" applyBorder="1" applyAlignment="1">
      <alignment vertical="center" wrapText="1"/>
    </xf>
    <xf numFmtId="180" fontId="65" fillId="0" borderId="1" xfId="43" applyNumberFormat="1" applyFont="1" applyFill="1" applyBorder="1" applyAlignment="1">
      <alignment horizontal="left" vertical="center" wrapText="1"/>
    </xf>
    <xf numFmtId="9" fontId="65" fillId="0" borderId="5" xfId="43" applyFont="1" applyFill="1" applyBorder="1" applyAlignment="1">
      <alignment horizontal="left" vertical="center" wrapText="1"/>
    </xf>
    <xf numFmtId="9" fontId="65" fillId="0" borderId="6" xfId="43" applyFont="1" applyFill="1" applyBorder="1" applyAlignment="1">
      <alignment horizontal="left" vertical="center" wrapText="1"/>
    </xf>
    <xf numFmtId="9" fontId="65" fillId="0" borderId="7" xfId="43" applyFont="1" applyFill="1" applyBorder="1" applyAlignment="1">
      <alignment horizontal="left" vertical="center" wrapText="1"/>
    </xf>
    <xf numFmtId="49" fontId="64" fillId="0" borderId="3" xfId="186" applyNumberFormat="1" applyFont="1" applyFill="1" applyBorder="1" applyAlignment="1">
      <alignment horizontal="center" vertical="center"/>
    </xf>
    <xf numFmtId="49" fontId="64" fillId="0" borderId="8" xfId="186" applyNumberFormat="1" applyFont="1" applyFill="1" applyBorder="1" applyAlignment="1">
      <alignment horizontal="center" vertical="center"/>
    </xf>
    <xf numFmtId="49" fontId="64" fillId="0" borderId="2" xfId="186" applyNumberFormat="1" applyFont="1" applyFill="1" applyBorder="1" applyAlignment="1">
      <alignment horizontal="center" vertical="center"/>
    </xf>
    <xf numFmtId="0" fontId="64" fillId="0" borderId="38" xfId="5" applyFont="1" applyFill="1" applyBorder="1" applyAlignment="1">
      <alignment vertical="center" wrapText="1"/>
    </xf>
    <xf numFmtId="0" fontId="64" fillId="0" borderId="0" xfId="5" applyFont="1" applyFill="1" applyBorder="1" applyAlignment="1">
      <alignment vertical="center" wrapText="1"/>
    </xf>
    <xf numFmtId="0" fontId="64" fillId="0" borderId="39" xfId="5" applyFont="1" applyFill="1" applyBorder="1" applyAlignment="1">
      <alignment vertical="center" wrapText="1"/>
    </xf>
    <xf numFmtId="0" fontId="65" fillId="0" borderId="3" xfId="5" applyFont="1" applyFill="1" applyBorder="1" applyAlignment="1">
      <alignment horizontal="left" vertical="center" wrapText="1"/>
    </xf>
    <xf numFmtId="0" fontId="65" fillId="0" borderId="8" xfId="5" applyFont="1" applyFill="1" applyBorder="1" applyAlignment="1">
      <alignment horizontal="left" vertical="center" wrapText="1"/>
    </xf>
    <xf numFmtId="0" fontId="65" fillId="0" borderId="2" xfId="5" applyFont="1" applyFill="1" applyBorder="1" applyAlignment="1">
      <alignment horizontal="left" vertical="center" wrapText="1"/>
    </xf>
    <xf numFmtId="172" fontId="9" fillId="4" borderId="5" xfId="186" applyNumberFormat="1" applyFont="1" applyFill="1" applyBorder="1" applyAlignment="1">
      <alignment horizontal="left" vertical="center" wrapText="1"/>
    </xf>
    <xf numFmtId="172" fontId="9" fillId="4" borderId="6" xfId="186" applyNumberFormat="1" applyFont="1" applyFill="1" applyBorder="1" applyAlignment="1">
      <alignment horizontal="left" vertical="center" wrapText="1"/>
    </xf>
    <xf numFmtId="172" fontId="9" fillId="4" borderId="7" xfId="186" applyNumberFormat="1" applyFont="1" applyFill="1" applyBorder="1" applyAlignment="1">
      <alignment horizontal="left" vertical="center" wrapText="1"/>
    </xf>
    <xf numFmtId="170" fontId="9" fillId="2" borderId="3" xfId="177" applyNumberFormat="1" applyFont="1" applyFill="1" applyBorder="1" applyAlignment="1">
      <alignment horizontal="center" vertical="center"/>
    </xf>
    <xf numFmtId="170" fontId="9" fillId="2" borderId="8" xfId="177" applyNumberFormat="1" applyFont="1" applyFill="1" applyBorder="1" applyAlignment="1">
      <alignment horizontal="center" vertical="center"/>
    </xf>
    <xf numFmtId="170" fontId="9" fillId="2" borderId="2" xfId="177" applyNumberFormat="1" applyFont="1" applyFill="1" applyBorder="1" applyAlignment="1">
      <alignment horizontal="center" vertical="center"/>
    </xf>
    <xf numFmtId="49" fontId="6" fillId="2" borderId="4" xfId="186" applyNumberFormat="1" applyFont="1" applyFill="1" applyBorder="1" applyAlignment="1">
      <alignment horizontal="center" vertical="center" wrapText="1"/>
    </xf>
    <xf numFmtId="49" fontId="6" fillId="2" borderId="36" xfId="186" applyNumberFormat="1" applyFont="1" applyFill="1" applyBorder="1" applyAlignment="1">
      <alignment horizontal="center" vertical="center" wrapText="1"/>
    </xf>
    <xf numFmtId="49" fontId="6" fillId="2" borderId="32" xfId="186" applyNumberFormat="1" applyFont="1" applyFill="1" applyBorder="1" applyAlignment="1">
      <alignment horizontal="center" vertical="center" wrapText="1"/>
    </xf>
    <xf numFmtId="49" fontId="6" fillId="2" borderId="1" xfId="186" applyNumberFormat="1" applyFont="1" applyFill="1" applyBorder="1" applyAlignment="1">
      <alignment horizontal="center" vertical="center" wrapText="1"/>
    </xf>
    <xf numFmtId="0" fontId="6" fillId="2" borderId="3" xfId="6" applyFont="1" applyFill="1" applyBorder="1" applyAlignment="1">
      <alignment horizontal="left" vertical="center" wrapText="1"/>
    </xf>
    <xf numFmtId="0" fontId="6" fillId="2" borderId="8" xfId="6" applyFont="1" applyFill="1" applyBorder="1" applyAlignment="1">
      <alignment horizontal="left" vertical="center" wrapText="1"/>
    </xf>
    <xf numFmtId="0" fontId="6" fillId="2" borderId="2" xfId="6" applyFont="1" applyFill="1" applyBorder="1" applyAlignment="1">
      <alignment horizontal="left" vertical="center" wrapText="1"/>
    </xf>
    <xf numFmtId="191" fontId="10" fillId="2" borderId="1" xfId="186" applyNumberFormat="1" applyFont="1" applyFill="1" applyBorder="1" applyAlignment="1">
      <alignment horizontal="center" vertical="center" wrapText="1"/>
    </xf>
    <xf numFmtId="191" fontId="10" fillId="2" borderId="3" xfId="186" applyNumberFormat="1" applyFont="1" applyFill="1" applyBorder="1" applyAlignment="1">
      <alignment horizontal="center" vertical="center" wrapText="1"/>
    </xf>
    <xf numFmtId="191" fontId="10" fillId="2" borderId="2" xfId="186" applyNumberFormat="1" applyFont="1" applyFill="1" applyBorder="1" applyAlignment="1">
      <alignment horizontal="center" vertical="center" wrapText="1"/>
    </xf>
    <xf numFmtId="170" fontId="9" fillId="2" borderId="3" xfId="177" applyNumberFormat="1" applyFont="1" applyFill="1" applyBorder="1" applyAlignment="1">
      <alignment horizontal="center" vertical="top"/>
    </xf>
    <xf numFmtId="170" fontId="9" fillId="2" borderId="8" xfId="177" applyNumberFormat="1" applyFont="1" applyFill="1" applyBorder="1" applyAlignment="1">
      <alignment horizontal="center" vertical="top"/>
    </xf>
    <xf numFmtId="170" fontId="9" fillId="2" borderId="2" xfId="177" applyNumberFormat="1" applyFont="1" applyFill="1" applyBorder="1" applyAlignment="1">
      <alignment horizontal="center" vertical="top"/>
    </xf>
    <xf numFmtId="49" fontId="10" fillId="2" borderId="4" xfId="186" applyNumberFormat="1" applyFont="1" applyFill="1" applyBorder="1" applyAlignment="1">
      <alignment horizontal="center" vertical="center"/>
    </xf>
    <xf numFmtId="49" fontId="10" fillId="2" borderId="36" xfId="186" applyNumberFormat="1" applyFont="1" applyFill="1" applyBorder="1" applyAlignment="1">
      <alignment horizontal="center" vertical="center"/>
    </xf>
    <xf numFmtId="49" fontId="10" fillId="2" borderId="32" xfId="186" applyNumberFormat="1" applyFont="1" applyFill="1" applyBorder="1" applyAlignment="1">
      <alignment horizontal="center" vertical="center"/>
    </xf>
    <xf numFmtId="0" fontId="6" fillId="2" borderId="1" xfId="186" applyFont="1" applyFill="1" applyBorder="1" applyAlignment="1">
      <alignment horizontal="center"/>
    </xf>
    <xf numFmtId="0" fontId="6" fillId="2" borderId="3" xfId="186" applyFont="1" applyFill="1" applyBorder="1" applyAlignment="1">
      <alignment horizontal="left" vertical="center" wrapText="1"/>
    </xf>
    <xf numFmtId="0" fontId="6" fillId="2" borderId="8" xfId="186" applyFont="1" applyFill="1" applyBorder="1" applyAlignment="1">
      <alignment horizontal="left" vertical="center" wrapText="1"/>
    </xf>
    <xf numFmtId="0" fontId="6" fillId="2" borderId="2" xfId="186" applyFont="1" applyFill="1" applyBorder="1" applyAlignment="1">
      <alignment horizontal="left" vertical="center" wrapText="1"/>
    </xf>
    <xf numFmtId="191" fontId="10" fillId="2" borderId="8" xfId="186" applyNumberFormat="1" applyFont="1" applyFill="1" applyBorder="1" applyAlignment="1">
      <alignment horizontal="center" vertical="center" wrapText="1"/>
    </xf>
    <xf numFmtId="49" fontId="10" fillId="2" borderId="1" xfId="186" applyNumberFormat="1" applyFont="1" applyFill="1" applyBorder="1" applyAlignment="1">
      <alignment horizontal="center" vertical="center"/>
    </xf>
    <xf numFmtId="0" fontId="10" fillId="2" borderId="3" xfId="186" applyFont="1" applyFill="1" applyBorder="1" applyAlignment="1">
      <alignment horizontal="left" vertical="center" wrapText="1"/>
    </xf>
    <xf numFmtId="0" fontId="10" fillId="2" borderId="2" xfId="186" applyFont="1" applyFill="1" applyBorder="1" applyAlignment="1">
      <alignment horizontal="left" vertical="center" wrapText="1"/>
    </xf>
    <xf numFmtId="49" fontId="6" fillId="0" borderId="1" xfId="0" applyNumberFormat="1" applyFont="1" applyFill="1" applyBorder="1" applyAlignment="1">
      <alignment horizontal="center" vertical="center"/>
    </xf>
    <xf numFmtId="0" fontId="7" fillId="0" borderId="1" xfId="0" applyNumberFormat="1" applyFont="1" applyFill="1" applyBorder="1" applyAlignment="1" applyProtection="1">
      <alignment horizontal="left" vertical="center" wrapText="1"/>
    </xf>
    <xf numFmtId="167" fontId="7" fillId="0" borderId="1" xfId="0" applyNumberFormat="1" applyFont="1" applyFill="1" applyBorder="1" applyAlignment="1" applyProtection="1">
      <alignment horizontal="center" vertical="center" wrapText="1"/>
    </xf>
    <xf numFmtId="3" fontId="9" fillId="0" borderId="1" xfId="186" applyNumberFormat="1" applyFont="1" applyBorder="1" applyAlignment="1">
      <alignment horizontal="center" vertical="center"/>
    </xf>
    <xf numFmtId="172" fontId="9" fillId="4" borderId="4" xfId="186" applyNumberFormat="1" applyFont="1" applyFill="1" applyBorder="1" applyAlignment="1">
      <alignment horizontal="left" vertical="center" wrapText="1"/>
    </xf>
    <xf numFmtId="172" fontId="9" fillId="4" borderId="38" xfId="186" applyNumberFormat="1" applyFont="1" applyFill="1" applyBorder="1" applyAlignment="1">
      <alignment horizontal="left" vertical="center" wrapText="1"/>
    </xf>
    <xf numFmtId="172" fontId="9" fillId="4" borderId="33" xfId="186" applyNumberFormat="1" applyFont="1" applyFill="1" applyBorder="1" applyAlignment="1">
      <alignment horizontal="left" vertical="center" wrapText="1"/>
    </xf>
    <xf numFmtId="49" fontId="9" fillId="2" borderId="3" xfId="186" applyNumberFormat="1" applyFont="1" applyFill="1" applyBorder="1" applyAlignment="1">
      <alignment horizontal="center" vertical="center"/>
    </xf>
    <xf numFmtId="49" fontId="9" fillId="2" borderId="8" xfId="186" applyNumberFormat="1" applyFont="1" applyFill="1" applyBorder="1" applyAlignment="1">
      <alignment horizontal="center" vertical="center"/>
    </xf>
    <xf numFmtId="0" fontId="9" fillId="2" borderId="3" xfId="186" applyFont="1" applyFill="1" applyBorder="1" applyAlignment="1">
      <alignment horizontal="center" vertical="center" wrapText="1"/>
    </xf>
    <xf numFmtId="0" fontId="9" fillId="2" borderId="8" xfId="186" applyFont="1" applyFill="1" applyBorder="1" applyAlignment="1">
      <alignment horizontal="center" vertical="center" wrapText="1"/>
    </xf>
    <xf numFmtId="0" fontId="9" fillId="2" borderId="1" xfId="186" applyFont="1" applyFill="1" applyBorder="1" applyAlignment="1">
      <alignment horizontal="left" vertical="center" wrapText="1"/>
    </xf>
    <xf numFmtId="167" fontId="9" fillId="2" borderId="3" xfId="186" applyNumberFormat="1" applyFont="1" applyFill="1" applyBorder="1" applyAlignment="1">
      <alignment horizontal="center" vertical="center" wrapText="1"/>
    </xf>
    <xf numFmtId="167" fontId="9" fillId="2" borderId="8" xfId="186" applyNumberFormat="1" applyFont="1" applyFill="1" applyBorder="1" applyAlignment="1">
      <alignment horizontal="center" vertical="center" wrapText="1"/>
    </xf>
    <xf numFmtId="49" fontId="10" fillId="2" borderId="3" xfId="186" applyNumberFormat="1" applyFont="1" applyFill="1" applyBorder="1" applyAlignment="1">
      <alignment horizontal="center" vertical="center"/>
    </xf>
    <xf numFmtId="49" fontId="10" fillId="2" borderId="2" xfId="186" applyNumberFormat="1" applyFont="1" applyFill="1" applyBorder="1" applyAlignment="1">
      <alignment horizontal="center" vertical="center"/>
    </xf>
    <xf numFmtId="0" fontId="6" fillId="2" borderId="3" xfId="186" applyFont="1" applyFill="1" applyBorder="1" applyAlignment="1">
      <alignment horizontal="center"/>
    </xf>
    <xf numFmtId="0" fontId="6" fillId="2" borderId="2" xfId="186" applyFont="1" applyFill="1" applyBorder="1" applyAlignment="1">
      <alignment horizontal="center"/>
    </xf>
    <xf numFmtId="0" fontId="10" fillId="2" borderId="1" xfId="186" applyFont="1" applyFill="1" applyBorder="1" applyAlignment="1">
      <alignment horizontal="center"/>
    </xf>
    <xf numFmtId="167" fontId="9" fillId="2" borderId="2" xfId="186" applyNumberFormat="1" applyFont="1" applyFill="1" applyBorder="1" applyAlignment="1">
      <alignment horizontal="center" vertical="center" wrapText="1"/>
    </xf>
    <xf numFmtId="49" fontId="9" fillId="2" borderId="2" xfId="186" applyNumberFormat="1" applyFont="1" applyFill="1" applyBorder="1" applyAlignment="1">
      <alignment horizontal="center" vertical="center"/>
    </xf>
    <xf numFmtId="49" fontId="9" fillId="2" borderId="3" xfId="186" applyNumberFormat="1" applyFont="1" applyFill="1" applyBorder="1" applyAlignment="1">
      <alignment vertical="center"/>
    </xf>
    <xf numFmtId="49" fontId="9" fillId="2" borderId="8" xfId="186" applyNumberFormat="1" applyFont="1" applyFill="1" applyBorder="1" applyAlignment="1">
      <alignment vertical="center"/>
    </xf>
    <xf numFmtId="49" fontId="9" fillId="2" borderId="2" xfId="186" applyNumberFormat="1" applyFont="1" applyFill="1" applyBorder="1" applyAlignment="1">
      <alignment vertical="center"/>
    </xf>
    <xf numFmtId="0" fontId="9" fillId="2" borderId="3" xfId="186" applyFont="1" applyFill="1" applyBorder="1" applyAlignment="1">
      <alignment vertical="top" wrapText="1"/>
    </xf>
    <xf numFmtId="0" fontId="9" fillId="2" borderId="8" xfId="186" applyFont="1" applyFill="1" applyBorder="1" applyAlignment="1">
      <alignment vertical="top" wrapText="1"/>
    </xf>
    <xf numFmtId="0" fontId="9" fillId="2" borderId="2" xfId="186" applyFont="1" applyFill="1" applyBorder="1" applyAlignment="1">
      <alignment vertical="top" wrapText="1"/>
    </xf>
    <xf numFmtId="49" fontId="10" fillId="2" borderId="8" xfId="186" applyNumberFormat="1" applyFont="1" applyFill="1" applyBorder="1" applyAlignment="1">
      <alignment horizontal="center" vertical="center"/>
    </xf>
    <xf numFmtId="0" fontId="10" fillId="2" borderId="3" xfId="186" applyFont="1" applyFill="1" applyBorder="1" applyAlignment="1">
      <alignment horizontal="center" vertical="center" wrapText="1"/>
    </xf>
    <xf numFmtId="0" fontId="10" fillId="2" borderId="8" xfId="186" applyFont="1" applyFill="1" applyBorder="1" applyAlignment="1">
      <alignment horizontal="center" vertical="center" wrapText="1"/>
    </xf>
    <xf numFmtId="0" fontId="10" fillId="2" borderId="2" xfId="186" applyFont="1" applyFill="1" applyBorder="1" applyAlignment="1">
      <alignment horizontal="center" vertical="center" wrapText="1"/>
    </xf>
    <xf numFmtId="167" fontId="10" fillId="2" borderId="3" xfId="186" applyNumberFormat="1" applyFont="1" applyFill="1" applyBorder="1" applyAlignment="1">
      <alignment horizontal="center" vertical="center" wrapText="1"/>
    </xf>
    <xf numFmtId="167" fontId="10" fillId="2" borderId="8" xfId="186" applyNumberFormat="1" applyFont="1" applyFill="1" applyBorder="1" applyAlignment="1">
      <alignment horizontal="center" vertical="center" wrapText="1"/>
    </xf>
    <xf numFmtId="0" fontId="10" fillId="2" borderId="8" xfId="186" applyFont="1" applyFill="1" applyBorder="1" applyAlignment="1">
      <alignment horizontal="left" vertical="center" wrapText="1"/>
    </xf>
    <xf numFmtId="167" fontId="10" fillId="2" borderId="2" xfId="186" applyNumberFormat="1" applyFont="1" applyFill="1" applyBorder="1" applyAlignment="1">
      <alignment horizontal="center" vertical="center" wrapText="1"/>
    </xf>
    <xf numFmtId="49" fontId="10" fillId="2" borderId="3" xfId="186" applyNumberFormat="1" applyFont="1" applyFill="1" applyBorder="1" applyAlignment="1">
      <alignment horizontal="center" vertical="center" wrapText="1"/>
    </xf>
    <xf numFmtId="0" fontId="10" fillId="2" borderId="8" xfId="186" applyFont="1" applyFill="1" applyBorder="1" applyAlignment="1">
      <alignment horizontal="center" vertical="center"/>
    </xf>
    <xf numFmtId="0" fontId="10" fillId="2" borderId="2" xfId="186" applyFont="1" applyFill="1" applyBorder="1" applyAlignment="1">
      <alignment horizontal="center" vertical="center"/>
    </xf>
    <xf numFmtId="49" fontId="10" fillId="2" borderId="1" xfId="186" applyNumberFormat="1" applyFont="1" applyFill="1" applyBorder="1" applyAlignment="1">
      <alignment horizontal="center" vertical="center" wrapText="1"/>
    </xf>
    <xf numFmtId="49" fontId="10" fillId="2" borderId="8" xfId="186" applyNumberFormat="1" applyFont="1" applyFill="1" applyBorder="1" applyAlignment="1">
      <alignment horizontal="center" vertical="center" wrapText="1"/>
    </xf>
    <xf numFmtId="49" fontId="10" fillId="2" borderId="2" xfId="186" applyNumberFormat="1" applyFont="1" applyFill="1" applyBorder="1" applyAlignment="1">
      <alignment horizontal="center" vertical="center" wrapText="1"/>
    </xf>
    <xf numFmtId="49" fontId="10" fillId="2" borderId="1" xfId="186" applyNumberFormat="1" applyFont="1" applyFill="1" applyBorder="1" applyAlignment="1">
      <alignment horizontal="left" vertical="center" wrapText="1"/>
    </xf>
    <xf numFmtId="0" fontId="10" fillId="2" borderId="1" xfId="186" applyFont="1" applyFill="1" applyBorder="1" applyAlignment="1">
      <alignment horizontal="left" vertical="center" wrapText="1"/>
    </xf>
    <xf numFmtId="167" fontId="10" fillId="2" borderId="1" xfId="186" applyNumberFormat="1" applyFont="1" applyFill="1" applyBorder="1" applyAlignment="1">
      <alignment horizontal="center" vertical="center" wrapText="1"/>
    </xf>
    <xf numFmtId="0" fontId="10" fillId="2" borderId="1" xfId="186" applyFont="1" applyFill="1" applyBorder="1" applyAlignment="1">
      <alignment horizontal="center" vertical="center"/>
    </xf>
    <xf numFmtId="49" fontId="31" fillId="2" borderId="3" xfId="186" applyNumberFormat="1" applyFont="1" applyFill="1" applyBorder="1" applyAlignment="1">
      <alignment horizontal="center" vertical="center"/>
    </xf>
    <xf numFmtId="0" fontId="1" fillId="0" borderId="8" xfId="186" applyBorder="1" applyAlignment="1">
      <alignment horizontal="center" vertical="center"/>
    </xf>
    <xf numFmtId="49" fontId="31" fillId="2" borderId="8" xfId="186" applyNumberFormat="1" applyFont="1" applyFill="1" applyBorder="1" applyAlignment="1">
      <alignment horizontal="center" vertical="center"/>
    </xf>
    <xf numFmtId="49" fontId="31" fillId="2" borderId="2" xfId="186" applyNumberFormat="1" applyFont="1" applyFill="1" applyBorder="1" applyAlignment="1">
      <alignment horizontal="center" vertical="center"/>
    </xf>
    <xf numFmtId="0" fontId="65" fillId="2" borderId="1" xfId="186" applyFont="1" applyFill="1" applyBorder="1" applyAlignment="1">
      <alignment horizontal="left" vertical="center" wrapText="1"/>
    </xf>
    <xf numFmtId="0" fontId="1" fillId="0" borderId="1" xfId="186" applyBorder="1" applyAlignment="1"/>
    <xf numFmtId="167" fontId="31" fillId="2" borderId="1" xfId="186" applyNumberFormat="1" applyFont="1" applyFill="1" applyBorder="1" applyAlignment="1">
      <alignment horizontal="center" vertical="center" wrapText="1"/>
    </xf>
    <xf numFmtId="0" fontId="1" fillId="0" borderId="1" xfId="186" applyFont="1" applyBorder="1" applyAlignment="1"/>
    <xf numFmtId="0" fontId="10" fillId="2" borderId="1" xfId="186" applyFont="1" applyFill="1" applyBorder="1" applyAlignment="1"/>
    <xf numFmtId="0" fontId="9" fillId="2" borderId="3" xfId="186" applyFont="1" applyFill="1" applyBorder="1" applyAlignment="1">
      <alignment horizontal="left" vertical="center" wrapText="1"/>
    </xf>
    <xf numFmtId="0" fontId="9" fillId="2" borderId="8" xfId="186" applyFont="1" applyFill="1" applyBorder="1" applyAlignment="1">
      <alignment horizontal="left" vertical="center" wrapText="1"/>
    </xf>
    <xf numFmtId="0" fontId="9" fillId="2" borderId="2" xfId="186" applyFont="1" applyFill="1" applyBorder="1" applyAlignment="1">
      <alignment horizontal="center" vertical="center" wrapText="1"/>
    </xf>
    <xf numFmtId="167" fontId="9" fillId="2" borderId="1" xfId="186" applyNumberFormat="1" applyFont="1" applyFill="1" applyBorder="1" applyAlignment="1">
      <alignment horizontal="center" vertical="center" wrapText="1"/>
    </xf>
    <xf numFmtId="0" fontId="10" fillId="2" borderId="2" xfId="186" applyFont="1" applyFill="1" applyBorder="1" applyAlignment="1">
      <alignment vertical="center"/>
    </xf>
    <xf numFmtId="49" fontId="9" fillId="2" borderId="1" xfId="186" applyNumberFormat="1" applyFont="1" applyFill="1" applyBorder="1" applyAlignment="1">
      <alignment horizontal="center" vertical="center"/>
    </xf>
    <xf numFmtId="49" fontId="9" fillId="2" borderId="3" xfId="186" applyNumberFormat="1" applyFont="1" applyFill="1" applyBorder="1" applyAlignment="1">
      <alignment horizontal="left" vertical="center"/>
    </xf>
    <xf numFmtId="49" fontId="9" fillId="2" borderId="8" xfId="186" applyNumberFormat="1" applyFont="1" applyFill="1" applyBorder="1" applyAlignment="1">
      <alignment horizontal="left" vertical="center"/>
    </xf>
    <xf numFmtId="0" fontId="10" fillId="2" borderId="2" xfId="186" applyFont="1" applyFill="1" applyBorder="1" applyAlignment="1">
      <alignment horizontal="left" vertical="center"/>
    </xf>
    <xf numFmtId="167" fontId="10" fillId="3" borderId="1" xfId="186" applyNumberFormat="1" applyFont="1" applyFill="1" applyBorder="1"/>
    <xf numFmtId="0" fontId="10" fillId="2" borderId="8" xfId="186" applyFont="1" applyFill="1" applyBorder="1" applyAlignment="1">
      <alignment horizontal="left" vertical="center"/>
    </xf>
    <xf numFmtId="0" fontId="6" fillId="2" borderId="5" xfId="186" applyFont="1" applyFill="1" applyBorder="1" applyAlignment="1">
      <alignment vertical="center" wrapText="1"/>
    </xf>
    <xf numFmtId="0" fontId="6" fillId="2" borderId="6" xfId="186" applyFont="1" applyFill="1" applyBorder="1" applyAlignment="1">
      <alignment vertical="center" wrapText="1"/>
    </xf>
    <xf numFmtId="0" fontId="6" fillId="2" borderId="7" xfId="186" applyFont="1" applyFill="1" applyBorder="1" applyAlignment="1">
      <alignment vertical="center" wrapText="1"/>
    </xf>
    <xf numFmtId="167" fontId="5" fillId="0" borderId="3" xfId="186" applyNumberFormat="1" applyFont="1" applyFill="1" applyBorder="1" applyAlignment="1">
      <alignment horizontal="center" vertical="center" wrapText="1"/>
    </xf>
    <xf numFmtId="167" fontId="5" fillId="0" borderId="2" xfId="186" applyNumberFormat="1" applyFont="1" applyFill="1" applyBorder="1" applyAlignment="1">
      <alignment horizontal="center" vertical="center" wrapText="1"/>
    </xf>
    <xf numFmtId="0" fontId="6" fillId="0" borderId="3" xfId="186" applyFont="1" applyFill="1" applyBorder="1" applyAlignment="1">
      <alignment vertical="center" wrapText="1"/>
    </xf>
    <xf numFmtId="0" fontId="6" fillId="0" borderId="2" xfId="186" applyFont="1" applyFill="1" applyBorder="1" applyAlignment="1">
      <alignment vertical="center" wrapText="1"/>
    </xf>
    <xf numFmtId="167" fontId="6" fillId="0" borderId="3" xfId="186" applyNumberFormat="1" applyFont="1" applyFill="1" applyBorder="1" applyAlignment="1">
      <alignment horizontal="center" vertical="center" wrapText="1"/>
    </xf>
    <xf numFmtId="167" fontId="6" fillId="0" borderId="8" xfId="186" applyNumberFormat="1" applyFont="1" applyFill="1" applyBorder="1" applyAlignment="1">
      <alignment horizontal="center" vertical="center" wrapText="1"/>
    </xf>
    <xf numFmtId="167" fontId="6" fillId="0" borderId="2" xfId="186" applyNumberFormat="1" applyFont="1" applyFill="1" applyBorder="1" applyAlignment="1">
      <alignment horizontal="center" vertical="center" wrapText="1"/>
    </xf>
    <xf numFmtId="167" fontId="6" fillId="2" borderId="3" xfId="186" applyNumberFormat="1" applyFont="1" applyFill="1" applyBorder="1" applyAlignment="1">
      <alignment horizontal="center" vertical="center" wrapText="1"/>
    </xf>
    <xf numFmtId="167" fontId="6" fillId="2" borderId="2" xfId="186" applyNumberFormat="1" applyFont="1" applyFill="1" applyBorder="1" applyAlignment="1">
      <alignment horizontal="center" vertical="center" wrapText="1"/>
    </xf>
    <xf numFmtId="0" fontId="6" fillId="2" borderId="5" xfId="186" applyFont="1" applyFill="1" applyBorder="1" applyAlignment="1">
      <alignment horizontal="center"/>
    </xf>
    <xf numFmtId="0" fontId="6" fillId="2" borderId="6" xfId="186" applyFont="1" applyFill="1" applyBorder="1" applyAlignment="1">
      <alignment horizontal="center"/>
    </xf>
    <xf numFmtId="0" fontId="6" fillId="2" borderId="7" xfId="186" applyFont="1" applyFill="1" applyBorder="1" applyAlignment="1">
      <alignment horizontal="center"/>
    </xf>
    <xf numFmtId="0" fontId="19" fillId="6" borderId="3" xfId="186" applyFont="1" applyFill="1" applyBorder="1" applyAlignment="1">
      <alignment horizontal="left" vertical="center" wrapText="1"/>
    </xf>
    <xf numFmtId="0" fontId="19" fillId="6" borderId="2" xfId="186" applyFont="1" applyFill="1" applyBorder="1" applyAlignment="1">
      <alignment horizontal="left" vertical="center" wrapText="1"/>
    </xf>
    <xf numFmtId="181" fontId="18" fillId="2" borderId="3" xfId="196" applyNumberFormat="1" applyFont="1" applyFill="1" applyBorder="1" applyAlignment="1">
      <alignment horizontal="center" vertical="center" wrapText="1"/>
    </xf>
    <xf numFmtId="181" fontId="18" fillId="2" borderId="2" xfId="196" applyNumberFormat="1" applyFont="1" applyFill="1" applyBorder="1" applyAlignment="1">
      <alignment horizontal="center" vertical="center" wrapText="1"/>
    </xf>
    <xf numFmtId="49" fontId="18" fillId="2" borderId="3" xfId="186" applyNumberFormat="1" applyFont="1" applyFill="1" applyBorder="1" applyAlignment="1">
      <alignment horizontal="center" vertical="center"/>
    </xf>
    <xf numFmtId="49" fontId="18" fillId="2" borderId="2" xfId="186" applyNumberFormat="1" applyFont="1" applyFill="1" applyBorder="1" applyAlignment="1">
      <alignment horizontal="center" vertical="center"/>
    </xf>
    <xf numFmtId="181" fontId="10" fillId="2" borderId="3" xfId="196" applyNumberFormat="1" applyFont="1" applyFill="1" applyBorder="1" applyAlignment="1">
      <alignment horizontal="center" vertical="center" wrapText="1"/>
    </xf>
    <xf numFmtId="181" fontId="10" fillId="2" borderId="2" xfId="196" applyNumberFormat="1" applyFont="1" applyFill="1" applyBorder="1" applyAlignment="1">
      <alignment horizontal="center" vertical="center" wrapText="1"/>
    </xf>
    <xf numFmtId="49" fontId="17" fillId="2" borderId="1" xfId="186" applyNumberFormat="1" applyFont="1" applyFill="1" applyBorder="1" applyAlignment="1">
      <alignment horizontal="center" vertical="center"/>
    </xf>
    <xf numFmtId="167" fontId="18" fillId="2" borderId="3" xfId="186" applyNumberFormat="1" applyFont="1" applyFill="1" applyBorder="1" applyAlignment="1">
      <alignment horizontal="center" vertical="center" wrapText="1"/>
    </xf>
    <xf numFmtId="167" fontId="18" fillId="2" borderId="2" xfId="186" applyNumberFormat="1" applyFont="1" applyFill="1" applyBorder="1" applyAlignment="1">
      <alignment horizontal="center" vertical="center" wrapText="1"/>
    </xf>
    <xf numFmtId="168" fontId="6" fillId="2" borderId="3" xfId="186" applyNumberFormat="1" applyFont="1" applyFill="1" applyBorder="1" applyAlignment="1">
      <alignment horizontal="center" vertical="center"/>
    </xf>
    <xf numFmtId="168" fontId="6" fillId="2" borderId="2" xfId="186" applyNumberFormat="1" applyFont="1" applyFill="1" applyBorder="1" applyAlignment="1">
      <alignment horizontal="center" vertical="center"/>
    </xf>
    <xf numFmtId="49" fontId="6" fillId="2" borderId="33" xfId="186" applyNumberFormat="1" applyFont="1" applyFill="1" applyBorder="1" applyAlignment="1">
      <alignment horizontal="center" vertical="center"/>
    </xf>
    <xf numFmtId="49" fontId="6" fillId="2" borderId="35" xfId="186" applyNumberFormat="1" applyFont="1" applyFill="1" applyBorder="1" applyAlignment="1">
      <alignment horizontal="center" vertical="center"/>
    </xf>
    <xf numFmtId="49" fontId="6" fillId="2" borderId="3" xfId="186" applyNumberFormat="1" applyFont="1" applyFill="1" applyBorder="1" applyAlignment="1">
      <alignment horizontal="center" vertical="center"/>
    </xf>
    <xf numFmtId="49" fontId="6" fillId="2" borderId="2" xfId="186" applyNumberFormat="1" applyFont="1" applyFill="1" applyBorder="1" applyAlignment="1">
      <alignment horizontal="center" vertical="center"/>
    </xf>
    <xf numFmtId="0" fontId="6" fillId="2" borderId="3" xfId="186" applyFont="1" applyFill="1" applyBorder="1" applyAlignment="1">
      <alignment vertical="center" wrapText="1"/>
    </xf>
    <xf numFmtId="0" fontId="6" fillId="2" borderId="2" xfId="186" applyFont="1" applyFill="1" applyBorder="1" applyAlignment="1">
      <alignment vertical="center" wrapText="1"/>
    </xf>
    <xf numFmtId="168" fontId="6" fillId="2" borderId="3" xfId="186" applyNumberFormat="1" applyFont="1" applyFill="1" applyBorder="1" applyAlignment="1">
      <alignment horizontal="center" vertical="center" wrapText="1"/>
    </xf>
    <xf numFmtId="168" fontId="6" fillId="2" borderId="2" xfId="186" applyNumberFormat="1" applyFont="1" applyFill="1" applyBorder="1" applyAlignment="1">
      <alignment horizontal="center" vertical="center" wrapText="1"/>
    </xf>
    <xf numFmtId="167" fontId="18" fillId="2" borderId="1" xfId="196" applyNumberFormat="1" applyFont="1" applyFill="1" applyBorder="1" applyAlignment="1">
      <alignment horizontal="center" vertical="center" wrapText="1"/>
    </xf>
    <xf numFmtId="49" fontId="5" fillId="2" borderId="8" xfId="186" applyNumberFormat="1" applyFont="1" applyFill="1" applyBorder="1" applyAlignment="1">
      <alignment horizontal="center" vertical="center" wrapText="1"/>
    </xf>
    <xf numFmtId="49" fontId="5" fillId="2" borderId="2" xfId="186" applyNumberFormat="1" applyFont="1" applyFill="1" applyBorder="1" applyAlignment="1">
      <alignment horizontal="center" vertical="center" wrapText="1"/>
    </xf>
    <xf numFmtId="0" fontId="18" fillId="2" borderId="1" xfId="186" applyFont="1" applyFill="1" applyBorder="1" applyAlignment="1">
      <alignment horizontal="left" vertical="center" wrapText="1"/>
    </xf>
    <xf numFmtId="168" fontId="18" fillId="2" borderId="3" xfId="196" applyNumberFormat="1" applyFont="1" applyFill="1" applyBorder="1" applyAlignment="1">
      <alignment horizontal="center" vertical="center" wrapText="1"/>
    </xf>
    <xf numFmtId="168" fontId="18" fillId="2" borderId="2" xfId="196" applyNumberFormat="1" applyFont="1" applyFill="1" applyBorder="1" applyAlignment="1">
      <alignment horizontal="center" vertical="center" wrapText="1"/>
    </xf>
    <xf numFmtId="167" fontId="10" fillId="2" borderId="3" xfId="186" applyNumberFormat="1" applyFont="1" applyFill="1" applyBorder="1" applyAlignment="1">
      <alignment vertical="center" wrapText="1"/>
    </xf>
    <xf numFmtId="167" fontId="10" fillId="2" borderId="2" xfId="186" applyNumberFormat="1" applyFont="1" applyFill="1" applyBorder="1" applyAlignment="1">
      <alignment vertical="center" wrapText="1"/>
    </xf>
    <xf numFmtId="0" fontId="6" fillId="2" borderId="3" xfId="186" applyFont="1" applyFill="1" applyBorder="1" applyAlignment="1">
      <alignment horizontal="center" vertical="center" wrapText="1"/>
    </xf>
    <xf numFmtId="0" fontId="6" fillId="2" borderId="2" xfId="186" applyFont="1" applyFill="1" applyBorder="1" applyAlignment="1">
      <alignment horizontal="center" vertical="center" wrapText="1"/>
    </xf>
    <xf numFmtId="49" fontId="5" fillId="2" borderId="1" xfId="186" applyNumberFormat="1" applyFont="1" applyFill="1" applyBorder="1" applyAlignment="1">
      <alignment horizontal="center" vertical="center"/>
    </xf>
    <xf numFmtId="0" fontId="6" fillId="0" borderId="1" xfId="186" applyFont="1" applyBorder="1" applyAlignment="1">
      <alignment horizontal="center" vertical="center"/>
    </xf>
    <xf numFmtId="49" fontId="6" fillId="2" borderId="1" xfId="186" applyNumberFormat="1" applyFont="1" applyFill="1" applyBorder="1" applyAlignment="1">
      <alignment horizontal="center" vertical="center"/>
    </xf>
    <xf numFmtId="0" fontId="5" fillId="2" borderId="3" xfId="186" applyFont="1" applyFill="1" applyBorder="1" applyAlignment="1">
      <alignment horizontal="left" vertical="center" wrapText="1"/>
    </xf>
    <xf numFmtId="0" fontId="6" fillId="0" borderId="2" xfId="186" applyFont="1" applyBorder="1" applyAlignment="1">
      <alignment vertical="center" wrapText="1"/>
    </xf>
    <xf numFmtId="167" fontId="5" fillId="2" borderId="3" xfId="186" applyNumberFormat="1" applyFont="1" applyFill="1" applyBorder="1" applyAlignment="1">
      <alignment horizontal="center" vertical="center" wrapText="1"/>
    </xf>
    <xf numFmtId="167" fontId="6" fillId="0" borderId="2" xfId="186" applyNumberFormat="1" applyFont="1" applyBorder="1" applyAlignment="1">
      <alignment horizontal="center" vertical="center" wrapText="1"/>
    </xf>
    <xf numFmtId="167" fontId="5" fillId="3" borderId="0" xfId="186" applyNumberFormat="1" applyFont="1" applyFill="1" applyBorder="1"/>
    <xf numFmtId="167" fontId="6" fillId="0" borderId="8" xfId="186" applyNumberFormat="1" applyFont="1" applyBorder="1" applyAlignment="1">
      <alignment horizontal="center" vertical="center" wrapText="1"/>
    </xf>
    <xf numFmtId="0" fontId="6" fillId="0" borderId="8" xfId="186" applyFont="1" applyBorder="1" applyAlignment="1">
      <alignment vertical="center" wrapText="1"/>
    </xf>
    <xf numFmtId="0" fontId="6" fillId="0" borderId="3" xfId="186" applyFont="1" applyBorder="1" applyAlignment="1">
      <alignment vertical="center" wrapText="1"/>
    </xf>
    <xf numFmtId="167" fontId="53" fillId="3" borderId="0" xfId="186" applyNumberFormat="1" applyFont="1" applyFill="1" applyBorder="1"/>
    <xf numFmtId="0" fontId="10" fillId="2" borderId="5" xfId="186" applyFont="1" applyFill="1" applyBorder="1" applyAlignment="1">
      <alignment vertical="center" wrapText="1"/>
    </xf>
    <xf numFmtId="0" fontId="10" fillId="2" borderId="6" xfId="186" applyFont="1" applyFill="1" applyBorder="1" applyAlignment="1">
      <alignment vertical="center" wrapText="1"/>
    </xf>
    <xf numFmtId="0" fontId="10" fillId="2" borderId="7" xfId="186" applyFont="1" applyFill="1" applyBorder="1" applyAlignment="1">
      <alignment vertical="center" wrapText="1"/>
    </xf>
    <xf numFmtId="9" fontId="6" fillId="0" borderId="1" xfId="186" applyNumberFormat="1" applyFont="1" applyFill="1" applyBorder="1" applyAlignment="1">
      <alignment vertical="center" wrapText="1"/>
    </xf>
    <xf numFmtId="49" fontId="6" fillId="2" borderId="3" xfId="186" applyNumberFormat="1" applyFont="1" applyFill="1" applyBorder="1" applyAlignment="1">
      <alignment horizontal="right" vertical="center"/>
    </xf>
    <xf numFmtId="49" fontId="6" fillId="2" borderId="2" xfId="186" applyNumberFormat="1" applyFont="1" applyFill="1" applyBorder="1" applyAlignment="1">
      <alignment horizontal="right" vertical="center"/>
    </xf>
    <xf numFmtId="49" fontId="6" fillId="2" borderId="1" xfId="186" applyNumberFormat="1" applyFont="1" applyFill="1" applyBorder="1" applyAlignment="1">
      <alignment horizontal="right" vertical="center"/>
    </xf>
    <xf numFmtId="167" fontId="6" fillId="2" borderId="3" xfId="5" applyNumberFormat="1" applyFont="1" applyFill="1" applyBorder="1" applyAlignment="1">
      <alignment horizontal="center" vertical="center" wrapText="1"/>
    </xf>
    <xf numFmtId="167" fontId="6" fillId="2" borderId="2" xfId="5" applyNumberFormat="1" applyFont="1" applyFill="1" applyBorder="1" applyAlignment="1">
      <alignment horizontal="center" vertical="center" wrapText="1"/>
    </xf>
    <xf numFmtId="49" fontId="6" fillId="2" borderId="3" xfId="5" applyNumberFormat="1" applyFont="1" applyFill="1" applyBorder="1" applyAlignment="1">
      <alignment horizontal="center" vertical="center"/>
    </xf>
    <xf numFmtId="49" fontId="6" fillId="2" borderId="8" xfId="5" applyNumberFormat="1" applyFont="1" applyFill="1" applyBorder="1" applyAlignment="1">
      <alignment horizontal="center" vertical="center"/>
    </xf>
    <xf numFmtId="0" fontId="6" fillId="2" borderId="3" xfId="5" applyFont="1" applyFill="1" applyBorder="1" applyAlignment="1">
      <alignment horizontal="left" vertical="center" wrapText="1"/>
    </xf>
    <xf numFmtId="0" fontId="6" fillId="2" borderId="8" xfId="5" applyFont="1" applyFill="1" applyBorder="1" applyAlignment="1">
      <alignment horizontal="left" vertical="center" wrapText="1"/>
    </xf>
    <xf numFmtId="0" fontId="6" fillId="2" borderId="2" xfId="5" applyFont="1" applyFill="1" applyBorder="1" applyAlignment="1">
      <alignment horizontal="left" vertical="center" wrapText="1"/>
    </xf>
    <xf numFmtId="167" fontId="6" fillId="2" borderId="33" xfId="5" applyNumberFormat="1" applyFont="1" applyFill="1" applyBorder="1" applyAlignment="1">
      <alignment horizontal="center" vertical="center" wrapText="1"/>
    </xf>
    <xf numFmtId="167" fontId="6" fillId="2" borderId="34" xfId="5" applyNumberFormat="1" applyFont="1" applyFill="1" applyBorder="1" applyAlignment="1">
      <alignment horizontal="center" vertical="center" wrapText="1"/>
    </xf>
    <xf numFmtId="167" fontId="6" fillId="2" borderId="8" xfId="5" applyNumberFormat="1" applyFont="1" applyFill="1" applyBorder="1" applyAlignment="1">
      <alignment horizontal="center" vertical="center" wrapText="1"/>
    </xf>
    <xf numFmtId="49" fontId="9" fillId="2" borderId="1" xfId="186" applyNumberFormat="1" applyFont="1" applyFill="1" applyBorder="1" applyAlignment="1">
      <alignment horizontal="center" vertical="center" wrapText="1"/>
    </xf>
    <xf numFmtId="49" fontId="5" fillId="2" borderId="3" xfId="5" applyNumberFormat="1" applyFont="1" applyFill="1" applyBorder="1" applyAlignment="1">
      <alignment horizontal="center" vertical="center"/>
    </xf>
    <xf numFmtId="49" fontId="5" fillId="2" borderId="8" xfId="5" applyNumberFormat="1" applyFont="1" applyFill="1" applyBorder="1" applyAlignment="1">
      <alignment horizontal="center" vertical="center"/>
    </xf>
    <xf numFmtId="49" fontId="5" fillId="2" borderId="2" xfId="5" applyNumberFormat="1" applyFont="1" applyFill="1" applyBorder="1" applyAlignment="1">
      <alignment horizontal="center" vertical="center"/>
    </xf>
    <xf numFmtId="49" fontId="6" fillId="2" borderId="2" xfId="5" applyNumberFormat="1" applyFont="1" applyFill="1" applyBorder="1" applyAlignment="1">
      <alignment horizontal="center" vertical="center"/>
    </xf>
    <xf numFmtId="3" fontId="6" fillId="2" borderId="3" xfId="5" applyNumberFormat="1" applyFont="1" applyFill="1" applyBorder="1" applyAlignment="1">
      <alignment horizontal="center" vertical="center" wrapText="1"/>
    </xf>
    <xf numFmtId="3" fontId="6" fillId="2" borderId="8" xfId="5" applyNumberFormat="1" applyFont="1" applyFill="1" applyBorder="1" applyAlignment="1">
      <alignment horizontal="center" vertical="center" wrapText="1"/>
    </xf>
    <xf numFmtId="3" fontId="6" fillId="2" borderId="2" xfId="5" applyNumberFormat="1" applyFont="1" applyFill="1" applyBorder="1" applyAlignment="1">
      <alignment horizontal="center" vertical="center" wrapText="1"/>
    </xf>
    <xf numFmtId="0" fontId="6" fillId="2" borderId="4" xfId="5" applyFont="1" applyFill="1" applyBorder="1" applyAlignment="1">
      <alignment horizontal="left" vertical="center" wrapText="1"/>
    </xf>
    <xf numFmtId="0" fontId="6" fillId="2" borderId="36" xfId="5" applyFont="1" applyFill="1" applyBorder="1" applyAlignment="1">
      <alignment horizontal="left" vertical="center" wrapText="1"/>
    </xf>
    <xf numFmtId="0" fontId="6" fillId="2" borderId="32" xfId="5" applyFont="1" applyFill="1" applyBorder="1" applyAlignment="1">
      <alignment horizontal="left" vertical="center" wrapText="1"/>
    </xf>
    <xf numFmtId="0" fontId="7" fillId="0" borderId="3" xfId="186" applyFont="1" applyBorder="1" applyAlignment="1">
      <alignment vertical="center" wrapText="1"/>
    </xf>
    <xf numFmtId="0" fontId="7" fillId="0" borderId="8" xfId="186" applyFont="1" applyBorder="1" applyAlignment="1">
      <alignment vertical="center" wrapText="1"/>
    </xf>
    <xf numFmtId="0" fontId="7" fillId="0" borderId="2" xfId="186" applyFont="1" applyBorder="1" applyAlignment="1">
      <alignment vertical="center" wrapText="1"/>
    </xf>
    <xf numFmtId="0" fontId="10" fillId="2" borderId="4" xfId="5" applyFont="1" applyFill="1" applyBorder="1" applyAlignment="1">
      <alignment horizontal="center" vertical="center" wrapText="1"/>
    </xf>
    <xf numFmtId="0" fontId="10" fillId="2" borderId="36" xfId="5" applyFont="1" applyFill="1" applyBorder="1" applyAlignment="1">
      <alignment horizontal="center" vertical="center" wrapText="1"/>
    </xf>
    <xf numFmtId="0" fontId="10" fillId="2" borderId="32" xfId="5" applyFont="1" applyFill="1" applyBorder="1" applyAlignment="1">
      <alignment horizontal="center" vertical="center" wrapText="1"/>
    </xf>
    <xf numFmtId="0" fontId="7" fillId="0" borderId="3" xfId="186" applyFont="1" applyBorder="1" applyAlignment="1">
      <alignment horizontal="left" vertical="center" wrapText="1"/>
    </xf>
    <xf numFmtId="0" fontId="7" fillId="0" borderId="8" xfId="186" applyFont="1" applyBorder="1" applyAlignment="1">
      <alignment horizontal="left" vertical="center" wrapText="1"/>
    </xf>
    <xf numFmtId="0" fontId="7" fillId="0" borderId="2" xfId="186" applyFont="1" applyBorder="1" applyAlignment="1">
      <alignment horizontal="left" vertical="center" wrapText="1"/>
    </xf>
    <xf numFmtId="0" fontId="10" fillId="2" borderId="3" xfId="5" applyFont="1" applyFill="1" applyBorder="1" applyAlignment="1">
      <alignment horizontal="center" vertical="center" wrapText="1"/>
    </xf>
    <xf numFmtId="0" fontId="10" fillId="2" borderId="8" xfId="5" applyFont="1" applyFill="1" applyBorder="1" applyAlignment="1">
      <alignment horizontal="center" vertical="center" wrapText="1"/>
    </xf>
    <xf numFmtId="0" fontId="10" fillId="2" borderId="2" xfId="5" applyFont="1" applyFill="1" applyBorder="1" applyAlignment="1">
      <alignment horizontal="center" vertical="center" wrapText="1"/>
    </xf>
    <xf numFmtId="167" fontId="6" fillId="2" borderId="1" xfId="5" applyNumberFormat="1" applyFont="1" applyFill="1" applyBorder="1" applyAlignment="1">
      <alignment horizontal="center" vertical="center" wrapText="1"/>
    </xf>
    <xf numFmtId="171" fontId="9" fillId="3" borderId="1" xfId="186" applyNumberFormat="1" applyFont="1" applyFill="1" applyBorder="1" applyAlignment="1">
      <alignment horizontal="left"/>
    </xf>
    <xf numFmtId="167" fontId="5" fillId="3" borderId="1" xfId="5" applyNumberFormat="1" applyFont="1" applyFill="1" applyBorder="1"/>
    <xf numFmtId="167" fontId="6" fillId="2" borderId="5" xfId="5" applyNumberFormat="1" applyFont="1" applyFill="1" applyBorder="1" applyAlignment="1">
      <alignment horizontal="center" vertical="center" wrapText="1"/>
    </xf>
    <xf numFmtId="49" fontId="5" fillId="2" borderId="3" xfId="5" applyNumberFormat="1" applyFont="1" applyFill="1" applyBorder="1" applyAlignment="1">
      <alignment vertical="center"/>
    </xf>
    <xf numFmtId="49" fontId="5" fillId="2" borderId="8" xfId="5" applyNumberFormat="1" applyFont="1" applyFill="1" applyBorder="1" applyAlignment="1">
      <alignment vertical="center"/>
    </xf>
    <xf numFmtId="49" fontId="6" fillId="2" borderId="3" xfId="5" applyNumberFormat="1" applyFont="1" applyFill="1" applyBorder="1" applyAlignment="1">
      <alignment vertical="center"/>
    </xf>
    <xf numFmtId="49" fontId="6" fillId="2" borderId="8" xfId="5" applyNumberFormat="1" applyFont="1" applyFill="1" applyBorder="1" applyAlignment="1">
      <alignment vertical="center"/>
    </xf>
    <xf numFmtId="167" fontId="10" fillId="2" borderId="1" xfId="5" applyNumberFormat="1" applyFont="1" applyFill="1" applyBorder="1" applyAlignment="1">
      <alignment horizontal="center" vertical="center" wrapText="1"/>
    </xf>
    <xf numFmtId="49" fontId="5" fillId="2" borderId="1" xfId="5" applyNumberFormat="1" applyFont="1" applyFill="1" applyBorder="1" applyAlignment="1">
      <alignment horizontal="center" vertical="center"/>
    </xf>
    <xf numFmtId="49" fontId="6" fillId="2" borderId="1" xfId="5" applyNumberFormat="1" applyFont="1" applyFill="1" applyBorder="1" applyAlignment="1">
      <alignment horizontal="center" vertical="center"/>
    </xf>
    <xf numFmtId="49" fontId="6" fillId="2" borderId="5" xfId="5" applyNumberFormat="1" applyFont="1" applyFill="1" applyBorder="1" applyAlignment="1">
      <alignment horizontal="center" vertical="center"/>
    </xf>
    <xf numFmtId="49" fontId="5" fillId="0" borderId="1" xfId="186" applyNumberFormat="1" applyFont="1" applyFill="1" applyBorder="1" applyAlignment="1">
      <alignment horizontal="right" vertical="center"/>
    </xf>
    <xf numFmtId="167" fontId="10" fillId="2" borderId="1" xfId="186" applyNumberFormat="1" applyFont="1" applyFill="1" applyBorder="1" applyAlignment="1">
      <alignment horizontal="center" vertical="center"/>
    </xf>
    <xf numFmtId="0" fontId="10" fillId="2" borderId="1" xfId="186" applyFont="1" applyFill="1" applyBorder="1" applyAlignment="1">
      <alignment horizontal="center" vertical="center" wrapText="1"/>
    </xf>
    <xf numFmtId="167" fontId="10" fillId="2" borderId="1" xfId="175" applyNumberFormat="1" applyFont="1" applyFill="1" applyBorder="1" applyAlignment="1">
      <alignment horizontal="center" vertical="center"/>
    </xf>
    <xf numFmtId="0" fontId="10" fillId="2" borderId="1" xfId="186" applyFont="1" applyFill="1" applyBorder="1" applyAlignment="1">
      <alignment vertical="center" wrapText="1"/>
    </xf>
    <xf numFmtId="167" fontId="5" fillId="2" borderId="1" xfId="0" applyNumberFormat="1" applyFont="1" applyFill="1" applyBorder="1" applyAlignment="1">
      <alignment horizontal="center" vertical="center" wrapText="1"/>
    </xf>
    <xf numFmtId="0" fontId="9" fillId="2" borderId="1" xfId="186" applyFont="1" applyFill="1" applyBorder="1" applyAlignment="1">
      <alignment horizontal="center" vertical="center"/>
    </xf>
    <xf numFmtId="167" fontId="10" fillId="2" borderId="3" xfId="186" applyNumberFormat="1" applyFont="1" applyFill="1" applyBorder="1" applyAlignment="1">
      <alignment horizontal="center" vertical="center"/>
    </xf>
    <xf numFmtId="167" fontId="10" fillId="2" borderId="8" xfId="186" applyNumberFormat="1" applyFont="1" applyFill="1" applyBorder="1" applyAlignment="1">
      <alignment horizontal="center" vertical="center"/>
    </xf>
    <xf numFmtId="167" fontId="10" fillId="2" borderId="2" xfId="186" applyNumberFormat="1" applyFont="1" applyFill="1" applyBorder="1" applyAlignment="1">
      <alignment horizontal="center" vertical="center"/>
    </xf>
    <xf numFmtId="172" fontId="9" fillId="4" borderId="47" xfId="186" applyNumberFormat="1" applyFont="1" applyFill="1" applyBorder="1" applyAlignment="1">
      <alignment horizontal="left" vertical="center" wrapText="1"/>
    </xf>
    <xf numFmtId="172" fontId="9" fillId="4" borderId="48" xfId="186" applyNumberFormat="1" applyFont="1" applyFill="1" applyBorder="1" applyAlignment="1">
      <alignment horizontal="left" vertical="center" wrapText="1"/>
    </xf>
    <xf numFmtId="172" fontId="9" fillId="4" borderId="49" xfId="186" applyNumberFormat="1" applyFont="1" applyFill="1" applyBorder="1" applyAlignment="1">
      <alignment horizontal="left" vertical="center" wrapText="1"/>
    </xf>
    <xf numFmtId="0" fontId="5" fillId="0" borderId="49" xfId="186" applyFont="1" applyBorder="1" applyAlignment="1">
      <alignment horizontal="center" vertical="center"/>
    </xf>
    <xf numFmtId="0" fontId="5" fillId="0" borderId="34" xfId="186" applyFont="1" applyBorder="1" applyAlignment="1">
      <alignment horizontal="center" vertical="center"/>
    </xf>
    <xf numFmtId="49" fontId="5" fillId="0" borderId="46" xfId="186" applyNumberFormat="1" applyFont="1" applyBorder="1" applyAlignment="1">
      <alignment horizontal="center" vertical="center"/>
    </xf>
    <xf numFmtId="49" fontId="6" fillId="2" borderId="46" xfId="186" applyNumberFormat="1" applyFont="1" applyFill="1" applyBorder="1" applyAlignment="1">
      <alignment horizontal="center" vertical="center"/>
    </xf>
    <xf numFmtId="49" fontId="6" fillId="2" borderId="8" xfId="186" applyNumberFormat="1" applyFont="1" applyFill="1" applyBorder="1" applyAlignment="1">
      <alignment horizontal="center" vertical="center"/>
    </xf>
    <xf numFmtId="0" fontId="6" fillId="2" borderId="46" xfId="186" applyFont="1" applyFill="1" applyBorder="1" applyAlignment="1">
      <alignment horizontal="left" vertical="center" wrapText="1"/>
    </xf>
    <xf numFmtId="49" fontId="17" fillId="2" borderId="40" xfId="186" applyNumberFormat="1" applyFont="1" applyFill="1" applyBorder="1" applyAlignment="1">
      <alignment horizontal="center" vertical="center"/>
    </xf>
    <xf numFmtId="49" fontId="17" fillId="2" borderId="42" xfId="186" applyNumberFormat="1" applyFont="1" applyFill="1" applyBorder="1" applyAlignment="1">
      <alignment horizontal="center" vertical="center"/>
    </xf>
    <xf numFmtId="0" fontId="18" fillId="2" borderId="43" xfId="186" applyFont="1" applyFill="1" applyBorder="1" applyAlignment="1">
      <alignment vertical="center" wrapText="1"/>
    </xf>
    <xf numFmtId="0" fontId="18" fillId="2" borderId="44" xfId="186" applyFont="1" applyFill="1" applyBorder="1" applyAlignment="1">
      <alignment vertical="center" wrapText="1"/>
    </xf>
    <xf numFmtId="0" fontId="18" fillId="2" borderId="45" xfId="186" applyFont="1" applyFill="1" applyBorder="1" applyAlignment="1">
      <alignment vertical="center" wrapText="1"/>
    </xf>
    <xf numFmtId="49" fontId="5" fillId="0" borderId="46" xfId="186" applyNumberFormat="1" applyFont="1" applyFill="1" applyBorder="1" applyAlignment="1">
      <alignment horizontal="center" vertical="center"/>
    </xf>
    <xf numFmtId="167"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46" xfId="186" applyFont="1" applyFill="1" applyBorder="1" applyAlignment="1">
      <alignment horizontal="center" vertical="center" wrapText="1"/>
    </xf>
    <xf numFmtId="0" fontId="6" fillId="2" borderId="8" xfId="186" applyFont="1" applyFill="1" applyBorder="1" applyAlignment="1">
      <alignment horizontal="center" vertical="center" wrapText="1"/>
    </xf>
    <xf numFmtId="1" fontId="6" fillId="2" borderId="46" xfId="186" applyNumberFormat="1" applyFont="1" applyFill="1" applyBorder="1" applyAlignment="1">
      <alignment horizontal="center" vertical="center" wrapText="1"/>
    </xf>
    <xf numFmtId="1" fontId="6" fillId="2" borderId="8" xfId="186" applyNumberFormat="1" applyFont="1" applyFill="1" applyBorder="1" applyAlignment="1">
      <alignment horizontal="center" vertical="center" wrapText="1"/>
    </xf>
    <xf numFmtId="1" fontId="6" fillId="2" borderId="2" xfId="186" applyNumberFormat="1" applyFont="1" applyFill="1" applyBorder="1" applyAlignment="1">
      <alignment horizontal="center" vertical="center" wrapText="1"/>
    </xf>
    <xf numFmtId="167" fontId="18" fillId="2" borderId="1" xfId="5" applyNumberFormat="1" applyFont="1" applyFill="1" applyBorder="1" applyAlignment="1">
      <alignment horizontal="center" vertical="center" wrapText="1"/>
    </xf>
    <xf numFmtId="170" fontId="17" fillId="2" borderId="46" xfId="186" applyNumberFormat="1" applyFont="1" applyFill="1" applyBorder="1" applyAlignment="1">
      <alignment horizontal="center"/>
    </xf>
    <xf numFmtId="170" fontId="17" fillId="2" borderId="2" xfId="186" applyNumberFormat="1" applyFont="1" applyFill="1" applyBorder="1" applyAlignment="1">
      <alignment horizontal="center"/>
    </xf>
    <xf numFmtId="171" fontId="18" fillId="2" borderId="46" xfId="186" applyNumberFormat="1" applyFont="1" applyFill="1" applyBorder="1" applyAlignment="1">
      <alignment horizontal="center" vertical="center"/>
    </xf>
    <xf numFmtId="171" fontId="18" fillId="2" borderId="2" xfId="186" applyNumberFormat="1" applyFont="1" applyFill="1" applyBorder="1" applyAlignment="1">
      <alignment horizontal="center" vertical="center"/>
    </xf>
    <xf numFmtId="0" fontId="18" fillId="2" borderId="46" xfId="185" applyFont="1" applyFill="1" applyBorder="1" applyAlignment="1">
      <alignment horizontal="left" vertical="center" wrapText="1"/>
    </xf>
    <xf numFmtId="0" fontId="18" fillId="2" borderId="2" xfId="185" applyFont="1" applyFill="1" applyBorder="1" applyAlignment="1">
      <alignment horizontal="left" vertical="center" wrapText="1"/>
    </xf>
    <xf numFmtId="0" fontId="17" fillId="2" borderId="46" xfId="186" applyFont="1" applyFill="1" applyBorder="1" applyAlignment="1">
      <alignment horizontal="center" vertical="center" wrapText="1"/>
    </xf>
    <xf numFmtId="0" fontId="17" fillId="2" borderId="2" xfId="186" applyFont="1" applyFill="1" applyBorder="1" applyAlignment="1">
      <alignment horizontal="center" vertical="center" wrapText="1"/>
    </xf>
    <xf numFmtId="0" fontId="18" fillId="2" borderId="46" xfId="186" applyFont="1" applyFill="1" applyBorder="1" applyAlignment="1">
      <alignment horizontal="center" vertical="top" wrapText="1"/>
    </xf>
    <xf numFmtId="0" fontId="18" fillId="2" borderId="2" xfId="186" applyFont="1" applyFill="1" applyBorder="1" applyAlignment="1">
      <alignment horizontal="center" vertical="top" wrapText="1"/>
    </xf>
    <xf numFmtId="0" fontId="18" fillId="2" borderId="46" xfId="186" applyFont="1" applyFill="1" applyBorder="1" applyAlignment="1">
      <alignment horizontal="center" vertical="center" wrapText="1"/>
    </xf>
    <xf numFmtId="0" fontId="18" fillId="2" borderId="2" xfId="186" applyFont="1" applyFill="1" applyBorder="1" applyAlignment="1">
      <alignment horizontal="center" vertical="center" wrapText="1"/>
    </xf>
    <xf numFmtId="0" fontId="5" fillId="2" borderId="34" xfId="186" applyFont="1" applyFill="1" applyBorder="1" applyAlignment="1">
      <alignment horizontal="center" vertical="center"/>
    </xf>
    <xf numFmtId="0" fontId="5" fillId="2" borderId="35" xfId="186" applyFont="1" applyFill="1" applyBorder="1" applyAlignment="1">
      <alignment horizontal="center" vertical="center"/>
    </xf>
    <xf numFmtId="170" fontId="17" fillId="2" borderId="46" xfId="186" applyNumberFormat="1" applyFont="1" applyFill="1" applyBorder="1" applyAlignment="1">
      <alignment horizontal="center" vertical="center"/>
    </xf>
    <xf numFmtId="170" fontId="17" fillId="2" borderId="2" xfId="186" applyNumberFormat="1" applyFont="1" applyFill="1" applyBorder="1" applyAlignment="1">
      <alignment horizontal="center" vertical="center"/>
    </xf>
    <xf numFmtId="0" fontId="18" fillId="2" borderId="46" xfId="186" applyFont="1" applyFill="1" applyBorder="1" applyAlignment="1">
      <alignment horizontal="center" vertical="center"/>
    </xf>
    <xf numFmtId="0" fontId="18" fillId="2" borderId="2" xfId="186" applyFont="1" applyFill="1" applyBorder="1" applyAlignment="1">
      <alignment horizontal="center" vertical="center"/>
    </xf>
    <xf numFmtId="167" fontId="6" fillId="2" borderId="1" xfId="5" applyNumberFormat="1" applyFont="1" applyFill="1" applyBorder="1" applyAlignment="1">
      <alignment horizontal="center" vertical="center"/>
    </xf>
    <xf numFmtId="0" fontId="17" fillId="0" borderId="1" xfId="186" applyFont="1" applyFill="1" applyBorder="1" applyAlignment="1">
      <alignment horizontal="center" vertical="center"/>
    </xf>
    <xf numFmtId="170" fontId="5" fillId="0" borderId="1" xfId="186" applyNumberFormat="1" applyFont="1" applyFill="1" applyBorder="1" applyAlignment="1">
      <alignment horizontal="center" vertical="center"/>
    </xf>
    <xf numFmtId="0" fontId="5" fillId="0" borderId="1" xfId="186" applyFont="1" applyFill="1" applyBorder="1" applyAlignment="1">
      <alignment horizontal="center" vertical="center"/>
    </xf>
    <xf numFmtId="171" fontId="9" fillId="2" borderId="46" xfId="186" applyNumberFormat="1" applyFont="1" applyFill="1" applyBorder="1" applyAlignment="1">
      <alignment horizontal="center" vertical="center"/>
    </xf>
    <xf numFmtId="0" fontId="5" fillId="0" borderId="46" xfId="186" applyFont="1" applyBorder="1" applyAlignment="1">
      <alignment horizontal="center" vertical="center"/>
    </xf>
    <xf numFmtId="49" fontId="6" fillId="0" borderId="46" xfId="186" applyNumberFormat="1" applyFont="1" applyFill="1" applyBorder="1" applyAlignment="1">
      <alignment horizontal="center" vertical="center"/>
    </xf>
    <xf numFmtId="0" fontId="6" fillId="0" borderId="46" xfId="186" applyFont="1" applyFill="1" applyBorder="1" applyAlignment="1">
      <alignment horizontal="left" vertical="center" wrapText="1"/>
    </xf>
    <xf numFmtId="167" fontId="6" fillId="2" borderId="46" xfId="186" applyNumberFormat="1" applyFont="1" applyFill="1" applyBorder="1" applyAlignment="1">
      <alignment horizontal="center" vertical="center" wrapText="1"/>
    </xf>
    <xf numFmtId="167" fontId="7" fillId="30" borderId="1" xfId="3" applyNumberFormat="1" applyFont="1" applyFill="1" applyBorder="1" applyAlignment="1">
      <alignment horizontal="center" vertical="center"/>
    </xf>
    <xf numFmtId="0" fontId="17" fillId="0" borderId="46" xfId="186" applyFont="1" applyBorder="1" applyAlignment="1">
      <alignment horizontal="center" vertical="center"/>
    </xf>
    <xf numFmtId="0" fontId="17" fillId="0" borderId="2" xfId="186" applyFont="1" applyBorder="1" applyAlignment="1">
      <alignment horizontal="center" vertical="center"/>
    </xf>
    <xf numFmtId="170" fontId="17" fillId="2" borderId="1" xfId="186" applyNumberFormat="1" applyFont="1" applyFill="1" applyBorder="1" applyAlignment="1">
      <alignment horizontal="center" vertical="center"/>
    </xf>
    <xf numFmtId="171" fontId="18" fillId="0" borderId="1" xfId="186" applyNumberFormat="1" applyFont="1" applyBorder="1" applyAlignment="1">
      <alignment horizontal="center" vertical="center"/>
    </xf>
    <xf numFmtId="0" fontId="18" fillId="5" borderId="1" xfId="186" applyFont="1" applyFill="1" applyBorder="1" applyAlignment="1">
      <alignment horizontal="center" vertical="center"/>
    </xf>
    <xf numFmtId="167" fontId="6" fillId="2" borderId="1" xfId="3" applyNumberFormat="1" applyFont="1" applyFill="1" applyBorder="1" applyAlignment="1">
      <alignment horizontal="center" vertical="center"/>
    </xf>
    <xf numFmtId="0" fontId="5" fillId="0" borderId="35" xfId="186" applyFont="1" applyBorder="1" applyAlignment="1">
      <alignment horizontal="center" vertical="center"/>
    </xf>
    <xf numFmtId="167" fontId="5" fillId="2" borderId="1" xfId="186" applyNumberFormat="1" applyFont="1" applyFill="1" applyBorder="1" applyAlignment="1">
      <alignment horizontal="center" vertical="center" wrapText="1"/>
    </xf>
    <xf numFmtId="0" fontId="6" fillId="0" borderId="46" xfId="186" applyFont="1" applyFill="1" applyBorder="1" applyAlignment="1">
      <alignment horizontal="center"/>
    </xf>
    <xf numFmtId="0" fontId="6" fillId="0" borderId="2" xfId="186" applyFont="1" applyFill="1" applyBorder="1" applyAlignment="1">
      <alignment horizontal="center"/>
    </xf>
    <xf numFmtId="167" fontId="6" fillId="2" borderId="46" xfId="186" applyNumberFormat="1" applyFont="1" applyFill="1" applyBorder="1" applyAlignment="1">
      <alignment horizontal="center" vertical="center"/>
    </xf>
    <xf numFmtId="167" fontId="6" fillId="2" borderId="2" xfId="186" applyNumberFormat="1" applyFont="1" applyFill="1" applyBorder="1" applyAlignment="1">
      <alignment horizontal="center" vertical="center"/>
    </xf>
    <xf numFmtId="0" fontId="6" fillId="0" borderId="46" xfId="186" applyFont="1" applyFill="1" applyBorder="1" applyAlignment="1">
      <alignment horizontal="left" vertical="center"/>
    </xf>
    <xf numFmtId="0" fontId="6" fillId="0" borderId="2" xfId="186" applyFont="1" applyFill="1" applyBorder="1" applyAlignment="1">
      <alignment horizontal="left" vertical="center"/>
    </xf>
    <xf numFmtId="0" fontId="6" fillId="0" borderId="46" xfId="186" applyFont="1" applyFill="1" applyBorder="1" applyAlignment="1">
      <alignment horizontal="center" vertical="center"/>
    </xf>
    <xf numFmtId="167" fontId="5" fillId="2" borderId="46" xfId="186" applyNumberFormat="1" applyFont="1" applyFill="1" applyBorder="1" applyAlignment="1">
      <alignment horizontal="center" vertical="center" wrapText="1"/>
    </xf>
    <xf numFmtId="167" fontId="5" fillId="2" borderId="2" xfId="186" applyNumberFormat="1" applyFont="1" applyFill="1" applyBorder="1" applyAlignment="1">
      <alignment horizontal="center" vertical="center" wrapText="1"/>
    </xf>
    <xf numFmtId="0" fontId="6" fillId="0" borderId="46" xfId="186" applyFont="1" applyFill="1" applyBorder="1" applyAlignment="1">
      <alignment horizontal="center" vertical="center" wrapText="1"/>
    </xf>
    <xf numFmtId="0" fontId="6" fillId="2" borderId="46" xfId="186" applyFont="1" applyFill="1" applyBorder="1" applyAlignment="1">
      <alignment vertical="center" wrapText="1"/>
    </xf>
    <xf numFmtId="49" fontId="6" fillId="0" borderId="46" xfId="186" applyNumberFormat="1" applyFont="1" applyFill="1" applyBorder="1" applyAlignment="1">
      <alignment horizontal="right" vertical="center"/>
    </xf>
    <xf numFmtId="0" fontId="6" fillId="0" borderId="46" xfId="186" applyFont="1" applyFill="1" applyBorder="1" applyAlignment="1">
      <alignment vertical="center" wrapText="1"/>
    </xf>
    <xf numFmtId="0" fontId="6" fillId="0" borderId="46" xfId="177" applyFont="1" applyFill="1" applyBorder="1" applyAlignment="1">
      <alignment horizontal="center" vertical="center"/>
    </xf>
    <xf numFmtId="0" fontId="6" fillId="0" borderId="2" xfId="177" applyFont="1" applyFill="1" applyBorder="1" applyAlignment="1">
      <alignment horizontal="center" vertical="center"/>
    </xf>
    <xf numFmtId="0" fontId="60" fillId="0" borderId="1" xfId="186" applyFont="1" applyBorder="1" applyAlignment="1">
      <alignment horizontal="center" vertical="center"/>
    </xf>
    <xf numFmtId="0" fontId="6" fillId="0" borderId="46" xfId="177" applyFont="1" applyFill="1" applyBorder="1" applyAlignment="1">
      <alignment horizontal="left" vertical="center" wrapText="1"/>
    </xf>
    <xf numFmtId="0" fontId="6" fillId="0" borderId="2" xfId="177" applyFont="1" applyFill="1" applyBorder="1" applyAlignment="1">
      <alignment horizontal="left" vertical="center" wrapText="1"/>
    </xf>
    <xf numFmtId="0" fontId="6" fillId="0" borderId="46" xfId="177" applyFont="1" applyFill="1" applyBorder="1" applyAlignment="1">
      <alignment horizontal="center" vertical="center" wrapText="1"/>
    </xf>
    <xf numFmtId="0" fontId="6" fillId="0" borderId="2" xfId="177" applyFont="1" applyFill="1" applyBorder="1" applyAlignment="1">
      <alignment horizontal="center" vertical="center" wrapText="1"/>
    </xf>
    <xf numFmtId="49" fontId="5" fillId="0" borderId="46" xfId="177" applyNumberFormat="1" applyFont="1" applyFill="1" applyBorder="1" applyAlignment="1">
      <alignment horizontal="center" vertical="center"/>
    </xf>
    <xf numFmtId="49" fontId="5" fillId="0" borderId="8" xfId="177" applyNumberFormat="1" applyFont="1" applyFill="1" applyBorder="1" applyAlignment="1">
      <alignment horizontal="center" vertical="center"/>
    </xf>
    <xf numFmtId="49" fontId="5" fillId="0" borderId="2" xfId="177" applyNumberFormat="1" applyFont="1" applyFill="1" applyBorder="1" applyAlignment="1">
      <alignment horizontal="center" vertical="center"/>
    </xf>
    <xf numFmtId="0" fontId="6" fillId="2" borderId="1" xfId="177" applyFont="1" applyFill="1" applyBorder="1" applyAlignment="1">
      <alignment vertical="center" wrapText="1"/>
    </xf>
    <xf numFmtId="49" fontId="6" fillId="0" borderId="46" xfId="177" applyNumberFormat="1" applyFont="1" applyFill="1" applyBorder="1" applyAlignment="1">
      <alignment horizontal="center" vertical="center"/>
    </xf>
    <xf numFmtId="49" fontId="6" fillId="0" borderId="2" xfId="177" applyNumberFormat="1" applyFont="1" applyFill="1" applyBorder="1" applyAlignment="1">
      <alignment horizontal="center" vertical="center"/>
    </xf>
    <xf numFmtId="49" fontId="6" fillId="0" borderId="46" xfId="177" applyNumberFormat="1" applyFont="1" applyFill="1" applyBorder="1" applyAlignment="1">
      <alignment horizontal="right" vertical="center"/>
    </xf>
    <xf numFmtId="49" fontId="6" fillId="0" borderId="2" xfId="177" applyNumberFormat="1" applyFont="1" applyFill="1" applyBorder="1" applyAlignment="1">
      <alignment horizontal="right" vertical="center"/>
    </xf>
    <xf numFmtId="167" fontId="6" fillId="2" borderId="46" xfId="177" applyNumberFormat="1" applyFont="1" applyFill="1" applyBorder="1" applyAlignment="1">
      <alignment horizontal="center" vertical="center" wrapText="1"/>
    </xf>
    <xf numFmtId="167" fontId="6" fillId="2" borderId="2" xfId="177"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6" fillId="0" borderId="1" xfId="0" applyNumberFormat="1" applyFont="1" applyFill="1" applyBorder="1" applyAlignment="1">
      <alignment horizontal="right" vertical="center"/>
    </xf>
    <xf numFmtId="0" fontId="5"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7" fillId="31" borderId="51" xfId="0" applyFont="1" applyFill="1" applyBorder="1" applyAlignment="1">
      <alignment horizontal="left" vertical="center" wrapText="1"/>
    </xf>
    <xf numFmtId="0" fontId="65" fillId="2" borderId="52" xfId="0" applyFont="1" applyFill="1" applyBorder="1"/>
    <xf numFmtId="167" fontId="6" fillId="0" borderId="1" xfId="0" applyNumberFormat="1" applyFont="1" applyFill="1" applyBorder="1" applyAlignment="1">
      <alignment horizontal="center"/>
    </xf>
    <xf numFmtId="0" fontId="7" fillId="0" borderId="1" xfId="0" applyNumberFormat="1" applyFont="1" applyFill="1" applyBorder="1" applyAlignment="1" applyProtection="1">
      <alignment horizontal="center" vertical="center" wrapText="1"/>
    </xf>
    <xf numFmtId="167" fontId="9" fillId="0" borderId="1" xfId="0" applyNumberFormat="1" applyFont="1" applyFill="1" applyBorder="1" applyAlignment="1">
      <alignment horizontal="center" vertical="center" wrapText="1"/>
    </xf>
    <xf numFmtId="167" fontId="9"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top"/>
    </xf>
    <xf numFmtId="0" fontId="10" fillId="0" borderId="2" xfId="0" applyFont="1" applyFill="1" applyBorder="1" applyAlignment="1">
      <alignment horizontal="left" vertical="center" wrapText="1"/>
    </xf>
    <xf numFmtId="0" fontId="10" fillId="0" borderId="1" xfId="0" applyFont="1" applyFill="1" applyBorder="1" applyAlignment="1">
      <alignment horizontal="left" vertical="center" wrapText="1"/>
    </xf>
    <xf numFmtId="167" fontId="10" fillId="0" borderId="1" xfId="7" applyNumberFormat="1" applyFont="1" applyFill="1" applyBorder="1" applyAlignment="1">
      <alignment horizontal="center" vertical="center" wrapText="1"/>
    </xf>
    <xf numFmtId="167" fontId="10" fillId="2" borderId="1" xfId="7" applyNumberFormat="1" applyFont="1" applyFill="1" applyBorder="1" applyAlignment="1">
      <alignment horizontal="center" vertical="center" wrapText="1"/>
    </xf>
    <xf numFmtId="167" fontId="7" fillId="2" borderId="1" xfId="0" applyNumberFormat="1" applyFont="1" applyFill="1" applyBorder="1" applyAlignment="1" applyProtection="1">
      <alignment horizontal="center" vertical="center" wrapText="1"/>
    </xf>
    <xf numFmtId="0" fontId="5" fillId="0" borderId="3" xfId="0" applyFont="1" applyFill="1" applyBorder="1" applyAlignment="1">
      <alignment horizontal="left" vertical="center" wrapText="1"/>
    </xf>
    <xf numFmtId="0" fontId="5" fillId="0" borderId="2" xfId="0" applyFont="1" applyFill="1" applyBorder="1" applyAlignment="1">
      <alignment horizontal="left" vertical="center" wrapText="1"/>
    </xf>
    <xf numFmtId="0" fontId="6" fillId="31" borderId="51" xfId="0" applyFont="1" applyFill="1" applyBorder="1" applyAlignment="1">
      <alignment horizontal="left" vertical="center"/>
    </xf>
    <xf numFmtId="49" fontId="9" fillId="0" borderId="1" xfId="0" applyNumberFormat="1" applyFont="1" applyFill="1" applyBorder="1" applyAlignment="1">
      <alignment horizontal="center" vertical="top"/>
    </xf>
    <xf numFmtId="49" fontId="10" fillId="0" borderId="1" xfId="0" applyNumberFormat="1" applyFont="1" applyFill="1" applyBorder="1" applyAlignment="1">
      <alignment horizontal="center" vertical="center"/>
    </xf>
    <xf numFmtId="49" fontId="5" fillId="0" borderId="1" xfId="0" applyNumberFormat="1" applyFont="1" applyFill="1" applyBorder="1" applyAlignment="1">
      <alignment horizontal="right" vertical="center"/>
    </xf>
    <xf numFmtId="0" fontId="5" fillId="0" borderId="1" xfId="0" applyFont="1" applyFill="1" applyBorder="1" applyAlignment="1">
      <alignment vertical="center" wrapText="1"/>
    </xf>
    <xf numFmtId="17" fontId="10" fillId="0" borderId="1" xfId="0" applyNumberFormat="1" applyFont="1" applyFill="1" applyBorder="1" applyAlignment="1">
      <alignment horizontal="left" vertical="top" wrapText="1"/>
    </xf>
    <xf numFmtId="49" fontId="9" fillId="0" borderId="3" xfId="0" applyNumberFormat="1" applyFont="1" applyFill="1" applyBorder="1" applyAlignment="1">
      <alignment horizontal="center" vertical="top"/>
    </xf>
    <xf numFmtId="49" fontId="9" fillId="0" borderId="2" xfId="0" applyNumberFormat="1" applyFont="1" applyFill="1" applyBorder="1" applyAlignment="1">
      <alignment horizontal="center" vertical="top"/>
    </xf>
    <xf numFmtId="49" fontId="10" fillId="0" borderId="3" xfId="0" applyNumberFormat="1" applyFont="1" applyFill="1" applyBorder="1" applyAlignment="1">
      <alignment horizontal="center" vertical="top"/>
    </xf>
    <xf numFmtId="49" fontId="10" fillId="0" borderId="2" xfId="0" applyNumberFormat="1" applyFont="1" applyFill="1" applyBorder="1" applyAlignment="1">
      <alignment horizontal="center" vertical="top"/>
    </xf>
    <xf numFmtId="0" fontId="10" fillId="0" borderId="3" xfId="0" applyFont="1" applyFill="1" applyBorder="1" applyAlignment="1">
      <alignment horizontal="left" vertical="top" wrapText="1"/>
    </xf>
    <xf numFmtId="0" fontId="10" fillId="0" borderId="2" xfId="0" applyFont="1" applyFill="1" applyBorder="1" applyAlignment="1">
      <alignment horizontal="left" vertical="top" wrapText="1"/>
    </xf>
    <xf numFmtId="167" fontId="10" fillId="0" borderId="3" xfId="7" applyNumberFormat="1" applyFont="1" applyFill="1" applyBorder="1" applyAlignment="1">
      <alignment horizontal="center" vertical="center" wrapText="1"/>
    </xf>
    <xf numFmtId="167" fontId="10" fillId="0" borderId="2" xfId="7" applyNumberFormat="1" applyFont="1" applyFill="1" applyBorder="1" applyAlignment="1">
      <alignment horizontal="center" vertical="center" wrapText="1"/>
    </xf>
    <xf numFmtId="167" fontId="10" fillId="2" borderId="3" xfId="7" applyNumberFormat="1" applyFont="1" applyFill="1" applyBorder="1" applyAlignment="1">
      <alignment horizontal="center" vertical="center" wrapText="1"/>
    </xf>
    <xf numFmtId="167" fontId="10" fillId="2" borderId="2" xfId="7" applyNumberFormat="1" applyFont="1" applyFill="1" applyBorder="1" applyAlignment="1">
      <alignment horizontal="center" vertical="center" wrapText="1"/>
    </xf>
    <xf numFmtId="167" fontId="5" fillId="0" borderId="1" xfId="0" applyNumberFormat="1" applyFont="1" applyFill="1" applyBorder="1" applyAlignment="1">
      <alignment horizontal="right" vertical="center" wrapText="1"/>
    </xf>
    <xf numFmtId="167" fontId="10" fillId="0" borderId="1" xfId="0" applyNumberFormat="1" applyFont="1" applyFill="1" applyBorder="1" applyAlignment="1">
      <alignment horizontal="center" vertical="center" wrapText="1"/>
    </xf>
    <xf numFmtId="167" fontId="10" fillId="2"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top" wrapText="1"/>
    </xf>
    <xf numFmtId="167" fontId="10" fillId="0" borderId="1" xfId="7" applyNumberFormat="1" applyFont="1" applyFill="1" applyBorder="1" applyAlignment="1">
      <alignment horizontal="center" vertical="center"/>
    </xf>
    <xf numFmtId="167" fontId="10" fillId="2" borderId="1" xfId="7" applyNumberFormat="1" applyFont="1" applyFill="1" applyBorder="1" applyAlignment="1">
      <alignment horizontal="center" vertical="center"/>
    </xf>
    <xf numFmtId="49" fontId="9" fillId="0" borderId="1" xfId="13" applyNumberFormat="1" applyFont="1" applyFill="1" applyBorder="1" applyAlignment="1">
      <alignment horizontal="center" vertical="center"/>
    </xf>
    <xf numFmtId="49" fontId="10" fillId="0" borderId="1" xfId="13" applyNumberFormat="1" applyFont="1" applyFill="1" applyBorder="1" applyAlignment="1">
      <alignment horizontal="center" vertical="top"/>
    </xf>
    <xf numFmtId="167" fontId="10" fillId="0" borderId="1" xfId="11" applyNumberFormat="1" applyFont="1" applyFill="1" applyBorder="1" applyAlignment="1">
      <alignment horizontal="center" vertical="center" wrapText="1"/>
    </xf>
    <xf numFmtId="0" fontId="6" fillId="0" borderId="23" xfId="0" applyFont="1" applyFill="1" applyBorder="1" applyAlignment="1">
      <alignment horizontal="center" vertical="center" wrapText="1"/>
    </xf>
    <xf numFmtId="0" fontId="7" fillId="0" borderId="23" xfId="0" applyNumberFormat="1" applyFont="1" applyFill="1" applyBorder="1" applyAlignment="1" applyProtection="1">
      <alignment horizontal="center" vertical="center" wrapText="1"/>
    </xf>
    <xf numFmtId="0" fontId="5" fillId="0" borderId="23" xfId="0" applyFont="1" applyFill="1" applyBorder="1" applyAlignment="1">
      <alignment horizontal="center" vertical="center"/>
    </xf>
    <xf numFmtId="0" fontId="10" fillId="0" borderId="1" xfId="0" applyFont="1" applyFill="1" applyBorder="1" applyAlignment="1">
      <alignment horizontal="center" vertical="center"/>
    </xf>
    <xf numFmtId="167" fontId="5" fillId="0" borderId="23" xfId="0" applyNumberFormat="1" applyFont="1" applyFill="1" applyBorder="1" applyAlignment="1">
      <alignment horizontal="center" vertical="center" wrapText="1"/>
    </xf>
    <xf numFmtId="0" fontId="6" fillId="2" borderId="1" xfId="0" applyFont="1" applyFill="1" applyBorder="1" applyAlignment="1">
      <alignment vertical="center" wrapText="1"/>
    </xf>
    <xf numFmtId="0" fontId="6" fillId="2" borderId="23" xfId="0" applyFont="1" applyFill="1" applyBorder="1" applyAlignment="1">
      <alignment vertical="center" wrapText="1"/>
    </xf>
    <xf numFmtId="171" fontId="9" fillId="3" borderId="22" xfId="0" applyNumberFormat="1" applyFont="1" applyFill="1" applyBorder="1" applyAlignment="1">
      <alignment horizontal="left"/>
    </xf>
    <xf numFmtId="171" fontId="9" fillId="3" borderId="1" xfId="0" applyNumberFormat="1" applyFont="1" applyFill="1" applyBorder="1" applyAlignment="1">
      <alignment horizontal="left"/>
    </xf>
    <xf numFmtId="0" fontId="9" fillId="4" borderId="22" xfId="0" applyFont="1" applyFill="1" applyBorder="1" applyAlignment="1">
      <alignment horizontal="left" vertical="center" wrapText="1"/>
    </xf>
    <xf numFmtId="0" fontId="9" fillId="4" borderId="1" xfId="0" applyFont="1" applyFill="1" applyBorder="1" applyAlignment="1">
      <alignment horizontal="left" vertical="center" wrapText="1"/>
    </xf>
    <xf numFmtId="49" fontId="5" fillId="0" borderId="26" xfId="0" applyNumberFormat="1" applyFont="1" applyFill="1" applyBorder="1" applyAlignment="1">
      <alignment horizontal="center" vertical="center"/>
    </xf>
    <xf numFmtId="49" fontId="5" fillId="0" borderId="28" xfId="0" applyNumberFormat="1" applyFont="1" applyFill="1" applyBorder="1" applyAlignment="1">
      <alignment horizontal="center" vertical="center"/>
    </xf>
    <xf numFmtId="49" fontId="5" fillId="0" borderId="27" xfId="0" applyNumberFormat="1" applyFont="1" applyFill="1" applyBorder="1" applyAlignment="1">
      <alignment horizontal="center" vertical="center"/>
    </xf>
    <xf numFmtId="49" fontId="10" fillId="0" borderId="3" xfId="0" applyNumberFormat="1" applyFont="1" applyFill="1" applyBorder="1" applyAlignment="1">
      <alignment horizontal="center" vertical="top" wrapText="1"/>
    </xf>
    <xf numFmtId="49" fontId="10" fillId="0" borderId="2" xfId="0" applyNumberFormat="1" applyFont="1" applyFill="1" applyBorder="1" applyAlignment="1">
      <alignment horizontal="center" vertical="top" wrapText="1"/>
    </xf>
    <xf numFmtId="167" fontId="10" fillId="2" borderId="1" xfId="11" applyNumberFormat="1" applyFont="1" applyFill="1" applyBorder="1" applyAlignment="1">
      <alignment horizontal="center" vertical="center" wrapText="1"/>
    </xf>
    <xf numFmtId="0" fontId="56" fillId="0" borderId="0" xfId="186" applyFont="1" applyBorder="1" applyAlignment="1">
      <alignment horizontal="right" vertical="center" wrapText="1"/>
    </xf>
    <xf numFmtId="49" fontId="5" fillId="0" borderId="46" xfId="190" applyNumberFormat="1" applyFont="1" applyFill="1" applyBorder="1" applyAlignment="1">
      <alignment horizontal="center" vertical="center"/>
    </xf>
    <xf numFmtId="49" fontId="5" fillId="0" borderId="8" xfId="190" applyNumberFormat="1" applyFont="1" applyFill="1" applyBorder="1" applyAlignment="1">
      <alignment horizontal="center" vertical="center"/>
    </xf>
    <xf numFmtId="49" fontId="5" fillId="0" borderId="2" xfId="190" applyNumberFormat="1" applyFont="1" applyFill="1" applyBorder="1" applyAlignment="1">
      <alignment horizontal="center" vertical="center"/>
    </xf>
    <xf numFmtId="167" fontId="6" fillId="0" borderId="3" xfId="0" applyNumberFormat="1" applyFont="1" applyFill="1" applyBorder="1" applyAlignment="1">
      <alignment horizontal="center" vertical="center" wrapText="1"/>
    </xf>
    <xf numFmtId="167" fontId="6" fillId="0" borderId="8" xfId="0" applyNumberFormat="1" applyFont="1" applyFill="1" applyBorder="1" applyAlignment="1">
      <alignment horizontal="center" vertical="center" wrapText="1"/>
    </xf>
    <xf numFmtId="167" fontId="6" fillId="0" borderId="2" xfId="0" applyNumberFormat="1" applyFont="1" applyFill="1" applyBorder="1" applyAlignment="1">
      <alignment horizontal="center" vertical="center" wrapText="1"/>
    </xf>
    <xf numFmtId="49" fontId="5" fillId="0" borderId="22" xfId="0" applyNumberFormat="1" applyFont="1" applyFill="1" applyBorder="1" applyAlignment="1">
      <alignment horizontal="center" vertical="center"/>
    </xf>
  </cellXfs>
  <cellStyles count="232">
    <cellStyle name="20% - Accent1" xfId="89"/>
    <cellStyle name="20% - Accent2" xfId="90"/>
    <cellStyle name="20% - Accent3" xfId="91"/>
    <cellStyle name="20% - Accent4" xfId="92"/>
    <cellStyle name="20% - Accent5" xfId="93"/>
    <cellStyle name="20% - Accent6" xfId="94"/>
    <cellStyle name="40% - Accent1" xfId="95"/>
    <cellStyle name="40% - Accent2" xfId="96"/>
    <cellStyle name="40% - Accent3" xfId="97"/>
    <cellStyle name="40% - Accent4" xfId="98"/>
    <cellStyle name="40% - Accent5" xfId="99"/>
    <cellStyle name="40% - Accent6" xfId="100"/>
    <cellStyle name="60% - Accent1" xfId="101"/>
    <cellStyle name="60% - Accent2" xfId="102"/>
    <cellStyle name="60% - Accent3" xfId="103"/>
    <cellStyle name="60% - Accent4" xfId="104"/>
    <cellStyle name="60% - Accent5" xfId="105"/>
    <cellStyle name="60% - Accent6" xfId="106"/>
    <cellStyle name="Accent1" xfId="107"/>
    <cellStyle name="Accent2" xfId="108"/>
    <cellStyle name="Accent3" xfId="109"/>
    <cellStyle name="Accent4" xfId="110"/>
    <cellStyle name="Accent5" xfId="111"/>
    <cellStyle name="Accent6" xfId="112"/>
    <cellStyle name="Bad" xfId="113"/>
    <cellStyle name="Calculation" xfId="114"/>
    <cellStyle name="Calculation 2" xfId="179"/>
    <cellStyle name="Check Cell" xfId="115"/>
    <cellStyle name="Excel Built-in Normal" xfId="27"/>
    <cellStyle name="Explanatory Text" xfId="116"/>
    <cellStyle name="Good" xfId="117"/>
    <cellStyle name="Heading 1" xfId="118"/>
    <cellStyle name="Heading 2" xfId="119"/>
    <cellStyle name="Heading 3" xfId="120"/>
    <cellStyle name="Heading 4" xfId="121"/>
    <cellStyle name="Input" xfId="122"/>
    <cellStyle name="Input 2" xfId="180"/>
    <cellStyle name="Linked Cell" xfId="123"/>
    <cellStyle name="Neutral" xfId="124"/>
    <cellStyle name="Normal 4" xfId="17"/>
    <cellStyle name="Normal_Sheet1" xfId="18"/>
    <cellStyle name="Note" xfId="125"/>
    <cellStyle name="Note 2" xfId="181"/>
    <cellStyle name="Output" xfId="126"/>
    <cellStyle name="Output 2" xfId="182"/>
    <cellStyle name="Title" xfId="127"/>
    <cellStyle name="Total" xfId="128"/>
    <cellStyle name="Total 2" xfId="183"/>
    <cellStyle name="Warning Text" xfId="129"/>
    <cellStyle name="Денежный 2" xfId="8"/>
    <cellStyle name="Денежный 2 2" xfId="42"/>
    <cellStyle name="Обычный" xfId="0" builtinId="0"/>
    <cellStyle name="Обычный 10" xfId="30"/>
    <cellStyle name="Обычный 10 2" xfId="177"/>
    <cellStyle name="Обычный 10 3" xfId="189"/>
    <cellStyle name="Обычный 11" xfId="29"/>
    <cellStyle name="Обычный 11 2" xfId="188"/>
    <cellStyle name="Обычный 12" xfId="35"/>
    <cellStyle name="Обычный 12 2" xfId="195"/>
    <cellStyle name="Обычный 13" xfId="186"/>
    <cellStyle name="Обычный 14" xfId="199"/>
    <cellStyle name="Обычный 15" xfId="34"/>
    <cellStyle name="Обычный 15 2" xfId="194"/>
    <cellStyle name="Обычный 15 3" xfId="200"/>
    <cellStyle name="Обычный 18" xfId="201"/>
    <cellStyle name="Обычный 19" xfId="202"/>
    <cellStyle name="Обычный 2" xfId="3"/>
    <cellStyle name="Обычный 2 2" xfId="5"/>
    <cellStyle name="Обычный 2 2 2" xfId="25"/>
    <cellStyle name="Обычный 2 2 2 2" xfId="131"/>
    <cellStyle name="Обычный 2 2 3" xfId="173"/>
    <cellStyle name="Обычный 2 2 3 2" xfId="197"/>
    <cellStyle name="Обычный 2 2 4" xfId="44"/>
    <cellStyle name="Обычный 2 3" xfId="45"/>
    <cellStyle name="Обычный 2 4" xfId="130"/>
    <cellStyle name="Обычный 2 5" xfId="203"/>
    <cellStyle name="Обычный 2 5 2" xfId="204"/>
    <cellStyle name="Обычный 2_09.04.2014_Programme budget 2014_Education_Modified" xfId="31"/>
    <cellStyle name="Обычный 2_Бюджетный циркуляр 2015г.Нацстат" xfId="185"/>
    <cellStyle name="Обычный 20" xfId="205"/>
    <cellStyle name="Обычный 3" xfId="6"/>
    <cellStyle name="Обычный 3 2" xfId="46"/>
    <cellStyle name="Обычный 3 3" xfId="47"/>
    <cellStyle name="Обычный 3 3 2" xfId="48"/>
    <cellStyle name="Обычный 3 3 2 2" xfId="38"/>
    <cellStyle name="Обычный 3 3 2 2 2" xfId="71"/>
    <cellStyle name="Обычный 3 3 2 2 3" xfId="135"/>
    <cellStyle name="Обычный 3 3 2 3" xfId="70"/>
    <cellStyle name="Обычный 3 3 2 4" xfId="134"/>
    <cellStyle name="Обычный 3 3 2_09.04.2014_Programme budget 2014_Education_Modified" xfId="136"/>
    <cellStyle name="Обычный 3 3 3" xfId="49"/>
    <cellStyle name="Обычный 3 3 3 2" xfId="72"/>
    <cellStyle name="Обычный 3 3 3 3" xfId="137"/>
    <cellStyle name="Обычный 3 3 4" xfId="69"/>
    <cellStyle name="Обычный 3 3 5" xfId="133"/>
    <cellStyle name="Обычный 3 3_09.04.2014_Programme budget 2014_Education_Modified" xfId="138"/>
    <cellStyle name="Обычный 3 4" xfId="50"/>
    <cellStyle name="Обычный 3 4 2" xfId="51"/>
    <cellStyle name="Обычный 3 4 2 2" xfId="74"/>
    <cellStyle name="Обычный 3 4 2 3" xfId="140"/>
    <cellStyle name="Обычный 3 4 3" xfId="73"/>
    <cellStyle name="Обычный 3 4 4" xfId="139"/>
    <cellStyle name="Обычный 3 4_09.04.2014_Programme budget 2014_Education_Modified" xfId="141"/>
    <cellStyle name="Обычный 3 5" xfId="52"/>
    <cellStyle name="Обычный 3 5 2" xfId="75"/>
    <cellStyle name="Обычный 3 5 3" xfId="142"/>
    <cellStyle name="Обычный 3 6" xfId="68"/>
    <cellStyle name="Обычный 3 7" xfId="132"/>
    <cellStyle name="Обычный 3_09.04.2014_Programme budget 2014_Education_Modified" xfId="143"/>
    <cellStyle name="Обычный 4" xfId="1"/>
    <cellStyle name="Обычный 4 10" xfId="190"/>
    <cellStyle name="Обычный 4 2" xfId="19"/>
    <cellStyle name="Обычный 4 2 2" xfId="55"/>
    <cellStyle name="Обычный 4 2 2 2" xfId="78"/>
    <cellStyle name="Обычный 4 2 2 3" xfId="146"/>
    <cellStyle name="Обычный 4 2 3" xfId="77"/>
    <cellStyle name="Обычный 4 2 4" xfId="145"/>
    <cellStyle name="Обычный 4 2 5" xfId="171"/>
    <cellStyle name="Обычный 4 2 6" xfId="54"/>
    <cellStyle name="Обычный 4 2_09.04.2014_Programme budget 2014_Education_Modified" xfId="147"/>
    <cellStyle name="Обычный 4 3" xfId="56"/>
    <cellStyle name="Обычный 4 3 2" xfId="79"/>
    <cellStyle name="Обычный 4 3 3" xfId="148"/>
    <cellStyle name="Обычный 4 4" xfId="76"/>
    <cellStyle name="Обычный 4 5" xfId="53"/>
    <cellStyle name="Обычный 4 6" xfId="144"/>
    <cellStyle name="Обычный 4 7" xfId="206"/>
    <cellStyle name="Обычный 4_09.04.2014_Programme budget 2014_Education_Modified" xfId="149"/>
    <cellStyle name="Обычный 5" xfId="9"/>
    <cellStyle name="Обычный 5 2" xfId="20"/>
    <cellStyle name="Обычный 5 3" xfId="150"/>
    <cellStyle name="Обычный 5 4" xfId="169"/>
    <cellStyle name="Обычный 5 5" xfId="39"/>
    <cellStyle name="Обычный 6" xfId="16"/>
    <cellStyle name="Обычный 6 2" xfId="58"/>
    <cellStyle name="Обычный 6 2 2" xfId="59"/>
    <cellStyle name="Обычный 6 2 2 2" xfId="82"/>
    <cellStyle name="Обычный 6 2 2 3" xfId="153"/>
    <cellStyle name="Обычный 6 2 3" xfId="81"/>
    <cellStyle name="Обычный 6 2 4" xfId="152"/>
    <cellStyle name="Обычный 6 2_09.04.2014_Programme budget 2014_Education_Modified" xfId="154"/>
    <cellStyle name="Обычный 6 3" xfId="60"/>
    <cellStyle name="Обычный 6 3 2" xfId="83"/>
    <cellStyle name="Обычный 6 3 3" xfId="155"/>
    <cellStyle name="Обычный 6 4" xfId="80"/>
    <cellStyle name="Обычный 6 5" xfId="57"/>
    <cellStyle name="Обычный 6 6" xfId="151"/>
    <cellStyle name="Обычный 6_09.04.2014_Programme budget 2014_Education_Modified" xfId="156"/>
    <cellStyle name="Обычный 7" xfId="14"/>
    <cellStyle name="Обычный 7 2" xfId="163"/>
    <cellStyle name="Обычный 7 3" xfId="32"/>
    <cellStyle name="Обычный 8" xfId="13"/>
    <cellStyle name="Обычный 8 2" xfId="164"/>
    <cellStyle name="Обычный 9" xfId="12"/>
    <cellStyle name="Обычный 9 2" xfId="167"/>
    <cellStyle name="Обычный_Лист5" xfId="184"/>
    <cellStyle name="Процентный 2" xfId="2"/>
    <cellStyle name="Процентный 2 2" xfId="21"/>
    <cellStyle name="Процентный 2 3" xfId="61"/>
    <cellStyle name="Процентный 2 4" xfId="165"/>
    <cellStyle name="Процентный 3" xfId="10"/>
    <cellStyle name="Процентный 3 2" xfId="22"/>
    <cellStyle name="Процентный 4" xfId="43"/>
    <cellStyle name="Процентный 4 2" xfId="207"/>
    <cellStyle name="Процентный 5" xfId="162"/>
    <cellStyle name="Процентный 5 2" xfId="208"/>
    <cellStyle name="Процентный 6" xfId="37"/>
    <cellStyle name="Процентный 7" xfId="192"/>
    <cellStyle name="Стиль 1" xfId="88"/>
    <cellStyle name="Финансовый" xfId="28" builtinId="3"/>
    <cellStyle name="Финансовый 10" xfId="209"/>
    <cellStyle name="Финансовый 10 2" xfId="198"/>
    <cellStyle name="Финансовый 11" xfId="196"/>
    <cellStyle name="Финансовый 2" xfId="4"/>
    <cellStyle name="Финансовый 2 2" xfId="23"/>
    <cellStyle name="Финансовый 2 2 2" xfId="64"/>
    <cellStyle name="Финансовый 2 2 2 2" xfId="65"/>
    <cellStyle name="Финансовый 2 2 2 2 2" xfId="86"/>
    <cellStyle name="Финансовый 2 2 2 2 2 2" xfId="210"/>
    <cellStyle name="Финансовый 2 2 2 2 3" xfId="159"/>
    <cellStyle name="Финансовый 2 2 2 2 3 2" xfId="211"/>
    <cellStyle name="Финансовый 2 2 2 2 4" xfId="212"/>
    <cellStyle name="Финансовый 2 2 2 3" xfId="85"/>
    <cellStyle name="Финансовый 2 2 2 3 2" xfId="213"/>
    <cellStyle name="Финансовый 2 2 2 4" xfId="158"/>
    <cellStyle name="Финансовый 2 2 2 4 2" xfId="214"/>
    <cellStyle name="Финансовый 2 2 2 5" xfId="215"/>
    <cellStyle name="Финансовый 2 2 3" xfId="66"/>
    <cellStyle name="Финансовый 2 2 3 2" xfId="87"/>
    <cellStyle name="Финансовый 2 2 3 2 2" xfId="216"/>
    <cellStyle name="Финансовый 2 2 3 3" xfId="160"/>
    <cellStyle name="Финансовый 2 2 3 3 2" xfId="217"/>
    <cellStyle name="Финансовый 2 2 3 4" xfId="218"/>
    <cellStyle name="Финансовый 2 2 4" xfId="84"/>
    <cellStyle name="Финансовый 2 2 4 2" xfId="219"/>
    <cellStyle name="Финансовый 2 2 5" xfId="157"/>
    <cellStyle name="Финансовый 2 2 5 2" xfId="220"/>
    <cellStyle name="Финансовый 2 2 6" xfId="63"/>
    <cellStyle name="Финансовый 2 3" xfId="62"/>
    <cellStyle name="Финансовый 2 3 2" xfId="221"/>
    <cellStyle name="Финансовый 2 4" xfId="166"/>
    <cellStyle name="Финансовый 2 4 2" xfId="222"/>
    <cellStyle name="Финансовый 2 5" xfId="41"/>
    <cellStyle name="Финансовый 2 6" xfId="223"/>
    <cellStyle name="Финансовый 2 7" xfId="224"/>
    <cellStyle name="Финансовый 2 8" xfId="225"/>
    <cellStyle name="Финансовый 3" xfId="7"/>
    <cellStyle name="Финансовый 3 2" xfId="24"/>
    <cellStyle name="Финансовый 3 2 2" xfId="67"/>
    <cellStyle name="Финансовый 3 3" xfId="170"/>
    <cellStyle name="Финансовый 3 3 2" xfId="226"/>
    <cellStyle name="Финансовый 3 4" xfId="172"/>
    <cellStyle name="Финансовый 3 4 2" xfId="227"/>
    <cellStyle name="Финансовый 3 5" xfId="40"/>
    <cellStyle name="Финансовый 3 6" xfId="228"/>
    <cellStyle name="Финансовый 3 7" xfId="229"/>
    <cellStyle name="Финансовый 3 8" xfId="230"/>
    <cellStyle name="Финансовый 4" xfId="11"/>
    <cellStyle name="Финансовый 4 2" xfId="15"/>
    <cellStyle name="Финансовый 4 2 2" xfId="168"/>
    <cellStyle name="Финансовый 4 3" xfId="176"/>
    <cellStyle name="Финансовый 4 4" xfId="161"/>
    <cellStyle name="Финансовый 5" xfId="26"/>
    <cellStyle name="Финансовый 5 2" xfId="174"/>
    <cellStyle name="Финансовый 5 3" xfId="33"/>
    <cellStyle name="Финансовый 5 3 2" xfId="193"/>
    <cellStyle name="Финансовый 5 4" xfId="191"/>
    <cellStyle name="Финансовый 6" xfId="175"/>
    <cellStyle name="Финансовый 7" xfId="178"/>
    <cellStyle name="Финансовый 7 2" xfId="231"/>
    <cellStyle name="Финансовый 8" xfId="36"/>
    <cellStyle name="Финансовый 9" xfId="18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41;&#1102;&#1076;&#1078;&#1077;&#1090;%202010%20&#1085;&#1086;&#1074;1/Form2-10%20&#1082;&#1086;&#1085;&#1090;&#108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орма 2_3_4"/>
      <sheetName val="Lists"/>
    </sheetNames>
    <sheetDataSet>
      <sheetData sheetId="0"/>
      <sheetData sheetId="1">
        <row r="3">
          <cell r="D3" t="str">
            <v xml:space="preserve">21111100 Основная заработная плата </v>
          </cell>
        </row>
        <row r="4">
          <cell r="D4" t="str">
            <v>21111200 Надбавки</v>
          </cell>
        </row>
        <row r="5">
          <cell r="D5" t="str">
            <v>21111300 Дополнительные  выплаты и компенсации</v>
          </cell>
        </row>
        <row r="6">
          <cell r="D6" t="str">
            <v>21112100 Работники, нанятые по контракту или на временной основе</v>
          </cell>
        </row>
        <row r="7">
          <cell r="D7" t="str">
            <v>21211100 Взносы в Пенсионный фонд</v>
          </cell>
        </row>
        <row r="8">
          <cell r="D8" t="str">
            <v>21211200 Взносы в Фонд медицинского страхования</v>
          </cell>
        </row>
        <row r="9">
          <cell r="D9" t="str">
            <v>22111100 Транспортные расходы</v>
          </cell>
        </row>
        <row r="10">
          <cell r="D10" t="str">
            <v>22111200 Гостиничные расходы</v>
          </cell>
        </row>
        <row r="11">
          <cell r="D11" t="str">
            <v>22111300 Суточные расходы</v>
          </cell>
        </row>
        <row r="12">
          <cell r="D12" t="str">
            <v>22112100 Транспортные расходы</v>
          </cell>
        </row>
        <row r="13">
          <cell r="D13" t="str">
            <v>22112200 Гостиничные расходы</v>
          </cell>
        </row>
        <row r="14">
          <cell r="D14" t="str">
            <v>22112300 Суточные расходы</v>
          </cell>
        </row>
        <row r="15">
          <cell r="D15" t="str">
            <v>22121100 Плата за воду</v>
          </cell>
        </row>
        <row r="16">
          <cell r="D16" t="str">
            <v>22121200 Плата за электроэнергию</v>
          </cell>
        </row>
        <row r="17">
          <cell r="D17" t="str">
            <v>22121300 Плата за теплоэнергию</v>
          </cell>
        </row>
        <row r="18">
          <cell r="D18" t="str">
            <v>22121400 Плата за газ</v>
          </cell>
        </row>
        <row r="19">
          <cell r="D19" t="str">
            <v>22121900 Прочие коммунальные услуги</v>
          </cell>
        </row>
        <row r="20">
          <cell r="D20" t="str">
            <v>22122100 Услуги телефонной и факсимильной связи</v>
          </cell>
        </row>
        <row r="21">
          <cell r="D21" t="str">
            <v>22122200 Услуги сотовой связи</v>
          </cell>
        </row>
        <row r="22">
          <cell r="D22" t="str">
            <v>22122300 Услуги фельдъегерской связи</v>
          </cell>
        </row>
        <row r="23">
          <cell r="D23" t="str">
            <v>22122400 Услуги почтовой связи</v>
          </cell>
        </row>
        <row r="24">
          <cell r="D24" t="str">
            <v>22122500 Плата за услуги по трансляции телерадиопрограмм</v>
          </cell>
        </row>
        <row r="25">
          <cell r="D25" t="str">
            <v>22122900 Прочие услуги связи</v>
          </cell>
        </row>
        <row r="26">
          <cell r="D26" t="str">
            <v xml:space="preserve">22131100 Аренда зданий и помещений </v>
          </cell>
        </row>
        <row r="27">
          <cell r="D27" t="str">
            <v>22131200 Аренда оборудования и инвентаря</v>
          </cell>
        </row>
        <row r="28">
          <cell r="D28" t="str">
            <v xml:space="preserve">22131300 Аренда транспортных средств </v>
          </cell>
        </row>
        <row r="29">
          <cell r="D29" t="str">
            <v>22131900 Аренда прочего имущества</v>
          </cell>
        </row>
        <row r="30">
          <cell r="D30" t="str">
            <v xml:space="preserve">22141100 Бензин, дизель и прочее топливо </v>
          </cell>
        </row>
        <row r="31">
          <cell r="D31" t="str">
            <v>22141200 Приобретение запасных частей</v>
          </cell>
        </row>
        <row r="32">
          <cell r="D32" t="str">
            <v xml:space="preserve">22141300 Обслуживание транспортных средств </v>
          </cell>
        </row>
        <row r="33">
          <cell r="D33" t="str">
            <v>22141900 Прочие транспортные услуги</v>
          </cell>
        </row>
        <row r="34">
          <cell r="D34" t="str">
            <v>22151100 Юридические услуги</v>
          </cell>
        </row>
        <row r="35">
          <cell r="D35" t="str">
            <v>22151200 Услуги консультантов</v>
          </cell>
        </row>
        <row r="36">
          <cell r="D36" t="str">
            <v>22151300 Услуги вневедомственной охраны</v>
          </cell>
        </row>
        <row r="37">
          <cell r="D37" t="str">
            <v>22151400 Услуги в области информационных технологий</v>
          </cell>
        </row>
        <row r="38">
          <cell r="D38" t="str">
            <v>22151900 Прочие услуги, оказанные по контракту</v>
          </cell>
        </row>
        <row r="39">
          <cell r="D39" t="str">
            <v>22152100 Текущий ремонт зданий и помещений</v>
          </cell>
        </row>
        <row r="40">
          <cell r="D40" t="str">
            <v>22152200 Текущий ремонт сооружений</v>
          </cell>
        </row>
        <row r="41">
          <cell r="D41" t="str">
            <v>22152300 Текущий ремонт оборудования и инвентаря</v>
          </cell>
        </row>
        <row r="42">
          <cell r="D42" t="str">
            <v>22153100 Санитарные услуги в содержании зданий и помещений</v>
          </cell>
        </row>
        <row r="43">
          <cell r="D43" t="str">
            <v>22153200 Реставрация памятников истории и культуры</v>
          </cell>
        </row>
        <row r="44">
          <cell r="D44" t="str">
            <v>22153900 Прочие услуги по содержанию зданий, помещений и иного имущества</v>
          </cell>
        </row>
        <row r="45">
          <cell r="D45" t="str">
            <v>22154100 Обучение государственных служащих</v>
          </cell>
        </row>
        <row r="46">
          <cell r="D46" t="str">
            <v>22155300 Приобретение оборудования и материалов</v>
          </cell>
        </row>
        <row r="47">
          <cell r="D47" t="str">
            <v>22155400 Приобретение, пошив и ремонт предметов вещевого имущества и другого форменного и специального обмундирования</v>
          </cell>
        </row>
        <row r="48">
          <cell r="D48" t="str">
            <v>22155500 Приобретение угля</v>
          </cell>
        </row>
        <row r="49">
          <cell r="D49" t="str">
            <v>22155900 Прочие приобретения предметов и материалов для текущих хозяйственных целей</v>
          </cell>
        </row>
        <row r="50">
          <cell r="D50" t="str">
            <v xml:space="preserve">22156100 Представительские расходы </v>
          </cell>
        </row>
        <row r="51">
          <cell r="D51" t="str">
            <v>22156200 Расходы за изготовление бланков</v>
          </cell>
        </row>
        <row r="52">
          <cell r="D52" t="str">
            <v xml:space="preserve">22156900 Прочие расходы, связанные с оплатой прочих услуг  </v>
          </cell>
        </row>
        <row r="53">
          <cell r="D53" t="str">
            <v>22157100 Финансовые услуги по выпуску размещению и погашению государственных ценных бумаг</v>
          </cell>
        </row>
        <row r="54">
          <cell r="D54" t="str">
            <v>22157200 Прочие услуги по выпуску размещению и погашению государственных ценных бумаг</v>
          </cell>
        </row>
        <row r="55">
          <cell r="D55" t="str">
            <v>22157300 Прочие услуги Национального Банка, Коммерческих банков, финансово-кредитных учреждений</v>
          </cell>
        </row>
        <row r="56">
          <cell r="D56" t="str">
            <v xml:space="preserve">22157400 Услуги АКБ по обслуживанию системы казначейства </v>
          </cell>
        </row>
        <row r="57">
          <cell r="D57" t="str">
            <v>22161100 Расходы, представленные единой статьей в системе здравоохранения (Единый плательщик)</v>
          </cell>
        </row>
        <row r="58">
          <cell r="D58" t="str">
            <v>22171100 Приобретение медикаментов и  изделий медицинского назначения</v>
          </cell>
        </row>
        <row r="59">
          <cell r="D59" t="str">
            <v>22171200 Приобретение инсулина и инсулиносодержащих проепаратов</v>
          </cell>
        </row>
        <row r="60">
          <cell r="D60" t="str">
            <v>22181100 Приобретение продуктов питания</v>
          </cell>
        </row>
        <row r="61">
          <cell r="D61" t="str">
            <v>22181200 Компенсационные выплаты на продукты питания</v>
          </cell>
        </row>
        <row r="62">
          <cell r="D62" t="str">
            <v>24111100 Выплата процентов по займам, полученным от иностранных государств и международных организаций</v>
          </cell>
        </row>
        <row r="63">
          <cell r="D63" t="str">
            <v>24211100 Выплата процентов по государственным краткосрочным ценным бумагам</v>
          </cell>
        </row>
        <row r="64">
          <cell r="D64" t="str">
            <v>24211200 Выплата процентов по государственным долгосрочным ценным бумагам</v>
          </cell>
        </row>
        <row r="65">
          <cell r="D65" t="str">
            <v>24221100 Погашение задолженности населению по индексированным суммам</v>
          </cell>
        </row>
        <row r="66">
          <cell r="D66" t="str">
            <v>24311100 Выплата процентов другим единицам сектора госуправления</v>
          </cell>
        </row>
        <row r="67">
          <cell r="D67" t="str">
            <v>25111100 Субсидии нефинансовым государственным предприятиям</v>
          </cell>
        </row>
        <row r="68">
          <cell r="D68" t="str">
            <v>25121100 Субсидии финансовым государственным предприятиям</v>
          </cell>
        </row>
        <row r="69">
          <cell r="D69" t="str">
            <v>25211100 Субсидии нефинансовым частным предприятиям</v>
          </cell>
        </row>
        <row r="70">
          <cell r="D70" t="str">
            <v>25221100 Субсидии финансовым частным предприятиям</v>
          </cell>
        </row>
        <row r="71">
          <cell r="D71" t="str">
            <v>26111100 Текущие гранты правительствам иностранных государств</v>
          </cell>
        </row>
        <row r="72">
          <cell r="D72" t="str">
            <v>26121100 Капитальные гранты правительствам иностранных государств</v>
          </cell>
        </row>
        <row r="73">
          <cell r="D73" t="str">
            <v>26211100 Взносы в международные организации</v>
          </cell>
        </row>
        <row r="74">
          <cell r="D74" t="str">
            <v>26211200 Взносы в интеграционные объединения в рамках СНГ</v>
          </cell>
        </row>
        <row r="75">
          <cell r="D75" t="str">
            <v xml:space="preserve">26211900 Прочие безвоздмездные перечисления </v>
          </cell>
        </row>
        <row r="76">
          <cell r="D76" t="str">
            <v>26221100 Капитальные гранты международным организациям</v>
          </cell>
        </row>
        <row r="77">
          <cell r="D77" t="str">
            <v>26311100 Категориальные гранты</v>
          </cell>
        </row>
        <row r="78">
          <cell r="D78" t="str">
            <v xml:space="preserve">26311200 Выравнивающие гранты </v>
          </cell>
        </row>
        <row r="79">
          <cell r="D79" t="str">
            <v>26311300 Стимулирующие гранты</v>
          </cell>
        </row>
        <row r="80">
          <cell r="D80" t="str">
            <v>26312100 Средства, передаваемые по взаимным расчетам из республиканского в местный бюджет</v>
          </cell>
        </row>
        <row r="81">
          <cell r="D81" t="str">
            <v>26312200 Средства, передаваемые по взаимным расчетам из местного в республиканский бюджет</v>
          </cell>
        </row>
        <row r="82">
          <cell r="D82" t="str">
            <v xml:space="preserve">26312300 Средства, передаваемые на повышение заработной платы </v>
          </cell>
        </row>
        <row r="83">
          <cell r="D83" t="str">
            <v>26313100 Субвенции Социальному Фонду</v>
          </cell>
        </row>
        <row r="84">
          <cell r="D84" t="str">
            <v>26321100 Капитальные гранты другим единицам сектора государственного управления</v>
          </cell>
        </row>
        <row r="85">
          <cell r="D85" t="str">
            <v>27111100 Пенсии по социальному страхованию населения</v>
          </cell>
        </row>
        <row r="86">
          <cell r="D86" t="str">
            <v xml:space="preserve">27111200 Льготные пенсии за работу в условиях высокогорья         </v>
          </cell>
        </row>
        <row r="87">
          <cell r="D87" t="str">
            <v xml:space="preserve">27111300 Пенсии военнослужащим       </v>
          </cell>
        </row>
        <row r="88">
          <cell r="D88" t="str">
            <v>27111400 Пенсии многодетным матерям и матерям инвалидов с детства</v>
          </cell>
        </row>
        <row r="89">
          <cell r="D89" t="str">
            <v>27111500 Пенсии отдельным категориям населения</v>
          </cell>
        </row>
        <row r="90">
          <cell r="D90" t="str">
            <v>27112100 Государственное обязательное личное страхование военнослужащих на случай их гибели, получения инвалидности</v>
          </cell>
        </row>
        <row r="91">
          <cell r="D91" t="str">
            <v>27113100 Компенсационные выплаты к пенсиям за электроэнергию</v>
          </cell>
        </row>
        <row r="92">
          <cell r="D92" t="str">
            <v>27113200 Компенсационные выплаты за трудовые увечья</v>
          </cell>
        </row>
        <row r="93">
          <cell r="D93" t="str">
            <v>27114100 Надбавки к пенсиям инвалидов</v>
          </cell>
        </row>
        <row r="94">
          <cell r="D94" t="str">
            <v>27114200 Надбавки к пенсиям за особые заслуги</v>
          </cell>
        </row>
        <row r="95">
          <cell r="D95" t="str">
            <v>27115100 Медицинское страхование детей до 16 лет</v>
          </cell>
        </row>
        <row r="96">
          <cell r="D96" t="str">
            <v>27115200 Медицинское страхование пенсионеров</v>
          </cell>
        </row>
        <row r="97">
          <cell r="D97" t="str">
            <v>27115300 Медицинское страхование лиц, получающих социальные пособия</v>
          </cell>
        </row>
        <row r="98">
          <cell r="D98" t="str">
            <v>27211100 Пособия  малообеспеченным семьям</v>
          </cell>
        </row>
        <row r="99">
          <cell r="D99" t="str">
            <v>27211200 Единовременное пособие при рождении ребенка</v>
          </cell>
        </row>
        <row r="100">
          <cell r="D100" t="str">
            <v>27211300 Пособия матерям до достижения ребенком 1,5 лет</v>
          </cell>
        </row>
        <row r="101">
          <cell r="D101" t="str">
            <v>27211400 Пособия по безработице</v>
          </cell>
        </row>
        <row r="102">
          <cell r="D102" t="str">
            <v xml:space="preserve">27211500 Социальные выплаты населению </v>
          </cell>
        </row>
        <row r="103">
          <cell r="D103" t="str">
            <v>27211600 Компенсационные выплаты, в связи с потерей кормильца</v>
          </cell>
        </row>
        <row r="104">
          <cell r="D104" t="str">
            <v>27212100 Пособия по временной нетрудоспособности</v>
          </cell>
        </row>
        <row r="105">
          <cell r="D105" t="str">
            <v>27212200 Пособия по беременности и родам</v>
          </cell>
        </row>
        <row r="106">
          <cell r="D106" t="str">
            <v>27212300 Выплата ритуальных пособий (на погребение)</v>
          </cell>
        </row>
        <row r="107">
          <cell r="D107" t="str">
            <v xml:space="preserve">27213100 Льготы населению  </v>
          </cell>
        </row>
        <row r="108">
          <cell r="D108" t="str">
            <v>27214100 Расходы на профессиональное обучение</v>
          </cell>
        </row>
        <row r="109">
          <cell r="D109" t="str">
            <v>27214200 Расходы на организацию общественных работ</v>
          </cell>
        </row>
        <row r="110">
          <cell r="D110" t="str">
            <v>27214300 Расходы на микрокредитование</v>
          </cell>
        </row>
        <row r="111">
          <cell r="D111" t="str">
            <v>27214400 Чек на рабочее место</v>
          </cell>
        </row>
        <row r="112">
          <cell r="D112" t="str">
            <v>27215100 Расходы на оздоровительные мероприятия работников и членов их семей</v>
          </cell>
        </row>
        <row r="113">
          <cell r="D113" t="str">
            <v>27216100 Безвозмездная помощь населению, пострадавшему от стихийных бедствий</v>
          </cell>
        </row>
        <row r="114">
          <cell r="D114" t="str">
            <v>28211100 Стипендии</v>
          </cell>
        </row>
        <row r="115">
          <cell r="D115" t="str">
            <v>28212100 Плата  исполнительных документов по решению суда</v>
          </cell>
        </row>
        <row r="116">
          <cell r="D116" t="str">
            <v>28213100 Прочие расходы, не отнесенные к другим статьям</v>
          </cell>
        </row>
        <row r="117">
          <cell r="D117" t="str">
            <v>28215100 Страховые резервы</v>
          </cell>
        </row>
        <row r="118">
          <cell r="D118" t="str">
            <v>28215200 Резервные фонды</v>
          </cell>
        </row>
        <row r="119">
          <cell r="D119" t="str">
            <v>28216100 Фонд сокращения бедности</v>
          </cell>
        </row>
        <row r="120">
          <cell r="D120" t="str">
            <v>28216900 Прочие Фонды</v>
          </cell>
        </row>
        <row r="121">
          <cell r="D121" t="str">
            <v>28217100 Программа государственных инвестиций</v>
          </cell>
        </row>
        <row r="122">
          <cell r="D122" t="str">
            <v/>
          </cell>
        </row>
        <row r="123">
          <cell r="D123" t="str">
            <v>31111110 Продажа квартир</v>
          </cell>
        </row>
        <row r="124">
          <cell r="D124" t="str">
            <v>31111120 Продажа домов</v>
          </cell>
        </row>
        <row r="125">
          <cell r="D125" t="str">
            <v>31111190 Продажа прочих жилых зданий и помещений</v>
          </cell>
        </row>
        <row r="126">
          <cell r="D126" t="str">
            <v>31111210 Приобретение и строительство квартир</v>
          </cell>
        </row>
        <row r="127">
          <cell r="D127" t="str">
            <v>31111220 Приобретение и строительство домов</v>
          </cell>
        </row>
        <row r="128">
          <cell r="D128" t="str">
            <v>31111290 Приобретение и строительство прочих жилых зданий и помещений</v>
          </cell>
        </row>
        <row r="129">
          <cell r="D129" t="str">
            <v>31111310 Капитальный ремонт квартир</v>
          </cell>
        </row>
        <row r="130">
          <cell r="D130" t="str">
            <v>31111320 Капитальный ремонт домов</v>
          </cell>
        </row>
        <row r="131">
          <cell r="D131" t="str">
            <v>31111390 Капитальный ремонт прочих жилых зданий и помещений</v>
          </cell>
        </row>
        <row r="132">
          <cell r="D132" t="str">
            <v>31112110 Продажа производственных зданий</v>
          </cell>
        </row>
        <row r="133">
          <cell r="D133" t="str">
            <v>31112120 Продажа институциональных зданий</v>
          </cell>
        </row>
        <row r="134">
          <cell r="D134" t="str">
            <v>31112130 Продажа военных зданий</v>
          </cell>
        </row>
        <row r="135">
          <cell r="D135" t="str">
            <v>31112190 Продажа прочих зданий</v>
          </cell>
        </row>
        <row r="136">
          <cell r="D136" t="str">
            <v>31112210 Приобретение и строительство производственных зданий</v>
          </cell>
        </row>
        <row r="137">
          <cell r="D137" t="str">
            <v>31112220 Приобретение и строительство институциональных зданий</v>
          </cell>
        </row>
        <row r="138">
          <cell r="D138" t="str">
            <v>31112230 Приобретение и строительство военных зданий</v>
          </cell>
        </row>
        <row r="139">
          <cell r="D139" t="str">
            <v>31112290 Приобретение и строительство прочих зданий</v>
          </cell>
        </row>
        <row r="140">
          <cell r="D140" t="str">
            <v>31112310 Капитальный ремонт производственных зданий</v>
          </cell>
        </row>
        <row r="141">
          <cell r="D141" t="str">
            <v>31112320 Капитальный ремонт институциональных зданий</v>
          </cell>
        </row>
        <row r="142">
          <cell r="D142" t="str">
            <v>31112330 Капитальный ремонт военных зданий</v>
          </cell>
        </row>
        <row r="143">
          <cell r="D143" t="str">
            <v>31112390 Капитальный ремонт прочих зданий</v>
          </cell>
        </row>
        <row r="144">
          <cell r="D144" t="str">
            <v>31113110 Продажа производственных сооружений</v>
          </cell>
        </row>
        <row r="145">
          <cell r="D145" t="str">
            <v>31113120 Продажа дорог</v>
          </cell>
        </row>
        <row r="146">
          <cell r="D146" t="str">
            <v>31113130 Продажа мостов</v>
          </cell>
        </row>
        <row r="147">
          <cell r="D147" t="str">
            <v>31113190 Продажа прочих сооружений</v>
          </cell>
        </row>
        <row r="148">
          <cell r="D148" t="str">
            <v>31113210 Приобретение и строительство производственных сооружений</v>
          </cell>
        </row>
        <row r="149">
          <cell r="D149" t="str">
            <v>31113220 Приобретение и строительство дорог</v>
          </cell>
        </row>
        <row r="150">
          <cell r="D150" t="str">
            <v>31113230 Приобретение и строительство мостов</v>
          </cell>
        </row>
        <row r="151">
          <cell r="D151" t="str">
            <v>31113290 Приобретение и строительство прочих сооружений</v>
          </cell>
        </row>
        <row r="152">
          <cell r="D152" t="str">
            <v>31113310 Капитальный ремонт производственных сооружений</v>
          </cell>
        </row>
        <row r="153">
          <cell r="D153" t="str">
            <v>31113320 Капитальный ремонт дорог</v>
          </cell>
        </row>
        <row r="154">
          <cell r="D154" t="str">
            <v>31113330 Капитальный ремонт мостов</v>
          </cell>
        </row>
        <row r="155">
          <cell r="D155" t="str">
            <v>31113390 Капитальный ремонт прочих сооружений</v>
          </cell>
        </row>
        <row r="156">
          <cell r="D156" t="str">
            <v>31121110 Продажа легковых автомобилей</v>
          </cell>
        </row>
        <row r="157">
          <cell r="D157" t="str">
            <v>31121120 Продажа автобусов</v>
          </cell>
        </row>
        <row r="158">
          <cell r="D158" t="str">
            <v>31121130 Продажа грузовых машин</v>
          </cell>
        </row>
        <row r="159">
          <cell r="D159" t="str">
            <v>31121140 Продажа поездов</v>
          </cell>
        </row>
        <row r="160">
          <cell r="D160" t="str">
            <v>31121150 Продажа водных транспортных средств</v>
          </cell>
        </row>
        <row r="161">
          <cell r="D161" t="str">
            <v>31121160 Продажа воздушного тарнспорта</v>
          </cell>
        </row>
        <row r="162">
          <cell r="D162" t="str">
            <v>31121190 Продажа прочих транспортных средств</v>
          </cell>
        </row>
        <row r="163">
          <cell r="D163" t="str">
            <v>31121210 Приобретение легковых автомобилей</v>
          </cell>
        </row>
        <row r="164">
          <cell r="D164" t="str">
            <v>31121220 Приобретение автобусов</v>
          </cell>
        </row>
        <row r="165">
          <cell r="D165" t="str">
            <v>31121230 Приобретение грузовых машин</v>
          </cell>
        </row>
        <row r="166">
          <cell r="D166" t="str">
            <v>31121240 Приобретение поездов</v>
          </cell>
        </row>
        <row r="167">
          <cell r="D167" t="str">
            <v>31121250 Приобретение водных транспортных средств</v>
          </cell>
        </row>
        <row r="168">
          <cell r="D168" t="str">
            <v>31121260 Приобретение воздушного тарнспорта</v>
          </cell>
        </row>
        <row r="169">
          <cell r="D169" t="str">
            <v>31121290 Приобретение прочих транспортных средств</v>
          </cell>
        </row>
        <row r="170">
          <cell r="D170" t="str">
            <v>31121310 Капитальный ремонт легковых автомобилей</v>
          </cell>
        </row>
        <row r="171">
          <cell r="D171" t="str">
            <v>31121320 Капитальный ремонт автобусов</v>
          </cell>
        </row>
        <row r="172">
          <cell r="D172" t="str">
            <v>31121330 Капитальный ремонт грузовых машин</v>
          </cell>
        </row>
        <row r="173">
          <cell r="D173" t="str">
            <v>31121340 Капитальный ремонт поездов</v>
          </cell>
        </row>
        <row r="174">
          <cell r="D174" t="str">
            <v>31121350 Капитальный ремонт водных транспортных средств</v>
          </cell>
        </row>
        <row r="175">
          <cell r="D175" t="str">
            <v>31121360 Капитальный ремонт воздушного тарнспорта</v>
          </cell>
        </row>
        <row r="176">
          <cell r="D176" t="str">
            <v>31121390 Капитальный ремонт прочих транспортных средств</v>
          </cell>
        </row>
        <row r="177">
          <cell r="D177" t="str">
            <v>31122110 Продажа производственных механизмов и оборудования</v>
          </cell>
        </row>
        <row r="178">
          <cell r="D178" t="str">
            <v>31122120 Продажа сельскохозяйственных механизмов и обрудования</v>
          </cell>
        </row>
        <row r="179">
          <cell r="D179" t="str">
            <v>31122190 Продажа прочих механизмов и обрудования</v>
          </cell>
        </row>
        <row r="180">
          <cell r="D180" t="str">
            <v>31122210 Приобретение производственных механизмов и оборудования</v>
          </cell>
        </row>
        <row r="181">
          <cell r="D181" t="str">
            <v>31122220 Приобретение сельскохозяйственных механизмов и обрудования</v>
          </cell>
        </row>
        <row r="182">
          <cell r="D182" t="str">
            <v>31122290 Приобретение прочих механизмов и обрудования</v>
          </cell>
        </row>
        <row r="183">
          <cell r="D183" t="str">
            <v>31122310 Капитальный ремонт производственных механизмов и оборудования</v>
          </cell>
        </row>
        <row r="184">
          <cell r="D184" t="str">
            <v>31122320 Капитальный ремонт сельскохозяйственных механизмов и обрудования</v>
          </cell>
        </row>
        <row r="185">
          <cell r="D185" t="str">
            <v>31122390 Капитальный ремонт прочих механизмов и обрудования</v>
          </cell>
        </row>
        <row r="186">
          <cell r="D186" t="str">
            <v>31123110 Продажа мебели</v>
          </cell>
        </row>
        <row r="187">
          <cell r="D187" t="str">
            <v>31123120 Продажа офисного обрудования</v>
          </cell>
        </row>
        <row r="188">
          <cell r="D188" t="str">
            <v>31123130 Продажа компьютерного оборудования</v>
          </cell>
        </row>
        <row r="189">
          <cell r="D189" t="str">
            <v>31123140 Продажа инструментов</v>
          </cell>
        </row>
        <row r="190">
          <cell r="D190" t="str">
            <v>31123150 Продажа учебников, учебных пособий и книг</v>
          </cell>
        </row>
        <row r="191">
          <cell r="D191" t="str">
            <v>31123190 Продажа прочей мебели и оборудования</v>
          </cell>
        </row>
        <row r="192">
          <cell r="D192" t="str">
            <v>31123210 Приобретение мебели</v>
          </cell>
        </row>
        <row r="193">
          <cell r="D193" t="str">
            <v>31123220 Приобретение офисного обрудования</v>
          </cell>
        </row>
        <row r="194">
          <cell r="D194" t="str">
            <v>31123230 Приобретение компьютерного оборудования</v>
          </cell>
        </row>
        <row r="195">
          <cell r="D195" t="str">
            <v>31123240 Приобретение инструментов</v>
          </cell>
        </row>
        <row r="196">
          <cell r="D196" t="str">
            <v>31123250 Приобретение учебников, учебных пособий и книг</v>
          </cell>
        </row>
        <row r="197">
          <cell r="D197" t="str">
            <v>31123290 Приобретение прочей мебели и оборудования</v>
          </cell>
        </row>
        <row r="198">
          <cell r="D198" t="str">
            <v>31131110 Продажа сертифицированных семян</v>
          </cell>
        </row>
        <row r="199">
          <cell r="D199" t="str">
            <v>31131120 Продажа растений</v>
          </cell>
        </row>
        <row r="200">
          <cell r="D200" t="str">
            <v>31131130 Продажа животных</v>
          </cell>
        </row>
        <row r="201">
          <cell r="D201" t="str">
            <v>31131140 Продажа продуктивного скота</v>
          </cell>
        </row>
        <row r="202">
          <cell r="D202" t="str">
            <v>31131150 Продажа рабочего скота</v>
          </cell>
        </row>
        <row r="203">
          <cell r="D203" t="str">
            <v>31131190 Продажа прочих культивируемых активов</v>
          </cell>
        </row>
        <row r="204">
          <cell r="D204" t="str">
            <v>31131210 Приобретение сертифицированных семян</v>
          </cell>
        </row>
        <row r="205">
          <cell r="D205" t="str">
            <v>31131220 Приобретение растений</v>
          </cell>
        </row>
        <row r="206">
          <cell r="D206" t="str">
            <v>31131230 Приобретение животных</v>
          </cell>
        </row>
        <row r="207">
          <cell r="D207" t="str">
            <v>31131240 Приобретение продуктивного скота</v>
          </cell>
        </row>
        <row r="208">
          <cell r="D208" t="str">
            <v>31131250 Приобретение рабочего скота</v>
          </cell>
        </row>
        <row r="209">
          <cell r="D209" t="str">
            <v>31131290 Приобретение прочих культивируемых активов</v>
          </cell>
        </row>
        <row r="210">
          <cell r="D210" t="str">
            <v>31132110 Продажа авторских прав и патентов</v>
          </cell>
        </row>
        <row r="211">
          <cell r="D211" t="str">
            <v xml:space="preserve">31132120 Продажа прав на недра </v>
          </cell>
        </row>
        <row r="212">
          <cell r="D212" t="str">
            <v>31132130 Продажа прав на использование частот</v>
          </cell>
        </row>
        <row r="213">
          <cell r="D213" t="str">
            <v>31132190 Продажа прочих прав и нематериальных активов</v>
          </cell>
        </row>
        <row r="214">
          <cell r="D214" t="str">
            <v>31132210 Приобретение авторских прав и патентов</v>
          </cell>
        </row>
        <row r="215">
          <cell r="D215" t="str">
            <v xml:space="preserve">31132220 Приобретение прав на недра </v>
          </cell>
        </row>
        <row r="216">
          <cell r="D216" t="str">
            <v>31132230 Приобретение прав на использование частот</v>
          </cell>
        </row>
        <row r="217">
          <cell r="D217" t="str">
            <v>31132290 Приобретение прочих прав и нематериальных активов</v>
          </cell>
        </row>
        <row r="218">
          <cell r="D218" t="str">
            <v>31211110 Продажа горюче-смазочных материалов</v>
          </cell>
        </row>
        <row r="219">
          <cell r="D219" t="str">
            <v>31211120 Продажа зерновых культур</v>
          </cell>
        </row>
        <row r="220">
          <cell r="D220" t="str">
            <v>31211190 Продажа прочих запасов фонда государственного материального резерва</v>
          </cell>
        </row>
        <row r="221">
          <cell r="D221" t="str">
            <v>31211210 Приобретение запасов горюче-смазочных материалов</v>
          </cell>
        </row>
        <row r="222">
          <cell r="D222" t="str">
            <v>31211220 Приобретение запасов зерновых культур</v>
          </cell>
        </row>
        <row r="223">
          <cell r="D223" t="str">
            <v>31211290 Приобретение прочих запасов фонда государственного материального резерва</v>
          </cell>
        </row>
        <row r="224">
          <cell r="D224" t="str">
            <v>31221110 Продажа сырья и материалов</v>
          </cell>
        </row>
        <row r="225">
          <cell r="D225" t="str">
            <v>31221210 Приобретение запасов сырья и материалов</v>
          </cell>
        </row>
        <row r="226">
          <cell r="D226" t="str">
            <v>31222110 Продажа запасов незавершенного производства</v>
          </cell>
        </row>
        <row r="227">
          <cell r="D227" t="str">
            <v>31222210 Приобретение запасов незавершенного производства</v>
          </cell>
        </row>
        <row r="228">
          <cell r="D228" t="str">
            <v>31223110 Продажа готовой продукции</v>
          </cell>
        </row>
        <row r="229">
          <cell r="D229" t="str">
            <v>31223210 Приобретение готовой продукции</v>
          </cell>
        </row>
        <row r="230">
          <cell r="D230" t="str">
            <v>31224110 Продажа товаров для перепродажи</v>
          </cell>
        </row>
        <row r="231">
          <cell r="D231" t="str">
            <v>31224210 Приобретение товаров для перепродажи</v>
          </cell>
        </row>
        <row r="232">
          <cell r="D232" t="str">
            <v>31311110 Продажа  драгоценных металлов и камней</v>
          </cell>
        </row>
        <row r="233">
          <cell r="D233" t="str">
            <v>31311210 Приобретение драгоценных металлов и камней</v>
          </cell>
        </row>
        <row r="234">
          <cell r="D234" t="str">
            <v>31321110 Продажа активов культурного наследия</v>
          </cell>
        </row>
        <row r="235">
          <cell r="D235" t="str">
            <v>31321210 Приобретение активов культурного наследия</v>
          </cell>
        </row>
        <row r="236">
          <cell r="D236" t="str">
            <v>31331110 Продажа  ювелирных изделий</v>
          </cell>
        </row>
        <row r="237">
          <cell r="D237" t="str">
            <v>31331210 Приобретение ювелирных изделий</v>
          </cell>
        </row>
        <row r="238">
          <cell r="D238" t="str">
            <v>31411110 Продажа сельскохозяйственных земель</v>
          </cell>
        </row>
        <row r="239">
          <cell r="D239" t="str">
            <v>31411210 Приобретение сельскохозяйственных земель</v>
          </cell>
        </row>
        <row r="240">
          <cell r="D240" t="str">
            <v>31412110 Продажа несельскохозяйственных земель</v>
          </cell>
        </row>
        <row r="241">
          <cell r="D241" t="str">
            <v>31412210 Приобретение земли под жилые здания и сооружения</v>
          </cell>
        </row>
        <row r="242">
          <cell r="D242" t="str">
            <v>31412220 Приобретение земли для производственных целей</v>
          </cell>
        </row>
        <row r="243">
          <cell r="D243" t="str">
            <v>31412290 Приобретение земли для прочих целей</v>
          </cell>
        </row>
        <row r="244">
          <cell r="D244" t="str">
            <v>32131110 Продажа краткосрочных ценных бумаг, кроме акций</v>
          </cell>
        </row>
        <row r="245">
          <cell r="D245" t="str">
            <v>32131210 Приобретение краткосрочных ценных бумаг, кроме акций</v>
          </cell>
        </row>
        <row r="246">
          <cell r="D246" t="str">
            <v>32132110 Продажа долгосрочных ценных бумаг, кроме акций</v>
          </cell>
        </row>
        <row r="247">
          <cell r="D247" t="str">
            <v>32132210 Приобретение долгосрочных ценных бумаг, кроме акций</v>
          </cell>
        </row>
        <row r="248">
          <cell r="D248" t="str">
            <v>32141110 Погашение бюджетных ссуд местными органами управления</v>
          </cell>
        </row>
        <row r="249">
          <cell r="D249" t="str">
            <v>32141190 Погашение бюджетных ссуд прочими уровнями госуправления</v>
          </cell>
        </row>
        <row r="250">
          <cell r="D250" t="str">
            <v>32141210 Выпуск бюджетной ссуды местным органам управления</v>
          </cell>
        </row>
        <row r="251">
          <cell r="D251" t="str">
            <v>32141290 Выпуск бюджетной ссуды прочим уровням госуправления</v>
          </cell>
        </row>
        <row r="252">
          <cell r="D252" t="str">
            <v xml:space="preserve">32142110 Погашение ссуды предприятиями и организациями </v>
          </cell>
        </row>
        <row r="253">
          <cell r="D253" t="str">
            <v>32142120 Погашение ссуды финансовыми учреждениями</v>
          </cell>
        </row>
        <row r="254">
          <cell r="D254" t="str">
            <v>32142130 Погашение ссуды населению</v>
          </cell>
        </row>
        <row r="255">
          <cell r="D255" t="str">
            <v>32142210 Выпуск ссуды предприятиям и организациям</v>
          </cell>
        </row>
        <row r="256">
          <cell r="D256" t="str">
            <v>32142220 Выпуск ссуды финансовым учреждениям</v>
          </cell>
        </row>
        <row r="257">
          <cell r="D257" t="str">
            <v>32142230 Выпуск ссуды населению</v>
          </cell>
        </row>
        <row r="258">
          <cell r="D258" t="str">
            <v xml:space="preserve">32151110 Продажа акций </v>
          </cell>
        </row>
        <row r="259">
          <cell r="D259" t="str">
            <v>32151190 Продажа других форм участия в капитале</v>
          </cell>
        </row>
        <row r="260">
          <cell r="D260" t="str">
            <v xml:space="preserve">32151210 Приобретение акций </v>
          </cell>
        </row>
        <row r="261">
          <cell r="D261" t="str">
            <v>32151290 Приобретение других форм участия в капитале</v>
          </cell>
        </row>
        <row r="262">
          <cell r="D262" t="str">
            <v xml:space="preserve">32171110 Погашение прочей внутренней дебиторской задолженности </v>
          </cell>
        </row>
        <row r="263">
          <cell r="D263" t="str">
            <v>32171210 Признание прочей внутренней дебиторской задолженности</v>
          </cell>
        </row>
        <row r="264">
          <cell r="D264" t="str">
            <v>32231110 Продажа краткосрочных ценных бумаг, кроме акций</v>
          </cell>
        </row>
        <row r="265">
          <cell r="D265" t="str">
            <v>32231210 Приобретение краткосрочных ценных бумаг, кроме акций</v>
          </cell>
        </row>
        <row r="266">
          <cell r="D266" t="str">
            <v>32232110 Продажа долгосрочных ценных бумаг, кроме акций</v>
          </cell>
        </row>
        <row r="267">
          <cell r="D267" t="str">
            <v>32232210 Приобретение долгосрочных ценных бумаг, кроме акций</v>
          </cell>
        </row>
        <row r="268">
          <cell r="D268" t="str">
            <v>32241110 Погашение кредита правительствами других государств</v>
          </cell>
        </row>
        <row r="269">
          <cell r="D269" t="str">
            <v>32241210 Выпуск кредита правительствам других государств</v>
          </cell>
        </row>
        <row r="270">
          <cell r="D270" t="str">
            <v>32251110 Продажа акций</v>
          </cell>
        </row>
        <row r="271">
          <cell r="D271" t="str">
            <v>32251190 Продажа других форм участия в капитале</v>
          </cell>
        </row>
        <row r="272">
          <cell r="D272" t="str">
            <v>32251210 Приобретение акций</v>
          </cell>
        </row>
        <row r="273">
          <cell r="D273" t="str">
            <v>32251290 Приобретение других форм участия в капитале</v>
          </cell>
        </row>
        <row r="274">
          <cell r="D274" t="str">
            <v xml:space="preserve">32271110 Погашение прочей внешней дебиторской задолженности </v>
          </cell>
        </row>
        <row r="275">
          <cell r="D275" t="str">
            <v xml:space="preserve">32271210 Признание прочей внешней дебиторской задолженности </v>
          </cell>
        </row>
        <row r="276">
          <cell r="D276" t="str">
            <v>33131110 Выпуск государственных краткосрочных ценных бумаг, кроме акций</v>
          </cell>
        </row>
        <row r="277">
          <cell r="D277" t="str">
            <v>33131190 Выпуск прочих государственных краткосрочных ценных бумаг, кроме акций</v>
          </cell>
        </row>
        <row r="278">
          <cell r="D278" t="str">
            <v>33131210 Погашение государственных краткосрочных ценных бумаг, кроме акций</v>
          </cell>
        </row>
        <row r="279">
          <cell r="D279" t="str">
            <v>33131290 Погашение прочих государственных краткосрочных ценных бумаг, кроме акций</v>
          </cell>
        </row>
        <row r="280">
          <cell r="D280" t="str">
            <v>33132110 Выпуск государственных долгосрочных ценных бумаг, кроме акций</v>
          </cell>
        </row>
        <row r="281">
          <cell r="D281" t="str">
            <v>33132190 Выпуск прочих государственных долгосрочных ценных бумаг, кроме акций</v>
          </cell>
        </row>
        <row r="282">
          <cell r="D282" t="str">
            <v>33132210 Погашение  государственных долгосрочных ценных бумаг, кроме акций</v>
          </cell>
        </row>
        <row r="283">
          <cell r="D283" t="str">
            <v>33132290 Погашение прочих  государственных долгосрочных ценных бумаг, кроме акций</v>
          </cell>
        </row>
        <row r="284">
          <cell r="D284" t="str">
            <v>33141110 Получение заимствований от других единиц государственного управления</v>
          </cell>
        </row>
        <row r="285">
          <cell r="D285" t="str">
            <v>33141210 Погашение заимствований другим единицам государственного управления</v>
          </cell>
        </row>
        <row r="286">
          <cell r="D286" t="str">
            <v>33142110 Получение заимствований от предприятий, организаций, финансовых учреждений</v>
          </cell>
        </row>
        <row r="287">
          <cell r="D287" t="str">
            <v>33142210 Погашение заимствований предприятиям, организациям, финансовым учреждениям</v>
          </cell>
        </row>
        <row r="288">
          <cell r="D288" t="str">
            <v>33171110 Прочая внутренняя кредиторская задолженность</v>
          </cell>
        </row>
        <row r="289">
          <cell r="D289" t="str">
            <v>33171210 Погашение прочей внутренней кредиторской задолженности</v>
          </cell>
        </row>
        <row r="290">
          <cell r="D290" t="str">
            <v>33241110 Получение заимствований по двусторонним долговым соглашениям</v>
          </cell>
        </row>
        <row r="291">
          <cell r="D291" t="str">
            <v>33241210 Погашение обязательств по двусторонним долговым соглашениям</v>
          </cell>
        </row>
        <row r="292">
          <cell r="D292" t="str">
            <v>33242110 Получение заимствований по многосторонним долговым соглашениям</v>
          </cell>
        </row>
        <row r="293">
          <cell r="D293" t="str">
            <v>33242210 Погашение обязательств по мносторонним долговым соглашениям</v>
          </cell>
        </row>
        <row r="294">
          <cell r="D294" t="str">
            <v>33243110 Получение заимствований от иностранных финансовых институтов</v>
          </cell>
        </row>
        <row r="295">
          <cell r="D295" t="str">
            <v>33243210 Погашение обязательств перед иностранными финансовыми институтами</v>
          </cell>
        </row>
        <row r="296">
          <cell r="D296" t="str">
            <v xml:space="preserve">33249110 Получение прочих внешних заимствований </v>
          </cell>
        </row>
        <row r="297">
          <cell r="D297" t="str">
            <v>33249210 Погашение прочих внешних заимстовований</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1096"/>
  <sheetViews>
    <sheetView tabSelected="1" view="pageBreakPreview" topLeftCell="B1049" zoomScale="80" zoomScaleNormal="80" zoomScaleSheetLayoutView="80" workbookViewId="0">
      <selection activeCell="F1102" sqref="F1102"/>
    </sheetView>
  </sheetViews>
  <sheetFormatPr defaultRowHeight="29.25" customHeight="1" x14ac:dyDescent="0.25"/>
  <cols>
    <col min="1" max="1" width="6.5703125" style="181" hidden="1" customWidth="1"/>
    <col min="2" max="2" width="7.28515625" style="181" customWidth="1"/>
    <col min="3" max="3" width="7" style="980" customWidth="1"/>
    <col min="4" max="4" width="7" style="981" customWidth="1"/>
    <col min="5" max="5" width="7" style="980" customWidth="1"/>
    <col min="6" max="6" width="59.28515625" style="982" customWidth="1"/>
    <col min="7" max="7" width="15.5703125" style="983" bestFit="1" customWidth="1"/>
    <col min="8" max="8" width="17.5703125" style="983" bestFit="1" customWidth="1"/>
    <col min="9" max="9" width="16.42578125" style="983" bestFit="1" customWidth="1"/>
    <col min="10" max="11" width="17.5703125" style="983" bestFit="1" customWidth="1"/>
    <col min="12" max="12" width="54" style="984" customWidth="1"/>
    <col min="13" max="13" width="11.5703125" style="181" customWidth="1"/>
    <col min="14" max="18" width="14.140625" style="181" customWidth="1"/>
    <col min="19" max="19" width="9.140625" style="177"/>
    <col min="20" max="24" width="12" style="177" bestFit="1" customWidth="1"/>
    <col min="25" max="16384" width="9.140625" style="177"/>
  </cols>
  <sheetData>
    <row r="1" spans="1:19" ht="75" customHeight="1" x14ac:dyDescent="0.25">
      <c r="A1" s="171"/>
      <c r="B1" s="171"/>
      <c r="C1" s="172"/>
      <c r="D1" s="173"/>
      <c r="E1" s="172"/>
      <c r="F1" s="174"/>
      <c r="G1" s="175"/>
      <c r="H1" s="175"/>
      <c r="I1" s="175"/>
      <c r="J1" s="175" t="s">
        <v>22</v>
      </c>
      <c r="K1" s="175"/>
      <c r="L1" s="176"/>
      <c r="M1" s="1793" t="s">
        <v>1762</v>
      </c>
      <c r="N1" s="1793"/>
      <c r="O1" s="1793"/>
      <c r="P1" s="1793"/>
      <c r="Q1" s="1793"/>
      <c r="R1" s="1793"/>
    </row>
    <row r="2" spans="1:19" ht="15" x14ac:dyDescent="0.25">
      <c r="A2" s="177"/>
      <c r="B2" s="177"/>
      <c r="C2" s="177"/>
      <c r="D2" s="177"/>
      <c r="E2" s="177"/>
      <c r="F2" s="177"/>
      <c r="G2" s="178"/>
      <c r="H2" s="178"/>
      <c r="I2" s="178"/>
      <c r="J2" s="178"/>
      <c r="K2" s="178"/>
      <c r="L2" s="176"/>
      <c r="M2" s="179"/>
      <c r="N2" s="179"/>
      <c r="O2" s="179"/>
      <c r="P2" s="179"/>
      <c r="Q2" s="180"/>
      <c r="R2" s="180"/>
    </row>
    <row r="3" spans="1:19" ht="19.5" customHeight="1" x14ac:dyDescent="0.3">
      <c r="A3" s="1280" t="s">
        <v>287</v>
      </c>
      <c r="B3" s="1280"/>
      <c r="C3" s="1280"/>
      <c r="D3" s="1280"/>
      <c r="E3" s="1280"/>
      <c r="F3" s="1280"/>
      <c r="G3" s="1280"/>
      <c r="H3" s="1280"/>
      <c r="I3" s="1280"/>
      <c r="J3" s="1280"/>
      <c r="K3" s="1280"/>
      <c r="L3" s="1280"/>
      <c r="M3" s="1280"/>
      <c r="N3" s="1280"/>
      <c r="O3" s="1280"/>
      <c r="P3" s="1280"/>
      <c r="Q3" s="1280"/>
      <c r="R3" s="1280"/>
    </row>
    <row r="4" spans="1:19" ht="19.5" customHeight="1" x14ac:dyDescent="0.25">
      <c r="A4" s="171"/>
      <c r="B4" s="171"/>
      <c r="C4" s="172"/>
      <c r="D4" s="173"/>
      <c r="E4" s="172"/>
      <c r="F4" s="174"/>
      <c r="G4" s="175"/>
      <c r="H4" s="175"/>
      <c r="I4" s="175"/>
      <c r="J4" s="175"/>
      <c r="K4" s="175"/>
      <c r="L4" s="176"/>
      <c r="M4" s="171"/>
      <c r="N4" s="171"/>
      <c r="O4" s="171"/>
      <c r="P4" s="171"/>
      <c r="Q4" s="171"/>
      <c r="R4" s="171"/>
    </row>
    <row r="5" spans="1:19" s="181" customFormat="1" ht="29.25" customHeight="1" x14ac:dyDescent="0.25">
      <c r="A5" s="1281"/>
      <c r="B5" s="1284" t="s">
        <v>1783</v>
      </c>
      <c r="C5" s="1285" t="s">
        <v>1782</v>
      </c>
      <c r="D5" s="1285" t="s">
        <v>1781</v>
      </c>
      <c r="E5" s="1285" t="s">
        <v>1780</v>
      </c>
      <c r="F5" s="1284" t="s">
        <v>288</v>
      </c>
      <c r="G5" s="1286" t="s">
        <v>289</v>
      </c>
      <c r="H5" s="1286"/>
      <c r="I5" s="1286"/>
      <c r="J5" s="1286"/>
      <c r="K5" s="1286"/>
      <c r="L5" s="1251" t="s">
        <v>290</v>
      </c>
      <c r="M5" s="1251" t="s">
        <v>291</v>
      </c>
      <c r="N5" s="1251" t="s">
        <v>292</v>
      </c>
      <c r="O5" s="1251" t="s">
        <v>293</v>
      </c>
      <c r="P5" s="1251"/>
      <c r="Q5" s="1251"/>
      <c r="R5" s="1251"/>
    </row>
    <row r="6" spans="1:19" s="181" customFormat="1" ht="29.25" customHeight="1" x14ac:dyDescent="0.25">
      <c r="A6" s="1282"/>
      <c r="B6" s="1284"/>
      <c r="C6" s="1285"/>
      <c r="D6" s="1285"/>
      <c r="E6" s="1285"/>
      <c r="F6" s="1284"/>
      <c r="G6" s="1252" t="s">
        <v>294</v>
      </c>
      <c r="H6" s="1252"/>
      <c r="I6" s="1252"/>
      <c r="J6" s="1252"/>
      <c r="K6" s="1252"/>
      <c r="L6" s="1251"/>
      <c r="M6" s="1251"/>
      <c r="N6" s="1251"/>
      <c r="O6" s="1251"/>
      <c r="P6" s="1251"/>
      <c r="Q6" s="1251"/>
      <c r="R6" s="1251"/>
    </row>
    <row r="7" spans="1:19" s="181" customFormat="1" ht="29.25" customHeight="1" x14ac:dyDescent="0.25">
      <c r="A7" s="1283"/>
      <c r="B7" s="1284"/>
      <c r="C7" s="1285"/>
      <c r="D7" s="1285"/>
      <c r="E7" s="1285"/>
      <c r="F7" s="1284"/>
      <c r="G7" s="182">
        <v>2020</v>
      </c>
      <c r="H7" s="182">
        <v>2021</v>
      </c>
      <c r="I7" s="182">
        <v>2022</v>
      </c>
      <c r="J7" s="182">
        <v>2023</v>
      </c>
      <c r="K7" s="182">
        <v>2024</v>
      </c>
      <c r="L7" s="1251"/>
      <c r="M7" s="1251"/>
      <c r="N7" s="182">
        <v>2020</v>
      </c>
      <c r="O7" s="182">
        <v>2021</v>
      </c>
      <c r="P7" s="182">
        <v>2022</v>
      </c>
      <c r="Q7" s="182">
        <v>2023</v>
      </c>
      <c r="R7" s="182">
        <v>2024</v>
      </c>
    </row>
    <row r="8" spans="1:19" s="181" customFormat="1" ht="15" x14ac:dyDescent="0.25">
      <c r="A8" s="183"/>
      <c r="B8" s="1253" t="s">
        <v>295</v>
      </c>
      <c r="C8" s="1253"/>
      <c r="D8" s="1253"/>
      <c r="E8" s="1253"/>
      <c r="F8" s="1253"/>
      <c r="G8" s="1253"/>
      <c r="H8" s="1253"/>
      <c r="I8" s="1253"/>
      <c r="J8" s="1253"/>
      <c r="K8" s="1253"/>
      <c r="L8" s="1253"/>
      <c r="M8" s="1253"/>
      <c r="N8" s="1253"/>
      <c r="O8" s="1253"/>
      <c r="P8" s="1253"/>
      <c r="Q8" s="1253"/>
      <c r="R8" s="1253"/>
      <c r="S8" s="1253"/>
    </row>
    <row r="9" spans="1:19" s="181" customFormat="1" ht="59.25" x14ac:dyDescent="0.25">
      <c r="A9" s="183"/>
      <c r="B9" s="1113">
        <v>1</v>
      </c>
      <c r="C9" s="1113"/>
      <c r="D9" s="1114"/>
      <c r="E9" s="184"/>
      <c r="F9" s="185" t="s">
        <v>296</v>
      </c>
      <c r="G9" s="1157">
        <f>G10+G12</f>
        <v>713444.3</v>
      </c>
      <c r="H9" s="1157">
        <f t="shared" ref="H9:K9" si="0">H10+H12</f>
        <v>707025.29999999993</v>
      </c>
      <c r="I9" s="1157">
        <f t="shared" si="0"/>
        <v>712465.79999999993</v>
      </c>
      <c r="J9" s="1157">
        <f t="shared" si="0"/>
        <v>726831.9</v>
      </c>
      <c r="K9" s="1157">
        <f t="shared" si="0"/>
        <v>747643.79999999993</v>
      </c>
      <c r="L9" s="1158" t="s">
        <v>1277</v>
      </c>
      <c r="M9" s="1108" t="s">
        <v>297</v>
      </c>
      <c r="N9" s="1069">
        <v>81</v>
      </c>
      <c r="O9" s="1069">
        <v>70</v>
      </c>
      <c r="P9" s="1069">
        <v>75</v>
      </c>
      <c r="Q9" s="1069">
        <v>75</v>
      </c>
      <c r="R9" s="1069">
        <v>75</v>
      </c>
      <c r="S9" s="188"/>
    </row>
    <row r="10" spans="1:19" s="181" customFormat="1" ht="60" x14ac:dyDescent="0.25">
      <c r="A10" s="183"/>
      <c r="B10" s="1254"/>
      <c r="C10" s="1255"/>
      <c r="D10" s="1254">
        <v>1</v>
      </c>
      <c r="E10" s="1257"/>
      <c r="F10" s="1248" t="s">
        <v>1272</v>
      </c>
      <c r="G10" s="1249">
        <v>661745.4</v>
      </c>
      <c r="H10" s="1249">
        <v>650270.69999999995</v>
      </c>
      <c r="I10" s="1249">
        <v>650245.19999999995</v>
      </c>
      <c r="J10" s="1249">
        <v>663368.30000000005</v>
      </c>
      <c r="K10" s="1249">
        <v>684013.2</v>
      </c>
      <c r="L10" s="1159" t="s">
        <v>1274</v>
      </c>
      <c r="M10" s="989" t="s">
        <v>4</v>
      </c>
      <c r="N10" s="989">
        <v>90</v>
      </c>
      <c r="O10" s="989">
        <v>90</v>
      </c>
      <c r="P10" s="989">
        <v>90</v>
      </c>
      <c r="Q10" s="989">
        <v>90</v>
      </c>
      <c r="R10" s="989">
        <v>90</v>
      </c>
      <c r="S10" s="188"/>
    </row>
    <row r="11" spans="1:19" s="181" customFormat="1" ht="75" x14ac:dyDescent="0.25">
      <c r="A11" s="183"/>
      <c r="B11" s="1254"/>
      <c r="C11" s="1256"/>
      <c r="D11" s="1254"/>
      <c r="E11" s="1256"/>
      <c r="F11" s="1258"/>
      <c r="G11" s="1250"/>
      <c r="H11" s="1250"/>
      <c r="I11" s="1250"/>
      <c r="J11" s="1250"/>
      <c r="K11" s="1250"/>
      <c r="L11" s="1160" t="s">
        <v>298</v>
      </c>
      <c r="M11" s="989" t="s">
        <v>21</v>
      </c>
      <c r="N11" s="989">
        <v>0.5</v>
      </c>
      <c r="O11" s="989">
        <v>0.5</v>
      </c>
      <c r="P11" s="989">
        <v>0.5</v>
      </c>
      <c r="Q11" s="989">
        <v>0.5</v>
      </c>
      <c r="R11" s="989">
        <v>0.5</v>
      </c>
      <c r="S11" s="188"/>
    </row>
    <row r="12" spans="1:19" s="181" customFormat="1" ht="29.25" customHeight="1" x14ac:dyDescent="0.25">
      <c r="A12" s="183"/>
      <c r="B12" s="1287"/>
      <c r="C12" s="1148"/>
      <c r="D12" s="1255">
        <v>2</v>
      </c>
      <c r="E12" s="1245"/>
      <c r="F12" s="1247" t="s">
        <v>1273</v>
      </c>
      <c r="G12" s="1249">
        <f>40973+10725.9</f>
        <v>51698.9</v>
      </c>
      <c r="H12" s="1249">
        <f>44666.9+12087.7</f>
        <v>56754.600000000006</v>
      </c>
      <c r="I12" s="1249">
        <v>62220.6</v>
      </c>
      <c r="J12" s="1249">
        <v>63463.6</v>
      </c>
      <c r="K12" s="1249">
        <v>63630.6</v>
      </c>
      <c r="L12" s="1160" t="s">
        <v>1275</v>
      </c>
      <c r="M12" s="989" t="s">
        <v>21</v>
      </c>
      <c r="N12" s="989">
        <v>0.15</v>
      </c>
      <c r="O12" s="989">
        <v>0.15</v>
      </c>
      <c r="P12" s="989">
        <v>0.15</v>
      </c>
      <c r="Q12" s="989">
        <v>0.15</v>
      </c>
      <c r="R12" s="989">
        <v>0.15</v>
      </c>
      <c r="S12" s="188"/>
    </row>
    <row r="13" spans="1:19" s="181" customFormat="1" ht="29.25" customHeight="1" x14ac:dyDescent="0.25">
      <c r="A13" s="183"/>
      <c r="B13" s="1288"/>
      <c r="C13" s="1113"/>
      <c r="D13" s="1257"/>
      <c r="E13" s="1246"/>
      <c r="F13" s="1248"/>
      <c r="G13" s="1250"/>
      <c r="H13" s="1250"/>
      <c r="I13" s="1250"/>
      <c r="J13" s="1250"/>
      <c r="K13" s="1250"/>
      <c r="L13" s="1161" t="s">
        <v>1276</v>
      </c>
      <c r="M13" s="1067" t="s">
        <v>297</v>
      </c>
      <c r="N13" s="1067">
        <v>217</v>
      </c>
      <c r="O13" s="1067">
        <v>260</v>
      </c>
      <c r="P13" s="1067">
        <v>260</v>
      </c>
      <c r="Q13" s="1067">
        <v>260</v>
      </c>
      <c r="R13" s="1067">
        <v>260</v>
      </c>
      <c r="S13" s="188"/>
    </row>
    <row r="14" spans="1:19" s="181" customFormat="1" ht="15" x14ac:dyDescent="0.25">
      <c r="A14" s="183"/>
      <c r="B14" s="1290" t="s">
        <v>299</v>
      </c>
      <c r="C14" s="1290"/>
      <c r="D14" s="1290"/>
      <c r="E14" s="1290"/>
      <c r="F14" s="1290"/>
      <c r="G14" s="192">
        <f>G9</f>
        <v>713444.3</v>
      </c>
      <c r="H14" s="192">
        <f t="shared" ref="H14:K14" si="1">H9</f>
        <v>707025.29999999993</v>
      </c>
      <c r="I14" s="192">
        <f t="shared" si="1"/>
        <v>712465.79999999993</v>
      </c>
      <c r="J14" s="192">
        <f t="shared" si="1"/>
        <v>726831.9</v>
      </c>
      <c r="K14" s="192">
        <f t="shared" si="1"/>
        <v>747643.79999999993</v>
      </c>
      <c r="L14" s="193"/>
      <c r="M14" s="1279"/>
      <c r="N14" s="1279"/>
      <c r="O14" s="1279"/>
      <c r="P14" s="1279"/>
      <c r="Q14" s="1279"/>
      <c r="R14" s="1279"/>
      <c r="S14" s="188"/>
    </row>
    <row r="15" spans="1:19" s="181" customFormat="1" ht="15" x14ac:dyDescent="0.25">
      <c r="A15" s="183"/>
      <c r="B15" s="1259" t="s">
        <v>300</v>
      </c>
      <c r="C15" s="1260" t="s">
        <v>72</v>
      </c>
      <c r="D15" s="1260"/>
      <c r="E15" s="1260"/>
      <c r="F15" s="1260"/>
      <c r="G15" s="1260"/>
      <c r="H15" s="1260"/>
      <c r="I15" s="1260"/>
      <c r="J15" s="1260"/>
      <c r="K15" s="1260"/>
      <c r="L15" s="1260"/>
      <c r="M15" s="1260"/>
      <c r="N15" s="1260"/>
      <c r="O15" s="1260"/>
      <c r="P15" s="1260"/>
      <c r="Q15" s="194"/>
      <c r="R15" s="195"/>
      <c r="S15" s="188"/>
    </row>
    <row r="16" spans="1:19" s="181" customFormat="1" ht="34.5" customHeight="1" x14ac:dyDescent="0.25">
      <c r="A16" s="183"/>
      <c r="B16" s="1263">
        <v>12</v>
      </c>
      <c r="C16" s="1052" t="s">
        <v>73</v>
      </c>
      <c r="D16" s="197"/>
      <c r="E16" s="198"/>
      <c r="F16" s="1088" t="s">
        <v>301</v>
      </c>
      <c r="G16" s="1154">
        <f>G17+G18+G19+G20+G21</f>
        <v>136227.1</v>
      </c>
      <c r="H16" s="1154">
        <f t="shared" ref="H16:K16" si="2">H17+H18+H19+H20+H21</f>
        <v>186113.4</v>
      </c>
      <c r="I16" s="1154">
        <f t="shared" si="2"/>
        <v>481351.89999999997</v>
      </c>
      <c r="J16" s="1154">
        <f t="shared" si="2"/>
        <v>489325.29599999997</v>
      </c>
      <c r="K16" s="1154">
        <f t="shared" si="2"/>
        <v>491868.77899999998</v>
      </c>
      <c r="L16" s="198"/>
      <c r="M16" s="199"/>
      <c r="N16" s="199"/>
      <c r="O16" s="199"/>
      <c r="P16" s="199"/>
      <c r="Q16" s="199"/>
      <c r="R16" s="200"/>
      <c r="S16" s="188"/>
    </row>
    <row r="17" spans="1:19" s="181" customFormat="1" ht="45" x14ac:dyDescent="0.25">
      <c r="A17" s="183"/>
      <c r="B17" s="1263"/>
      <c r="C17" s="1053"/>
      <c r="D17" s="1061">
        <v>1</v>
      </c>
      <c r="E17" s="1062"/>
      <c r="F17" s="1050" t="s">
        <v>1278</v>
      </c>
      <c r="G17" s="290">
        <v>99170.8</v>
      </c>
      <c r="H17" s="290">
        <v>115432.7</v>
      </c>
      <c r="I17" s="290">
        <v>400671.1</v>
      </c>
      <c r="J17" s="290">
        <v>408644.49599999998</v>
      </c>
      <c r="K17" s="290">
        <v>411188.07900000003</v>
      </c>
      <c r="L17" s="1063" t="s">
        <v>302</v>
      </c>
      <c r="M17" s="205" t="s">
        <v>4</v>
      </c>
      <c r="N17" s="206">
        <f>99170.8/172744200*100</f>
        <v>5.7409047597545962E-2</v>
      </c>
      <c r="O17" s="206">
        <f>115432.7/169452000*100</f>
        <v>6.8121178858909906E-2</v>
      </c>
      <c r="P17" s="206">
        <f>O17</f>
        <v>6.8121178858909906E-2</v>
      </c>
      <c r="Q17" s="206">
        <f>O17</f>
        <v>6.8121178858909906E-2</v>
      </c>
      <c r="R17" s="207">
        <f>O17</f>
        <v>6.8121178858909906E-2</v>
      </c>
      <c r="S17" s="188"/>
    </row>
    <row r="18" spans="1:19" s="181" customFormat="1" ht="60" x14ac:dyDescent="0.25">
      <c r="A18" s="183"/>
      <c r="B18" s="1263"/>
      <c r="C18" s="1053"/>
      <c r="D18" s="1061">
        <v>2</v>
      </c>
      <c r="E18" s="1077"/>
      <c r="F18" s="209" t="s">
        <v>303</v>
      </c>
      <c r="G18" s="290">
        <v>2042.2</v>
      </c>
      <c r="H18" s="290">
        <v>5894.6</v>
      </c>
      <c r="I18" s="290">
        <v>5894.6</v>
      </c>
      <c r="J18" s="290">
        <v>5894.6</v>
      </c>
      <c r="K18" s="290">
        <v>5894.6</v>
      </c>
      <c r="L18" s="1050" t="s">
        <v>304</v>
      </c>
      <c r="M18" s="205" t="s">
        <v>4</v>
      </c>
      <c r="N18" s="211">
        <v>100</v>
      </c>
      <c r="O18" s="211">
        <v>100</v>
      </c>
      <c r="P18" s="211">
        <v>100</v>
      </c>
      <c r="Q18" s="211">
        <v>100</v>
      </c>
      <c r="R18" s="212">
        <v>100</v>
      </c>
      <c r="S18" s="188"/>
    </row>
    <row r="19" spans="1:19" s="181" customFormat="1" ht="45" x14ac:dyDescent="0.25">
      <c r="A19" s="183"/>
      <c r="B19" s="1263"/>
      <c r="C19" s="1053"/>
      <c r="D19" s="1061">
        <v>3</v>
      </c>
      <c r="E19" s="1077"/>
      <c r="F19" s="209" t="s">
        <v>305</v>
      </c>
      <c r="G19" s="1155">
        <v>16452</v>
      </c>
      <c r="H19" s="1155">
        <v>30000</v>
      </c>
      <c r="I19" s="1155">
        <v>40000</v>
      </c>
      <c r="J19" s="1155">
        <v>40000</v>
      </c>
      <c r="K19" s="1155">
        <v>40000</v>
      </c>
      <c r="L19" s="209" t="s">
        <v>306</v>
      </c>
      <c r="M19" s="205" t="s">
        <v>297</v>
      </c>
      <c r="N19" s="214">
        <v>63</v>
      </c>
      <c r="O19" s="214">
        <f>N19/G19*H19</f>
        <v>114.87964989059081</v>
      </c>
      <c r="P19" s="214">
        <f t="shared" ref="P19:R19" si="3">O19/H19*I19</f>
        <v>153.17286652078775</v>
      </c>
      <c r="Q19" s="214">
        <f t="shared" si="3"/>
        <v>153.17286652078775</v>
      </c>
      <c r="R19" s="215">
        <f t="shared" si="3"/>
        <v>153.17286652078775</v>
      </c>
      <c r="S19" s="188"/>
    </row>
    <row r="20" spans="1:19" s="181" customFormat="1" ht="45" x14ac:dyDescent="0.25">
      <c r="A20" s="183"/>
      <c r="B20" s="1263"/>
      <c r="C20" s="1053"/>
      <c r="D20" s="1061">
        <v>4</v>
      </c>
      <c r="E20" s="1077"/>
      <c r="F20" s="209" t="s">
        <v>307</v>
      </c>
      <c r="G20" s="290">
        <v>1344</v>
      </c>
      <c r="H20" s="290">
        <v>4786.1000000000004</v>
      </c>
      <c r="I20" s="290">
        <f>2786.1+2000+0.1</f>
        <v>4786.2000000000007</v>
      </c>
      <c r="J20" s="290">
        <f>2786.1+2000+0.1</f>
        <v>4786.2000000000007</v>
      </c>
      <c r="K20" s="290">
        <f t="shared" ref="K20" si="4">2786.1+2000</f>
        <v>4786.1000000000004</v>
      </c>
      <c r="L20" s="209" t="s">
        <v>308</v>
      </c>
      <c r="M20" s="205" t="s">
        <v>297</v>
      </c>
      <c r="N20" s="216">
        <v>15</v>
      </c>
      <c r="O20" s="216">
        <v>15</v>
      </c>
      <c r="P20" s="216">
        <v>15</v>
      </c>
      <c r="Q20" s="216">
        <v>15</v>
      </c>
      <c r="R20" s="217">
        <v>15</v>
      </c>
      <c r="S20" s="188"/>
    </row>
    <row r="21" spans="1:19" s="181" customFormat="1" ht="45" x14ac:dyDescent="0.25">
      <c r="A21" s="1016"/>
      <c r="B21" s="1263"/>
      <c r="C21" s="1053"/>
      <c r="D21" s="628">
        <v>5</v>
      </c>
      <c r="E21" s="628"/>
      <c r="F21" s="1156" t="s">
        <v>314</v>
      </c>
      <c r="G21" s="1155">
        <v>17218.099999999999</v>
      </c>
      <c r="H21" s="1155">
        <v>30000</v>
      </c>
      <c r="I21" s="1155">
        <v>30000</v>
      </c>
      <c r="J21" s="1155">
        <v>30000</v>
      </c>
      <c r="K21" s="1155">
        <v>30000</v>
      </c>
      <c r="L21" s="1063" t="s">
        <v>315</v>
      </c>
      <c r="M21" s="224" t="s">
        <v>297</v>
      </c>
      <c r="N21" s="214">
        <v>86</v>
      </c>
      <c r="O21" s="214">
        <f>N21/G21*H21</f>
        <v>149.84231709654378</v>
      </c>
      <c r="P21" s="214">
        <f>O21/H21*I21</f>
        <v>149.84231709654378</v>
      </c>
      <c r="Q21" s="214">
        <f>P21/I21*J21</f>
        <v>149.84231709654378</v>
      </c>
      <c r="R21" s="215">
        <f>Q21/J21*K21</f>
        <v>149.84231709654378</v>
      </c>
      <c r="S21" s="1017"/>
    </row>
    <row r="22" spans="1:19" s="181" customFormat="1" ht="15" x14ac:dyDescent="0.25">
      <c r="A22" s="183"/>
      <c r="B22" s="1276" t="s">
        <v>299</v>
      </c>
      <c r="C22" s="1277"/>
      <c r="D22" s="1277"/>
      <c r="E22" s="1277"/>
      <c r="F22" s="1278"/>
      <c r="G22" s="192">
        <f>G17+G18+G19+G20+G21</f>
        <v>136227.1</v>
      </c>
      <c r="H22" s="192">
        <f t="shared" ref="H22:K22" si="5">H17+H18+H19+H20+H21</f>
        <v>186113.4</v>
      </c>
      <c r="I22" s="192">
        <f t="shared" si="5"/>
        <v>481351.89999999997</v>
      </c>
      <c r="J22" s="192">
        <f t="shared" si="5"/>
        <v>489325.29599999997</v>
      </c>
      <c r="K22" s="192">
        <f t="shared" si="5"/>
        <v>491868.77899999998</v>
      </c>
      <c r="L22" s="193"/>
      <c r="M22" s="1279"/>
      <c r="N22" s="1279"/>
      <c r="O22" s="1279"/>
      <c r="P22" s="1279"/>
      <c r="Q22" s="1279"/>
      <c r="R22" s="1289"/>
      <c r="S22" s="188"/>
    </row>
    <row r="23" spans="1:19" s="181" customFormat="1" ht="15" x14ac:dyDescent="0.25">
      <c r="A23" s="183"/>
      <c r="B23" s="1253" t="s">
        <v>309</v>
      </c>
      <c r="C23" s="1253"/>
      <c r="D23" s="1253"/>
      <c r="E23" s="1253"/>
      <c r="F23" s="1253"/>
      <c r="G23" s="1262"/>
      <c r="H23" s="1262"/>
      <c r="I23" s="1262"/>
      <c r="J23" s="1262"/>
      <c r="K23" s="1262"/>
      <c r="L23" s="1262"/>
      <c r="M23" s="1262"/>
      <c r="N23" s="1262"/>
      <c r="O23" s="1262"/>
      <c r="P23" s="1262"/>
      <c r="Q23" s="1262"/>
      <c r="R23" s="1262"/>
      <c r="S23" s="1253"/>
    </row>
    <row r="24" spans="1:19" s="181" customFormat="1" ht="28.5" x14ac:dyDescent="0.25">
      <c r="A24" s="1112"/>
      <c r="B24" s="1794" t="s">
        <v>44</v>
      </c>
      <c r="C24" s="1149" t="s">
        <v>310</v>
      </c>
      <c r="D24" s="1150"/>
      <c r="E24" s="1150"/>
      <c r="F24" s="1151" t="s">
        <v>1279</v>
      </c>
      <c r="G24" s="1152">
        <v>7952.7</v>
      </c>
      <c r="H24" s="1152">
        <v>7952.7</v>
      </c>
      <c r="I24" s="1153">
        <f>7952.7+100.4</f>
        <v>8053.0999999999995</v>
      </c>
      <c r="J24" s="1153">
        <f>8106.9+100.35</f>
        <v>8207.25</v>
      </c>
      <c r="K24" s="1153">
        <f>8349.4+100.356</f>
        <v>8449.7559999999994</v>
      </c>
      <c r="L24" s="218"/>
      <c r="M24" s="219"/>
      <c r="N24" s="219"/>
      <c r="O24" s="220"/>
      <c r="P24" s="220"/>
      <c r="Q24" s="220"/>
      <c r="R24" s="220"/>
      <c r="S24" s="188"/>
    </row>
    <row r="25" spans="1:19" s="181" customFormat="1" ht="60" x14ac:dyDescent="0.25">
      <c r="A25" s="183"/>
      <c r="B25" s="1795"/>
      <c r="C25" s="1149"/>
      <c r="D25" s="1150" t="s">
        <v>24</v>
      </c>
      <c r="E25" s="1150"/>
      <c r="F25" s="218" t="s">
        <v>311</v>
      </c>
      <c r="G25" s="1274">
        <v>7952.7</v>
      </c>
      <c r="H25" s="1274">
        <v>7952.7</v>
      </c>
      <c r="I25" s="1275">
        <f>7952.7+100.4</f>
        <v>8053.0999999999995</v>
      </c>
      <c r="J25" s="1275">
        <f>8106.9+100.35</f>
        <v>8207.25</v>
      </c>
      <c r="K25" s="1275">
        <f>8349.4+100.356</f>
        <v>8449.7559999999994</v>
      </c>
      <c r="L25" s="218" t="s">
        <v>312</v>
      </c>
      <c r="M25" s="219" t="s">
        <v>4</v>
      </c>
      <c r="N25" s="219">
        <v>30</v>
      </c>
      <c r="O25" s="220">
        <v>40</v>
      </c>
      <c r="P25" s="220">
        <v>40</v>
      </c>
      <c r="Q25" s="220">
        <v>40</v>
      </c>
      <c r="R25" s="220">
        <v>40</v>
      </c>
    </row>
    <row r="26" spans="1:19" s="181" customFormat="1" ht="29.25" customHeight="1" x14ac:dyDescent="0.25">
      <c r="A26" s="183"/>
      <c r="B26" s="1796"/>
      <c r="C26" s="1149"/>
      <c r="D26" s="1150"/>
      <c r="E26" s="1150"/>
      <c r="F26" s="218"/>
      <c r="G26" s="1274"/>
      <c r="H26" s="1274"/>
      <c r="I26" s="1274"/>
      <c r="J26" s="1274"/>
      <c r="K26" s="1274"/>
      <c r="L26" s="218" t="s">
        <v>313</v>
      </c>
      <c r="M26" s="219" t="s">
        <v>4</v>
      </c>
      <c r="N26" s="219">
        <v>30</v>
      </c>
      <c r="O26" s="220">
        <v>40</v>
      </c>
      <c r="P26" s="220">
        <v>40</v>
      </c>
      <c r="Q26" s="220">
        <v>40</v>
      </c>
      <c r="R26" s="220">
        <v>40</v>
      </c>
    </row>
    <row r="27" spans="1:19" s="181" customFormat="1" ht="15" x14ac:dyDescent="0.25">
      <c r="A27" s="183"/>
      <c r="B27" s="1276" t="s">
        <v>299</v>
      </c>
      <c r="C27" s="1277"/>
      <c r="D27" s="1277"/>
      <c r="E27" s="1277"/>
      <c r="F27" s="1278"/>
      <c r="G27" s="221">
        <f>G25</f>
        <v>7952.7</v>
      </c>
      <c r="H27" s="221">
        <f t="shared" ref="H27:K27" si="6">H25</f>
        <v>7952.7</v>
      </c>
      <c r="I27" s="221">
        <f t="shared" si="6"/>
        <v>8053.0999999999995</v>
      </c>
      <c r="J27" s="221">
        <f t="shared" si="6"/>
        <v>8207.25</v>
      </c>
      <c r="K27" s="221">
        <f t="shared" si="6"/>
        <v>8449.7559999999994</v>
      </c>
      <c r="L27" s="222"/>
      <c r="M27" s="222"/>
      <c r="N27" s="182"/>
      <c r="O27" s="182"/>
      <c r="P27" s="182"/>
      <c r="Q27" s="182"/>
      <c r="R27" s="182"/>
    </row>
    <row r="28" spans="1:19" s="181" customFormat="1" ht="15" x14ac:dyDescent="0.25">
      <c r="A28" s="183"/>
      <c r="B28" s="1253" t="s">
        <v>1764</v>
      </c>
      <c r="C28" s="1253"/>
      <c r="D28" s="1253"/>
      <c r="E28" s="1253"/>
      <c r="F28" s="1253"/>
      <c r="G28" s="1262"/>
      <c r="H28" s="1262"/>
      <c r="I28" s="1262"/>
      <c r="J28" s="1262"/>
      <c r="K28" s="1262"/>
      <c r="L28" s="1262"/>
      <c r="M28" s="1262"/>
      <c r="N28" s="1262"/>
      <c r="O28" s="1262"/>
      <c r="P28" s="1262"/>
      <c r="Q28" s="1262"/>
      <c r="R28" s="1262"/>
      <c r="S28" s="1253"/>
    </row>
    <row r="29" spans="1:19" s="181" customFormat="1" ht="28.5" x14ac:dyDescent="0.25">
      <c r="A29" s="183"/>
      <c r="B29" s="226"/>
      <c r="C29" s="1110">
        <v>152</v>
      </c>
      <c r="D29" s="226"/>
      <c r="E29" s="226"/>
      <c r="F29" s="226" t="s">
        <v>1765</v>
      </c>
      <c r="G29" s="1163">
        <f>G30+G31+G32+G33+G34+G35+G36+G38+G39+G40+G41+G42+G43+G44</f>
        <v>501621.9</v>
      </c>
      <c r="H29" s="1163">
        <f>H30+H31+H32+H33+H34+H35+H36+H38+H39+H40+H41+H42+H43+H44</f>
        <v>602864</v>
      </c>
      <c r="I29" s="1163">
        <f>I30+I31+I32+I33+I34+I35+I36+I38+I39+I40+I41+I42+I43+I44</f>
        <v>687300.50000000012</v>
      </c>
      <c r="J29" s="1163">
        <f>J30+J31+J32+J33+J34+J35+J36+J38+J39+J40+J41+J42+J43+J44</f>
        <v>701591.8110000001</v>
      </c>
      <c r="K29" s="1163">
        <f>K30+K31+K32+K33+K34+K35+K36+K38+K39+K40+K41+K42+K43+K44</f>
        <v>723634.05800000008</v>
      </c>
      <c r="L29" s="228"/>
      <c r="M29" s="228"/>
      <c r="N29" s="228"/>
      <c r="O29" s="228"/>
      <c r="P29" s="228"/>
      <c r="Q29" s="228"/>
      <c r="R29" s="229"/>
      <c r="S29" s="188"/>
    </row>
    <row r="30" spans="1:19" s="181" customFormat="1" ht="51.75" customHeight="1" x14ac:dyDescent="0.25">
      <c r="A30" s="1242"/>
      <c r="B30" s="1263">
        <v>15</v>
      </c>
      <c r="C30" s="1110"/>
      <c r="D30" s="230">
        <v>1</v>
      </c>
      <c r="E30" s="1111"/>
      <c r="F30" s="232" t="s">
        <v>1280</v>
      </c>
      <c r="G30" s="1022">
        <f>106719.2+16890.8</f>
        <v>123610</v>
      </c>
      <c r="H30" s="1022">
        <f>107522.5+17155.6</f>
        <v>124678.1</v>
      </c>
      <c r="I30" s="1022">
        <f>178089.5+26616.7</f>
        <v>204706.2</v>
      </c>
      <c r="J30" s="1022">
        <f>178089.5+26616.7+11505.011</f>
        <v>216211.21100000001</v>
      </c>
      <c r="K30" s="1022">
        <f>178089.5+26616.7+29604.458</f>
        <v>234310.658</v>
      </c>
      <c r="L30" s="1121" t="s">
        <v>1287</v>
      </c>
      <c r="M30" s="224" t="s">
        <v>297</v>
      </c>
      <c r="N30" s="989">
        <v>37</v>
      </c>
      <c r="O30" s="989">
        <v>36</v>
      </c>
      <c r="P30" s="989">
        <v>36</v>
      </c>
      <c r="Q30" s="989">
        <v>36</v>
      </c>
      <c r="R30" s="990">
        <v>36</v>
      </c>
    </row>
    <row r="31" spans="1:19" s="181" customFormat="1" ht="39.75" customHeight="1" x14ac:dyDescent="0.25">
      <c r="A31" s="1242"/>
      <c r="B31" s="1263"/>
      <c r="C31" s="1110"/>
      <c r="D31" s="230">
        <v>2</v>
      </c>
      <c r="E31" s="1111"/>
      <c r="F31" s="232" t="s">
        <v>316</v>
      </c>
      <c r="G31" s="1022">
        <v>46487.3</v>
      </c>
      <c r="H31" s="1022">
        <v>48135.7</v>
      </c>
      <c r="I31" s="1022">
        <f>48135.7</f>
        <v>48135.7</v>
      </c>
      <c r="J31" s="1022">
        <f>48135.7</f>
        <v>48135.7</v>
      </c>
      <c r="K31" s="1022">
        <f>48135.7</f>
        <v>48135.7</v>
      </c>
      <c r="L31" s="1121" t="s">
        <v>1288</v>
      </c>
      <c r="M31" s="224" t="s">
        <v>297</v>
      </c>
      <c r="N31" s="989">
        <v>90</v>
      </c>
      <c r="O31" s="989">
        <v>90</v>
      </c>
      <c r="P31" s="989">
        <v>90</v>
      </c>
      <c r="Q31" s="989">
        <v>90</v>
      </c>
      <c r="R31" s="990">
        <v>90</v>
      </c>
    </row>
    <row r="32" spans="1:19" s="181" customFormat="1" ht="53.25" customHeight="1" x14ac:dyDescent="0.25">
      <c r="A32" s="1242"/>
      <c r="B32" s="1263"/>
      <c r="C32" s="1110"/>
      <c r="D32" s="230">
        <v>3</v>
      </c>
      <c r="E32" s="1111"/>
      <c r="F32" s="1103" t="s">
        <v>317</v>
      </c>
      <c r="G32" s="1022">
        <v>1592.1</v>
      </c>
      <c r="H32" s="1022">
        <v>2957.3</v>
      </c>
      <c r="I32" s="1022">
        <v>2957.3</v>
      </c>
      <c r="J32" s="1022">
        <v>2957.3</v>
      </c>
      <c r="K32" s="1022">
        <v>2957.3</v>
      </c>
      <c r="L32" s="233" t="s">
        <v>1289</v>
      </c>
      <c r="M32" s="234" t="s">
        <v>297</v>
      </c>
      <c r="N32" s="1074">
        <v>200</v>
      </c>
      <c r="O32" s="1074">
        <v>200</v>
      </c>
      <c r="P32" s="1074">
        <v>200</v>
      </c>
      <c r="Q32" s="1074">
        <v>200</v>
      </c>
      <c r="R32" s="236">
        <v>200</v>
      </c>
    </row>
    <row r="33" spans="1:18" s="181" customFormat="1" ht="75" x14ac:dyDescent="0.25">
      <c r="A33" s="1242"/>
      <c r="B33" s="1263"/>
      <c r="C33" s="1110"/>
      <c r="D33" s="1061">
        <v>4</v>
      </c>
      <c r="E33" s="1111"/>
      <c r="F33" s="1103" t="s">
        <v>1281</v>
      </c>
      <c r="G33" s="1022">
        <v>11000.9</v>
      </c>
      <c r="H33" s="1022">
        <v>8496.9</v>
      </c>
      <c r="I33" s="1022">
        <v>8496.9</v>
      </c>
      <c r="J33" s="1022">
        <v>8496.9</v>
      </c>
      <c r="K33" s="1022">
        <v>8496.9</v>
      </c>
      <c r="L33" s="1121" t="s">
        <v>1290</v>
      </c>
      <c r="M33" s="1051" t="s">
        <v>318</v>
      </c>
      <c r="N33" s="238">
        <v>1545</v>
      </c>
      <c r="O33" s="238">
        <v>2215</v>
      </c>
      <c r="P33" s="238">
        <v>2085</v>
      </c>
      <c r="Q33" s="238">
        <v>2085</v>
      </c>
      <c r="R33" s="239">
        <v>2085</v>
      </c>
    </row>
    <row r="34" spans="1:18" s="181" customFormat="1" ht="51" customHeight="1" x14ac:dyDescent="0.25">
      <c r="A34" s="1242"/>
      <c r="B34" s="1263"/>
      <c r="C34" s="1110"/>
      <c r="D34" s="1061">
        <v>5</v>
      </c>
      <c r="E34" s="1111"/>
      <c r="F34" s="1103" t="s">
        <v>319</v>
      </c>
      <c r="G34" s="1022">
        <v>148.19999999999999</v>
      </c>
      <c r="H34" s="1022">
        <v>374</v>
      </c>
      <c r="I34" s="1022">
        <v>374</v>
      </c>
      <c r="J34" s="1022">
        <v>374</v>
      </c>
      <c r="K34" s="1022">
        <v>374</v>
      </c>
      <c r="L34" s="1121" t="s">
        <v>320</v>
      </c>
      <c r="M34" s="224" t="s">
        <v>321</v>
      </c>
      <c r="N34" s="989">
        <v>2</v>
      </c>
      <c r="O34" s="989">
        <v>2</v>
      </c>
      <c r="P34" s="989">
        <v>2</v>
      </c>
      <c r="Q34" s="989">
        <v>2</v>
      </c>
      <c r="R34" s="990">
        <v>2</v>
      </c>
    </row>
    <row r="35" spans="1:18" s="181" customFormat="1" ht="36.75" customHeight="1" x14ac:dyDescent="0.25">
      <c r="A35" s="1242"/>
      <c r="B35" s="1263"/>
      <c r="C35" s="1110"/>
      <c r="D35" s="1061">
        <v>6</v>
      </c>
      <c r="E35" s="1111"/>
      <c r="F35" s="1103" t="s">
        <v>1282</v>
      </c>
      <c r="G35" s="1022">
        <v>2342.6</v>
      </c>
      <c r="H35" s="1022">
        <v>15811.8</v>
      </c>
      <c r="I35" s="1022">
        <f>4630.8+10981</f>
        <v>15611.8</v>
      </c>
      <c r="J35" s="1022">
        <f>4630.8+10981</f>
        <v>15611.8</v>
      </c>
      <c r="K35" s="1022">
        <f>4630.8+10981</f>
        <v>15611.8</v>
      </c>
      <c r="L35" s="1050" t="s">
        <v>1291</v>
      </c>
      <c r="M35" s="224" t="s">
        <v>297</v>
      </c>
      <c r="N35" s="240">
        <v>11</v>
      </c>
      <c r="O35" s="989">
        <v>7</v>
      </c>
      <c r="P35" s="989">
        <v>2</v>
      </c>
      <c r="Q35" s="989">
        <v>2</v>
      </c>
      <c r="R35" s="990">
        <v>2</v>
      </c>
    </row>
    <row r="36" spans="1:18" s="181" customFormat="1" ht="36" customHeight="1" x14ac:dyDescent="0.25">
      <c r="A36" s="1242"/>
      <c r="B36" s="1263"/>
      <c r="C36" s="1110"/>
      <c r="D36" s="230">
        <v>7</v>
      </c>
      <c r="E36" s="1111"/>
      <c r="F36" s="1103" t="s">
        <v>322</v>
      </c>
      <c r="G36" s="1022">
        <v>545.5</v>
      </c>
      <c r="H36" s="1022">
        <v>10352.6</v>
      </c>
      <c r="I36" s="1022">
        <v>8000</v>
      </c>
      <c r="J36" s="1022">
        <v>8000</v>
      </c>
      <c r="K36" s="1022">
        <v>8000</v>
      </c>
      <c r="L36" s="1063" t="s">
        <v>1292</v>
      </c>
      <c r="M36" s="1051" t="s">
        <v>4</v>
      </c>
      <c r="N36" s="242">
        <v>1</v>
      </c>
      <c r="O36" s="242">
        <v>1</v>
      </c>
      <c r="P36" s="242">
        <v>1</v>
      </c>
      <c r="Q36" s="242">
        <v>1</v>
      </c>
      <c r="R36" s="243">
        <v>1</v>
      </c>
    </row>
    <row r="37" spans="1:18" s="181" customFormat="1" ht="15" customHeight="1" x14ac:dyDescent="0.25">
      <c r="A37" s="1242"/>
      <c r="B37" s="1263"/>
      <c r="C37" s="1264"/>
      <c r="D37" s="1267">
        <v>8</v>
      </c>
      <c r="E37" s="1270"/>
      <c r="F37" s="1273" t="s">
        <v>323</v>
      </c>
      <c r="G37" s="1022"/>
      <c r="H37" s="1022"/>
      <c r="I37" s="1022"/>
      <c r="J37" s="1022"/>
      <c r="K37" s="1022"/>
      <c r="L37" s="1307" t="s">
        <v>1293</v>
      </c>
      <c r="M37" s="1060"/>
      <c r="N37" s="244"/>
      <c r="O37" s="244"/>
      <c r="P37" s="244"/>
      <c r="Q37" s="244"/>
      <c r="R37" s="245"/>
    </row>
    <row r="38" spans="1:18" s="181" customFormat="1" ht="15" x14ac:dyDescent="0.25">
      <c r="A38" s="1242"/>
      <c r="B38" s="1263"/>
      <c r="C38" s="1265"/>
      <c r="D38" s="1268"/>
      <c r="E38" s="1271"/>
      <c r="F38" s="1273"/>
      <c r="G38" s="1022">
        <f>114271.8+12285.8</f>
        <v>126557.6</v>
      </c>
      <c r="H38" s="1022">
        <f>111616.1+36000</f>
        <v>147616.1</v>
      </c>
      <c r="I38" s="1022">
        <f>111616.1+32158.3</f>
        <v>143774.39999999999</v>
      </c>
      <c r="J38" s="1022">
        <f>111616.1+34944.6</f>
        <v>146560.70000000001</v>
      </c>
      <c r="K38" s="1022">
        <f>111616.1+32158.3</f>
        <v>143774.39999999999</v>
      </c>
      <c r="L38" s="1308"/>
      <c r="M38" s="224" t="s">
        <v>4</v>
      </c>
      <c r="N38" s="246">
        <f>12285.8/126557.6</f>
        <v>9.7076746082416218E-2</v>
      </c>
      <c r="O38" s="246">
        <f>36000/147616.1</f>
        <v>0.24387583739172081</v>
      </c>
      <c r="P38" s="246">
        <f>32158.3/143774.4</f>
        <v>0.22367194716166439</v>
      </c>
      <c r="Q38" s="246">
        <f t="shared" ref="Q38:R38" si="7">32158.3/143774.4</f>
        <v>0.22367194716166439</v>
      </c>
      <c r="R38" s="247">
        <f t="shared" si="7"/>
        <v>0.22367194716166439</v>
      </c>
    </row>
    <row r="39" spans="1:18" s="181" customFormat="1" ht="15" x14ac:dyDescent="0.25">
      <c r="A39" s="1242"/>
      <c r="B39" s="1263"/>
      <c r="C39" s="1265"/>
      <c r="D39" s="1268"/>
      <c r="E39" s="1271"/>
      <c r="F39" s="1273"/>
      <c r="G39" s="1022">
        <f>36288.1+10233.7</f>
        <v>46521.8</v>
      </c>
      <c r="H39" s="1022">
        <f>41423.9+33418.1</f>
        <v>74842</v>
      </c>
      <c r="I39" s="1022">
        <f>41423.9+41200</f>
        <v>82623.899999999994</v>
      </c>
      <c r="J39" s="1022">
        <f>41423.9+41200</f>
        <v>82623.899999999994</v>
      </c>
      <c r="K39" s="1022">
        <f>41423.9+41200</f>
        <v>82623.899999999994</v>
      </c>
      <c r="L39" s="1308"/>
      <c r="M39" s="224" t="s">
        <v>4</v>
      </c>
      <c r="N39" s="246">
        <f>10233.7/46521.8</f>
        <v>0.21997644115231998</v>
      </c>
      <c r="O39" s="246">
        <f>33418.1/74841</f>
        <v>0.44652129180529387</v>
      </c>
      <c r="P39" s="246">
        <f>41200/82623.9</f>
        <v>0.49864506516879503</v>
      </c>
      <c r="Q39" s="246">
        <f t="shared" ref="Q39:R39" si="8">41200/82623.9</f>
        <v>0.49864506516879503</v>
      </c>
      <c r="R39" s="247">
        <f t="shared" si="8"/>
        <v>0.49864506516879503</v>
      </c>
    </row>
    <row r="40" spans="1:18" s="181" customFormat="1" ht="15" x14ac:dyDescent="0.25">
      <c r="A40" s="1242"/>
      <c r="B40" s="1263"/>
      <c r="C40" s="1265"/>
      <c r="D40" s="1268"/>
      <c r="E40" s="1271"/>
      <c r="F40" s="1273"/>
      <c r="G40" s="1022">
        <f>6552.4+1142.5</f>
        <v>7694.9</v>
      </c>
      <c r="H40" s="1022">
        <f>6902.3+5802.7</f>
        <v>12705</v>
      </c>
      <c r="I40" s="1022">
        <f>6902.3+11084.3</f>
        <v>17986.599999999999</v>
      </c>
      <c r="J40" s="1022">
        <f>6902.3+11084.3</f>
        <v>17986.599999999999</v>
      </c>
      <c r="K40" s="1022">
        <f>6902.3+11084.3</f>
        <v>17986.599999999999</v>
      </c>
      <c r="L40" s="1308"/>
      <c r="M40" s="224" t="s">
        <v>4</v>
      </c>
      <c r="N40" s="246">
        <f>1142.5/7694.9</f>
        <v>0.14847496393715318</v>
      </c>
      <c r="O40" s="246">
        <f>5802.7/12705</f>
        <v>0.45672569854388034</v>
      </c>
      <c r="P40" s="246">
        <f>21134.3/28036.6</f>
        <v>0.75381108978977485</v>
      </c>
      <c r="Q40" s="246">
        <f t="shared" ref="Q40:R40" si="9">21134.3/28036.6</f>
        <v>0.75381108978977485</v>
      </c>
      <c r="R40" s="247">
        <f t="shared" si="9"/>
        <v>0.75381108978977485</v>
      </c>
    </row>
    <row r="41" spans="1:18" s="181" customFormat="1" ht="15" x14ac:dyDescent="0.25">
      <c r="A41" s="1242"/>
      <c r="B41" s="1263"/>
      <c r="C41" s="1265"/>
      <c r="D41" s="1268"/>
      <c r="E41" s="1271"/>
      <c r="F41" s="1273"/>
      <c r="G41" s="1022">
        <f>2987.5+809.2</f>
        <v>3796.7</v>
      </c>
      <c r="H41" s="1022">
        <f>3030.5+1212.5</f>
        <v>4243</v>
      </c>
      <c r="I41" s="1022">
        <f>3030.5+2000</f>
        <v>5030.5</v>
      </c>
      <c r="J41" s="1022">
        <f>3030.5+2000</f>
        <v>5030.5</v>
      </c>
      <c r="K41" s="1022">
        <f>3030.5+2000</f>
        <v>5030.5</v>
      </c>
      <c r="L41" s="1308"/>
      <c r="M41" s="224" t="s">
        <v>4</v>
      </c>
      <c r="N41" s="246">
        <f>809.2/3796.7</f>
        <v>0.21313245713382675</v>
      </c>
      <c r="O41" s="246">
        <f>1212.5/4243</f>
        <v>0.28576478906434127</v>
      </c>
      <c r="P41" s="246">
        <f>2000/5030.5</f>
        <v>0.39757479375807575</v>
      </c>
      <c r="Q41" s="246">
        <f t="shared" ref="Q41:R41" si="10">2000/5030.5</f>
        <v>0.39757479375807575</v>
      </c>
      <c r="R41" s="247">
        <f t="shared" si="10"/>
        <v>0.39757479375807575</v>
      </c>
    </row>
    <row r="42" spans="1:18" s="181" customFormat="1" ht="15" x14ac:dyDescent="0.25">
      <c r="A42" s="1242"/>
      <c r="B42" s="1263"/>
      <c r="C42" s="1265"/>
      <c r="D42" s="1268"/>
      <c r="E42" s="1271"/>
      <c r="F42" s="1273"/>
      <c r="G42" s="1022">
        <f>18317.5+16721.9</f>
        <v>35039.4</v>
      </c>
      <c r="H42" s="1022">
        <f>18266.5+33000</f>
        <v>51266.5</v>
      </c>
      <c r="I42" s="1022">
        <f>18266.5+31471.1</f>
        <v>49737.599999999999</v>
      </c>
      <c r="J42" s="1022">
        <f>18266.5+31471.1</f>
        <v>49737.599999999999</v>
      </c>
      <c r="K42" s="1022">
        <f>18266.5+38200.2</f>
        <v>56466.7</v>
      </c>
      <c r="L42" s="1308"/>
      <c r="M42" s="224" t="s">
        <v>4</v>
      </c>
      <c r="N42" s="246">
        <f>16721.9/35039.4</f>
        <v>0.4772313452855928</v>
      </c>
      <c r="O42" s="246">
        <f>33000/51266.5</f>
        <v>0.64369520056957275</v>
      </c>
      <c r="P42" s="246">
        <f>39999.9/58266.4</f>
        <v>0.6865002814658191</v>
      </c>
      <c r="Q42" s="246">
        <f t="shared" ref="Q42:R42" si="11">39999.9/58266.4</f>
        <v>0.6865002814658191</v>
      </c>
      <c r="R42" s="247">
        <f t="shared" si="11"/>
        <v>0.6865002814658191</v>
      </c>
    </row>
    <row r="43" spans="1:18" s="181" customFormat="1" ht="15" x14ac:dyDescent="0.25">
      <c r="A43" s="1242"/>
      <c r="B43" s="1263"/>
      <c r="C43" s="1266"/>
      <c r="D43" s="1269"/>
      <c r="E43" s="1272"/>
      <c r="F43" s="1273"/>
      <c r="G43" s="1022">
        <f>9498.2+1425.3</f>
        <v>10923.5</v>
      </c>
      <c r="H43" s="1022">
        <f>9129.6+4588.6</f>
        <v>13718.2</v>
      </c>
      <c r="I43" s="1022">
        <f>9129.6+2669.2</f>
        <v>11798.8</v>
      </c>
      <c r="J43" s="1022">
        <f>9129.6+2669.2</f>
        <v>11798.8</v>
      </c>
      <c r="K43" s="1022">
        <f>9129.6+2669.2</f>
        <v>11798.8</v>
      </c>
      <c r="L43" s="1309"/>
      <c r="M43" s="224" t="s">
        <v>4</v>
      </c>
      <c r="N43" s="246">
        <f>1425.3/10923.5</f>
        <v>0.13048015745868999</v>
      </c>
      <c r="O43" s="246">
        <f>4588.6/13718.2</f>
        <v>0.33448994766077184</v>
      </c>
      <c r="P43" s="246">
        <f>2669.2/11798.8</f>
        <v>0.22622639590466828</v>
      </c>
      <c r="Q43" s="246">
        <f t="shared" ref="Q43:R43" si="12">2669.2/11798.8</f>
        <v>0.22622639590466828</v>
      </c>
      <c r="R43" s="247">
        <f t="shared" si="12"/>
        <v>0.22622639590466828</v>
      </c>
    </row>
    <row r="44" spans="1:18" s="181" customFormat="1" ht="30" x14ac:dyDescent="0.25">
      <c r="A44" s="1242"/>
      <c r="B44" s="1263"/>
      <c r="C44" s="1310"/>
      <c r="D44" s="1311">
        <v>9</v>
      </c>
      <c r="E44" s="1312"/>
      <c r="F44" s="1313" t="s">
        <v>1283</v>
      </c>
      <c r="G44" s="1261">
        <f>75178.5+10182.9</f>
        <v>85361.4</v>
      </c>
      <c r="H44" s="1261">
        <f>79266.8+8400</f>
        <v>87666.8</v>
      </c>
      <c r="I44" s="1261">
        <f>79266.8+8800</f>
        <v>88066.8</v>
      </c>
      <c r="J44" s="1261">
        <f>79266.8+8800</f>
        <v>88066.8</v>
      </c>
      <c r="K44" s="1261">
        <f>79266.8+8800</f>
        <v>88066.8</v>
      </c>
      <c r="L44" s="209" t="s">
        <v>324</v>
      </c>
      <c r="M44" s="224" t="s">
        <v>297</v>
      </c>
      <c r="N44" s="248">
        <f>SUM(N45:N48)</f>
        <v>116</v>
      </c>
      <c r="O44" s="248">
        <f>SUM(O45:O48)</f>
        <v>122</v>
      </c>
      <c r="P44" s="248">
        <f>SUM(P45:P48)</f>
        <v>124</v>
      </c>
      <c r="Q44" s="248">
        <f t="shared" ref="Q44:R44" si="13">SUM(Q45:Q48)</f>
        <v>124</v>
      </c>
      <c r="R44" s="249">
        <f t="shared" si="13"/>
        <v>124</v>
      </c>
    </row>
    <row r="45" spans="1:18" s="181" customFormat="1" ht="15.75" customHeight="1" x14ac:dyDescent="0.25">
      <c r="A45" s="1242"/>
      <c r="B45" s="1263"/>
      <c r="C45" s="1310"/>
      <c r="D45" s="1311"/>
      <c r="E45" s="1312"/>
      <c r="F45" s="1313"/>
      <c r="G45" s="1261"/>
      <c r="H45" s="1261"/>
      <c r="I45" s="1261"/>
      <c r="J45" s="1261"/>
      <c r="K45" s="1261"/>
      <c r="L45" s="1162" t="s">
        <v>1294</v>
      </c>
      <c r="M45" s="224" t="s">
        <v>297</v>
      </c>
      <c r="N45" s="251">
        <f>7+26</f>
        <v>33</v>
      </c>
      <c r="O45" s="251">
        <f>9+29</f>
        <v>38</v>
      </c>
      <c r="P45" s="251">
        <f>10+30</f>
        <v>40</v>
      </c>
      <c r="Q45" s="251">
        <f t="shared" ref="Q45:R45" si="14">10+30</f>
        <v>40</v>
      </c>
      <c r="R45" s="252">
        <f t="shared" si="14"/>
        <v>40</v>
      </c>
    </row>
    <row r="46" spans="1:18" s="181" customFormat="1" ht="45" x14ac:dyDescent="0.25">
      <c r="A46" s="1242"/>
      <c r="B46" s="1263"/>
      <c r="C46" s="1310"/>
      <c r="D46" s="1311"/>
      <c r="E46" s="1312"/>
      <c r="F46" s="1313"/>
      <c r="G46" s="1261"/>
      <c r="H46" s="1261"/>
      <c r="I46" s="1261"/>
      <c r="J46" s="1261"/>
      <c r="K46" s="1261"/>
      <c r="L46" s="1162" t="s">
        <v>1295</v>
      </c>
      <c r="M46" s="224" t="s">
        <v>297</v>
      </c>
      <c r="N46" s="251">
        <v>19</v>
      </c>
      <c r="O46" s="251">
        <v>14</v>
      </c>
      <c r="P46" s="251">
        <v>14</v>
      </c>
      <c r="Q46" s="251">
        <v>14</v>
      </c>
      <c r="R46" s="252">
        <v>14</v>
      </c>
    </row>
    <row r="47" spans="1:18" s="181" customFormat="1" ht="15" x14ac:dyDescent="0.25">
      <c r="A47" s="1242"/>
      <c r="B47" s="1263"/>
      <c r="C47" s="1310"/>
      <c r="D47" s="1311"/>
      <c r="E47" s="1312"/>
      <c r="F47" s="1313"/>
      <c r="G47" s="1261"/>
      <c r="H47" s="1261"/>
      <c r="I47" s="1261"/>
      <c r="J47" s="1261"/>
      <c r="K47" s="1261"/>
      <c r="L47" s="1162" t="s">
        <v>1296</v>
      </c>
      <c r="M47" s="224" t="s">
        <v>297</v>
      </c>
      <c r="N47" s="251">
        <v>8</v>
      </c>
      <c r="O47" s="251">
        <v>7</v>
      </c>
      <c r="P47" s="251">
        <v>7</v>
      </c>
      <c r="Q47" s="251">
        <v>7</v>
      </c>
      <c r="R47" s="252">
        <v>7</v>
      </c>
    </row>
    <row r="48" spans="1:18" s="181" customFormat="1" ht="15" x14ac:dyDescent="0.25">
      <c r="A48" s="1242"/>
      <c r="B48" s="1263"/>
      <c r="C48" s="1310"/>
      <c r="D48" s="1311"/>
      <c r="E48" s="1312"/>
      <c r="F48" s="1313"/>
      <c r="G48" s="1261"/>
      <c r="H48" s="1261"/>
      <c r="I48" s="1261"/>
      <c r="J48" s="1261"/>
      <c r="K48" s="1261"/>
      <c r="L48" s="1162" t="s">
        <v>1297</v>
      </c>
      <c r="M48" s="224" t="s">
        <v>297</v>
      </c>
      <c r="N48" s="251">
        <v>56</v>
      </c>
      <c r="O48" s="251">
        <f>3+30+20+10</f>
        <v>63</v>
      </c>
      <c r="P48" s="251">
        <f>3+30+20+10</f>
        <v>63</v>
      </c>
      <c r="Q48" s="251">
        <f t="shared" ref="Q48:R48" si="15">3+30+20+10</f>
        <v>63</v>
      </c>
      <c r="R48" s="252">
        <f t="shared" si="15"/>
        <v>63</v>
      </c>
    </row>
    <row r="49" spans="1:19" s="181" customFormat="1" ht="30" x14ac:dyDescent="0.25">
      <c r="A49" s="1242"/>
      <c r="B49" s="1263"/>
      <c r="C49" s="1310"/>
      <c r="D49" s="1311"/>
      <c r="E49" s="1312"/>
      <c r="F49" s="1313"/>
      <c r="G49" s="1261"/>
      <c r="H49" s="1261"/>
      <c r="I49" s="1261"/>
      <c r="J49" s="1261"/>
      <c r="K49" s="1261"/>
      <c r="L49" s="253" t="s">
        <v>325</v>
      </c>
      <c r="M49" s="224" t="s">
        <v>297</v>
      </c>
      <c r="N49" s="254">
        <f>N50+N52+N51</f>
        <v>65</v>
      </c>
      <c r="O49" s="254">
        <f>O50+O52+O51</f>
        <v>64</v>
      </c>
      <c r="P49" s="254">
        <f>P50+P52+P51</f>
        <v>66</v>
      </c>
      <c r="Q49" s="254">
        <f t="shared" ref="Q49:R49" si="16">Q50+Q52+Q51</f>
        <v>33</v>
      </c>
      <c r="R49" s="255">
        <f t="shared" si="16"/>
        <v>33</v>
      </c>
    </row>
    <row r="50" spans="1:19" s="181" customFormat="1" ht="15" x14ac:dyDescent="0.25">
      <c r="A50" s="1242"/>
      <c r="B50" s="1263"/>
      <c r="C50" s="1310"/>
      <c r="D50" s="1311"/>
      <c r="E50" s="1312"/>
      <c r="F50" s="1313"/>
      <c r="G50" s="1261"/>
      <c r="H50" s="1261"/>
      <c r="I50" s="1261"/>
      <c r="J50" s="1261"/>
      <c r="K50" s="1261"/>
      <c r="L50" s="250" t="s">
        <v>326</v>
      </c>
      <c r="M50" s="224" t="s">
        <v>297</v>
      </c>
      <c r="N50" s="251">
        <v>8</v>
      </c>
      <c r="O50" s="251">
        <v>8</v>
      </c>
      <c r="P50" s="251">
        <v>10</v>
      </c>
      <c r="Q50" s="251">
        <v>9</v>
      </c>
      <c r="R50" s="252">
        <v>9</v>
      </c>
    </row>
    <row r="51" spans="1:19" s="181" customFormat="1" ht="15" x14ac:dyDescent="0.25">
      <c r="A51" s="1242"/>
      <c r="B51" s="1263"/>
      <c r="C51" s="1310"/>
      <c r="D51" s="1311"/>
      <c r="E51" s="1312"/>
      <c r="F51" s="1313"/>
      <c r="G51" s="1261"/>
      <c r="H51" s="1261"/>
      <c r="I51" s="1261"/>
      <c r="J51" s="1261"/>
      <c r="K51" s="1261"/>
      <c r="L51" s="250" t="s">
        <v>74</v>
      </c>
      <c r="M51" s="224" t="s">
        <v>297</v>
      </c>
      <c r="N51" s="251">
        <v>1</v>
      </c>
      <c r="O51" s="251"/>
      <c r="P51" s="251"/>
      <c r="Q51" s="251"/>
      <c r="R51" s="252"/>
    </row>
    <row r="52" spans="1:19" s="181" customFormat="1" ht="15" x14ac:dyDescent="0.25">
      <c r="A52" s="1242"/>
      <c r="B52" s="1263"/>
      <c r="C52" s="1310"/>
      <c r="D52" s="1311"/>
      <c r="E52" s="1312"/>
      <c r="F52" s="1313"/>
      <c r="G52" s="1261"/>
      <c r="H52" s="1261"/>
      <c r="I52" s="1261"/>
      <c r="J52" s="1261"/>
      <c r="K52" s="1261"/>
      <c r="L52" s="1162" t="s">
        <v>1298</v>
      </c>
      <c r="M52" s="224" t="s">
        <v>297</v>
      </c>
      <c r="N52" s="251">
        <v>56</v>
      </c>
      <c r="O52" s="251">
        <f>30+26</f>
        <v>56</v>
      </c>
      <c r="P52" s="251">
        <f>30+26</f>
        <v>56</v>
      </c>
      <c r="Q52" s="251">
        <v>24</v>
      </c>
      <c r="R52" s="252">
        <v>24</v>
      </c>
    </row>
    <row r="53" spans="1:19" s="181" customFormat="1" ht="83.25" customHeight="1" x14ac:dyDescent="0.25">
      <c r="A53" s="1242"/>
      <c r="B53" s="1263"/>
      <c r="C53" s="1110" t="s">
        <v>123</v>
      </c>
      <c r="D53" s="1061"/>
      <c r="E53" s="256"/>
      <c r="F53" s="257" t="s">
        <v>327</v>
      </c>
      <c r="G53" s="1034">
        <f>G54+G55+G56+G57+G58</f>
        <v>43062</v>
      </c>
      <c r="H53" s="1034">
        <f>H54+H55+H56+H57+H58</f>
        <v>59161.200000000004</v>
      </c>
      <c r="I53" s="1034">
        <f>I54+I55+I56+I57+I58</f>
        <v>57517.200000000004</v>
      </c>
      <c r="J53" s="1034">
        <f>J54+J55+J56+J57+J58</f>
        <v>59082.200000000004</v>
      </c>
      <c r="K53" s="1034">
        <f>K54+K55+K56+K57+K58</f>
        <v>59882.200000000004</v>
      </c>
      <c r="L53" s="259"/>
      <c r="M53" s="260"/>
      <c r="N53" s="260"/>
      <c r="O53" s="260"/>
      <c r="P53" s="260"/>
      <c r="Q53" s="260"/>
      <c r="R53" s="261"/>
    </row>
    <row r="54" spans="1:19" s="181" customFormat="1" ht="30" x14ac:dyDescent="0.25">
      <c r="A54" s="1242"/>
      <c r="B54" s="1263"/>
      <c r="C54" s="1110"/>
      <c r="D54" s="1061">
        <v>301</v>
      </c>
      <c r="E54" s="256"/>
      <c r="F54" s="1076" t="s">
        <v>1284</v>
      </c>
      <c r="G54" s="1022">
        <v>9749.7999999999993</v>
      </c>
      <c r="H54" s="1022">
        <v>8500</v>
      </c>
      <c r="I54" s="1022">
        <v>6000</v>
      </c>
      <c r="J54" s="1022">
        <v>6000</v>
      </c>
      <c r="K54" s="1022">
        <v>6000</v>
      </c>
      <c r="L54" s="1050" t="s">
        <v>1299</v>
      </c>
      <c r="M54" s="1051" t="s">
        <v>4</v>
      </c>
      <c r="N54" s="262">
        <f>G54/13584.8</f>
        <v>0.71769919321594722</v>
      </c>
      <c r="O54" s="263">
        <f t="shared" ref="O54:R56" si="17">H54/19000</f>
        <v>0.44736842105263158</v>
      </c>
      <c r="P54" s="263">
        <f t="shared" si="17"/>
        <v>0.31578947368421051</v>
      </c>
      <c r="Q54" s="263">
        <f t="shared" si="17"/>
        <v>0.31578947368421051</v>
      </c>
      <c r="R54" s="264">
        <f t="shared" si="17"/>
        <v>0.31578947368421051</v>
      </c>
    </row>
    <row r="55" spans="1:19" s="181" customFormat="1" ht="30" x14ac:dyDescent="0.25">
      <c r="A55" s="1242"/>
      <c r="B55" s="1263"/>
      <c r="C55" s="1110"/>
      <c r="D55" s="1061">
        <v>302</v>
      </c>
      <c r="E55" s="256"/>
      <c r="F55" s="1103" t="s">
        <v>328</v>
      </c>
      <c r="G55" s="1022"/>
      <c r="H55" s="1022">
        <v>4500</v>
      </c>
      <c r="I55" s="1022">
        <v>1500</v>
      </c>
      <c r="J55" s="1022">
        <v>1500</v>
      </c>
      <c r="K55" s="1022">
        <v>1500</v>
      </c>
      <c r="L55" s="1050" t="s">
        <v>1299</v>
      </c>
      <c r="M55" s="1077" t="s">
        <v>4</v>
      </c>
      <c r="N55" s="262">
        <f>G55/13584.8</f>
        <v>0</v>
      </c>
      <c r="O55" s="263">
        <f t="shared" si="17"/>
        <v>0.23684210526315788</v>
      </c>
      <c r="P55" s="263">
        <f t="shared" si="17"/>
        <v>7.8947368421052627E-2</v>
      </c>
      <c r="Q55" s="263">
        <f t="shared" si="17"/>
        <v>7.8947368421052627E-2</v>
      </c>
      <c r="R55" s="264">
        <f t="shared" si="17"/>
        <v>7.8947368421052627E-2</v>
      </c>
    </row>
    <row r="56" spans="1:19" s="181" customFormat="1" ht="45" x14ac:dyDescent="0.25">
      <c r="A56" s="1242"/>
      <c r="B56" s="1263"/>
      <c r="C56" s="1110"/>
      <c r="D56" s="1061">
        <v>303</v>
      </c>
      <c r="E56" s="256"/>
      <c r="F56" s="265" t="s">
        <v>1285</v>
      </c>
      <c r="G56" s="1022">
        <v>3835</v>
      </c>
      <c r="H56" s="1022">
        <v>6000</v>
      </c>
      <c r="I56" s="1022">
        <v>11500</v>
      </c>
      <c r="J56" s="1022">
        <v>11500</v>
      </c>
      <c r="K56" s="1022">
        <v>11500</v>
      </c>
      <c r="L56" s="1050" t="s">
        <v>1299</v>
      </c>
      <c r="M56" s="1077" t="s">
        <v>4</v>
      </c>
      <c r="N56" s="262">
        <f>G56/13584.8</f>
        <v>0.28230080678405278</v>
      </c>
      <c r="O56" s="263">
        <f t="shared" si="17"/>
        <v>0.31578947368421051</v>
      </c>
      <c r="P56" s="263">
        <f t="shared" si="17"/>
        <v>0.60526315789473684</v>
      </c>
      <c r="Q56" s="263">
        <f t="shared" si="17"/>
        <v>0.60526315789473684</v>
      </c>
      <c r="R56" s="264">
        <f t="shared" si="17"/>
        <v>0.60526315789473684</v>
      </c>
    </row>
    <row r="57" spans="1:19" s="181" customFormat="1" ht="30" x14ac:dyDescent="0.25">
      <c r="A57" s="1242"/>
      <c r="B57" s="1263"/>
      <c r="C57" s="266"/>
      <c r="D57" s="1061">
        <v>401</v>
      </c>
      <c r="E57" s="256"/>
      <c r="F57" s="1103" t="s">
        <v>329</v>
      </c>
      <c r="G57" s="1022">
        <f>14508.8+8180.4</f>
        <v>22689.199999999997</v>
      </c>
      <c r="H57" s="1022">
        <f>17976.4+15433</f>
        <v>33409.4</v>
      </c>
      <c r="I57" s="1022">
        <f>17976.4+13185</f>
        <v>31161.4</v>
      </c>
      <c r="J57" s="1022">
        <f>17976.4+14700</f>
        <v>32676.400000000001</v>
      </c>
      <c r="K57" s="1022">
        <f>17976.4+15500</f>
        <v>33476.400000000001</v>
      </c>
      <c r="L57" s="1070" t="s">
        <v>330</v>
      </c>
      <c r="M57" s="1077" t="s">
        <v>321</v>
      </c>
      <c r="N57" s="251">
        <v>279</v>
      </c>
      <c r="O57" s="251">
        <v>260</v>
      </c>
      <c r="P57" s="251">
        <v>260</v>
      </c>
      <c r="Q57" s="251">
        <v>260</v>
      </c>
      <c r="R57" s="252">
        <v>260</v>
      </c>
    </row>
    <row r="58" spans="1:19" s="181" customFormat="1" ht="30" x14ac:dyDescent="0.25">
      <c r="A58" s="1242"/>
      <c r="B58" s="1263"/>
      <c r="C58" s="1110"/>
      <c r="D58" s="267">
        <v>501</v>
      </c>
      <c r="E58" s="256"/>
      <c r="F58" s="1103" t="s">
        <v>1286</v>
      </c>
      <c r="G58" s="1022">
        <f>6337.9+450.1</f>
        <v>6788</v>
      </c>
      <c r="H58" s="1022">
        <f>6251.8+500</f>
        <v>6751.8</v>
      </c>
      <c r="I58" s="1022">
        <f>6655.8+700</f>
        <v>7355.8</v>
      </c>
      <c r="J58" s="1022">
        <f>6655.8+750</f>
        <v>7405.8</v>
      </c>
      <c r="K58" s="1022">
        <f>6655.8+750</f>
        <v>7405.8</v>
      </c>
      <c r="L58" s="1050" t="s">
        <v>1300</v>
      </c>
      <c r="M58" s="1077" t="s">
        <v>297</v>
      </c>
      <c r="N58" s="251">
        <v>8</v>
      </c>
      <c r="O58" s="251">
        <v>10</v>
      </c>
      <c r="P58" s="251">
        <v>12</v>
      </c>
      <c r="Q58" s="251">
        <v>14</v>
      </c>
      <c r="R58" s="252">
        <v>16</v>
      </c>
    </row>
    <row r="59" spans="1:19" s="181" customFormat="1" ht="15" x14ac:dyDescent="0.25">
      <c r="A59" s="183"/>
      <c r="B59" s="1276" t="s">
        <v>299</v>
      </c>
      <c r="C59" s="1277"/>
      <c r="D59" s="1277"/>
      <c r="E59" s="1277"/>
      <c r="F59" s="1278"/>
      <c r="G59" s="192">
        <f>G29+G53</f>
        <v>544683.9</v>
      </c>
      <c r="H59" s="192">
        <f t="shared" ref="H59:K59" si="18">H29+H53</f>
        <v>662025.19999999995</v>
      </c>
      <c r="I59" s="192">
        <f t="shared" si="18"/>
        <v>744817.70000000007</v>
      </c>
      <c r="J59" s="192">
        <f t="shared" si="18"/>
        <v>760674.01100000006</v>
      </c>
      <c r="K59" s="192">
        <f t="shared" si="18"/>
        <v>783516.25800000003</v>
      </c>
      <c r="L59" s="193"/>
      <c r="M59" s="1279"/>
      <c r="N59" s="1279"/>
      <c r="O59" s="1279"/>
      <c r="P59" s="1279"/>
      <c r="Q59" s="1279"/>
      <c r="R59" s="1289"/>
    </row>
    <row r="60" spans="1:19" s="181" customFormat="1" ht="15" x14ac:dyDescent="0.25">
      <c r="A60" s="183"/>
      <c r="B60" s="1253" t="s">
        <v>331</v>
      </c>
      <c r="C60" s="1253"/>
      <c r="D60" s="1253"/>
      <c r="E60" s="1253"/>
      <c r="F60" s="1253"/>
      <c r="G60" s="1253"/>
      <c r="H60" s="1253"/>
      <c r="I60" s="1253"/>
      <c r="J60" s="1253"/>
      <c r="K60" s="1253"/>
      <c r="L60" s="1253"/>
      <c r="M60" s="1253"/>
      <c r="N60" s="1253"/>
      <c r="O60" s="1253"/>
      <c r="P60" s="1253"/>
      <c r="Q60" s="1253"/>
      <c r="R60" s="1253"/>
      <c r="S60" s="1253"/>
    </row>
    <row r="61" spans="1:19" s="181" customFormat="1" ht="72.75" customHeight="1" x14ac:dyDescent="0.25">
      <c r="A61" s="183"/>
      <c r="B61" s="1301">
        <v>16</v>
      </c>
      <c r="C61" s="1086" t="s">
        <v>32</v>
      </c>
      <c r="D61" s="1086"/>
      <c r="E61" s="1086"/>
      <c r="F61" s="269" t="s">
        <v>332</v>
      </c>
      <c r="G61" s="1078">
        <f>SUM(G62:G69)</f>
        <v>151754</v>
      </c>
      <c r="H61" s="1078">
        <f>SUM(H62:H69)</f>
        <v>152906.20000000001</v>
      </c>
      <c r="I61" s="1078">
        <f>SUM(I62:I69)</f>
        <v>201791.4</v>
      </c>
      <c r="J61" s="1078">
        <f>SUM(J62:J69)</f>
        <v>196108</v>
      </c>
      <c r="K61" s="1078">
        <f>SUM(K62:K69)</f>
        <v>196108</v>
      </c>
      <c r="L61" s="269" t="s">
        <v>333</v>
      </c>
      <c r="M61" s="989" t="s">
        <v>4</v>
      </c>
      <c r="N61" s="989">
        <v>1056</v>
      </c>
      <c r="O61" s="989">
        <v>0</v>
      </c>
      <c r="P61" s="989">
        <v>0</v>
      </c>
      <c r="Q61" s="989">
        <v>0</v>
      </c>
      <c r="R61" s="989">
        <v>0</v>
      </c>
    </row>
    <row r="62" spans="1:19" s="181" customFormat="1" ht="35.25" customHeight="1" x14ac:dyDescent="0.25">
      <c r="A62" s="183"/>
      <c r="B62" s="1301"/>
      <c r="C62" s="1083"/>
      <c r="D62" s="1083" t="s">
        <v>10</v>
      </c>
      <c r="E62" s="1086"/>
      <c r="F62" s="271" t="s">
        <v>334</v>
      </c>
      <c r="G62" s="1022">
        <v>151754</v>
      </c>
      <c r="H62" s="1022">
        <v>152906.20000000001</v>
      </c>
      <c r="I62" s="1022">
        <f>189937.4+11854</f>
        <v>201791.4</v>
      </c>
      <c r="J62" s="1022">
        <f>184254+11854</f>
        <v>196108</v>
      </c>
      <c r="K62" s="1022">
        <f>184254+11854</f>
        <v>196108</v>
      </c>
      <c r="L62" s="272" t="s">
        <v>335</v>
      </c>
      <c r="M62" s="1068" t="s">
        <v>297</v>
      </c>
      <c r="N62" s="989">
        <v>650</v>
      </c>
      <c r="O62" s="1100" t="s">
        <v>34</v>
      </c>
      <c r="P62" s="1100" t="s">
        <v>34</v>
      </c>
      <c r="Q62" s="1100" t="s">
        <v>35</v>
      </c>
      <c r="R62" s="1100" t="s">
        <v>35</v>
      </c>
    </row>
    <row r="63" spans="1:19" s="181" customFormat="1" ht="30" hidden="1" customHeight="1" x14ac:dyDescent="0.25">
      <c r="A63" s="183"/>
      <c r="B63" s="1301"/>
      <c r="C63" s="1083"/>
      <c r="D63" s="1083" t="s">
        <v>13</v>
      </c>
      <c r="E63" s="1086"/>
      <c r="F63" s="271" t="s">
        <v>336</v>
      </c>
      <c r="G63" s="203"/>
      <c r="H63" s="203"/>
      <c r="I63" s="213"/>
      <c r="J63" s="213"/>
      <c r="K63" s="213"/>
      <c r="L63" s="275" t="s">
        <v>337</v>
      </c>
      <c r="M63" s="276"/>
      <c r="N63" s="189" t="s">
        <v>36</v>
      </c>
      <c r="O63" s="189" t="s">
        <v>36</v>
      </c>
      <c r="P63" s="189" t="s">
        <v>36</v>
      </c>
      <c r="Q63" s="189" t="s">
        <v>36</v>
      </c>
      <c r="R63" s="189" t="s">
        <v>36</v>
      </c>
    </row>
    <row r="64" spans="1:19" s="181" customFormat="1" ht="28.5" hidden="1" customHeight="1" x14ac:dyDescent="0.25">
      <c r="A64" s="183"/>
      <c r="B64" s="1301"/>
      <c r="C64" s="1083"/>
      <c r="D64" s="1083" t="s">
        <v>9</v>
      </c>
      <c r="E64" s="1086"/>
      <c r="F64" s="271" t="s">
        <v>338</v>
      </c>
      <c r="G64" s="203"/>
      <c r="H64" s="203"/>
      <c r="I64" s="203"/>
      <c r="J64" s="203"/>
      <c r="K64" s="203"/>
      <c r="L64" s="275" t="s">
        <v>339</v>
      </c>
      <c r="M64" s="276" t="s">
        <v>4</v>
      </c>
      <c r="N64" s="189">
        <v>100</v>
      </c>
      <c r="O64" s="189">
        <v>100</v>
      </c>
      <c r="P64" s="189">
        <v>100</v>
      </c>
      <c r="Q64" s="189">
        <v>100</v>
      </c>
      <c r="R64" s="189">
        <v>100</v>
      </c>
    </row>
    <row r="65" spans="1:19" s="181" customFormat="1" ht="30" hidden="1" customHeight="1" x14ac:dyDescent="0.25">
      <c r="A65" s="183"/>
      <c r="B65" s="1301"/>
      <c r="C65" s="1083"/>
      <c r="D65" s="1083" t="s">
        <v>23</v>
      </c>
      <c r="E65" s="1086"/>
      <c r="F65" s="271" t="s">
        <v>340</v>
      </c>
      <c r="G65" s="203"/>
      <c r="H65" s="203"/>
      <c r="I65" s="277"/>
      <c r="J65" s="277"/>
      <c r="K65" s="277"/>
      <c r="L65" s="275" t="s">
        <v>341</v>
      </c>
      <c r="M65" s="189" t="s">
        <v>4</v>
      </c>
      <c r="N65" s="189">
        <v>100</v>
      </c>
      <c r="O65" s="189">
        <v>100</v>
      </c>
      <c r="P65" s="189">
        <v>100</v>
      </c>
      <c r="Q65" s="189">
        <v>100</v>
      </c>
      <c r="R65" s="189">
        <v>100</v>
      </c>
    </row>
    <row r="66" spans="1:19" s="181" customFormat="1" ht="60" hidden="1" customHeight="1" x14ac:dyDescent="0.25">
      <c r="A66" s="183"/>
      <c r="B66" s="1301"/>
      <c r="C66" s="1083"/>
      <c r="D66" s="1083" t="s">
        <v>24</v>
      </c>
      <c r="E66" s="1086"/>
      <c r="F66" s="278" t="s">
        <v>342</v>
      </c>
      <c r="G66" s="203"/>
      <c r="H66" s="203"/>
      <c r="I66" s="277"/>
      <c r="J66" s="277"/>
      <c r="K66" s="277"/>
      <c r="L66" s="275" t="s">
        <v>343</v>
      </c>
      <c r="M66" s="279" t="s">
        <v>321</v>
      </c>
      <c r="N66" s="189">
        <v>30</v>
      </c>
      <c r="O66" s="189">
        <v>30</v>
      </c>
      <c r="P66" s="189">
        <v>30</v>
      </c>
      <c r="Q66" s="189">
        <v>30</v>
      </c>
      <c r="R66" s="189">
        <v>30</v>
      </c>
    </row>
    <row r="67" spans="1:19" s="181" customFormat="1" ht="15" hidden="1" customHeight="1" x14ac:dyDescent="0.25">
      <c r="A67" s="183"/>
      <c r="B67" s="1301"/>
      <c r="C67" s="1083"/>
      <c r="D67" s="1083" t="s">
        <v>25</v>
      </c>
      <c r="E67" s="1086"/>
      <c r="F67" s="280" t="s">
        <v>344</v>
      </c>
      <c r="G67" s="203"/>
      <c r="H67" s="203"/>
      <c r="I67" s="277"/>
      <c r="J67" s="277"/>
      <c r="K67" s="277"/>
      <c r="L67" s="281" t="s">
        <v>345</v>
      </c>
      <c r="M67" s="279" t="s">
        <v>297</v>
      </c>
      <c r="N67" s="189">
        <v>14</v>
      </c>
      <c r="O67" s="189">
        <v>14</v>
      </c>
      <c r="P67" s="189"/>
      <c r="Q67" s="189"/>
      <c r="R67" s="189"/>
    </row>
    <row r="68" spans="1:19" s="181" customFormat="1" ht="15" hidden="1" customHeight="1" x14ac:dyDescent="0.25">
      <c r="A68" s="183"/>
      <c r="B68" s="1301"/>
      <c r="C68" s="1083"/>
      <c r="D68" s="1083" t="s">
        <v>26</v>
      </c>
      <c r="E68" s="1086"/>
      <c r="F68" s="282" t="s">
        <v>346</v>
      </c>
      <c r="G68" s="203"/>
      <c r="H68" s="203"/>
      <c r="I68" s="277"/>
      <c r="J68" s="277"/>
      <c r="K68" s="277"/>
      <c r="L68" s="281" t="s">
        <v>347</v>
      </c>
      <c r="M68" s="279" t="s">
        <v>297</v>
      </c>
      <c r="N68" s="189">
        <v>278</v>
      </c>
      <c r="O68" s="189">
        <v>280</v>
      </c>
      <c r="P68" s="189"/>
      <c r="Q68" s="189"/>
      <c r="R68" s="189"/>
    </row>
    <row r="69" spans="1:19" s="181" customFormat="1" ht="15" hidden="1" customHeight="1" x14ac:dyDescent="0.25">
      <c r="A69" s="183"/>
      <c r="B69" s="1301"/>
      <c r="C69" s="1083"/>
      <c r="D69" s="1083" t="s">
        <v>27</v>
      </c>
      <c r="E69" s="1086"/>
      <c r="F69" s="282" t="s">
        <v>348</v>
      </c>
      <c r="G69" s="283"/>
      <c r="H69" s="203"/>
      <c r="I69" s="277"/>
      <c r="J69" s="277"/>
      <c r="K69" s="277"/>
      <c r="L69" s="281" t="s">
        <v>349</v>
      </c>
      <c r="M69" s="279" t="s">
        <v>297</v>
      </c>
      <c r="N69" s="189">
        <v>88</v>
      </c>
      <c r="O69" s="189">
        <v>90</v>
      </c>
      <c r="P69" s="189"/>
      <c r="Q69" s="189"/>
      <c r="R69" s="189"/>
    </row>
    <row r="70" spans="1:19" s="181" customFormat="1" ht="15" x14ac:dyDescent="0.25">
      <c r="A70" s="183"/>
      <c r="B70" s="1276" t="s">
        <v>299</v>
      </c>
      <c r="C70" s="1277"/>
      <c r="D70" s="1277"/>
      <c r="E70" s="1277"/>
      <c r="F70" s="1278"/>
      <c r="G70" s="284">
        <f>G61</f>
        <v>151754</v>
      </c>
      <c r="H70" s="284">
        <f t="shared" ref="H70:K70" si="19">H61</f>
        <v>152906.20000000001</v>
      </c>
      <c r="I70" s="284">
        <f t="shared" si="19"/>
        <v>201791.4</v>
      </c>
      <c r="J70" s="284">
        <f t="shared" si="19"/>
        <v>196108</v>
      </c>
      <c r="K70" s="284">
        <f t="shared" si="19"/>
        <v>196108</v>
      </c>
      <c r="L70" s="285"/>
      <c r="M70" s="286"/>
      <c r="N70" s="286"/>
      <c r="O70" s="286"/>
      <c r="P70" s="286"/>
      <c r="Q70" s="286"/>
      <c r="R70" s="286"/>
    </row>
    <row r="71" spans="1:19" s="181" customFormat="1" ht="15" x14ac:dyDescent="0.25">
      <c r="A71" s="183"/>
      <c r="B71" s="1253" t="s">
        <v>350</v>
      </c>
      <c r="C71" s="1253"/>
      <c r="D71" s="1253"/>
      <c r="E71" s="1253"/>
      <c r="F71" s="1253"/>
      <c r="G71" s="1253"/>
      <c r="H71" s="1253"/>
      <c r="I71" s="1253"/>
      <c r="J71" s="1253"/>
      <c r="K71" s="1253"/>
      <c r="L71" s="1253"/>
      <c r="M71" s="1253"/>
      <c r="N71" s="1253"/>
      <c r="O71" s="1253"/>
      <c r="P71" s="1253"/>
      <c r="Q71" s="1253"/>
      <c r="R71" s="1253"/>
      <c r="S71" s="1253"/>
    </row>
    <row r="72" spans="1:19" s="181" customFormat="1" ht="62.25" customHeight="1" x14ac:dyDescent="0.25">
      <c r="A72" s="183"/>
      <c r="B72" s="1302">
        <v>16</v>
      </c>
      <c r="C72" s="287" t="s">
        <v>0</v>
      </c>
      <c r="D72" s="287"/>
      <c r="E72" s="287"/>
      <c r="F72" s="1063" t="s">
        <v>351</v>
      </c>
      <c r="G72" s="1034">
        <f>SUM(G73:G74)</f>
        <v>12787.6</v>
      </c>
      <c r="H72" s="1034">
        <f>SUM(H73:H74)</f>
        <v>12284.4</v>
      </c>
      <c r="I72" s="1034">
        <f>SUM(I73:I74)</f>
        <v>12284.4</v>
      </c>
      <c r="J72" s="1034">
        <f>SUM(J73:J74)</f>
        <v>12284.4</v>
      </c>
      <c r="K72" s="1034">
        <f>SUM(K73:K74)</f>
        <v>12284.4</v>
      </c>
      <c r="L72" s="271" t="s">
        <v>352</v>
      </c>
      <c r="M72" s="1105" t="s">
        <v>4</v>
      </c>
      <c r="N72" s="1105">
        <v>27.3</v>
      </c>
      <c r="O72" s="1105">
        <v>27.3</v>
      </c>
      <c r="P72" s="1105">
        <v>27.3</v>
      </c>
      <c r="Q72" s="1105">
        <v>27.3</v>
      </c>
      <c r="R72" s="1105">
        <v>27.3</v>
      </c>
    </row>
    <row r="73" spans="1:19" s="181" customFormat="1" ht="30" x14ac:dyDescent="0.25">
      <c r="A73" s="183"/>
      <c r="B73" s="1303"/>
      <c r="C73" s="288"/>
      <c r="D73" s="289" t="s">
        <v>10</v>
      </c>
      <c r="E73" s="289"/>
      <c r="F73" s="271" t="s">
        <v>1229</v>
      </c>
      <c r="G73" s="1022">
        <v>12787.6</v>
      </c>
      <c r="H73" s="1022">
        <v>12284.4</v>
      </c>
      <c r="I73" s="1022">
        <v>12284.4</v>
      </c>
      <c r="J73" s="1022">
        <v>12284.4</v>
      </c>
      <c r="K73" s="1022">
        <v>12284.4</v>
      </c>
      <c r="L73" s="271" t="s">
        <v>353</v>
      </c>
      <c r="M73" s="1051" t="s">
        <v>21</v>
      </c>
      <c r="N73" s="1051">
        <v>27.3</v>
      </c>
      <c r="O73" s="1051">
        <v>27.3</v>
      </c>
      <c r="P73" s="1051">
        <v>27.3</v>
      </c>
      <c r="Q73" s="1051">
        <v>27.3</v>
      </c>
      <c r="R73" s="1051">
        <v>27.3</v>
      </c>
    </row>
    <row r="74" spans="1:19" s="181" customFormat="1" ht="30" hidden="1" customHeight="1" x14ac:dyDescent="0.25">
      <c r="A74" s="183"/>
      <c r="B74" s="1303"/>
      <c r="C74" s="288"/>
      <c r="D74" s="289" t="s">
        <v>13</v>
      </c>
      <c r="E74" s="289"/>
      <c r="F74" s="271" t="s">
        <v>354</v>
      </c>
      <c r="G74" s="1022"/>
      <c r="H74" s="1022"/>
      <c r="I74" s="1022"/>
      <c r="J74" s="1022"/>
      <c r="K74" s="1022"/>
      <c r="L74" s="271" t="s">
        <v>355</v>
      </c>
      <c r="M74" s="1051" t="s">
        <v>4</v>
      </c>
      <c r="N74" s="1051">
        <v>0</v>
      </c>
      <c r="O74" s="1051">
        <v>0</v>
      </c>
      <c r="P74" s="1051">
        <v>0</v>
      </c>
      <c r="Q74" s="1051">
        <v>0</v>
      </c>
      <c r="R74" s="1051">
        <v>0</v>
      </c>
    </row>
    <row r="75" spans="1:19" s="181" customFormat="1" ht="90" customHeight="1" x14ac:dyDescent="0.25">
      <c r="A75" s="183"/>
      <c r="B75" s="1303"/>
      <c r="C75" s="1052" t="s">
        <v>68</v>
      </c>
      <c r="D75" s="1052"/>
      <c r="E75" s="1052"/>
      <c r="F75" s="291" t="s">
        <v>1301</v>
      </c>
      <c r="G75" s="1034">
        <f>SUM(G76:G82)</f>
        <v>37704.999999999993</v>
      </c>
      <c r="H75" s="1034">
        <f>SUM(H76:H82)</f>
        <v>38208.199999999997</v>
      </c>
      <c r="I75" s="1034">
        <f>SUM(I76:I82)</f>
        <v>48548.7</v>
      </c>
      <c r="J75" s="1034">
        <f>SUM(J76:J82)</f>
        <v>48548.7</v>
      </c>
      <c r="K75" s="1034">
        <f>SUM(K76:K82)</f>
        <v>48548.7</v>
      </c>
      <c r="L75" s="293" t="s">
        <v>356</v>
      </c>
      <c r="M75" s="1051" t="s">
        <v>297</v>
      </c>
      <c r="N75" s="1051">
        <v>23</v>
      </c>
      <c r="O75" s="1051">
        <v>23</v>
      </c>
      <c r="P75" s="1051">
        <v>23</v>
      </c>
      <c r="Q75" s="1051">
        <v>23</v>
      </c>
      <c r="R75" s="1051">
        <v>23</v>
      </c>
    </row>
    <row r="76" spans="1:19" s="181" customFormat="1" ht="33" customHeight="1" x14ac:dyDescent="0.25">
      <c r="A76" s="183"/>
      <c r="B76" s="1303"/>
      <c r="C76" s="1052"/>
      <c r="D76" s="1053" t="s">
        <v>10</v>
      </c>
      <c r="E76" s="1053"/>
      <c r="F76" s="1063" t="s">
        <v>357</v>
      </c>
      <c r="G76" s="1022">
        <v>18548</v>
      </c>
      <c r="H76" s="1022">
        <v>18479.400000000001</v>
      </c>
      <c r="I76" s="74">
        <v>28819.9</v>
      </c>
      <c r="J76" s="74">
        <v>28819.9</v>
      </c>
      <c r="K76" s="74">
        <v>28819.9</v>
      </c>
      <c r="L76" s="1063" t="s">
        <v>358</v>
      </c>
      <c r="M76" s="1085" t="s">
        <v>297</v>
      </c>
      <c r="N76" s="1051">
        <v>73</v>
      </c>
      <c r="O76" s="1051">
        <v>73</v>
      </c>
      <c r="P76" s="1051">
        <v>73</v>
      </c>
      <c r="Q76" s="1051">
        <v>73</v>
      </c>
      <c r="R76" s="1051">
        <v>73</v>
      </c>
    </row>
    <row r="77" spans="1:19" s="181" customFormat="1" ht="31.5" customHeight="1" x14ac:dyDescent="0.25">
      <c r="A77" s="183"/>
      <c r="B77" s="1303"/>
      <c r="C77" s="1304"/>
      <c r="D77" s="1053" t="s">
        <v>13</v>
      </c>
      <c r="E77" s="1053"/>
      <c r="F77" s="1063" t="s">
        <v>359</v>
      </c>
      <c r="G77" s="1022">
        <v>15978.5</v>
      </c>
      <c r="H77" s="1022">
        <v>17252.400000000001</v>
      </c>
      <c r="I77" s="1022">
        <v>17252.400000000001</v>
      </c>
      <c r="J77" s="1022">
        <v>17252.400000000001</v>
      </c>
      <c r="K77" s="1022">
        <v>17252.400000000001</v>
      </c>
      <c r="L77" s="1063" t="s">
        <v>358</v>
      </c>
      <c r="M77" s="1085" t="s">
        <v>297</v>
      </c>
      <c r="N77" s="1051">
        <v>73</v>
      </c>
      <c r="O77" s="1051">
        <v>73</v>
      </c>
      <c r="P77" s="1051">
        <v>73</v>
      </c>
      <c r="Q77" s="1051">
        <v>73</v>
      </c>
      <c r="R77" s="1051">
        <v>73</v>
      </c>
    </row>
    <row r="78" spans="1:19" s="181" customFormat="1" ht="32.25" customHeight="1" x14ac:dyDescent="0.25">
      <c r="A78" s="183"/>
      <c r="B78" s="1303"/>
      <c r="C78" s="1305"/>
      <c r="D78" s="1053" t="s">
        <v>9</v>
      </c>
      <c r="E78" s="1053"/>
      <c r="F78" s="1063" t="s">
        <v>360</v>
      </c>
      <c r="G78" s="1022">
        <v>748.2</v>
      </c>
      <c r="H78" s="1022">
        <v>796.2</v>
      </c>
      <c r="I78" s="1022">
        <v>796.2</v>
      </c>
      <c r="J78" s="1022">
        <v>796.2</v>
      </c>
      <c r="K78" s="1022">
        <v>796.2</v>
      </c>
      <c r="L78" s="1063" t="s">
        <v>361</v>
      </c>
      <c r="M78" s="1085" t="s">
        <v>297</v>
      </c>
      <c r="N78" s="295">
        <v>18</v>
      </c>
      <c r="O78" s="295">
        <v>18</v>
      </c>
      <c r="P78" s="295">
        <v>18</v>
      </c>
      <c r="Q78" s="295">
        <v>18</v>
      </c>
      <c r="R78" s="295">
        <v>18</v>
      </c>
    </row>
    <row r="79" spans="1:19" s="181" customFormat="1" ht="135" x14ac:dyDescent="0.25">
      <c r="A79" s="183"/>
      <c r="B79" s="1303"/>
      <c r="C79" s="1305"/>
      <c r="D79" s="1053" t="s">
        <v>23</v>
      </c>
      <c r="E79" s="1053"/>
      <c r="F79" s="1063" t="s">
        <v>1302</v>
      </c>
      <c r="G79" s="1022">
        <v>216.6</v>
      </c>
      <c r="H79" s="1022">
        <v>216.6</v>
      </c>
      <c r="I79" s="1022">
        <v>216.6</v>
      </c>
      <c r="J79" s="1022">
        <v>216.6</v>
      </c>
      <c r="K79" s="1022">
        <v>216.6</v>
      </c>
      <c r="L79" s="1063" t="s">
        <v>1305</v>
      </c>
      <c r="M79" s="1085" t="s">
        <v>297</v>
      </c>
      <c r="N79" s="295">
        <v>4</v>
      </c>
      <c r="O79" s="295">
        <v>4</v>
      </c>
      <c r="P79" s="295">
        <v>4</v>
      </c>
      <c r="Q79" s="295">
        <v>4</v>
      </c>
      <c r="R79" s="295">
        <v>4</v>
      </c>
    </row>
    <row r="80" spans="1:19" s="181" customFormat="1" ht="30" x14ac:dyDescent="0.25">
      <c r="A80" s="183"/>
      <c r="B80" s="1303"/>
      <c r="C80" s="1305"/>
      <c r="D80" s="1053" t="s">
        <v>24</v>
      </c>
      <c r="E80" s="1053"/>
      <c r="F80" s="1063" t="s">
        <v>362</v>
      </c>
      <c r="G80" s="1022">
        <v>2113.6999999999998</v>
      </c>
      <c r="H80" s="1022">
        <v>1363.6</v>
      </c>
      <c r="I80" s="1022">
        <v>1363.6</v>
      </c>
      <c r="J80" s="1022">
        <v>1363.6</v>
      </c>
      <c r="K80" s="1022">
        <v>1363.6</v>
      </c>
      <c r="L80" s="1063" t="s">
        <v>363</v>
      </c>
      <c r="M80" s="1085" t="s">
        <v>297</v>
      </c>
      <c r="N80" s="1085">
        <v>1</v>
      </c>
      <c r="O80" s="1085">
        <v>0</v>
      </c>
      <c r="P80" s="1085">
        <v>1</v>
      </c>
      <c r="Q80" s="1085">
        <v>0</v>
      </c>
      <c r="R80" s="1085">
        <v>1</v>
      </c>
    </row>
    <row r="81" spans="1:19" s="181" customFormat="1" ht="45" hidden="1" customHeight="1" x14ac:dyDescent="0.25">
      <c r="A81" s="183"/>
      <c r="B81" s="1303"/>
      <c r="C81" s="1305"/>
      <c r="D81" s="1053" t="s">
        <v>25</v>
      </c>
      <c r="E81" s="1053"/>
      <c r="F81" s="1063" t="s">
        <v>364</v>
      </c>
      <c r="G81" s="74">
        <v>0</v>
      </c>
      <c r="H81" s="1022">
        <v>0</v>
      </c>
      <c r="I81" s="1022">
        <v>0</v>
      </c>
      <c r="J81" s="1022">
        <v>0</v>
      </c>
      <c r="K81" s="1022">
        <v>0</v>
      </c>
      <c r="L81" s="1063" t="s">
        <v>365</v>
      </c>
      <c r="M81" s="1085" t="s">
        <v>297</v>
      </c>
      <c r="N81" s="1085">
        <v>0</v>
      </c>
      <c r="O81" s="1085">
        <v>1</v>
      </c>
      <c r="P81" s="1085">
        <v>0</v>
      </c>
      <c r="Q81" s="1085">
        <v>1</v>
      </c>
      <c r="R81" s="1085">
        <v>0</v>
      </c>
    </row>
    <row r="82" spans="1:19" s="181" customFormat="1" ht="45" x14ac:dyDescent="0.25">
      <c r="A82" s="183"/>
      <c r="B82" s="1303"/>
      <c r="C82" s="1306"/>
      <c r="D82" s="1053" t="s">
        <v>26</v>
      </c>
      <c r="E82" s="1053"/>
      <c r="F82" s="1063" t="s">
        <v>1303</v>
      </c>
      <c r="G82" s="74">
        <v>100</v>
      </c>
      <c r="H82" s="74">
        <v>100</v>
      </c>
      <c r="I82" s="1022">
        <v>100</v>
      </c>
      <c r="J82" s="1022">
        <v>100</v>
      </c>
      <c r="K82" s="1022">
        <f>J82</f>
        <v>100</v>
      </c>
      <c r="L82" s="1063" t="s">
        <v>366</v>
      </c>
      <c r="M82" s="1085" t="s">
        <v>297</v>
      </c>
      <c r="N82" s="1085">
        <v>2</v>
      </c>
      <c r="O82" s="1085">
        <v>2</v>
      </c>
      <c r="P82" s="1085">
        <v>2</v>
      </c>
      <c r="Q82" s="1085">
        <v>2</v>
      </c>
      <c r="R82" s="1085">
        <v>2</v>
      </c>
    </row>
    <row r="83" spans="1:19" s="181" customFormat="1" ht="63" customHeight="1" x14ac:dyDescent="0.25">
      <c r="A83" s="183"/>
      <c r="B83" s="1303"/>
      <c r="C83" s="1052" t="s">
        <v>135</v>
      </c>
      <c r="D83" s="1052"/>
      <c r="E83" s="1052"/>
      <c r="F83" s="296" t="s">
        <v>1304</v>
      </c>
      <c r="G83" s="1034">
        <f>+G86+G84+G85</f>
        <v>50</v>
      </c>
      <c r="H83" s="1034">
        <f>+H86+H84+H85</f>
        <v>50</v>
      </c>
      <c r="I83" s="1034">
        <f>+I86+I84+I85</f>
        <v>50</v>
      </c>
      <c r="J83" s="1034">
        <f>+J86+J84+J85</f>
        <v>50</v>
      </c>
      <c r="K83" s="1034">
        <f>+K86+K84+K85</f>
        <v>50</v>
      </c>
      <c r="L83" s="297" t="s">
        <v>367</v>
      </c>
      <c r="M83" s="1051" t="s">
        <v>297</v>
      </c>
      <c r="N83" s="1051">
        <v>0</v>
      </c>
      <c r="O83" s="1051">
        <v>0</v>
      </c>
      <c r="P83" s="1051">
        <v>0</v>
      </c>
      <c r="Q83" s="1051">
        <v>0</v>
      </c>
      <c r="R83" s="1051">
        <v>0</v>
      </c>
    </row>
    <row r="84" spans="1:19" s="181" customFormat="1" ht="45" hidden="1" customHeight="1" x14ac:dyDescent="0.25">
      <c r="A84" s="183"/>
      <c r="B84" s="1303"/>
      <c r="C84" s="1053"/>
      <c r="D84" s="1053" t="s">
        <v>10</v>
      </c>
      <c r="E84" s="1053"/>
      <c r="F84" s="298" t="s">
        <v>368</v>
      </c>
      <c r="G84" s="1022">
        <v>0</v>
      </c>
      <c r="H84" s="1022">
        <v>0</v>
      </c>
      <c r="I84" s="1022">
        <v>0</v>
      </c>
      <c r="J84" s="1022">
        <v>0</v>
      </c>
      <c r="K84" s="1022">
        <v>0</v>
      </c>
      <c r="L84" s="298" t="s">
        <v>369</v>
      </c>
      <c r="M84" s="1085" t="s">
        <v>297</v>
      </c>
      <c r="N84" s="1085">
        <v>100</v>
      </c>
      <c r="O84" s="299">
        <v>100</v>
      </c>
      <c r="P84" s="299">
        <v>100</v>
      </c>
      <c r="Q84" s="299">
        <v>100</v>
      </c>
      <c r="R84" s="299">
        <v>100</v>
      </c>
    </row>
    <row r="85" spans="1:19" s="181" customFormat="1" ht="45" hidden="1" customHeight="1" x14ac:dyDescent="0.25">
      <c r="A85" s="183"/>
      <c r="B85" s="1303"/>
      <c r="C85" s="1053"/>
      <c r="D85" s="1053" t="s">
        <v>13</v>
      </c>
      <c r="E85" s="1053"/>
      <c r="F85" s="298" t="s">
        <v>370</v>
      </c>
      <c r="G85" s="1022">
        <v>0</v>
      </c>
      <c r="H85" s="1022">
        <v>0</v>
      </c>
      <c r="I85" s="1022">
        <v>0</v>
      </c>
      <c r="J85" s="1022">
        <v>0</v>
      </c>
      <c r="K85" s="1022">
        <v>0</v>
      </c>
      <c r="L85" s="298" t="s">
        <v>371</v>
      </c>
      <c r="M85" s="1085" t="s">
        <v>297</v>
      </c>
      <c r="N85" s="1085">
        <v>560</v>
      </c>
      <c r="O85" s="299">
        <v>560</v>
      </c>
      <c r="P85" s="299">
        <v>560</v>
      </c>
      <c r="Q85" s="299">
        <v>560</v>
      </c>
      <c r="R85" s="299">
        <v>560</v>
      </c>
    </row>
    <row r="86" spans="1:19" s="181" customFormat="1" ht="30" x14ac:dyDescent="0.25">
      <c r="A86" s="183"/>
      <c r="B86" s="1303"/>
      <c r="C86" s="1053"/>
      <c r="D86" s="1053" t="s">
        <v>9</v>
      </c>
      <c r="E86" s="1053"/>
      <c r="F86" s="298" t="s">
        <v>372</v>
      </c>
      <c r="G86" s="1022">
        <v>50</v>
      </c>
      <c r="H86" s="1022">
        <v>50</v>
      </c>
      <c r="I86" s="1022">
        <v>50</v>
      </c>
      <c r="J86" s="1022">
        <v>50</v>
      </c>
      <c r="K86" s="1022">
        <v>50</v>
      </c>
      <c r="L86" s="298" t="s">
        <v>1306</v>
      </c>
      <c r="M86" s="1085" t="s">
        <v>373</v>
      </c>
      <c r="N86" s="295" t="s">
        <v>374</v>
      </c>
      <c r="O86" s="295" t="s">
        <v>374</v>
      </c>
      <c r="P86" s="295" t="s">
        <v>374</v>
      </c>
      <c r="Q86" s="295" t="s">
        <v>374</v>
      </c>
      <c r="R86" s="295" t="s">
        <v>374</v>
      </c>
    </row>
    <row r="87" spans="1:19" s="181" customFormat="1" ht="15" x14ac:dyDescent="0.25">
      <c r="A87" s="183"/>
      <c r="B87" s="1276" t="s">
        <v>299</v>
      </c>
      <c r="C87" s="1277"/>
      <c r="D87" s="1277"/>
      <c r="E87" s="1277"/>
      <c r="F87" s="1278"/>
      <c r="G87" s="284">
        <f>G72+G75+G83</f>
        <v>50542.599999999991</v>
      </c>
      <c r="H87" s="284">
        <f t="shared" ref="H87:K87" si="20">H72+H75+H83</f>
        <v>50542.6</v>
      </c>
      <c r="I87" s="284">
        <f t="shared" si="20"/>
        <v>60883.1</v>
      </c>
      <c r="J87" s="284">
        <f t="shared" si="20"/>
        <v>60883.1</v>
      </c>
      <c r="K87" s="284">
        <f t="shared" si="20"/>
        <v>60883.1</v>
      </c>
      <c r="L87" s="300"/>
      <c r="M87" s="301"/>
      <c r="N87" s="301"/>
      <c r="O87" s="301"/>
      <c r="P87" s="301"/>
      <c r="Q87" s="301"/>
      <c r="R87" s="301"/>
    </row>
    <row r="88" spans="1:19" s="181" customFormat="1" ht="15" x14ac:dyDescent="0.25">
      <c r="A88" s="183"/>
      <c r="B88" s="1253" t="s">
        <v>375</v>
      </c>
      <c r="C88" s="1253"/>
      <c r="D88" s="1253"/>
      <c r="E88" s="1253"/>
      <c r="F88" s="1253"/>
      <c r="G88" s="1253"/>
      <c r="H88" s="1253"/>
      <c r="I88" s="1253"/>
      <c r="J88" s="1253"/>
      <c r="K88" s="1253"/>
      <c r="L88" s="1253"/>
      <c r="M88" s="1253"/>
      <c r="N88" s="1253"/>
      <c r="O88" s="1253"/>
      <c r="P88" s="1253"/>
      <c r="Q88" s="1253"/>
      <c r="R88" s="1253"/>
      <c r="S88" s="1253"/>
    </row>
    <row r="89" spans="1:19" s="181" customFormat="1" ht="59.25" customHeight="1" x14ac:dyDescent="0.25">
      <c r="A89" s="183"/>
      <c r="B89" s="1291">
        <v>16</v>
      </c>
      <c r="C89" s="302" t="s">
        <v>0</v>
      </c>
      <c r="D89" s="302"/>
      <c r="E89" s="302"/>
      <c r="F89" s="291" t="s">
        <v>1307</v>
      </c>
      <c r="G89" s="1034">
        <f>SUM(G90:G90)</f>
        <v>20298.099999999999</v>
      </c>
      <c r="H89" s="1034">
        <f>SUM(H90:H90)</f>
        <v>13914.1</v>
      </c>
      <c r="I89" s="1034">
        <f>I90</f>
        <v>13914.1</v>
      </c>
      <c r="J89" s="1034">
        <f>J90</f>
        <v>14862.4</v>
      </c>
      <c r="K89" s="1034">
        <f>K90</f>
        <v>15292.7</v>
      </c>
      <c r="L89" s="291" t="s">
        <v>376</v>
      </c>
      <c r="M89" s="303" t="s">
        <v>4</v>
      </c>
      <c r="N89" s="303">
        <v>4.9000000000000004</v>
      </c>
      <c r="O89" s="303">
        <v>4.9000000000000004</v>
      </c>
      <c r="P89" s="303">
        <v>4.9000000000000004</v>
      </c>
      <c r="Q89" s="303">
        <v>4.9000000000000004</v>
      </c>
      <c r="R89" s="303">
        <v>4.9000000000000004</v>
      </c>
    </row>
    <row r="90" spans="1:19" s="181" customFormat="1" ht="45" x14ac:dyDescent="0.25">
      <c r="A90" s="183"/>
      <c r="B90" s="1292"/>
      <c r="C90" s="1100"/>
      <c r="D90" s="1100" t="s">
        <v>10</v>
      </c>
      <c r="E90" s="1100"/>
      <c r="F90" s="271" t="s">
        <v>1229</v>
      </c>
      <c r="G90" s="1022">
        <v>20298.099999999999</v>
      </c>
      <c r="H90" s="1022">
        <v>13914.1</v>
      </c>
      <c r="I90" s="1022">
        <v>13914.1</v>
      </c>
      <c r="J90" s="1022">
        <v>14862.4</v>
      </c>
      <c r="K90" s="1022">
        <v>15292.7</v>
      </c>
      <c r="L90" s="271" t="s">
        <v>377</v>
      </c>
      <c r="M90" s="189" t="s">
        <v>297</v>
      </c>
      <c r="N90" s="189">
        <v>4.9000000000000004</v>
      </c>
      <c r="O90" s="189">
        <v>4.9000000000000004</v>
      </c>
      <c r="P90" s="189">
        <v>4.9000000000000004</v>
      </c>
      <c r="Q90" s="189">
        <v>4.9000000000000004</v>
      </c>
      <c r="R90" s="189">
        <v>4.9000000000000004</v>
      </c>
    </row>
    <row r="91" spans="1:19" s="181" customFormat="1" ht="74.25" customHeight="1" x14ac:dyDescent="0.25">
      <c r="A91" s="183"/>
      <c r="B91" s="1292"/>
      <c r="C91" s="1086" t="s">
        <v>68</v>
      </c>
      <c r="D91" s="1086"/>
      <c r="E91" s="1086"/>
      <c r="F91" s="291" t="s">
        <v>1308</v>
      </c>
      <c r="G91" s="1034">
        <f>SUM(G92:G94)</f>
        <v>11815.7</v>
      </c>
      <c r="H91" s="1034">
        <f>SUM(H92:H94)</f>
        <v>8439.7000000000007</v>
      </c>
      <c r="I91" s="1034">
        <f>I92+I93+I94</f>
        <v>8439.7000000000007</v>
      </c>
      <c r="J91" s="1034">
        <f>J92+J93+J94</f>
        <v>11965.7</v>
      </c>
      <c r="K91" s="1034">
        <f>K92+K93+K94</f>
        <v>11815.7</v>
      </c>
      <c r="L91" s="304" t="s">
        <v>378</v>
      </c>
      <c r="M91" s="189" t="s">
        <v>33</v>
      </c>
      <c r="N91" s="189">
        <v>2300</v>
      </c>
      <c r="O91" s="189">
        <v>2500</v>
      </c>
      <c r="P91" s="189">
        <v>2600</v>
      </c>
      <c r="Q91" s="189">
        <v>2600</v>
      </c>
      <c r="R91" s="189">
        <v>2600</v>
      </c>
    </row>
    <row r="92" spans="1:19" s="181" customFormat="1" ht="30" x14ac:dyDescent="0.25">
      <c r="A92" s="183"/>
      <c r="B92" s="1292"/>
      <c r="C92" s="305"/>
      <c r="D92" s="305" t="s">
        <v>10</v>
      </c>
      <c r="E92" s="305"/>
      <c r="F92" s="291" t="s">
        <v>379</v>
      </c>
      <c r="G92" s="1022">
        <v>11815.7</v>
      </c>
      <c r="H92" s="1022">
        <v>8439.7000000000007</v>
      </c>
      <c r="I92" s="1022">
        <v>8439.7000000000007</v>
      </c>
      <c r="J92" s="1022">
        <v>11965.7</v>
      </c>
      <c r="K92" s="1022">
        <v>11815.7</v>
      </c>
      <c r="L92" s="291" t="s">
        <v>380</v>
      </c>
      <c r="M92" s="306" t="s">
        <v>2</v>
      </c>
      <c r="N92" s="306">
        <v>2300</v>
      </c>
      <c r="O92" s="306">
        <v>2500</v>
      </c>
      <c r="P92" s="306">
        <v>2600</v>
      </c>
      <c r="Q92" s="306">
        <v>2600</v>
      </c>
      <c r="R92" s="306">
        <v>2600</v>
      </c>
    </row>
    <row r="93" spans="1:19" s="181" customFormat="1" ht="30" customHeight="1" x14ac:dyDescent="0.25">
      <c r="A93" s="183"/>
      <c r="B93" s="1292"/>
      <c r="C93" s="305"/>
      <c r="D93" s="305" t="s">
        <v>13</v>
      </c>
      <c r="E93" s="305"/>
      <c r="F93" s="291" t="s">
        <v>381</v>
      </c>
      <c r="G93" s="1022"/>
      <c r="H93" s="1022"/>
      <c r="I93" s="1022"/>
      <c r="J93" s="1022"/>
      <c r="K93" s="1022"/>
      <c r="L93" s="291"/>
      <c r="M93" s="307"/>
      <c r="N93" s="307"/>
      <c r="O93" s="307"/>
      <c r="P93" s="307"/>
      <c r="Q93" s="307"/>
      <c r="R93" s="307"/>
    </row>
    <row r="94" spans="1:19" s="181" customFormat="1" ht="60" customHeight="1" x14ac:dyDescent="0.25">
      <c r="A94" s="183"/>
      <c r="B94" s="1293"/>
      <c r="C94" s="305"/>
      <c r="D94" s="305" t="s">
        <v>9</v>
      </c>
      <c r="E94" s="305"/>
      <c r="F94" s="291" t="s">
        <v>1309</v>
      </c>
      <c r="G94" s="994"/>
      <c r="H94" s="994"/>
      <c r="I94" s="994"/>
      <c r="J94" s="994"/>
      <c r="K94" s="994"/>
      <c r="L94" s="291" t="s">
        <v>382</v>
      </c>
      <c r="M94" s="308"/>
      <c r="N94" s="309"/>
      <c r="O94" s="308"/>
      <c r="P94" s="308"/>
      <c r="Q94" s="308"/>
      <c r="R94" s="308"/>
    </row>
    <row r="95" spans="1:19" s="181" customFormat="1" ht="15" x14ac:dyDescent="0.25">
      <c r="A95" s="183"/>
      <c r="B95" s="1276" t="s">
        <v>299</v>
      </c>
      <c r="C95" s="1277"/>
      <c r="D95" s="1277"/>
      <c r="E95" s="1277"/>
      <c r="F95" s="1278"/>
      <c r="G95" s="284">
        <f>G89+G91</f>
        <v>32113.8</v>
      </c>
      <c r="H95" s="284">
        <f t="shared" ref="H95:K95" si="21">H89+H91</f>
        <v>22353.800000000003</v>
      </c>
      <c r="I95" s="284">
        <f t="shared" si="21"/>
        <v>22353.800000000003</v>
      </c>
      <c r="J95" s="284">
        <f t="shared" si="21"/>
        <v>26828.1</v>
      </c>
      <c r="K95" s="284">
        <f t="shared" si="21"/>
        <v>27108.400000000001</v>
      </c>
      <c r="L95" s="310"/>
      <c r="M95" s="286"/>
      <c r="N95" s="311"/>
      <c r="O95" s="311"/>
      <c r="P95" s="286"/>
      <c r="Q95" s="286"/>
      <c r="R95" s="286"/>
    </row>
    <row r="96" spans="1:19" s="181" customFormat="1" ht="15" x14ac:dyDescent="0.25">
      <c r="A96" s="183"/>
      <c r="B96" s="1253" t="s">
        <v>383</v>
      </c>
      <c r="C96" s="1253"/>
      <c r="D96" s="1253"/>
      <c r="E96" s="1253"/>
      <c r="F96" s="1253"/>
      <c r="G96" s="1253"/>
      <c r="H96" s="1253"/>
      <c r="I96" s="1253"/>
      <c r="J96" s="1253"/>
      <c r="K96" s="1253"/>
      <c r="L96" s="1253"/>
      <c r="M96" s="1253"/>
      <c r="N96" s="1253"/>
      <c r="O96" s="1253"/>
      <c r="P96" s="1253"/>
      <c r="Q96" s="1253"/>
      <c r="R96" s="1253"/>
      <c r="S96" s="1253"/>
    </row>
    <row r="97" spans="1:18" s="181" customFormat="1" ht="59.25" x14ac:dyDescent="0.25">
      <c r="A97" s="183"/>
      <c r="B97" s="1294">
        <v>16</v>
      </c>
      <c r="C97" s="312" t="s">
        <v>0</v>
      </c>
      <c r="D97" s="312"/>
      <c r="E97" s="312"/>
      <c r="F97" s="1097" t="s">
        <v>1310</v>
      </c>
      <c r="G97" s="1034">
        <f>SUM(G98:G101)</f>
        <v>108878.7</v>
      </c>
      <c r="H97" s="1034">
        <f>SUM(H98:H101)</f>
        <v>113838</v>
      </c>
      <c r="I97" s="1034">
        <f>SUM(I98:I101)</f>
        <v>99351.700000000012</v>
      </c>
      <c r="J97" s="1034">
        <f>SUM(J98:J101)</f>
        <v>92861.9</v>
      </c>
      <c r="K97" s="1034">
        <f>SUM(K98:K101)</f>
        <v>93255.200000000012</v>
      </c>
      <c r="L97" s="1097" t="s">
        <v>384</v>
      </c>
      <c r="M97" s="314" t="s">
        <v>4</v>
      </c>
      <c r="N97" s="314">
        <v>100</v>
      </c>
      <c r="O97" s="314">
        <v>100</v>
      </c>
      <c r="P97" s="314">
        <v>100</v>
      </c>
      <c r="Q97" s="314">
        <v>100</v>
      </c>
      <c r="R97" s="314">
        <v>100</v>
      </c>
    </row>
    <row r="98" spans="1:18" s="181" customFormat="1" ht="30" x14ac:dyDescent="0.25">
      <c r="A98" s="183"/>
      <c r="B98" s="1295"/>
      <c r="C98" s="289"/>
      <c r="D98" s="289" t="s">
        <v>10</v>
      </c>
      <c r="E98" s="289"/>
      <c r="F98" s="315" t="s">
        <v>1229</v>
      </c>
      <c r="G98" s="1022">
        <v>43282.1</v>
      </c>
      <c r="H98" s="1022">
        <v>44197.4</v>
      </c>
      <c r="I98" s="1022">
        <v>37540.300000000003</v>
      </c>
      <c r="J98" s="1022">
        <v>39634.800000000003</v>
      </c>
      <c r="K98" s="1022">
        <v>39634.800000000003</v>
      </c>
      <c r="L98" s="1296" t="s">
        <v>385</v>
      </c>
      <c r="M98" s="1051" t="s">
        <v>4</v>
      </c>
      <c r="N98" s="1051">
        <v>100</v>
      </c>
      <c r="O98" s="1051">
        <v>100</v>
      </c>
      <c r="P98" s="1051">
        <v>100</v>
      </c>
      <c r="Q98" s="1051">
        <v>100</v>
      </c>
      <c r="R98" s="1051">
        <v>100</v>
      </c>
    </row>
    <row r="99" spans="1:18" s="181" customFormat="1" ht="15" x14ac:dyDescent="0.25">
      <c r="A99" s="183"/>
      <c r="B99" s="1295"/>
      <c r="C99" s="289"/>
      <c r="D99" s="289" t="s">
        <v>27</v>
      </c>
      <c r="E99" s="289"/>
      <c r="F99" s="315" t="s">
        <v>386</v>
      </c>
      <c r="G99" s="1022">
        <v>65508.1</v>
      </c>
      <c r="H99" s="1022">
        <v>69640.600000000006</v>
      </c>
      <c r="I99" s="1022"/>
      <c r="J99" s="1022"/>
      <c r="K99" s="1022"/>
      <c r="L99" s="1297"/>
      <c r="M99" s="1051" t="s">
        <v>4</v>
      </c>
      <c r="N99" s="1051">
        <v>100</v>
      </c>
      <c r="O99" s="1051">
        <v>100</v>
      </c>
      <c r="P99" s="1051"/>
      <c r="Q99" s="1051"/>
      <c r="R99" s="1051"/>
    </row>
    <row r="100" spans="1:18" s="181" customFormat="1" ht="45" x14ac:dyDescent="0.25">
      <c r="A100" s="183"/>
      <c r="B100" s="1295"/>
      <c r="C100" s="289"/>
      <c r="D100" s="289" t="s">
        <v>13</v>
      </c>
      <c r="E100" s="289"/>
      <c r="F100" s="315" t="s">
        <v>1746</v>
      </c>
      <c r="G100" s="1022"/>
      <c r="H100" s="1022"/>
      <c r="I100" s="1022">
        <v>61811.4</v>
      </c>
      <c r="J100" s="1022">
        <v>53227.1</v>
      </c>
      <c r="K100" s="1022">
        <v>53620.4</v>
      </c>
      <c r="L100" s="315" t="s">
        <v>387</v>
      </c>
      <c r="M100" s="1051" t="s">
        <v>4</v>
      </c>
      <c r="N100" s="1051"/>
      <c r="O100" s="1051"/>
      <c r="P100" s="1051">
        <v>100</v>
      </c>
      <c r="Q100" s="1051">
        <v>100</v>
      </c>
      <c r="R100" s="1051">
        <v>100</v>
      </c>
    </row>
    <row r="101" spans="1:18" s="181" customFormat="1" ht="30" x14ac:dyDescent="0.25">
      <c r="A101" s="183"/>
      <c r="B101" s="1295"/>
      <c r="C101" s="289"/>
      <c r="D101" s="289" t="s">
        <v>25</v>
      </c>
      <c r="E101" s="289"/>
      <c r="F101" s="282" t="s">
        <v>388</v>
      </c>
      <c r="G101" s="1022">
        <v>88.5</v>
      </c>
      <c r="H101" s="1022"/>
      <c r="I101" s="1022"/>
      <c r="J101" s="1022"/>
      <c r="K101" s="1022"/>
      <c r="L101" s="1063" t="s">
        <v>389</v>
      </c>
      <c r="M101" s="1051" t="s">
        <v>4</v>
      </c>
      <c r="N101" s="1051">
        <v>100</v>
      </c>
      <c r="O101" s="1051"/>
      <c r="P101" s="1051"/>
      <c r="Q101" s="1051"/>
      <c r="R101" s="1051"/>
    </row>
    <row r="102" spans="1:18" s="181" customFormat="1" ht="79.5" customHeight="1" x14ac:dyDescent="0.25">
      <c r="A102" s="183"/>
      <c r="B102" s="1295"/>
      <c r="C102" s="1052" t="s">
        <v>68</v>
      </c>
      <c r="D102" s="1052"/>
      <c r="E102" s="1052"/>
      <c r="F102" s="1097" t="s">
        <v>390</v>
      </c>
      <c r="G102" s="1034">
        <f>SUM(G103:G118)</f>
        <v>1850450.7</v>
      </c>
      <c r="H102" s="1034">
        <f>SUM(H103:H118)</f>
        <v>962469.9</v>
      </c>
      <c r="I102" s="1034">
        <f>SUM(I103:I118)</f>
        <v>1303962</v>
      </c>
      <c r="J102" s="1034">
        <f>SUM(J103:J118)</f>
        <v>1322780.6000000001</v>
      </c>
      <c r="K102" s="1034">
        <f>SUM(K103:K118)</f>
        <v>1399662.1</v>
      </c>
      <c r="L102" s="316" t="s">
        <v>391</v>
      </c>
      <c r="M102" s="1051" t="s">
        <v>38</v>
      </c>
      <c r="N102" s="317">
        <v>4.0999999999999996</v>
      </c>
      <c r="O102" s="317">
        <v>4.2</v>
      </c>
      <c r="P102" s="317">
        <v>4.4000000000000004</v>
      </c>
      <c r="Q102" s="317">
        <v>4.4000000000000004</v>
      </c>
      <c r="R102" s="317">
        <v>4.4000000000000004</v>
      </c>
    </row>
    <row r="103" spans="1:18" s="181" customFormat="1" ht="30" x14ac:dyDescent="0.25">
      <c r="A103" s="183"/>
      <c r="B103" s="1295"/>
      <c r="C103" s="1053"/>
      <c r="D103" s="1053" t="s">
        <v>10</v>
      </c>
      <c r="E103" s="1053"/>
      <c r="F103" s="271" t="s">
        <v>392</v>
      </c>
      <c r="G103" s="1022">
        <v>4170.3999999999996</v>
      </c>
      <c r="H103" s="1022">
        <v>4170.3999999999996</v>
      </c>
      <c r="I103" s="74">
        <v>5886.4</v>
      </c>
      <c r="J103" s="74">
        <v>5886.4</v>
      </c>
      <c r="K103" s="74">
        <v>5886.4</v>
      </c>
      <c r="L103" s="271" t="s">
        <v>393</v>
      </c>
      <c r="M103" s="1051" t="s">
        <v>4</v>
      </c>
      <c r="N103" s="1051">
        <v>100</v>
      </c>
      <c r="O103" s="1051">
        <v>100</v>
      </c>
      <c r="P103" s="1051">
        <v>100</v>
      </c>
      <c r="Q103" s="1051">
        <v>100</v>
      </c>
      <c r="R103" s="1051">
        <v>100</v>
      </c>
    </row>
    <row r="104" spans="1:18" s="181" customFormat="1" ht="15" customHeight="1" x14ac:dyDescent="0.25">
      <c r="A104" s="183"/>
      <c r="B104" s="1295"/>
      <c r="C104" s="1053"/>
      <c r="D104" s="1053" t="s">
        <v>13</v>
      </c>
      <c r="E104" s="1053"/>
      <c r="F104" s="271" t="s">
        <v>394</v>
      </c>
      <c r="G104" s="1022">
        <v>32000</v>
      </c>
      <c r="H104" s="1022"/>
      <c r="I104" s="74"/>
      <c r="J104" s="74"/>
      <c r="K104" s="74"/>
      <c r="L104" s="1298" t="s">
        <v>1314</v>
      </c>
      <c r="M104" s="1051" t="s">
        <v>395</v>
      </c>
      <c r="N104" s="1077">
        <v>36</v>
      </c>
      <c r="O104" s="1077"/>
      <c r="P104" s="1077"/>
      <c r="Q104" s="1077"/>
      <c r="R104" s="1077"/>
    </row>
    <row r="105" spans="1:18" s="181" customFormat="1" ht="15" x14ac:dyDescent="0.25">
      <c r="A105" s="183"/>
      <c r="B105" s="1295"/>
      <c r="C105" s="1053"/>
      <c r="D105" s="1053" t="s">
        <v>9</v>
      </c>
      <c r="E105" s="1053"/>
      <c r="F105" s="271" t="s">
        <v>396</v>
      </c>
      <c r="G105" s="1022">
        <v>0</v>
      </c>
      <c r="H105" s="1022"/>
      <c r="I105" s="74">
        <v>0</v>
      </c>
      <c r="J105" s="74">
        <v>0</v>
      </c>
      <c r="K105" s="74">
        <v>0</v>
      </c>
      <c r="L105" s="1299"/>
      <c r="M105" s="1051" t="s">
        <v>395</v>
      </c>
      <c r="N105" s="1077"/>
      <c r="O105" s="1077"/>
      <c r="P105" s="1077"/>
      <c r="Q105" s="1077"/>
      <c r="R105" s="1077"/>
    </row>
    <row r="106" spans="1:18" s="181" customFormat="1" ht="15" x14ac:dyDescent="0.25">
      <c r="A106" s="183"/>
      <c r="B106" s="1295"/>
      <c r="C106" s="1053"/>
      <c r="D106" s="1053" t="s">
        <v>23</v>
      </c>
      <c r="E106" s="1053"/>
      <c r="F106" s="271" t="s">
        <v>397</v>
      </c>
      <c r="G106" s="1022">
        <v>23081</v>
      </c>
      <c r="H106" s="1022"/>
      <c r="I106" s="74">
        <v>0</v>
      </c>
      <c r="J106" s="74">
        <v>0</v>
      </c>
      <c r="K106" s="74">
        <v>0</v>
      </c>
      <c r="L106" s="1300"/>
      <c r="M106" s="1051" t="s">
        <v>395</v>
      </c>
      <c r="N106" s="1077">
        <v>18</v>
      </c>
      <c r="O106" s="1077"/>
      <c r="P106" s="1077"/>
      <c r="Q106" s="1077"/>
      <c r="R106" s="1077"/>
    </row>
    <row r="107" spans="1:18" s="181" customFormat="1" ht="30" x14ac:dyDescent="0.25">
      <c r="A107" s="183"/>
      <c r="B107" s="1295"/>
      <c r="C107" s="1053"/>
      <c r="D107" s="1053" t="s">
        <v>24</v>
      </c>
      <c r="E107" s="1053"/>
      <c r="F107" s="271" t="s">
        <v>398</v>
      </c>
      <c r="G107" s="1022">
        <v>79404.100000000006</v>
      </c>
      <c r="H107" s="1022">
        <v>26933.3</v>
      </c>
      <c r="I107" s="74">
        <v>44447.1</v>
      </c>
      <c r="J107" s="74">
        <v>37515.599999999999</v>
      </c>
      <c r="K107" s="74">
        <v>41117.699999999997</v>
      </c>
      <c r="L107" s="271" t="s">
        <v>399</v>
      </c>
      <c r="M107" s="1051" t="s">
        <v>395</v>
      </c>
      <c r="N107" s="1051">
        <v>72</v>
      </c>
      <c r="O107" s="1051">
        <v>72</v>
      </c>
      <c r="P107" s="1051">
        <v>72</v>
      </c>
      <c r="Q107" s="1051">
        <v>72</v>
      </c>
      <c r="R107" s="1051">
        <v>72</v>
      </c>
    </row>
    <row r="108" spans="1:18" s="181" customFormat="1" ht="45" x14ac:dyDescent="0.25">
      <c r="A108" s="183"/>
      <c r="B108" s="1295"/>
      <c r="C108" s="1053"/>
      <c r="D108" s="1053" t="s">
        <v>25</v>
      </c>
      <c r="E108" s="1053"/>
      <c r="F108" s="271" t="s">
        <v>400</v>
      </c>
      <c r="G108" s="1022">
        <v>5360.6</v>
      </c>
      <c r="H108" s="1022">
        <v>5360.6</v>
      </c>
      <c r="I108" s="74">
        <v>6584.7</v>
      </c>
      <c r="J108" s="74">
        <v>6556.7</v>
      </c>
      <c r="K108" s="74">
        <v>6556.7</v>
      </c>
      <c r="L108" s="271" t="s">
        <v>1315</v>
      </c>
      <c r="M108" s="1051" t="s">
        <v>4</v>
      </c>
      <c r="N108" s="295">
        <v>100</v>
      </c>
      <c r="O108" s="295">
        <v>100</v>
      </c>
      <c r="P108" s="295">
        <v>100</v>
      </c>
      <c r="Q108" s="295">
        <v>100</v>
      </c>
      <c r="R108" s="295">
        <v>100</v>
      </c>
    </row>
    <row r="109" spans="1:18" s="181" customFormat="1" ht="45" x14ac:dyDescent="0.25">
      <c r="A109" s="183"/>
      <c r="B109" s="1295"/>
      <c r="C109" s="1053"/>
      <c r="D109" s="1053" t="s">
        <v>26</v>
      </c>
      <c r="E109" s="1053"/>
      <c r="F109" s="271" t="s">
        <v>1311</v>
      </c>
      <c r="G109" s="1022">
        <v>35000</v>
      </c>
      <c r="H109" s="1022">
        <v>0</v>
      </c>
      <c r="I109" s="74">
        <v>0</v>
      </c>
      <c r="J109" s="74">
        <v>0</v>
      </c>
      <c r="K109" s="74">
        <v>0</v>
      </c>
      <c r="L109" s="271" t="s">
        <v>401</v>
      </c>
      <c r="M109" s="1051" t="s">
        <v>395</v>
      </c>
      <c r="N109" s="295">
        <v>181</v>
      </c>
      <c r="O109" s="295">
        <v>181</v>
      </c>
      <c r="P109" s="295">
        <v>181</v>
      </c>
      <c r="Q109" s="295">
        <v>181</v>
      </c>
      <c r="R109" s="295">
        <v>181</v>
      </c>
    </row>
    <row r="110" spans="1:18" s="181" customFormat="1" ht="75" x14ac:dyDescent="0.25">
      <c r="A110" s="183"/>
      <c r="B110" s="1295"/>
      <c r="C110" s="1053"/>
      <c r="D110" s="1053" t="s">
        <v>27</v>
      </c>
      <c r="E110" s="1053"/>
      <c r="F110" s="271" t="s">
        <v>402</v>
      </c>
      <c r="G110" s="1022">
        <v>1030648.3</v>
      </c>
      <c r="H110" s="1022">
        <v>353814.6</v>
      </c>
      <c r="I110" s="74">
        <v>711039.1</v>
      </c>
      <c r="J110" s="74">
        <v>699524.9</v>
      </c>
      <c r="K110" s="74">
        <v>760386.2</v>
      </c>
      <c r="L110" s="271" t="s">
        <v>403</v>
      </c>
      <c r="M110" s="1051" t="s">
        <v>395</v>
      </c>
      <c r="N110" s="1051">
        <v>46</v>
      </c>
      <c r="O110" s="1051">
        <v>54</v>
      </c>
      <c r="P110" s="1051">
        <v>62</v>
      </c>
      <c r="Q110" s="1051">
        <v>65</v>
      </c>
      <c r="R110" s="1051">
        <v>68</v>
      </c>
    </row>
    <row r="111" spans="1:18" s="181" customFormat="1" ht="33" customHeight="1" x14ac:dyDescent="0.25">
      <c r="A111" s="183"/>
      <c r="B111" s="1295"/>
      <c r="C111" s="1053"/>
      <c r="D111" s="1053" t="s">
        <v>39</v>
      </c>
      <c r="E111" s="1053"/>
      <c r="F111" s="271" t="s">
        <v>404</v>
      </c>
      <c r="G111" s="1022">
        <v>1250</v>
      </c>
      <c r="H111" s="1022">
        <v>650</v>
      </c>
      <c r="I111" s="74">
        <v>350</v>
      </c>
      <c r="J111" s="74">
        <v>1843.5</v>
      </c>
      <c r="K111" s="74">
        <v>2303.5</v>
      </c>
      <c r="L111" s="271" t="s">
        <v>405</v>
      </c>
      <c r="M111" s="1051" t="s">
        <v>395</v>
      </c>
      <c r="N111" s="289" t="s">
        <v>40</v>
      </c>
      <c r="O111" s="289" t="s">
        <v>40</v>
      </c>
      <c r="P111" s="289" t="s">
        <v>40</v>
      </c>
      <c r="Q111" s="289" t="s">
        <v>40</v>
      </c>
      <c r="R111" s="289" t="s">
        <v>40</v>
      </c>
    </row>
    <row r="112" spans="1:18" s="181" customFormat="1" ht="30" x14ac:dyDescent="0.25">
      <c r="A112" s="183"/>
      <c r="B112" s="1295"/>
      <c r="C112" s="1053"/>
      <c r="D112" s="1053" t="s">
        <v>41</v>
      </c>
      <c r="E112" s="1053"/>
      <c r="F112" s="271" t="s">
        <v>406</v>
      </c>
      <c r="G112" s="1022">
        <v>67410.8</v>
      </c>
      <c r="H112" s="1022">
        <v>53178.2</v>
      </c>
      <c r="I112" s="74">
        <v>48659.199999999997</v>
      </c>
      <c r="J112" s="74">
        <v>64718.3</v>
      </c>
      <c r="K112" s="74">
        <v>66953</v>
      </c>
      <c r="L112" s="271" t="s">
        <v>407</v>
      </c>
      <c r="M112" s="1051" t="s">
        <v>4</v>
      </c>
      <c r="N112" s="295">
        <v>30</v>
      </c>
      <c r="O112" s="295">
        <v>80</v>
      </c>
      <c r="P112" s="295">
        <v>80</v>
      </c>
      <c r="Q112" s="295">
        <v>100</v>
      </c>
      <c r="R112" s="295">
        <v>100</v>
      </c>
    </row>
    <row r="113" spans="1:18" s="181" customFormat="1" ht="45" x14ac:dyDescent="0.25">
      <c r="A113" s="183"/>
      <c r="B113" s="1295"/>
      <c r="C113" s="1053"/>
      <c r="D113" s="1053" t="s">
        <v>42</v>
      </c>
      <c r="E113" s="1053"/>
      <c r="F113" s="271" t="s">
        <v>408</v>
      </c>
      <c r="G113" s="1022">
        <v>102753.4</v>
      </c>
      <c r="H113" s="1022">
        <v>82279.3</v>
      </c>
      <c r="I113" s="74">
        <v>77606.600000000006</v>
      </c>
      <c r="J113" s="74">
        <v>92588.4</v>
      </c>
      <c r="K113" s="74">
        <v>95682.6</v>
      </c>
      <c r="L113" s="271" t="s">
        <v>409</v>
      </c>
      <c r="M113" s="1051" t="s">
        <v>4</v>
      </c>
      <c r="N113" s="295">
        <v>44</v>
      </c>
      <c r="O113" s="295">
        <v>45</v>
      </c>
      <c r="P113" s="295">
        <v>46</v>
      </c>
      <c r="Q113" s="295">
        <v>47</v>
      </c>
      <c r="R113" s="295">
        <v>48</v>
      </c>
    </row>
    <row r="114" spans="1:18" s="181" customFormat="1" ht="45" x14ac:dyDescent="0.25">
      <c r="A114" s="183"/>
      <c r="B114" s="1295"/>
      <c r="C114" s="1053"/>
      <c r="D114" s="1053" t="s">
        <v>43</v>
      </c>
      <c r="E114" s="1053"/>
      <c r="F114" s="271" t="s">
        <v>410</v>
      </c>
      <c r="G114" s="1022">
        <v>423449.9</v>
      </c>
      <c r="H114" s="1022">
        <v>436083.5</v>
      </c>
      <c r="I114" s="74">
        <v>409388.9</v>
      </c>
      <c r="J114" s="74">
        <v>414146.8</v>
      </c>
      <c r="K114" s="74">
        <v>420776</v>
      </c>
      <c r="L114" s="271" t="s">
        <v>411</v>
      </c>
      <c r="M114" s="1051" t="s">
        <v>4</v>
      </c>
      <c r="N114" s="1051">
        <v>11</v>
      </c>
      <c r="O114" s="1051">
        <v>9</v>
      </c>
      <c r="P114" s="1051">
        <v>2</v>
      </c>
      <c r="Q114" s="1051">
        <v>2</v>
      </c>
      <c r="R114" s="1051">
        <v>2</v>
      </c>
    </row>
    <row r="115" spans="1:18" s="181" customFormat="1" ht="45" x14ac:dyDescent="0.25">
      <c r="A115" s="183"/>
      <c r="B115" s="1295"/>
      <c r="C115" s="1053"/>
      <c r="D115" s="1053" t="s">
        <v>44</v>
      </c>
      <c r="E115" s="1053"/>
      <c r="F115" s="271" t="s">
        <v>412</v>
      </c>
      <c r="G115" s="1022">
        <v>0</v>
      </c>
      <c r="H115" s="1022">
        <v>0</v>
      </c>
      <c r="I115" s="74">
        <v>0</v>
      </c>
      <c r="J115" s="74">
        <v>0</v>
      </c>
      <c r="K115" s="74">
        <v>0</v>
      </c>
      <c r="L115" s="271" t="s">
        <v>1316</v>
      </c>
      <c r="M115" s="1051" t="s">
        <v>4</v>
      </c>
      <c r="N115" s="1051"/>
      <c r="O115" s="1051"/>
      <c r="P115" s="1051"/>
      <c r="Q115" s="1051"/>
      <c r="R115" s="1051"/>
    </row>
    <row r="116" spans="1:18" s="181" customFormat="1" ht="45" x14ac:dyDescent="0.25">
      <c r="A116" s="183"/>
      <c r="B116" s="1295"/>
      <c r="C116" s="1053"/>
      <c r="D116" s="1053" t="s">
        <v>45</v>
      </c>
      <c r="E116" s="1053"/>
      <c r="F116" s="271" t="s">
        <v>413</v>
      </c>
      <c r="G116" s="1022">
        <v>0</v>
      </c>
      <c r="H116" s="1022">
        <v>0</v>
      </c>
      <c r="I116" s="74">
        <v>0</v>
      </c>
      <c r="J116" s="74">
        <v>0</v>
      </c>
      <c r="K116" s="74">
        <v>0</v>
      </c>
      <c r="L116" s="271" t="s">
        <v>1317</v>
      </c>
      <c r="M116" s="1051" t="s">
        <v>4</v>
      </c>
      <c r="N116" s="1051"/>
      <c r="O116" s="1051"/>
      <c r="P116" s="1051"/>
      <c r="Q116" s="1051"/>
      <c r="R116" s="1051"/>
    </row>
    <row r="117" spans="1:18" s="181" customFormat="1" ht="30" x14ac:dyDescent="0.25">
      <c r="A117" s="183"/>
      <c r="B117" s="1295"/>
      <c r="C117" s="1053"/>
      <c r="D117" s="1053" t="s">
        <v>46</v>
      </c>
      <c r="E117" s="1053"/>
      <c r="F117" s="271" t="s">
        <v>414</v>
      </c>
      <c r="G117" s="1022">
        <v>30000</v>
      </c>
      <c r="H117" s="1022">
        <v>0</v>
      </c>
      <c r="I117" s="74">
        <v>0</v>
      </c>
      <c r="J117" s="74">
        <v>0</v>
      </c>
      <c r="K117" s="74">
        <v>0</v>
      </c>
      <c r="L117" s="271" t="s">
        <v>1318</v>
      </c>
      <c r="M117" s="1051" t="s">
        <v>4</v>
      </c>
      <c r="N117" s="295">
        <v>30</v>
      </c>
      <c r="O117" s="295"/>
      <c r="P117" s="295"/>
      <c r="Q117" s="295"/>
      <c r="R117" s="295"/>
    </row>
    <row r="118" spans="1:18" s="181" customFormat="1" ht="30" x14ac:dyDescent="0.25">
      <c r="A118" s="183"/>
      <c r="B118" s="1295"/>
      <c r="C118" s="1053"/>
      <c r="D118" s="1053" t="s">
        <v>47</v>
      </c>
      <c r="E118" s="1053"/>
      <c r="F118" s="271" t="s">
        <v>415</v>
      </c>
      <c r="G118" s="1022">
        <v>15922.2</v>
      </c>
      <c r="H118" s="1022">
        <v>0</v>
      </c>
      <c r="I118" s="74"/>
      <c r="J118" s="74">
        <v>0</v>
      </c>
      <c r="K118" s="74">
        <v>0</v>
      </c>
      <c r="L118" s="271" t="s">
        <v>416</v>
      </c>
      <c r="M118" s="1051" t="s">
        <v>395</v>
      </c>
      <c r="N118" s="1085">
        <v>2</v>
      </c>
      <c r="O118" s="1085"/>
      <c r="P118" s="1085"/>
      <c r="Q118" s="1085"/>
      <c r="R118" s="1085"/>
    </row>
    <row r="119" spans="1:18" s="181" customFormat="1" ht="74.25" x14ac:dyDescent="0.25">
      <c r="A119" s="183"/>
      <c r="B119" s="1295"/>
      <c r="C119" s="1052" t="s">
        <v>124</v>
      </c>
      <c r="D119" s="1052"/>
      <c r="E119" s="1052"/>
      <c r="F119" s="318" t="s">
        <v>417</v>
      </c>
      <c r="G119" s="1034">
        <f>G120+G121+G122+G123</f>
        <v>0</v>
      </c>
      <c r="H119" s="1034">
        <f>H120+H121+H122+H123</f>
        <v>369628.5</v>
      </c>
      <c r="I119" s="1034">
        <f>I120+I121+I122+I123</f>
        <v>407810.8</v>
      </c>
      <c r="J119" s="1034">
        <f>J120+J121+J122+J123</f>
        <v>482634.9</v>
      </c>
      <c r="K119" s="1034">
        <f>K120+K121+K122+K123</f>
        <v>469999.80000000005</v>
      </c>
      <c r="L119" s="319" t="s">
        <v>1319</v>
      </c>
      <c r="M119" s="1051" t="s">
        <v>4</v>
      </c>
      <c r="N119" s="317"/>
      <c r="O119" s="317">
        <v>40</v>
      </c>
      <c r="P119" s="317">
        <v>60</v>
      </c>
      <c r="Q119" s="317">
        <v>70</v>
      </c>
      <c r="R119" s="317">
        <v>80</v>
      </c>
    </row>
    <row r="120" spans="1:18" s="181" customFormat="1" ht="30" x14ac:dyDescent="0.25">
      <c r="A120" s="183"/>
      <c r="B120" s="1295"/>
      <c r="C120" s="1053"/>
      <c r="D120" s="1053" t="s">
        <v>10</v>
      </c>
      <c r="E120" s="1053"/>
      <c r="F120" s="315" t="s">
        <v>418</v>
      </c>
      <c r="G120" s="1022"/>
      <c r="H120" s="1022">
        <v>245525.7</v>
      </c>
      <c r="I120" s="74">
        <v>346154.8</v>
      </c>
      <c r="J120" s="74">
        <v>419011</v>
      </c>
      <c r="K120" s="74">
        <v>407534.4</v>
      </c>
      <c r="L120" s="282" t="s">
        <v>1320</v>
      </c>
      <c r="M120" s="1051" t="s">
        <v>4</v>
      </c>
      <c r="N120" s="1085"/>
      <c r="O120" s="1085">
        <v>40</v>
      </c>
      <c r="P120" s="1085">
        <v>60</v>
      </c>
      <c r="Q120" s="1085">
        <v>70</v>
      </c>
      <c r="R120" s="1085">
        <v>80</v>
      </c>
    </row>
    <row r="121" spans="1:18" s="181" customFormat="1" ht="75" x14ac:dyDescent="0.25">
      <c r="A121" s="183"/>
      <c r="B121" s="1295"/>
      <c r="C121" s="1053"/>
      <c r="D121" s="1053" t="s">
        <v>13</v>
      </c>
      <c r="E121" s="1053"/>
      <c r="F121" s="315" t="s">
        <v>419</v>
      </c>
      <c r="G121" s="1022"/>
      <c r="H121" s="1022">
        <v>45781.8</v>
      </c>
      <c r="I121" s="74">
        <v>41656</v>
      </c>
      <c r="J121" s="74">
        <v>43623.9</v>
      </c>
      <c r="K121" s="74">
        <v>45690.2</v>
      </c>
      <c r="L121" s="320" t="s">
        <v>420</v>
      </c>
      <c r="M121" s="1051" t="s">
        <v>4</v>
      </c>
      <c r="N121" s="1085"/>
      <c r="O121" s="1085">
        <v>45</v>
      </c>
      <c r="P121" s="1085">
        <v>46</v>
      </c>
      <c r="Q121" s="1085">
        <v>47</v>
      </c>
      <c r="R121" s="1085">
        <v>48</v>
      </c>
    </row>
    <row r="122" spans="1:18" s="181" customFormat="1" ht="30" x14ac:dyDescent="0.25">
      <c r="A122" s="183"/>
      <c r="B122" s="1295"/>
      <c r="C122" s="1053"/>
      <c r="D122" s="1053" t="s">
        <v>9</v>
      </c>
      <c r="E122" s="1053"/>
      <c r="F122" s="271" t="s">
        <v>415</v>
      </c>
      <c r="G122" s="1022"/>
      <c r="H122" s="1022"/>
      <c r="I122" s="74"/>
      <c r="J122" s="74"/>
      <c r="K122" s="74"/>
      <c r="L122" s="321" t="s">
        <v>421</v>
      </c>
      <c r="M122" s="1051" t="s">
        <v>395</v>
      </c>
      <c r="N122" s="1085"/>
      <c r="O122" s="1085"/>
      <c r="P122" s="1085"/>
      <c r="Q122" s="1085"/>
      <c r="R122" s="1085"/>
    </row>
    <row r="123" spans="1:18" s="181" customFormat="1" ht="45" x14ac:dyDescent="0.25">
      <c r="A123" s="183"/>
      <c r="B123" s="1295"/>
      <c r="C123" s="1053"/>
      <c r="D123" s="1053" t="s">
        <v>23</v>
      </c>
      <c r="E123" s="1053"/>
      <c r="F123" s="322" t="s">
        <v>1312</v>
      </c>
      <c r="G123" s="1022"/>
      <c r="H123" s="1022">
        <v>78321</v>
      </c>
      <c r="I123" s="74">
        <v>20000</v>
      </c>
      <c r="J123" s="74">
        <v>20000</v>
      </c>
      <c r="K123" s="74">
        <v>16775.2</v>
      </c>
      <c r="L123" s="323" t="s">
        <v>1321</v>
      </c>
      <c r="M123" s="1051" t="s">
        <v>395</v>
      </c>
      <c r="N123" s="1085"/>
      <c r="O123" s="1085">
        <v>181</v>
      </c>
      <c r="P123" s="1085">
        <v>181</v>
      </c>
      <c r="Q123" s="1085">
        <v>181</v>
      </c>
      <c r="R123" s="1085">
        <v>181</v>
      </c>
    </row>
    <row r="124" spans="1:18" s="181" customFormat="1" ht="30" customHeight="1" x14ac:dyDescent="0.25">
      <c r="A124" s="183"/>
      <c r="B124" s="1295"/>
      <c r="C124" s="1052" t="s">
        <v>134</v>
      </c>
      <c r="D124" s="1053"/>
      <c r="E124" s="1053"/>
      <c r="F124" s="293" t="s">
        <v>422</v>
      </c>
      <c r="G124" s="1034">
        <v>0</v>
      </c>
      <c r="H124" s="1034">
        <v>90429.3</v>
      </c>
      <c r="I124" s="1034">
        <v>44677</v>
      </c>
      <c r="J124" s="1034">
        <v>0</v>
      </c>
      <c r="K124" s="1034">
        <v>0</v>
      </c>
      <c r="L124" s="282" t="s">
        <v>423</v>
      </c>
      <c r="M124" s="314" t="s">
        <v>4</v>
      </c>
      <c r="N124" s="324"/>
      <c r="O124" s="324">
        <v>100</v>
      </c>
      <c r="P124" s="324">
        <v>100</v>
      </c>
      <c r="Q124" s="324">
        <v>100</v>
      </c>
      <c r="R124" s="324">
        <v>100</v>
      </c>
    </row>
    <row r="125" spans="1:18" s="181" customFormat="1" ht="15" x14ac:dyDescent="0.25">
      <c r="A125" s="183"/>
      <c r="B125" s="1295"/>
      <c r="C125" s="1053"/>
      <c r="D125" s="1053" t="s">
        <v>10</v>
      </c>
      <c r="E125" s="1053"/>
      <c r="F125" s="282" t="s">
        <v>424</v>
      </c>
      <c r="G125" s="1022"/>
      <c r="H125" s="1022"/>
      <c r="I125" s="74"/>
      <c r="J125" s="74"/>
      <c r="K125" s="74"/>
      <c r="L125" s="282" t="s">
        <v>423</v>
      </c>
      <c r="M125" s="1051" t="s">
        <v>4</v>
      </c>
      <c r="N125" s="1085"/>
      <c r="O125" s="1085"/>
      <c r="P125" s="1085"/>
      <c r="Q125" s="1085"/>
      <c r="R125" s="1085"/>
    </row>
    <row r="126" spans="1:18" s="181" customFormat="1" ht="60" x14ac:dyDescent="0.25">
      <c r="A126" s="183"/>
      <c r="B126" s="1295"/>
      <c r="C126" s="1053"/>
      <c r="D126" s="1053" t="s">
        <v>13</v>
      </c>
      <c r="E126" s="1053"/>
      <c r="F126" s="325" t="s">
        <v>425</v>
      </c>
      <c r="G126" s="1022"/>
      <c r="H126" s="1022"/>
      <c r="I126" s="74"/>
      <c r="J126" s="74"/>
      <c r="K126" s="74"/>
      <c r="L126" s="282" t="s">
        <v>423</v>
      </c>
      <c r="M126" s="1051" t="s">
        <v>4</v>
      </c>
      <c r="N126" s="1085"/>
      <c r="O126" s="1085"/>
      <c r="P126" s="1085"/>
      <c r="Q126" s="1085"/>
      <c r="R126" s="1085"/>
    </row>
    <row r="127" spans="1:18" s="181" customFormat="1" ht="45" x14ac:dyDescent="0.25">
      <c r="A127" s="183"/>
      <c r="B127" s="1295"/>
      <c r="C127" s="1053"/>
      <c r="D127" s="1053" t="s">
        <v>9</v>
      </c>
      <c r="E127" s="1053"/>
      <c r="F127" s="326" t="s">
        <v>1313</v>
      </c>
      <c r="G127" s="1022"/>
      <c r="H127" s="1022">
        <v>12429.3</v>
      </c>
      <c r="I127" s="74"/>
      <c r="J127" s="74"/>
      <c r="K127" s="74"/>
      <c r="L127" s="327" t="s">
        <v>1322</v>
      </c>
      <c r="M127" s="1051" t="s">
        <v>395</v>
      </c>
      <c r="N127" s="1085"/>
      <c r="O127" s="1085">
        <v>72</v>
      </c>
      <c r="P127" s="1085"/>
      <c r="Q127" s="1085"/>
      <c r="R127" s="1085"/>
    </row>
    <row r="128" spans="1:18" s="181" customFormat="1" ht="45" x14ac:dyDescent="0.25">
      <c r="A128" s="183"/>
      <c r="B128" s="1295"/>
      <c r="C128" s="1053"/>
      <c r="D128" s="1053" t="s">
        <v>23</v>
      </c>
      <c r="E128" s="1053"/>
      <c r="F128" s="325" t="s">
        <v>426</v>
      </c>
      <c r="G128" s="1022"/>
      <c r="H128" s="1022"/>
      <c r="I128" s="74"/>
      <c r="J128" s="74"/>
      <c r="K128" s="74"/>
      <c r="L128" s="325" t="s">
        <v>423</v>
      </c>
      <c r="M128" s="1051" t="s">
        <v>4</v>
      </c>
      <c r="N128" s="1085"/>
      <c r="O128" s="1085"/>
      <c r="P128" s="1085"/>
      <c r="Q128" s="1085"/>
      <c r="R128" s="1085"/>
    </row>
    <row r="129" spans="1:19" s="181" customFormat="1" ht="45" x14ac:dyDescent="0.25">
      <c r="A129" s="183"/>
      <c r="B129" s="1295"/>
      <c r="C129" s="1053"/>
      <c r="D129" s="1053" t="s">
        <v>24</v>
      </c>
      <c r="E129" s="1053"/>
      <c r="F129" s="325" t="s">
        <v>427</v>
      </c>
      <c r="G129" s="1022"/>
      <c r="H129" s="1022">
        <v>60000</v>
      </c>
      <c r="I129" s="74">
        <v>44527</v>
      </c>
      <c r="J129" s="74"/>
      <c r="K129" s="74"/>
      <c r="L129" s="325" t="s">
        <v>423</v>
      </c>
      <c r="M129" s="1051" t="s">
        <v>4</v>
      </c>
      <c r="N129" s="1085"/>
      <c r="O129" s="1085">
        <v>100</v>
      </c>
      <c r="P129" s="1085">
        <v>100</v>
      </c>
      <c r="Q129" s="1085"/>
      <c r="R129" s="1085"/>
    </row>
    <row r="130" spans="1:19" s="181" customFormat="1" ht="60" x14ac:dyDescent="0.25">
      <c r="A130" s="183"/>
      <c r="B130" s="1295"/>
      <c r="C130" s="1053"/>
      <c r="D130" s="1053" t="s">
        <v>25</v>
      </c>
      <c r="E130" s="1053"/>
      <c r="F130" s="325" t="s">
        <v>428</v>
      </c>
      <c r="G130" s="1022"/>
      <c r="H130" s="1022">
        <v>18000</v>
      </c>
      <c r="I130" s="74">
        <v>150</v>
      </c>
      <c r="J130" s="74"/>
      <c r="K130" s="74"/>
      <c r="L130" s="325" t="s">
        <v>423</v>
      </c>
      <c r="M130" s="1051" t="s">
        <v>4</v>
      </c>
      <c r="N130" s="1085"/>
      <c r="O130" s="1085">
        <v>100</v>
      </c>
      <c r="P130" s="1085">
        <v>100</v>
      </c>
      <c r="Q130" s="1085"/>
      <c r="R130" s="1085"/>
    </row>
    <row r="131" spans="1:19" s="181" customFormat="1" ht="15" x14ac:dyDescent="0.25">
      <c r="A131" s="183"/>
      <c r="B131" s="1276" t="s">
        <v>299</v>
      </c>
      <c r="C131" s="1277"/>
      <c r="D131" s="1277"/>
      <c r="E131" s="1277"/>
      <c r="F131" s="1278"/>
      <c r="G131" s="284">
        <f>G97+G102+G124+G119</f>
        <v>1959329.4</v>
      </c>
      <c r="H131" s="284">
        <f>H97+H102+H124+H119</f>
        <v>1536365.7</v>
      </c>
      <c r="I131" s="284">
        <f>I97+I102+I124+I119</f>
        <v>1855801.5</v>
      </c>
      <c r="J131" s="284">
        <f>J97+J102+J124+J119</f>
        <v>1898277.4</v>
      </c>
      <c r="K131" s="284">
        <f>K97+K102+K124+K119</f>
        <v>1962917.1</v>
      </c>
      <c r="L131" s="328"/>
      <c r="M131" s="329"/>
      <c r="N131" s="329"/>
      <c r="O131" s="329"/>
      <c r="P131" s="329"/>
      <c r="Q131" s="329"/>
      <c r="R131" s="329"/>
    </row>
    <row r="132" spans="1:19" s="181" customFormat="1" ht="15" x14ac:dyDescent="0.25">
      <c r="A132" s="183"/>
      <c r="B132" s="1321" t="s">
        <v>429</v>
      </c>
      <c r="C132" s="1321"/>
      <c r="D132" s="1321"/>
      <c r="E132" s="1321"/>
      <c r="F132" s="1321"/>
      <c r="G132" s="284">
        <f>G131+G95+G87+G70</f>
        <v>2193739.7999999998</v>
      </c>
      <c r="H132" s="284">
        <f>H131+H95+H87+H70</f>
        <v>1762168.3</v>
      </c>
      <c r="I132" s="284">
        <f>I131+I95+I87+I70</f>
        <v>2140829.8000000003</v>
      </c>
      <c r="J132" s="284">
        <f>J131+J95+J87+J70</f>
        <v>2182096.6</v>
      </c>
      <c r="K132" s="284">
        <f>K131+K95+K87+K70</f>
        <v>2247016.6</v>
      </c>
      <c r="L132" s="328"/>
      <c r="M132" s="329"/>
      <c r="N132" s="329"/>
      <c r="O132" s="329"/>
      <c r="P132" s="329"/>
      <c r="Q132" s="329"/>
      <c r="R132" s="329"/>
    </row>
    <row r="133" spans="1:19" s="181" customFormat="1" ht="15" x14ac:dyDescent="0.25">
      <c r="A133" s="183"/>
      <c r="B133" s="1253" t="s">
        <v>430</v>
      </c>
      <c r="C133" s="1253"/>
      <c r="D133" s="1253"/>
      <c r="E133" s="1253"/>
      <c r="F133" s="1253"/>
      <c r="G133" s="1253"/>
      <c r="H133" s="1253"/>
      <c r="I133" s="1253"/>
      <c r="J133" s="1253"/>
      <c r="K133" s="1253"/>
      <c r="L133" s="1253"/>
      <c r="M133" s="1253"/>
      <c r="N133" s="1253"/>
      <c r="O133" s="1253"/>
      <c r="P133" s="1253"/>
      <c r="Q133" s="1253"/>
      <c r="R133" s="1253"/>
      <c r="S133" s="1253"/>
    </row>
    <row r="134" spans="1:19" s="181" customFormat="1" ht="74.25" x14ac:dyDescent="0.25">
      <c r="A134" s="183"/>
      <c r="B134" s="1322" t="s">
        <v>56</v>
      </c>
      <c r="C134" s="330" t="s">
        <v>0</v>
      </c>
      <c r="D134" s="331"/>
      <c r="E134" s="331"/>
      <c r="F134" s="1055" t="s">
        <v>1323</v>
      </c>
      <c r="G134" s="1078">
        <f>G135</f>
        <v>74662.600000000006</v>
      </c>
      <c r="H134" s="1078">
        <f>H135</f>
        <v>74663.600000000006</v>
      </c>
      <c r="I134" s="1078">
        <f>I135</f>
        <v>49464.800000000003</v>
      </c>
      <c r="J134" s="1078">
        <f>J135</f>
        <v>80493.600000000006</v>
      </c>
      <c r="K134" s="1078">
        <f>K135</f>
        <v>82901.5</v>
      </c>
      <c r="L134" s="1050" t="s">
        <v>431</v>
      </c>
      <c r="M134" s="1051" t="s">
        <v>297</v>
      </c>
      <c r="N134" s="1051">
        <v>1</v>
      </c>
      <c r="O134" s="1077">
        <v>1</v>
      </c>
      <c r="P134" s="1077">
        <v>1</v>
      </c>
      <c r="Q134" s="1077">
        <v>1</v>
      </c>
      <c r="R134" s="1077">
        <v>1</v>
      </c>
    </row>
    <row r="135" spans="1:19" s="181" customFormat="1" ht="15" customHeight="1" x14ac:dyDescent="0.25">
      <c r="A135" s="183"/>
      <c r="B135" s="1323"/>
      <c r="C135" s="1324"/>
      <c r="D135" s="1324" t="s">
        <v>10</v>
      </c>
      <c r="E135" s="1324"/>
      <c r="F135" s="1307" t="s">
        <v>1229</v>
      </c>
      <c r="G135" s="1314">
        <v>74662.600000000006</v>
      </c>
      <c r="H135" s="1314">
        <v>74663.600000000006</v>
      </c>
      <c r="I135" s="1314">
        <v>49464.800000000003</v>
      </c>
      <c r="J135" s="1314">
        <v>80493.600000000006</v>
      </c>
      <c r="K135" s="1314">
        <v>82901.5</v>
      </c>
      <c r="L135" s="1050" t="s">
        <v>1325</v>
      </c>
      <c r="M135" s="1051" t="s">
        <v>4</v>
      </c>
      <c r="N135" s="1051">
        <v>100</v>
      </c>
      <c r="O135" s="1077">
        <v>100</v>
      </c>
      <c r="P135" s="1077">
        <v>100</v>
      </c>
      <c r="Q135" s="1077">
        <v>100</v>
      </c>
      <c r="R135" s="1077">
        <v>100</v>
      </c>
    </row>
    <row r="136" spans="1:19" s="181" customFormat="1" ht="15" x14ac:dyDescent="0.25">
      <c r="A136" s="183"/>
      <c r="B136" s="1323"/>
      <c r="C136" s="1324"/>
      <c r="D136" s="1324"/>
      <c r="E136" s="1324"/>
      <c r="F136" s="1308"/>
      <c r="G136" s="1314"/>
      <c r="H136" s="1314"/>
      <c r="I136" s="1314"/>
      <c r="J136" s="1314"/>
      <c r="K136" s="1314"/>
      <c r="L136" s="1050" t="s">
        <v>432</v>
      </c>
      <c r="M136" s="1051" t="s">
        <v>4</v>
      </c>
      <c r="N136" s="1051">
        <v>100</v>
      </c>
      <c r="O136" s="1051">
        <v>100</v>
      </c>
      <c r="P136" s="1051">
        <v>100</v>
      </c>
      <c r="Q136" s="1051">
        <v>100</v>
      </c>
      <c r="R136" s="1051">
        <v>100</v>
      </c>
    </row>
    <row r="137" spans="1:19" s="181" customFormat="1" ht="45" x14ac:dyDescent="0.25">
      <c r="A137" s="183"/>
      <c r="B137" s="1323"/>
      <c r="C137" s="1324"/>
      <c r="D137" s="1324"/>
      <c r="E137" s="1324"/>
      <c r="F137" s="1299"/>
      <c r="G137" s="1315"/>
      <c r="H137" s="1315"/>
      <c r="I137" s="1315"/>
      <c r="J137" s="1315"/>
      <c r="K137" s="1315"/>
      <c r="L137" s="1050" t="s">
        <v>433</v>
      </c>
      <c r="M137" s="1051" t="s">
        <v>4</v>
      </c>
      <c r="N137" s="1051">
        <v>90</v>
      </c>
      <c r="O137" s="1051">
        <v>90</v>
      </c>
      <c r="P137" s="1051">
        <v>90</v>
      </c>
      <c r="Q137" s="1051">
        <v>90</v>
      </c>
      <c r="R137" s="1051">
        <v>90</v>
      </c>
    </row>
    <row r="138" spans="1:19" s="181" customFormat="1" ht="30" x14ac:dyDescent="0.25">
      <c r="A138" s="183"/>
      <c r="B138" s="1323"/>
      <c r="C138" s="1324"/>
      <c r="D138" s="1324"/>
      <c r="E138" s="1324"/>
      <c r="F138" s="1299"/>
      <c r="G138" s="1315"/>
      <c r="H138" s="1315"/>
      <c r="I138" s="1315"/>
      <c r="J138" s="1315"/>
      <c r="K138" s="1315"/>
      <c r="L138" s="1050" t="s">
        <v>434</v>
      </c>
      <c r="M138" s="1051" t="s">
        <v>4</v>
      </c>
      <c r="N138" s="1051">
        <v>50</v>
      </c>
      <c r="O138" s="1051">
        <v>50</v>
      </c>
      <c r="P138" s="1051">
        <v>50</v>
      </c>
      <c r="Q138" s="1051">
        <v>50</v>
      </c>
      <c r="R138" s="1051">
        <v>50</v>
      </c>
    </row>
    <row r="139" spans="1:19" s="181" customFormat="1" ht="45" x14ac:dyDescent="0.25">
      <c r="A139" s="183"/>
      <c r="B139" s="1323"/>
      <c r="C139" s="1324"/>
      <c r="D139" s="1324"/>
      <c r="E139" s="1324"/>
      <c r="F139" s="1299"/>
      <c r="G139" s="1315"/>
      <c r="H139" s="1315"/>
      <c r="I139" s="1315"/>
      <c r="J139" s="1315"/>
      <c r="K139" s="1315"/>
      <c r="L139" s="1050" t="s">
        <v>1326</v>
      </c>
      <c r="M139" s="1051" t="s">
        <v>297</v>
      </c>
      <c r="N139" s="1051">
        <v>10</v>
      </c>
      <c r="O139" s="1077">
        <v>8</v>
      </c>
      <c r="P139" s="1077">
        <v>8</v>
      </c>
      <c r="Q139" s="1077">
        <v>8</v>
      </c>
      <c r="R139" s="1077">
        <v>8</v>
      </c>
    </row>
    <row r="140" spans="1:19" s="181" customFormat="1" ht="45" x14ac:dyDescent="0.25">
      <c r="A140" s="183"/>
      <c r="B140" s="1323"/>
      <c r="C140" s="1324"/>
      <c r="D140" s="1324"/>
      <c r="E140" s="1324"/>
      <c r="F140" s="1300"/>
      <c r="G140" s="1315"/>
      <c r="H140" s="1315"/>
      <c r="I140" s="1315"/>
      <c r="J140" s="1315"/>
      <c r="K140" s="1315"/>
      <c r="L140" s="275" t="s">
        <v>435</v>
      </c>
      <c r="M140" s="1051" t="s">
        <v>297</v>
      </c>
      <c r="N140" s="1087">
        <v>112</v>
      </c>
      <c r="O140" s="1087">
        <v>125</v>
      </c>
      <c r="P140" s="1087">
        <v>125</v>
      </c>
      <c r="Q140" s="1087">
        <v>125</v>
      </c>
      <c r="R140" s="1087">
        <v>125</v>
      </c>
    </row>
    <row r="141" spans="1:19" s="181" customFormat="1" ht="51" customHeight="1" x14ac:dyDescent="0.25">
      <c r="A141" s="183"/>
      <c r="B141" s="1323"/>
      <c r="C141" s="1316" t="s">
        <v>55</v>
      </c>
      <c r="D141" s="1317"/>
      <c r="E141" s="1317"/>
      <c r="F141" s="1318" t="s">
        <v>436</v>
      </c>
      <c r="G141" s="1320">
        <f>G143</f>
        <v>166184.5</v>
      </c>
      <c r="H141" s="1320">
        <f t="shared" ref="H141:K141" si="22">H143</f>
        <v>166184.5</v>
      </c>
      <c r="I141" s="1320">
        <f t="shared" si="22"/>
        <v>205254.8</v>
      </c>
      <c r="J141" s="1320">
        <f t="shared" si="22"/>
        <v>179163.3</v>
      </c>
      <c r="K141" s="1320">
        <f t="shared" si="22"/>
        <v>184522.7</v>
      </c>
      <c r="L141" s="1334" t="s">
        <v>437</v>
      </c>
      <c r="M141" s="1315" t="s">
        <v>297</v>
      </c>
      <c r="N141" s="1332">
        <v>90</v>
      </c>
      <c r="O141" s="1332">
        <v>287</v>
      </c>
      <c r="P141" s="1332">
        <v>287</v>
      </c>
      <c r="Q141" s="1332">
        <v>287</v>
      </c>
      <c r="R141" s="1332">
        <v>287</v>
      </c>
    </row>
    <row r="142" spans="1:19" s="181" customFormat="1" ht="15" customHeight="1" x14ac:dyDescent="0.25">
      <c r="A142" s="183"/>
      <c r="B142" s="1323"/>
      <c r="C142" s="1316"/>
      <c r="D142" s="1317"/>
      <c r="E142" s="1317"/>
      <c r="F142" s="1319"/>
      <c r="G142" s="1320"/>
      <c r="H142" s="1320"/>
      <c r="I142" s="1320"/>
      <c r="J142" s="1320"/>
      <c r="K142" s="1320"/>
      <c r="L142" s="1334"/>
      <c r="M142" s="1315"/>
      <c r="N142" s="1332"/>
      <c r="O142" s="1332"/>
      <c r="P142" s="1332"/>
      <c r="Q142" s="1332"/>
      <c r="R142" s="1332"/>
    </row>
    <row r="143" spans="1:19" s="181" customFormat="1" ht="90" x14ac:dyDescent="0.25">
      <c r="A143" s="183"/>
      <c r="B143" s="1323"/>
      <c r="C143" s="1079"/>
      <c r="D143" s="1053" t="s">
        <v>10</v>
      </c>
      <c r="E143" s="1054"/>
      <c r="F143" s="336" t="s">
        <v>1324</v>
      </c>
      <c r="G143" s="290">
        <v>166184.5</v>
      </c>
      <c r="H143" s="290">
        <v>166184.5</v>
      </c>
      <c r="I143" s="290">
        <v>205254.8</v>
      </c>
      <c r="J143" s="290">
        <v>179163.3</v>
      </c>
      <c r="K143" s="290">
        <v>184522.7</v>
      </c>
      <c r="L143" s="1050" t="s">
        <v>1327</v>
      </c>
      <c r="M143" s="1077" t="s">
        <v>4</v>
      </c>
      <c r="N143" s="1077">
        <v>100</v>
      </c>
      <c r="O143" s="1077">
        <v>100</v>
      </c>
      <c r="P143" s="1077">
        <v>100</v>
      </c>
      <c r="Q143" s="1077">
        <v>100</v>
      </c>
      <c r="R143" s="1077">
        <v>100</v>
      </c>
    </row>
    <row r="144" spans="1:19" s="181" customFormat="1" ht="15" x14ac:dyDescent="0.25">
      <c r="A144" s="183"/>
      <c r="B144" s="1276" t="s">
        <v>299</v>
      </c>
      <c r="C144" s="1277"/>
      <c r="D144" s="1277"/>
      <c r="E144" s="1277"/>
      <c r="F144" s="1278"/>
      <c r="G144" s="337">
        <f>G134+G141</f>
        <v>240847.1</v>
      </c>
      <c r="H144" s="337">
        <f>H134+H141</f>
        <v>240848.1</v>
      </c>
      <c r="I144" s="337">
        <f>I134+I141</f>
        <v>254719.59999999998</v>
      </c>
      <c r="J144" s="337">
        <f>J134+J141</f>
        <v>259656.9</v>
      </c>
      <c r="K144" s="337">
        <f>K134+K141</f>
        <v>267424.2</v>
      </c>
      <c r="L144" s="338"/>
      <c r="M144" s="1333"/>
      <c r="N144" s="1333"/>
      <c r="O144" s="1333"/>
      <c r="P144" s="1333"/>
      <c r="Q144" s="1333"/>
      <c r="R144" s="1333"/>
    </row>
    <row r="145" spans="1:19" s="181" customFormat="1" ht="15" x14ac:dyDescent="0.25">
      <c r="A145" s="183"/>
      <c r="B145" s="1253" t="s">
        <v>438</v>
      </c>
      <c r="C145" s="1253"/>
      <c r="D145" s="1253"/>
      <c r="E145" s="1253"/>
      <c r="F145" s="1253"/>
      <c r="G145" s="1253"/>
      <c r="H145" s="1253"/>
      <c r="I145" s="1253"/>
      <c r="J145" s="1253"/>
      <c r="K145" s="1253"/>
      <c r="L145" s="1253"/>
      <c r="M145" s="1253"/>
      <c r="N145" s="1253"/>
      <c r="O145" s="1253"/>
      <c r="P145" s="1253"/>
      <c r="Q145" s="1253"/>
      <c r="R145" s="1253"/>
      <c r="S145" s="1253"/>
    </row>
    <row r="146" spans="1:19" s="181" customFormat="1" ht="59.25" x14ac:dyDescent="0.25">
      <c r="A146" s="183"/>
      <c r="B146" s="1325">
        <v>18</v>
      </c>
      <c r="C146" s="302" t="s">
        <v>0</v>
      </c>
      <c r="D146" s="1100"/>
      <c r="E146" s="1100"/>
      <c r="F146" s="1041" t="s">
        <v>1328</v>
      </c>
      <c r="G146" s="1034">
        <v>89966.8</v>
      </c>
      <c r="H146" s="1034">
        <f>H147</f>
        <v>100000</v>
      </c>
      <c r="I146" s="1034">
        <f>I147</f>
        <v>100000</v>
      </c>
      <c r="J146" s="1034">
        <f>J147</f>
        <v>100000</v>
      </c>
      <c r="K146" s="1034">
        <f>K147</f>
        <v>100000</v>
      </c>
      <c r="L146" s="1093" t="s">
        <v>439</v>
      </c>
      <c r="M146" s="339" t="s">
        <v>4</v>
      </c>
      <c r="N146" s="1089">
        <v>100</v>
      </c>
      <c r="O146" s="1089">
        <v>100</v>
      </c>
      <c r="P146" s="989">
        <v>100</v>
      </c>
      <c r="Q146" s="989">
        <v>100</v>
      </c>
      <c r="R146" s="989">
        <v>100</v>
      </c>
    </row>
    <row r="147" spans="1:19" s="181" customFormat="1" ht="43.5" customHeight="1" x14ac:dyDescent="0.25">
      <c r="A147" s="183"/>
      <c r="B147" s="1326"/>
      <c r="C147" s="1100"/>
      <c r="D147" s="1100" t="s">
        <v>10</v>
      </c>
      <c r="E147" s="1100"/>
      <c r="F147" s="1121" t="s">
        <v>440</v>
      </c>
      <c r="G147" s="1022">
        <v>89966.8</v>
      </c>
      <c r="H147" s="1022">
        <v>100000</v>
      </c>
      <c r="I147" s="1022">
        <v>100000</v>
      </c>
      <c r="J147" s="1022">
        <v>100000</v>
      </c>
      <c r="K147" s="1022">
        <v>100000</v>
      </c>
      <c r="L147" s="1063" t="s">
        <v>586</v>
      </c>
      <c r="M147" s="339" t="s">
        <v>21</v>
      </c>
      <c r="N147" s="340"/>
      <c r="O147" s="340"/>
      <c r="P147" s="340"/>
      <c r="Q147" s="340"/>
      <c r="R147" s="340"/>
    </row>
    <row r="148" spans="1:19" s="181" customFormat="1" ht="88.5" x14ac:dyDescent="0.25">
      <c r="A148" s="183"/>
      <c r="B148" s="1326"/>
      <c r="C148" s="302" t="s">
        <v>76</v>
      </c>
      <c r="D148" s="302"/>
      <c r="E148" s="302"/>
      <c r="F148" s="1121" t="s">
        <v>441</v>
      </c>
      <c r="G148" s="1164">
        <v>872374.2</v>
      </c>
      <c r="H148" s="1164">
        <f>H149</f>
        <v>1335671.2</v>
      </c>
      <c r="I148" s="1164">
        <f>I149</f>
        <v>133589.1</v>
      </c>
      <c r="J148" s="1164">
        <f>J149</f>
        <v>83320.5</v>
      </c>
      <c r="K148" s="1164">
        <f>K149</f>
        <v>34892.6</v>
      </c>
      <c r="L148" s="1063"/>
      <c r="M148" s="339" t="s">
        <v>4</v>
      </c>
      <c r="N148" s="340"/>
      <c r="O148" s="340"/>
      <c r="P148" s="340"/>
      <c r="Q148" s="340"/>
      <c r="R148" s="340"/>
    </row>
    <row r="149" spans="1:19" s="181" customFormat="1" ht="60" x14ac:dyDescent="0.25">
      <c r="A149" s="183"/>
      <c r="B149" s="1327"/>
      <c r="C149" s="302"/>
      <c r="D149" s="302" t="s">
        <v>10</v>
      </c>
      <c r="E149" s="302"/>
      <c r="F149" s="1145" t="s">
        <v>442</v>
      </c>
      <c r="G149" s="1165">
        <v>872374.2</v>
      </c>
      <c r="H149" s="1043">
        <v>1335671.2</v>
      </c>
      <c r="I149" s="1166">
        <v>133589.1</v>
      </c>
      <c r="J149" s="1022">
        <v>83320.5</v>
      </c>
      <c r="K149" s="1022">
        <v>34892.6</v>
      </c>
      <c r="L149" s="1063" t="s">
        <v>443</v>
      </c>
      <c r="M149" s="339" t="s">
        <v>4</v>
      </c>
      <c r="N149" s="1089">
        <v>100</v>
      </c>
      <c r="O149" s="1089">
        <v>100</v>
      </c>
      <c r="P149" s="1089">
        <v>100</v>
      </c>
      <c r="Q149" s="1089">
        <v>100</v>
      </c>
      <c r="R149" s="1089">
        <v>100</v>
      </c>
    </row>
    <row r="150" spans="1:19" s="181" customFormat="1" ht="15" x14ac:dyDescent="0.25">
      <c r="A150" s="183"/>
      <c r="B150" s="1276" t="s">
        <v>299</v>
      </c>
      <c r="C150" s="1277"/>
      <c r="D150" s="1277"/>
      <c r="E150" s="1277"/>
      <c r="F150" s="1278"/>
      <c r="G150" s="341">
        <f>G148+G146</f>
        <v>962341</v>
      </c>
      <c r="H150" s="341">
        <f>H148+H146</f>
        <v>1435671.2</v>
      </c>
      <c r="I150" s="341">
        <f>I148+I146</f>
        <v>233589.1</v>
      </c>
      <c r="J150" s="341">
        <f>J148+J146</f>
        <v>183320.5</v>
      </c>
      <c r="K150" s="341">
        <f>K148+K146</f>
        <v>134892.6</v>
      </c>
      <c r="L150" s="342"/>
      <c r="M150" s="1328"/>
      <c r="N150" s="1328"/>
      <c r="O150" s="1328"/>
      <c r="P150" s="1328"/>
      <c r="Q150" s="1328"/>
      <c r="R150" s="1328"/>
    </row>
    <row r="151" spans="1:19" s="181" customFormat="1" ht="15" x14ac:dyDescent="0.25">
      <c r="A151" s="183"/>
      <c r="B151" s="1253" t="s">
        <v>444</v>
      </c>
      <c r="C151" s="1253"/>
      <c r="D151" s="1253"/>
      <c r="E151" s="1253"/>
      <c r="F151" s="1253"/>
      <c r="G151" s="1253"/>
      <c r="H151" s="1253"/>
      <c r="I151" s="1253"/>
      <c r="J151" s="1253"/>
      <c r="K151" s="1253"/>
      <c r="L151" s="1253"/>
      <c r="M151" s="1253"/>
      <c r="N151" s="1253"/>
      <c r="O151" s="1253"/>
      <c r="P151" s="1253"/>
      <c r="Q151" s="1253"/>
      <c r="R151" s="1253"/>
      <c r="S151" s="1253"/>
    </row>
    <row r="152" spans="1:19" s="181" customFormat="1" ht="59.25" x14ac:dyDescent="0.25">
      <c r="A152" s="183"/>
      <c r="B152" s="1329" t="s">
        <v>120</v>
      </c>
      <c r="C152" s="1086" t="s">
        <v>10</v>
      </c>
      <c r="D152" s="343"/>
      <c r="E152" s="343"/>
      <c r="F152" s="1132" t="s">
        <v>1329</v>
      </c>
      <c r="G152" s="76">
        <f>G153+G154+G155+G156+G157+G158</f>
        <v>236686.7</v>
      </c>
      <c r="H152" s="76">
        <f>H153+H154+H155+H156+H157+H158</f>
        <v>209670.90000000002</v>
      </c>
      <c r="I152" s="76">
        <f>I153+I154+I155+I156+I157+I158</f>
        <v>230644.19999999998</v>
      </c>
      <c r="J152" s="76">
        <f>J153+J154+J155+J156+J157+J158</f>
        <v>243464</v>
      </c>
      <c r="K152" s="76">
        <f>K153+K154+K155+K156+K157+K158</f>
        <v>263835.61499999999</v>
      </c>
      <c r="L152" s="1130" t="s">
        <v>439</v>
      </c>
      <c r="M152" s="303" t="s">
        <v>4</v>
      </c>
      <c r="N152" s="303"/>
      <c r="O152" s="279">
        <v>0.26</v>
      </c>
      <c r="P152" s="279">
        <v>0.26</v>
      </c>
      <c r="Q152" s="279">
        <v>0.26</v>
      </c>
      <c r="R152" s="345">
        <v>0.26</v>
      </c>
    </row>
    <row r="153" spans="1:19" s="181" customFormat="1" ht="30" x14ac:dyDescent="0.25">
      <c r="A153" s="183"/>
      <c r="B153" s="1330"/>
      <c r="C153" s="1086"/>
      <c r="D153" s="1083" t="s">
        <v>10</v>
      </c>
      <c r="E153" s="343"/>
      <c r="F153" s="1132" t="s">
        <v>1330</v>
      </c>
      <c r="G153" s="1201">
        <f>5955.2+18979</f>
        <v>24934.2</v>
      </c>
      <c r="H153" s="1201">
        <f>4524+17377.2</f>
        <v>21901.200000000001</v>
      </c>
      <c r="I153" s="1201">
        <f>61098.4</f>
        <v>61098.400000000001</v>
      </c>
      <c r="J153" s="1201">
        <f>67858.8</f>
        <v>67858.8</v>
      </c>
      <c r="K153" s="1201">
        <f>76964.215</f>
        <v>76964.214999999997</v>
      </c>
      <c r="L153" s="1147" t="s">
        <v>586</v>
      </c>
      <c r="M153" s="303" t="s">
        <v>445</v>
      </c>
      <c r="N153" s="269"/>
      <c r="O153" s="1103">
        <v>0</v>
      </c>
      <c r="P153" s="1103">
        <v>0</v>
      </c>
      <c r="Q153" s="1103">
        <v>0</v>
      </c>
      <c r="R153" s="346">
        <v>0</v>
      </c>
    </row>
    <row r="154" spans="1:19" s="181" customFormat="1" ht="45" x14ac:dyDescent="0.25">
      <c r="A154" s="183"/>
      <c r="B154" s="1330"/>
      <c r="C154" s="1086"/>
      <c r="D154" s="1083" t="s">
        <v>13</v>
      </c>
      <c r="E154" s="343"/>
      <c r="F154" s="1132" t="s">
        <v>1331</v>
      </c>
      <c r="G154" s="1201">
        <f>2618.3+9429.2</f>
        <v>12047.5</v>
      </c>
      <c r="H154" s="1201">
        <f>2599.2+11639.8</f>
        <v>14239</v>
      </c>
      <c r="I154" s="1201">
        <f>2442.9+153813+8116.6+4400+773.3</f>
        <v>169545.8</v>
      </c>
      <c r="J154" s="1201">
        <f>162315.3+8116.6+4400+773.3</f>
        <v>175605.19999999998</v>
      </c>
      <c r="K154" s="1201">
        <f>8480.6+173217.5+4400+773.3</f>
        <v>186871.4</v>
      </c>
      <c r="L154" s="1147" t="s">
        <v>702</v>
      </c>
      <c r="M154" s="303" t="s">
        <v>4</v>
      </c>
      <c r="N154" s="269"/>
      <c r="O154" s="1103" t="s">
        <v>446</v>
      </c>
      <c r="P154" s="1103"/>
      <c r="Q154" s="1103"/>
      <c r="R154" s="346"/>
    </row>
    <row r="155" spans="1:19" s="181" customFormat="1" ht="150" customHeight="1" x14ac:dyDescent="0.25">
      <c r="A155" s="183"/>
      <c r="B155" s="1330"/>
      <c r="C155" s="1086"/>
      <c r="D155" s="1083" t="s">
        <v>9</v>
      </c>
      <c r="E155" s="343"/>
      <c r="F155" s="1059" t="s">
        <v>447</v>
      </c>
      <c r="G155" s="1203">
        <f>5887.9+4980.1</f>
        <v>10868</v>
      </c>
      <c r="H155" s="1203">
        <f>2245.4+6370.7</f>
        <v>8616.1</v>
      </c>
      <c r="I155" s="1203"/>
      <c r="J155" s="1204"/>
      <c r="K155" s="1204"/>
      <c r="L155" s="1167" t="s">
        <v>1336</v>
      </c>
      <c r="M155" s="303" t="s">
        <v>4</v>
      </c>
      <c r="N155" s="348"/>
      <c r="O155" s="349">
        <v>0.9</v>
      </c>
      <c r="P155" s="349">
        <v>0.9</v>
      </c>
      <c r="Q155" s="349">
        <v>0.9</v>
      </c>
      <c r="R155" s="350">
        <v>0.9</v>
      </c>
    </row>
    <row r="156" spans="1:19" s="181" customFormat="1" ht="45" x14ac:dyDescent="0.25">
      <c r="A156" s="183"/>
      <c r="B156" s="1330"/>
      <c r="C156" s="1086"/>
      <c r="D156" s="1083" t="s">
        <v>24</v>
      </c>
      <c r="E156" s="343"/>
      <c r="F156" s="351" t="s">
        <v>1332</v>
      </c>
      <c r="G156" s="1203">
        <f>6769.1+2533.6</f>
        <v>9302.7000000000007</v>
      </c>
      <c r="H156" s="1203">
        <f>5107.7</f>
        <v>5107.7</v>
      </c>
      <c r="I156" s="1203"/>
      <c r="J156" s="1204"/>
      <c r="K156" s="1204"/>
      <c r="L156" s="1167" t="s">
        <v>1337</v>
      </c>
      <c r="M156" s="303" t="s">
        <v>4</v>
      </c>
      <c r="N156" s="348"/>
      <c r="O156" s="1103">
        <v>741</v>
      </c>
      <c r="P156" s="1103">
        <v>741</v>
      </c>
      <c r="Q156" s="1103">
        <v>741</v>
      </c>
      <c r="R156" s="346">
        <v>741</v>
      </c>
    </row>
    <row r="157" spans="1:19" s="181" customFormat="1" ht="45" x14ac:dyDescent="0.25">
      <c r="A157" s="183"/>
      <c r="B157" s="1330"/>
      <c r="C157" s="1083"/>
      <c r="D157" s="1083" t="s">
        <v>25</v>
      </c>
      <c r="E157" s="352"/>
      <c r="F157" s="1132" t="s">
        <v>1333</v>
      </c>
      <c r="G157" s="1203">
        <f>87051.2-3.6+89680.8-386.9+526.6</f>
        <v>176868.1</v>
      </c>
      <c r="H157" s="1203">
        <f>38899.4+113875.8+4400</f>
        <v>157175.20000000001</v>
      </c>
      <c r="I157" s="1203"/>
      <c r="J157" s="1204"/>
      <c r="K157" s="1204"/>
      <c r="L157" s="1167" t="s">
        <v>1338</v>
      </c>
      <c r="M157" s="303" t="s">
        <v>4</v>
      </c>
      <c r="N157" s="348"/>
      <c r="O157" s="1103">
        <v>16.100000000000001</v>
      </c>
      <c r="P157" s="1103">
        <v>16.100000000000001</v>
      </c>
      <c r="Q157" s="1103">
        <v>16.100000000000001</v>
      </c>
      <c r="R157" s="346">
        <v>16.100000000000001</v>
      </c>
    </row>
    <row r="158" spans="1:19" s="181" customFormat="1" ht="45" x14ac:dyDescent="0.25">
      <c r="A158" s="183"/>
      <c r="B158" s="1330"/>
      <c r="C158" s="1086"/>
      <c r="D158" s="1083" t="s">
        <v>43</v>
      </c>
      <c r="E158" s="1084"/>
      <c r="F158" s="1132" t="s">
        <v>1334</v>
      </c>
      <c r="G158" s="1203">
        <f>2666.2</f>
        <v>2666.2</v>
      </c>
      <c r="H158" s="1203">
        <v>2631.7</v>
      </c>
      <c r="I158" s="1203"/>
      <c r="J158" s="1204"/>
      <c r="K158" s="1204"/>
      <c r="L158" s="1167" t="s">
        <v>1339</v>
      </c>
      <c r="M158" s="989" t="s">
        <v>297</v>
      </c>
      <c r="N158" s="1103"/>
      <c r="O158" s="989" t="s">
        <v>448</v>
      </c>
      <c r="P158" s="1103"/>
      <c r="Q158" s="989" t="s">
        <v>449</v>
      </c>
      <c r="R158" s="990" t="s">
        <v>450</v>
      </c>
    </row>
    <row r="159" spans="1:19" s="181" customFormat="1" ht="85.5" customHeight="1" x14ac:dyDescent="0.25">
      <c r="A159" s="183"/>
      <c r="B159" s="1330"/>
      <c r="C159" s="1086" t="s">
        <v>48</v>
      </c>
      <c r="D159" s="1084"/>
      <c r="E159" s="1084"/>
      <c r="F159" s="1097" t="s">
        <v>451</v>
      </c>
      <c r="G159" s="36">
        <f>G160+G161+G162+G163</f>
        <v>222190.69999999998</v>
      </c>
      <c r="H159" s="36">
        <f>H160+H161+H162+H163</f>
        <v>224015.89999999997</v>
      </c>
      <c r="I159" s="36">
        <f>I160+I161+I162+I163</f>
        <v>224015.89999999997</v>
      </c>
      <c r="J159" s="36">
        <f>J160+J161+J162+J163</f>
        <v>224015.89999999997</v>
      </c>
      <c r="K159" s="36">
        <f>K160+K161+K162+K163</f>
        <v>224015.89999999997</v>
      </c>
      <c r="L159" s="354" t="s">
        <v>1340</v>
      </c>
      <c r="M159" s="991" t="s">
        <v>395</v>
      </c>
      <c r="N159" s="991"/>
      <c r="O159" s="989" t="s">
        <v>452</v>
      </c>
      <c r="P159" s="989" t="s">
        <v>452</v>
      </c>
      <c r="Q159" s="989" t="s">
        <v>452</v>
      </c>
      <c r="R159" s="990" t="s">
        <v>452</v>
      </c>
    </row>
    <row r="160" spans="1:19" s="181" customFormat="1" ht="75" customHeight="1" x14ac:dyDescent="0.25">
      <c r="A160" s="183"/>
      <c r="B160" s="1330"/>
      <c r="C160" s="1086"/>
      <c r="D160" s="1083" t="s">
        <v>10</v>
      </c>
      <c r="E160" s="1084"/>
      <c r="F160" s="1059" t="s">
        <v>453</v>
      </c>
      <c r="G160" s="1201">
        <f>5897.4+207594.8</f>
        <v>213492.19999999998</v>
      </c>
      <c r="H160" s="1201">
        <f>4462.4+206947.3</f>
        <v>211409.69999999998</v>
      </c>
      <c r="I160" s="1201">
        <f>4579.4+206947.3</f>
        <v>211526.69999999998</v>
      </c>
      <c r="J160" s="1201">
        <f>4579.4+206947.3</f>
        <v>211526.69999999998</v>
      </c>
      <c r="K160" s="1201">
        <f>4579.4+206947.3</f>
        <v>211526.69999999998</v>
      </c>
      <c r="L160" s="355" t="s">
        <v>1340</v>
      </c>
      <c r="M160" s="989"/>
      <c r="N160" s="989"/>
      <c r="O160" s="989" t="s">
        <v>454</v>
      </c>
      <c r="P160" s="989" t="s">
        <v>454</v>
      </c>
      <c r="Q160" s="989" t="s">
        <v>454</v>
      </c>
      <c r="R160" s="990" t="s">
        <v>454</v>
      </c>
    </row>
    <row r="161" spans="1:18" s="181" customFormat="1" ht="75" x14ac:dyDescent="0.25">
      <c r="A161" s="183"/>
      <c r="B161" s="1330"/>
      <c r="C161" s="1086"/>
      <c r="D161" s="1083" t="s">
        <v>13</v>
      </c>
      <c r="E161" s="1084"/>
      <c r="F161" s="1059" t="s">
        <v>455</v>
      </c>
      <c r="G161" s="1201">
        <f>5706</f>
        <v>5706</v>
      </c>
      <c r="H161" s="1201">
        <v>5805</v>
      </c>
      <c r="I161" s="1201">
        <f>5688</f>
        <v>5688</v>
      </c>
      <c r="J161" s="1201">
        <f>5688</f>
        <v>5688</v>
      </c>
      <c r="K161" s="1201">
        <f>5688</f>
        <v>5688</v>
      </c>
      <c r="L161" s="347" t="s">
        <v>1340</v>
      </c>
      <c r="M161" s="991"/>
      <c r="N161" s="991"/>
      <c r="O161" s="989" t="s">
        <v>456</v>
      </c>
      <c r="P161" s="989" t="s">
        <v>457</v>
      </c>
      <c r="Q161" s="989" t="s">
        <v>458</v>
      </c>
      <c r="R161" s="990" t="s">
        <v>459</v>
      </c>
    </row>
    <row r="162" spans="1:18" s="181" customFormat="1" ht="75" x14ac:dyDescent="0.25">
      <c r="A162" s="183"/>
      <c r="B162" s="1330"/>
      <c r="C162" s="1086"/>
      <c r="D162" s="992" t="s">
        <v>9</v>
      </c>
      <c r="E162" s="1083"/>
      <c r="F162" s="1076" t="s">
        <v>460</v>
      </c>
      <c r="G162" s="1201">
        <f>2992.5</f>
        <v>2992.5</v>
      </c>
      <c r="H162" s="1201">
        <v>2776.9</v>
      </c>
      <c r="I162" s="1201">
        <f>2776.9</f>
        <v>2776.9</v>
      </c>
      <c r="J162" s="1201">
        <f>2776.9</f>
        <v>2776.9</v>
      </c>
      <c r="K162" s="1201">
        <f>2776.9</f>
        <v>2776.9</v>
      </c>
      <c r="L162" s="347" t="s">
        <v>1340</v>
      </c>
      <c r="M162" s="991"/>
      <c r="N162" s="991"/>
      <c r="O162" s="989" t="s">
        <v>461</v>
      </c>
      <c r="P162" s="989" t="s">
        <v>461</v>
      </c>
      <c r="Q162" s="989" t="s">
        <v>461</v>
      </c>
      <c r="R162" s="990" t="s">
        <v>461</v>
      </c>
    </row>
    <row r="163" spans="1:18" s="181" customFormat="1" ht="90" x14ac:dyDescent="0.25">
      <c r="A163" s="183"/>
      <c r="B163" s="1330"/>
      <c r="C163" s="1083"/>
      <c r="D163" s="1083" t="s">
        <v>23</v>
      </c>
      <c r="E163" s="352"/>
      <c r="F163" s="1059" t="s">
        <v>462</v>
      </c>
      <c r="G163" s="1208"/>
      <c r="H163" s="1201">
        <v>4024.3</v>
      </c>
      <c r="I163" s="1201">
        <f>4024.3</f>
        <v>4024.3</v>
      </c>
      <c r="J163" s="1201">
        <f>4024.3</f>
        <v>4024.3</v>
      </c>
      <c r="K163" s="1201">
        <f>4024.3</f>
        <v>4024.3</v>
      </c>
      <c r="L163" s="347" t="s">
        <v>1340</v>
      </c>
      <c r="M163" s="991"/>
      <c r="N163" s="991"/>
      <c r="O163" s="989" t="s">
        <v>463</v>
      </c>
      <c r="P163" s="989" t="s">
        <v>463</v>
      </c>
      <c r="Q163" s="989" t="s">
        <v>463</v>
      </c>
      <c r="R163" s="990" t="s">
        <v>463</v>
      </c>
    </row>
    <row r="164" spans="1:18" s="181" customFormat="1" ht="128.25" x14ac:dyDescent="0.25">
      <c r="A164" s="183"/>
      <c r="B164" s="1330"/>
      <c r="C164" s="1086" t="s">
        <v>50</v>
      </c>
      <c r="D164" s="1083"/>
      <c r="E164" s="343"/>
      <c r="F164" s="1097" t="s">
        <v>1766</v>
      </c>
      <c r="G164" s="36">
        <f>G165+G166+G167</f>
        <v>50455.199999999997</v>
      </c>
      <c r="H164" s="36">
        <f>H165+H166+H167</f>
        <v>49962.100000000006</v>
      </c>
      <c r="I164" s="36">
        <f>I165+I166+I167</f>
        <v>49962.100000000006</v>
      </c>
      <c r="J164" s="36">
        <f>J165+J166+J167</f>
        <v>49962.100000000006</v>
      </c>
      <c r="K164" s="36">
        <f>K165+K166+K167</f>
        <v>49962.100000000006</v>
      </c>
      <c r="L164" s="354" t="s">
        <v>1341</v>
      </c>
      <c r="M164" s="303" t="s">
        <v>49</v>
      </c>
      <c r="N164" s="269"/>
      <c r="O164" s="989"/>
      <c r="P164" s="989" t="s">
        <v>464</v>
      </c>
      <c r="Q164" s="989" t="s">
        <v>464</v>
      </c>
      <c r="R164" s="990" t="s">
        <v>464</v>
      </c>
    </row>
    <row r="165" spans="1:18" s="181" customFormat="1" ht="120" x14ac:dyDescent="0.25">
      <c r="A165" s="183"/>
      <c r="B165" s="1330"/>
      <c r="C165" s="1083"/>
      <c r="D165" s="1083" t="s">
        <v>10</v>
      </c>
      <c r="E165" s="352"/>
      <c r="F165" s="1059" t="s">
        <v>465</v>
      </c>
      <c r="G165" s="1201">
        <f>8725.5+34435.6</f>
        <v>43161.1</v>
      </c>
      <c r="H165" s="1201">
        <f>8139.5+34648.4</f>
        <v>42787.9</v>
      </c>
      <c r="I165" s="1201">
        <f>8139.5+34648.4</f>
        <v>42787.9</v>
      </c>
      <c r="J165" s="1201">
        <f>8139.5+34648.4</f>
        <v>42787.9</v>
      </c>
      <c r="K165" s="1201">
        <f>8139.5+34648.4</f>
        <v>42787.9</v>
      </c>
      <c r="L165" s="347" t="s">
        <v>1341</v>
      </c>
      <c r="M165" s="991"/>
      <c r="N165" s="991"/>
      <c r="O165" s="989" t="s">
        <v>466</v>
      </c>
      <c r="P165" s="989" t="s">
        <v>466</v>
      </c>
      <c r="Q165" s="989" t="s">
        <v>466</v>
      </c>
      <c r="R165" s="990" t="s">
        <v>466</v>
      </c>
    </row>
    <row r="166" spans="1:18" s="181" customFormat="1" ht="120" x14ac:dyDescent="0.25">
      <c r="A166" s="183"/>
      <c r="B166" s="1330"/>
      <c r="C166" s="1083"/>
      <c r="D166" s="1083" t="s">
        <v>13</v>
      </c>
      <c r="E166" s="352"/>
      <c r="F166" s="1059" t="s">
        <v>467</v>
      </c>
      <c r="G166" s="1201">
        <f>4204.7</f>
        <v>4204.7</v>
      </c>
      <c r="H166" s="1201">
        <f>4099.8</f>
        <v>4099.8</v>
      </c>
      <c r="I166" s="1201">
        <f>4099.8</f>
        <v>4099.8</v>
      </c>
      <c r="J166" s="1201">
        <f>4099.8</f>
        <v>4099.8</v>
      </c>
      <c r="K166" s="1201">
        <f>4099.8</f>
        <v>4099.8</v>
      </c>
      <c r="L166" s="347" t="s">
        <v>1341</v>
      </c>
      <c r="M166" s="991"/>
      <c r="N166" s="991"/>
      <c r="O166" s="989" t="s">
        <v>468</v>
      </c>
      <c r="P166" s="989" t="s">
        <v>468</v>
      </c>
      <c r="Q166" s="989" t="s">
        <v>468</v>
      </c>
      <c r="R166" s="990" t="s">
        <v>468</v>
      </c>
    </row>
    <row r="167" spans="1:18" s="181" customFormat="1" ht="120" x14ac:dyDescent="0.25">
      <c r="A167" s="183"/>
      <c r="B167" s="1330"/>
      <c r="C167" s="1086"/>
      <c r="D167" s="1083" t="s">
        <v>9</v>
      </c>
      <c r="E167" s="1084"/>
      <c r="F167" s="1059" t="s">
        <v>469</v>
      </c>
      <c r="G167" s="1201">
        <f>3089.4</f>
        <v>3089.4</v>
      </c>
      <c r="H167" s="1201">
        <f>3074.4</f>
        <v>3074.4</v>
      </c>
      <c r="I167" s="1201">
        <f>3074.4</f>
        <v>3074.4</v>
      </c>
      <c r="J167" s="1201">
        <f>3074.4</f>
        <v>3074.4</v>
      </c>
      <c r="K167" s="1201">
        <v>3074.4</v>
      </c>
      <c r="L167" s="347" t="s">
        <v>1341</v>
      </c>
      <c r="M167" s="989"/>
      <c r="N167" s="1103"/>
      <c r="O167" s="989" t="s">
        <v>470</v>
      </c>
      <c r="P167" s="989" t="s">
        <v>470</v>
      </c>
      <c r="Q167" s="989" t="s">
        <v>470</v>
      </c>
      <c r="R167" s="990" t="s">
        <v>470</v>
      </c>
    </row>
    <row r="168" spans="1:18" s="181" customFormat="1" ht="105" x14ac:dyDescent="0.25">
      <c r="A168" s="183"/>
      <c r="B168" s="1330"/>
      <c r="C168" s="1086" t="s">
        <v>51</v>
      </c>
      <c r="D168" s="1083"/>
      <c r="E168" s="1084"/>
      <c r="F168" s="1097" t="s">
        <v>471</v>
      </c>
      <c r="G168" s="36">
        <f>G169+G170</f>
        <v>41466.6</v>
      </c>
      <c r="H168" s="36">
        <f>H169+H170</f>
        <v>42923.6</v>
      </c>
      <c r="I168" s="36">
        <f>I169+I170</f>
        <v>42723.6</v>
      </c>
      <c r="J168" s="36">
        <f>J169+J170</f>
        <v>42723.6</v>
      </c>
      <c r="K168" s="36">
        <f>K169+K170</f>
        <v>42723.6</v>
      </c>
      <c r="L168" s="356" t="s">
        <v>1342</v>
      </c>
      <c r="M168" s="989" t="s">
        <v>395</v>
      </c>
      <c r="N168" s="1103"/>
      <c r="O168" s="989" t="s">
        <v>472</v>
      </c>
      <c r="P168" s="989" t="s">
        <v>472</v>
      </c>
      <c r="Q168" s="989" t="s">
        <v>472</v>
      </c>
      <c r="R168" s="990" t="s">
        <v>472</v>
      </c>
    </row>
    <row r="169" spans="1:18" s="181" customFormat="1" ht="90" x14ac:dyDescent="0.25">
      <c r="A169" s="183"/>
      <c r="B169" s="1330"/>
      <c r="C169" s="1086"/>
      <c r="D169" s="1083" t="s">
        <v>10</v>
      </c>
      <c r="E169" s="1084"/>
      <c r="F169" s="1059" t="s">
        <v>473</v>
      </c>
      <c r="G169" s="1201">
        <f>7786.2+30696.5</f>
        <v>38482.699999999997</v>
      </c>
      <c r="H169" s="1201">
        <f>7653.7+32297.4</f>
        <v>39951.1</v>
      </c>
      <c r="I169" s="1201">
        <f>7653.7+32097.4</f>
        <v>39751.1</v>
      </c>
      <c r="J169" s="1201">
        <f>7653.7+32097.4</f>
        <v>39751.1</v>
      </c>
      <c r="K169" s="1201">
        <f>7653.7+32097.4</f>
        <v>39751.1</v>
      </c>
      <c r="L169" s="347" t="s">
        <v>1343</v>
      </c>
      <c r="M169" s="989"/>
      <c r="N169" s="1103"/>
      <c r="O169" s="989" t="s">
        <v>474</v>
      </c>
      <c r="P169" s="989" t="s">
        <v>474</v>
      </c>
      <c r="Q169" s="989" t="s">
        <v>474</v>
      </c>
      <c r="R169" s="990" t="s">
        <v>474</v>
      </c>
    </row>
    <row r="170" spans="1:18" s="181" customFormat="1" ht="90" x14ac:dyDescent="0.25">
      <c r="A170" s="183"/>
      <c r="B170" s="1330"/>
      <c r="C170" s="1086"/>
      <c r="D170" s="1083" t="s">
        <v>13</v>
      </c>
      <c r="E170" s="1084"/>
      <c r="F170" s="271" t="s">
        <v>475</v>
      </c>
      <c r="G170" s="1201">
        <f>2983.9</f>
        <v>2983.9</v>
      </c>
      <c r="H170" s="1201">
        <v>2972.5</v>
      </c>
      <c r="I170" s="1201">
        <v>2972.5</v>
      </c>
      <c r="J170" s="1201">
        <f>2972.5</f>
        <v>2972.5</v>
      </c>
      <c r="K170" s="1201">
        <v>2972.5</v>
      </c>
      <c r="L170" s="355" t="s">
        <v>1344</v>
      </c>
      <c r="M170" s="989"/>
      <c r="N170" s="1103"/>
      <c r="O170" s="989" t="s">
        <v>476</v>
      </c>
      <c r="P170" s="989" t="s">
        <v>476</v>
      </c>
      <c r="Q170" s="989" t="s">
        <v>476</v>
      </c>
      <c r="R170" s="990" t="s">
        <v>476</v>
      </c>
    </row>
    <row r="171" spans="1:18" s="181" customFormat="1" ht="99.75" x14ac:dyDescent="0.25">
      <c r="A171" s="183"/>
      <c r="B171" s="1330"/>
      <c r="C171" s="1086" t="s">
        <v>52</v>
      </c>
      <c r="D171" s="1083"/>
      <c r="E171" s="1084"/>
      <c r="F171" s="316" t="s">
        <v>477</v>
      </c>
      <c r="G171" s="36">
        <f>G172+G173</f>
        <v>37980.9</v>
      </c>
      <c r="H171" s="36">
        <f>H172+H173</f>
        <v>37203.800000000003</v>
      </c>
      <c r="I171" s="36">
        <f>I172+I173</f>
        <v>37203.800000000003</v>
      </c>
      <c r="J171" s="36">
        <f>J172+J173</f>
        <v>37203.800000000003</v>
      </c>
      <c r="K171" s="36">
        <f>K172+K173</f>
        <v>37203.800000000003</v>
      </c>
      <c r="L171" s="356" t="s">
        <v>1345</v>
      </c>
      <c r="M171" s="989"/>
      <c r="N171" s="1103"/>
      <c r="O171" s="989" t="s">
        <v>478</v>
      </c>
      <c r="P171" s="989" t="s">
        <v>478</v>
      </c>
      <c r="Q171" s="989" t="s">
        <v>478</v>
      </c>
      <c r="R171" s="990" t="s">
        <v>478</v>
      </c>
    </row>
    <row r="172" spans="1:18" s="181" customFormat="1" ht="165" x14ac:dyDescent="0.25">
      <c r="A172" s="183"/>
      <c r="B172" s="1330"/>
      <c r="C172" s="1086"/>
      <c r="D172" s="1083" t="s">
        <v>10</v>
      </c>
      <c r="E172" s="1084"/>
      <c r="F172" s="271" t="s">
        <v>479</v>
      </c>
      <c r="G172" s="1202">
        <f>10116.7+23051.1</f>
        <v>33167.800000000003</v>
      </c>
      <c r="H172" s="1203">
        <f>14350.8+22853</f>
        <v>37203.800000000003</v>
      </c>
      <c r="I172" s="1202">
        <f>14350.8+22853</f>
        <v>37203.800000000003</v>
      </c>
      <c r="J172" s="1203">
        <f>14350.8+22853</f>
        <v>37203.800000000003</v>
      </c>
      <c r="K172" s="1203">
        <f>14350.8+22853</f>
        <v>37203.800000000003</v>
      </c>
      <c r="L172" s="355" t="s">
        <v>1346</v>
      </c>
      <c r="M172" s="989"/>
      <c r="N172" s="1103"/>
      <c r="O172" s="989" t="s">
        <v>478</v>
      </c>
      <c r="P172" s="989" t="s">
        <v>478</v>
      </c>
      <c r="Q172" s="989" t="s">
        <v>478</v>
      </c>
      <c r="R172" s="990" t="s">
        <v>478</v>
      </c>
    </row>
    <row r="173" spans="1:18" s="181" customFormat="1" ht="60" x14ac:dyDescent="0.25">
      <c r="A173" s="183"/>
      <c r="B173" s="1330"/>
      <c r="C173" s="1086"/>
      <c r="D173" s="1083" t="s">
        <v>13</v>
      </c>
      <c r="E173" s="1084"/>
      <c r="F173" s="271" t="s">
        <v>480</v>
      </c>
      <c r="G173" s="1202">
        <f>4813.1</f>
        <v>4813.1000000000004</v>
      </c>
      <c r="H173" s="1203"/>
      <c r="I173" s="1202"/>
      <c r="J173" s="1204"/>
      <c r="K173" s="1204"/>
      <c r="L173" s="347"/>
      <c r="M173" s="989"/>
      <c r="N173" s="1103"/>
      <c r="O173" s="1103"/>
      <c r="P173" s="1103"/>
      <c r="Q173" s="1103"/>
      <c r="R173" s="346"/>
    </row>
    <row r="174" spans="1:18" s="181" customFormat="1" ht="105" customHeight="1" x14ac:dyDescent="0.25">
      <c r="A174" s="183"/>
      <c r="B174" s="1330"/>
      <c r="C174" s="1086" t="s">
        <v>53</v>
      </c>
      <c r="D174" s="1083"/>
      <c r="E174" s="1084"/>
      <c r="F174" s="316" t="s">
        <v>1335</v>
      </c>
      <c r="G174" s="4">
        <f>G175+G176</f>
        <v>0</v>
      </c>
      <c r="H174" s="4">
        <f>H175+H176</f>
        <v>7410.2</v>
      </c>
      <c r="I174" s="4">
        <f>I175+I176</f>
        <v>14222.2</v>
      </c>
      <c r="J174" s="4">
        <f>J175+J176</f>
        <v>14222.2</v>
      </c>
      <c r="K174" s="4">
        <f>K175+K176</f>
        <v>14222.2</v>
      </c>
      <c r="L174" s="354" t="s">
        <v>1345</v>
      </c>
      <c r="M174" s="989" t="s">
        <v>395</v>
      </c>
      <c r="N174" s="1103"/>
      <c r="O174" s="1103" t="s">
        <v>481</v>
      </c>
      <c r="P174" s="1103" t="s">
        <v>482</v>
      </c>
      <c r="Q174" s="1103" t="s">
        <v>483</v>
      </c>
      <c r="R174" s="346" t="s">
        <v>484</v>
      </c>
    </row>
    <row r="175" spans="1:18" s="181" customFormat="1" ht="105" x14ac:dyDescent="0.25">
      <c r="A175" s="183"/>
      <c r="B175" s="1330"/>
      <c r="C175" s="1086"/>
      <c r="D175" s="1083" t="s">
        <v>10</v>
      </c>
      <c r="E175" s="1084"/>
      <c r="F175" s="271" t="s">
        <v>485</v>
      </c>
      <c r="G175" s="1202"/>
      <c r="H175" s="1203">
        <v>7410.2</v>
      </c>
      <c r="I175" s="1202">
        <f>7410.2</f>
        <v>7410.2</v>
      </c>
      <c r="J175" s="1201">
        <v>7410.2</v>
      </c>
      <c r="K175" s="1201">
        <f>7410.2</f>
        <v>7410.2</v>
      </c>
      <c r="L175" s="347" t="s">
        <v>1345</v>
      </c>
      <c r="M175" s="989"/>
      <c r="N175" s="1103"/>
      <c r="O175" s="1103" t="s">
        <v>486</v>
      </c>
      <c r="P175" s="1103" t="s">
        <v>487</v>
      </c>
      <c r="Q175" s="1103" t="s">
        <v>487</v>
      </c>
      <c r="R175" s="346" t="s">
        <v>487</v>
      </c>
    </row>
    <row r="176" spans="1:18" s="181" customFormat="1" ht="30" x14ac:dyDescent="0.25">
      <c r="A176" s="183"/>
      <c r="B176" s="1330"/>
      <c r="C176" s="1086"/>
      <c r="D176" s="1083" t="s">
        <v>13</v>
      </c>
      <c r="E176" s="1084"/>
      <c r="F176" s="271" t="s">
        <v>488</v>
      </c>
      <c r="G176" s="1202"/>
      <c r="H176" s="1203"/>
      <c r="I176" s="1202">
        <f>5312+500+1000</f>
        <v>6812</v>
      </c>
      <c r="J176" s="1201">
        <v>6812</v>
      </c>
      <c r="K176" s="1201">
        <f>6812</f>
        <v>6812</v>
      </c>
      <c r="L176" s="355" t="s">
        <v>489</v>
      </c>
      <c r="M176" s="989"/>
      <c r="N176" s="1103"/>
      <c r="O176" s="1103"/>
      <c r="P176" s="1103" t="s">
        <v>490</v>
      </c>
      <c r="Q176" s="1103" t="s">
        <v>491</v>
      </c>
      <c r="R176" s="346" t="s">
        <v>492</v>
      </c>
    </row>
    <row r="177" spans="1:18" s="181" customFormat="1" ht="30" x14ac:dyDescent="0.25">
      <c r="A177" s="183"/>
      <c r="B177" s="1330"/>
      <c r="C177" s="1086" t="s">
        <v>54</v>
      </c>
      <c r="D177" s="1083"/>
      <c r="E177" s="1084"/>
      <c r="F177" s="1205" t="s">
        <v>493</v>
      </c>
      <c r="G177" s="4"/>
      <c r="H177" s="4"/>
      <c r="I177" s="4">
        <f>I178+I179+I180</f>
        <v>74593.899999999994</v>
      </c>
      <c r="J177" s="36">
        <f>J178+J179+J180</f>
        <v>74593.899999999994</v>
      </c>
      <c r="K177" s="36">
        <f>K178+K179+K180</f>
        <v>74593.899999999994</v>
      </c>
      <c r="L177" s="347" t="s">
        <v>1347</v>
      </c>
      <c r="M177" s="989" t="s">
        <v>395</v>
      </c>
      <c r="N177" s="1103"/>
      <c r="O177" s="1103"/>
      <c r="P177" s="1103"/>
      <c r="Q177" s="1103"/>
      <c r="R177" s="346"/>
    </row>
    <row r="178" spans="1:18" s="181" customFormat="1" ht="30" x14ac:dyDescent="0.25">
      <c r="A178" s="183"/>
      <c r="B178" s="1330"/>
      <c r="C178" s="1086"/>
      <c r="D178" s="1083" t="s">
        <v>10</v>
      </c>
      <c r="E178" s="1084"/>
      <c r="F178" s="1206" t="s">
        <v>494</v>
      </c>
      <c r="G178" s="1202"/>
      <c r="H178" s="1203"/>
      <c r="I178" s="1202">
        <f>6526.7+55792.2</f>
        <v>62318.899999999994</v>
      </c>
      <c r="J178" s="1201">
        <f>6526.7+55792.2</f>
        <v>62318.899999999994</v>
      </c>
      <c r="K178" s="1201">
        <f>6526.7+55792.2</f>
        <v>62318.899999999994</v>
      </c>
      <c r="L178" s="347" t="s">
        <v>1347</v>
      </c>
      <c r="M178" s="989"/>
      <c r="N178" s="1103"/>
      <c r="O178" s="1103"/>
      <c r="P178" s="1103"/>
      <c r="Q178" s="1103"/>
      <c r="R178" s="346"/>
    </row>
    <row r="179" spans="1:18" s="181" customFormat="1" ht="30" x14ac:dyDescent="0.25">
      <c r="A179" s="183"/>
      <c r="B179" s="1330"/>
      <c r="C179" s="1086"/>
      <c r="D179" s="1083" t="s">
        <v>13</v>
      </c>
      <c r="E179" s="1084"/>
      <c r="F179" s="1206" t="s">
        <v>495</v>
      </c>
      <c r="G179" s="1202"/>
      <c r="H179" s="1203"/>
      <c r="I179" s="1202">
        <v>5866.9</v>
      </c>
      <c r="J179" s="1201">
        <v>5866.9</v>
      </c>
      <c r="K179" s="1201">
        <f>5866.9</f>
        <v>5866.9</v>
      </c>
      <c r="L179" s="347" t="s">
        <v>1347</v>
      </c>
      <c r="M179" s="991"/>
      <c r="N179" s="357"/>
      <c r="O179" s="358"/>
      <c r="P179" s="358"/>
      <c r="Q179" s="358"/>
      <c r="R179" s="359"/>
    </row>
    <row r="180" spans="1:18" s="181" customFormat="1" ht="30" x14ac:dyDescent="0.25">
      <c r="A180" s="183"/>
      <c r="B180" s="1331"/>
      <c r="C180" s="1086"/>
      <c r="D180" s="1083" t="s">
        <v>9</v>
      </c>
      <c r="E180" s="1084"/>
      <c r="F180" s="1206" t="s">
        <v>496</v>
      </c>
      <c r="G180" s="1207"/>
      <c r="H180" s="1203"/>
      <c r="I180" s="1202">
        <v>6408.1</v>
      </c>
      <c r="J180" s="1201">
        <v>6408.1</v>
      </c>
      <c r="K180" s="1201">
        <f>6408.1</f>
        <v>6408.1</v>
      </c>
      <c r="L180" s="347" t="s">
        <v>1347</v>
      </c>
      <c r="M180" s="991"/>
      <c r="N180" s="357"/>
      <c r="O180" s="358"/>
      <c r="P180" s="358"/>
      <c r="Q180" s="358"/>
      <c r="R180" s="359"/>
    </row>
    <row r="181" spans="1:18" s="181" customFormat="1" ht="15" x14ac:dyDescent="0.25">
      <c r="A181" s="183"/>
      <c r="B181" s="1290" t="s">
        <v>299</v>
      </c>
      <c r="C181" s="1290"/>
      <c r="D181" s="1290"/>
      <c r="E181" s="1290"/>
      <c r="F181" s="1290"/>
      <c r="G181" s="360">
        <f>G177+G174+G171+G168+G164+G159+G152</f>
        <v>588780.1</v>
      </c>
      <c r="H181" s="360">
        <f t="shared" ref="H181:K181" si="23">H177+H174+H171+H168+H164+H159+H152</f>
        <v>571186.5</v>
      </c>
      <c r="I181" s="360">
        <f t="shared" si="23"/>
        <v>673365.7</v>
      </c>
      <c r="J181" s="360">
        <f t="shared" si="23"/>
        <v>686185.5</v>
      </c>
      <c r="K181" s="360">
        <f t="shared" si="23"/>
        <v>706557.11499999999</v>
      </c>
      <c r="L181" s="361"/>
      <c r="M181" s="1352"/>
      <c r="N181" s="1352"/>
      <c r="O181" s="1352"/>
      <c r="P181" s="1352"/>
      <c r="Q181" s="1352"/>
      <c r="R181" s="1352"/>
    </row>
    <row r="182" spans="1:18" s="181" customFormat="1" ht="15.75" thickBot="1" x14ac:dyDescent="0.3">
      <c r="A182" s="183"/>
      <c r="B182" s="1253" t="s">
        <v>497</v>
      </c>
      <c r="C182" s="1253"/>
      <c r="D182" s="1253"/>
      <c r="E182" s="1253"/>
      <c r="F182" s="1253"/>
      <c r="G182" s="1253"/>
      <c r="H182" s="1253"/>
      <c r="I182" s="1253"/>
      <c r="J182" s="1253"/>
      <c r="K182" s="1253"/>
      <c r="L182" s="1253"/>
      <c r="M182" s="1253"/>
      <c r="N182" s="1253"/>
      <c r="O182" s="1253"/>
      <c r="P182" s="1253"/>
      <c r="Q182" s="1253"/>
      <c r="R182" s="1253"/>
    </row>
    <row r="183" spans="1:18" s="181" customFormat="1" ht="45" x14ac:dyDescent="0.25">
      <c r="A183" s="183"/>
      <c r="B183" s="1347">
        <v>20</v>
      </c>
      <c r="C183" s="362">
        <v>1</v>
      </c>
      <c r="D183" s="1065"/>
      <c r="E183" s="1065"/>
      <c r="F183" s="1194" t="s">
        <v>526</v>
      </c>
      <c r="G183" s="1195">
        <v>18396.2</v>
      </c>
      <c r="H183" s="1195">
        <v>21252.799999999999</v>
      </c>
      <c r="I183" s="1195">
        <v>22509</v>
      </c>
      <c r="J183" s="1195">
        <f>J184+J185</f>
        <v>22967</v>
      </c>
      <c r="K183" s="1195">
        <f>K184+K185</f>
        <v>23654</v>
      </c>
      <c r="L183" s="1059" t="s">
        <v>1350</v>
      </c>
      <c r="M183" s="365" t="s">
        <v>4</v>
      </c>
      <c r="N183" s="366"/>
      <c r="O183" s="366"/>
      <c r="P183" s="366"/>
      <c r="Q183" s="366"/>
      <c r="R183" s="366"/>
    </row>
    <row r="184" spans="1:18" s="181" customFormat="1" ht="45" x14ac:dyDescent="0.25">
      <c r="A184" s="183"/>
      <c r="B184" s="1348"/>
      <c r="C184" s="367"/>
      <c r="D184" s="368">
        <v>1</v>
      </c>
      <c r="E184" s="1065"/>
      <c r="F184" s="1196" t="s">
        <v>1272</v>
      </c>
      <c r="G184" s="1197">
        <v>7034.2</v>
      </c>
      <c r="H184" s="1197">
        <v>8126</v>
      </c>
      <c r="I184" s="1197">
        <v>8679</v>
      </c>
      <c r="J184" s="1197">
        <v>8781</v>
      </c>
      <c r="K184" s="1197">
        <v>9044</v>
      </c>
      <c r="L184" s="1059" t="s">
        <v>498</v>
      </c>
      <c r="M184" s="1090" t="s">
        <v>4</v>
      </c>
      <c r="N184" s="365">
        <v>100</v>
      </c>
      <c r="O184" s="365">
        <v>100</v>
      </c>
      <c r="P184" s="365">
        <v>100</v>
      </c>
      <c r="Q184" s="365">
        <v>100</v>
      </c>
      <c r="R184" s="365">
        <v>100</v>
      </c>
    </row>
    <row r="185" spans="1:18" s="181" customFormat="1" ht="45" x14ac:dyDescent="0.25">
      <c r="A185" s="183"/>
      <c r="B185" s="1348"/>
      <c r="C185" s="367"/>
      <c r="D185" s="371">
        <v>2</v>
      </c>
      <c r="E185" s="1065"/>
      <c r="F185" s="1196" t="s">
        <v>1348</v>
      </c>
      <c r="G185" s="1197">
        <v>11362</v>
      </c>
      <c r="H185" s="1197">
        <v>13126.8</v>
      </c>
      <c r="I185" s="1197">
        <v>13830</v>
      </c>
      <c r="J185" s="1197">
        <v>14186</v>
      </c>
      <c r="K185" s="1197">
        <v>14610</v>
      </c>
      <c r="L185" s="1059" t="s">
        <v>499</v>
      </c>
      <c r="M185" s="1090" t="s">
        <v>4</v>
      </c>
      <c r="N185" s="365">
        <v>100</v>
      </c>
      <c r="O185" s="365">
        <v>100</v>
      </c>
      <c r="P185" s="365">
        <v>100</v>
      </c>
      <c r="Q185" s="365">
        <v>100</v>
      </c>
      <c r="R185" s="365">
        <v>100</v>
      </c>
    </row>
    <row r="186" spans="1:18" s="181" customFormat="1" ht="28.5" x14ac:dyDescent="0.25">
      <c r="A186" s="183"/>
      <c r="B186" s="1348"/>
      <c r="C186" s="372">
        <v>202</v>
      </c>
      <c r="D186" s="373"/>
      <c r="E186" s="1065"/>
      <c r="F186" s="1198" t="s">
        <v>500</v>
      </c>
      <c r="G186" s="1195">
        <v>7133</v>
      </c>
      <c r="H186" s="1195">
        <v>8070.2</v>
      </c>
      <c r="I186" s="1195">
        <v>9268</v>
      </c>
      <c r="J186" s="1195">
        <f>J187+J188+J189</f>
        <v>9457.0609999999997</v>
      </c>
      <c r="K186" s="1195">
        <f>K187+K188+K189</f>
        <v>9740</v>
      </c>
      <c r="L186" s="1081" t="s">
        <v>501</v>
      </c>
      <c r="M186" s="1090"/>
      <c r="N186" s="1090"/>
      <c r="O186" s="1090"/>
      <c r="P186" s="1090"/>
      <c r="Q186" s="1090"/>
      <c r="R186" s="1090"/>
    </row>
    <row r="187" spans="1:18" s="181" customFormat="1" ht="30" x14ac:dyDescent="0.25">
      <c r="A187" s="183"/>
      <c r="B187" s="1348"/>
      <c r="C187" s="367"/>
      <c r="D187" s="373">
        <v>1</v>
      </c>
      <c r="E187" s="1065"/>
      <c r="F187" s="271" t="s">
        <v>502</v>
      </c>
      <c r="G187" s="1197">
        <v>3076</v>
      </c>
      <c r="H187" s="1197">
        <v>3459.1</v>
      </c>
      <c r="I187" s="1197">
        <v>3972</v>
      </c>
      <c r="J187" s="1197">
        <v>4053</v>
      </c>
      <c r="K187" s="1197">
        <v>4174</v>
      </c>
      <c r="L187" s="1059" t="s">
        <v>503</v>
      </c>
      <c r="M187" s="1090" t="s">
        <v>504</v>
      </c>
      <c r="N187" s="1090" t="s">
        <v>5</v>
      </c>
      <c r="O187" s="1090" t="s">
        <v>6</v>
      </c>
      <c r="P187" s="1090" t="s">
        <v>7</v>
      </c>
      <c r="Q187" s="1090" t="s">
        <v>8</v>
      </c>
      <c r="R187" s="1090" t="s">
        <v>505</v>
      </c>
    </row>
    <row r="188" spans="1:18" s="181" customFormat="1" ht="60" x14ac:dyDescent="0.25">
      <c r="A188" s="183"/>
      <c r="B188" s="1348"/>
      <c r="C188" s="367"/>
      <c r="D188" s="373">
        <v>2</v>
      </c>
      <c r="E188" s="1065"/>
      <c r="F188" s="271" t="s">
        <v>506</v>
      </c>
      <c r="G188" s="1197">
        <v>2346.4</v>
      </c>
      <c r="H188" s="1197">
        <v>2326.6</v>
      </c>
      <c r="I188" s="1197">
        <v>2648</v>
      </c>
      <c r="J188" s="1197">
        <v>2702</v>
      </c>
      <c r="K188" s="1197">
        <v>2783</v>
      </c>
      <c r="L188" s="1081" t="s">
        <v>507</v>
      </c>
      <c r="M188" s="1090" t="s">
        <v>508</v>
      </c>
      <c r="N188" s="1090">
        <v>134</v>
      </c>
      <c r="O188" s="1090">
        <v>132</v>
      </c>
      <c r="P188" s="1090">
        <v>140</v>
      </c>
      <c r="Q188" s="1090">
        <v>150</v>
      </c>
      <c r="R188" s="1090">
        <v>160</v>
      </c>
    </row>
    <row r="189" spans="1:18" s="181" customFormat="1" ht="45" x14ac:dyDescent="0.25">
      <c r="A189" s="183"/>
      <c r="B189" s="1348"/>
      <c r="C189" s="367"/>
      <c r="D189" s="1091" t="s">
        <v>9</v>
      </c>
      <c r="E189" s="1065"/>
      <c r="F189" s="271" t="s">
        <v>509</v>
      </c>
      <c r="G189" s="1197">
        <v>1710.6</v>
      </c>
      <c r="H189" s="1197">
        <v>2284.5</v>
      </c>
      <c r="I189" s="1197">
        <v>2648</v>
      </c>
      <c r="J189" s="1197">
        <v>2702.0610000000001</v>
      </c>
      <c r="K189" s="1197">
        <v>2783</v>
      </c>
      <c r="L189" s="1081" t="s">
        <v>1351</v>
      </c>
      <c r="M189" s="1090" t="s">
        <v>510</v>
      </c>
      <c r="N189" s="1090">
        <v>20</v>
      </c>
      <c r="O189" s="1090">
        <v>15</v>
      </c>
      <c r="P189" s="1090">
        <v>30</v>
      </c>
      <c r="Q189" s="1090">
        <v>40</v>
      </c>
      <c r="R189" s="1090">
        <v>50</v>
      </c>
    </row>
    <row r="190" spans="1:18" s="181" customFormat="1" ht="30" x14ac:dyDescent="0.25">
      <c r="A190" s="183"/>
      <c r="B190" s="1348"/>
      <c r="C190" s="1092" t="s">
        <v>19</v>
      </c>
      <c r="D190" s="1091"/>
      <c r="E190" s="1065"/>
      <c r="F190" s="1199" t="s">
        <v>511</v>
      </c>
      <c r="G190" s="1195">
        <v>6245.3</v>
      </c>
      <c r="H190" s="1195">
        <v>7486.6</v>
      </c>
      <c r="I190" s="1195">
        <v>11255</v>
      </c>
      <c r="J190" s="1195">
        <f>J191+J192</f>
        <v>11484</v>
      </c>
      <c r="K190" s="1195">
        <f>K191+K192</f>
        <v>11800.084999999999</v>
      </c>
      <c r="L190" s="1081" t="s">
        <v>1352</v>
      </c>
      <c r="M190" s="1090"/>
      <c r="N190" s="1090"/>
      <c r="O190" s="376"/>
      <c r="P190" s="376"/>
      <c r="Q190" s="376"/>
      <c r="R190" s="376"/>
    </row>
    <row r="191" spans="1:18" s="181" customFormat="1" ht="60" x14ac:dyDescent="0.25">
      <c r="A191" s="183"/>
      <c r="B191" s="1348"/>
      <c r="C191" s="1091"/>
      <c r="D191" s="1091" t="s">
        <v>10</v>
      </c>
      <c r="E191" s="1065"/>
      <c r="F191" s="1200" t="s">
        <v>512</v>
      </c>
      <c r="G191" s="1197">
        <v>4215.6000000000004</v>
      </c>
      <c r="H191" s="1197">
        <v>4046.9</v>
      </c>
      <c r="I191" s="1197">
        <v>5958</v>
      </c>
      <c r="J191" s="1197">
        <v>6079</v>
      </c>
      <c r="K191" s="1197">
        <v>6261</v>
      </c>
      <c r="L191" s="1081" t="s">
        <v>1353</v>
      </c>
      <c r="M191" s="1090" t="s">
        <v>513</v>
      </c>
      <c r="N191" s="1090" t="s">
        <v>11</v>
      </c>
      <c r="O191" s="1090" t="s">
        <v>12</v>
      </c>
      <c r="P191" s="1090" t="s">
        <v>514</v>
      </c>
      <c r="Q191" s="1090" t="s">
        <v>515</v>
      </c>
      <c r="R191" s="1090" t="s">
        <v>516</v>
      </c>
    </row>
    <row r="192" spans="1:18" s="181" customFormat="1" ht="45" x14ac:dyDescent="0.25">
      <c r="A192" s="183"/>
      <c r="B192" s="1348"/>
      <c r="C192" s="1091"/>
      <c r="D192" s="1091" t="s">
        <v>13</v>
      </c>
      <c r="E192" s="1065"/>
      <c r="F192" s="271" t="s">
        <v>517</v>
      </c>
      <c r="G192" s="1197">
        <v>2029.7</v>
      </c>
      <c r="H192" s="1197">
        <v>3439.7</v>
      </c>
      <c r="I192" s="1197">
        <v>5297</v>
      </c>
      <c r="J192" s="1197">
        <v>5405</v>
      </c>
      <c r="K192" s="1197">
        <v>5539.085</v>
      </c>
      <c r="L192" s="1081" t="s">
        <v>1354</v>
      </c>
      <c r="M192" s="1090" t="s">
        <v>4</v>
      </c>
      <c r="N192" s="1090">
        <v>100</v>
      </c>
      <c r="O192" s="1090">
        <v>100</v>
      </c>
      <c r="P192" s="1090">
        <v>100</v>
      </c>
      <c r="Q192" s="1090">
        <v>100</v>
      </c>
      <c r="R192" s="1090">
        <v>100</v>
      </c>
    </row>
    <row r="193" spans="1:18" s="181" customFormat="1" ht="30" x14ac:dyDescent="0.25">
      <c r="A193" s="183"/>
      <c r="B193" s="1348"/>
      <c r="C193" s="1092" t="s">
        <v>20</v>
      </c>
      <c r="D193" s="1091"/>
      <c r="E193" s="1065"/>
      <c r="F193" s="1199" t="s">
        <v>1349</v>
      </c>
      <c r="G193" s="1195">
        <v>4689.1000000000004</v>
      </c>
      <c r="H193" s="1195">
        <v>6018</v>
      </c>
      <c r="I193" s="1195">
        <v>6621.9</v>
      </c>
      <c r="J193" s="1195">
        <f>J194+J195</f>
        <v>6708.3</v>
      </c>
      <c r="K193" s="1195">
        <v>6936.4</v>
      </c>
      <c r="L193" s="1081" t="s">
        <v>1355</v>
      </c>
      <c r="M193" s="1090"/>
      <c r="N193" s="1090"/>
      <c r="O193" s="376"/>
      <c r="P193" s="376"/>
      <c r="Q193" s="376"/>
      <c r="R193" s="376"/>
    </row>
    <row r="194" spans="1:18" s="181" customFormat="1" ht="60" x14ac:dyDescent="0.25">
      <c r="A194" s="183"/>
      <c r="B194" s="1348"/>
      <c r="C194" s="1091"/>
      <c r="D194" s="1091" t="s">
        <v>10</v>
      </c>
      <c r="E194" s="1065"/>
      <c r="F194" s="1200" t="s">
        <v>518</v>
      </c>
      <c r="G194" s="1197">
        <v>2343.5</v>
      </c>
      <c r="H194" s="1197">
        <v>3008.8</v>
      </c>
      <c r="I194" s="1197">
        <v>3310</v>
      </c>
      <c r="J194" s="1197">
        <v>3200</v>
      </c>
      <c r="K194" s="1197">
        <v>3300</v>
      </c>
      <c r="L194" s="1081" t="s">
        <v>1356</v>
      </c>
      <c r="M194" s="1090" t="s">
        <v>513</v>
      </c>
      <c r="N194" s="1090" t="s">
        <v>14</v>
      </c>
      <c r="O194" s="1090" t="s">
        <v>15</v>
      </c>
      <c r="P194" s="1090" t="s">
        <v>16</v>
      </c>
      <c r="Q194" s="1090" t="s">
        <v>17</v>
      </c>
      <c r="R194" s="1090" t="s">
        <v>18</v>
      </c>
    </row>
    <row r="195" spans="1:18" s="181" customFormat="1" ht="30" x14ac:dyDescent="0.25">
      <c r="A195" s="183"/>
      <c r="B195" s="1348"/>
      <c r="C195" s="1091"/>
      <c r="D195" s="1091" t="s">
        <v>13</v>
      </c>
      <c r="E195" s="1065"/>
      <c r="F195" s="271" t="s">
        <v>519</v>
      </c>
      <c r="G195" s="1197">
        <v>2345.6</v>
      </c>
      <c r="H195" s="1197">
        <v>3009.2</v>
      </c>
      <c r="I195" s="1197">
        <v>3311.9</v>
      </c>
      <c r="J195" s="1197">
        <v>3508.3</v>
      </c>
      <c r="K195" s="1197">
        <v>3636.4</v>
      </c>
      <c r="L195" s="1115" t="s">
        <v>1357</v>
      </c>
      <c r="M195" s="377" t="s">
        <v>510</v>
      </c>
      <c r="N195" s="377">
        <v>99</v>
      </c>
      <c r="O195" s="377">
        <v>100</v>
      </c>
      <c r="P195" s="377">
        <v>150</v>
      </c>
      <c r="Q195" s="377">
        <v>160</v>
      </c>
      <c r="R195" s="377">
        <v>170</v>
      </c>
    </row>
    <row r="196" spans="1:18" s="181" customFormat="1" ht="15" x14ac:dyDescent="0.25">
      <c r="A196" s="183"/>
      <c r="B196" s="1290" t="s">
        <v>299</v>
      </c>
      <c r="C196" s="1290"/>
      <c r="D196" s="1290"/>
      <c r="E196" s="1290"/>
      <c r="F196" s="1290"/>
      <c r="G196" s="378">
        <f>G183+G186+G190+G193</f>
        <v>36463.599999999999</v>
      </c>
      <c r="H196" s="378">
        <f>H183+H186+H190+H193</f>
        <v>42827.6</v>
      </c>
      <c r="I196" s="378">
        <f>I183+I186+I190+I193</f>
        <v>49653.9</v>
      </c>
      <c r="J196" s="378">
        <f t="shared" ref="J196:K196" si="24">J183+J186+J190+J193</f>
        <v>50616.361000000004</v>
      </c>
      <c r="K196" s="378">
        <f t="shared" si="24"/>
        <v>52130.485000000001</v>
      </c>
      <c r="L196" s="379"/>
      <c r="M196" s="1349"/>
      <c r="N196" s="1349"/>
      <c r="O196" s="1349"/>
      <c r="P196" s="1349"/>
      <c r="Q196" s="1349"/>
      <c r="R196" s="1349"/>
    </row>
    <row r="197" spans="1:18" s="181" customFormat="1" ht="15" x14ac:dyDescent="0.25">
      <c r="A197" s="183"/>
      <c r="B197" s="1253" t="s">
        <v>520</v>
      </c>
      <c r="C197" s="1253"/>
      <c r="D197" s="1253"/>
      <c r="E197" s="1253"/>
      <c r="F197" s="1253"/>
      <c r="G197" s="1253"/>
      <c r="H197" s="1253"/>
      <c r="I197" s="1253"/>
      <c r="J197" s="1253"/>
      <c r="K197" s="1253"/>
      <c r="L197" s="1253"/>
      <c r="M197" s="1253"/>
      <c r="N197" s="1253"/>
      <c r="O197" s="1253"/>
      <c r="P197" s="1253"/>
      <c r="Q197" s="1253"/>
      <c r="R197" s="1253"/>
    </row>
    <row r="198" spans="1:18" s="181" customFormat="1" ht="15" x14ac:dyDescent="0.25">
      <c r="A198" s="183"/>
      <c r="B198" s="1350">
        <v>21</v>
      </c>
      <c r="C198" s="380">
        <v>1</v>
      </c>
      <c r="D198" s="1058"/>
      <c r="E198" s="382"/>
      <c r="F198" s="383" t="s">
        <v>526</v>
      </c>
      <c r="G198" s="1193">
        <v>35009.199999999997</v>
      </c>
      <c r="H198" s="1192">
        <v>44232.1</v>
      </c>
      <c r="I198" s="1192">
        <v>51444.6</v>
      </c>
      <c r="J198" s="1192">
        <v>52500.4</v>
      </c>
      <c r="K198" s="1192">
        <v>53950.9</v>
      </c>
      <c r="L198" s="385" t="s">
        <v>586</v>
      </c>
      <c r="M198" s="384" t="s">
        <v>445</v>
      </c>
      <c r="N198" s="386">
        <v>9.5</v>
      </c>
      <c r="O198" s="386">
        <v>9.6</v>
      </c>
      <c r="P198" s="386">
        <v>9.6999999999999993</v>
      </c>
      <c r="Q198" s="386">
        <v>10</v>
      </c>
      <c r="R198" s="386">
        <v>10</v>
      </c>
    </row>
    <row r="199" spans="1:18" s="181" customFormat="1" ht="75" x14ac:dyDescent="0.25">
      <c r="A199" s="183"/>
      <c r="B199" s="1351"/>
      <c r="C199" s="380"/>
      <c r="D199" s="1057">
        <v>1</v>
      </c>
      <c r="E199" s="1058"/>
      <c r="F199" s="387" t="s">
        <v>1767</v>
      </c>
      <c r="G199" s="1191">
        <v>5385.2</v>
      </c>
      <c r="H199" s="1191">
        <v>6301.44</v>
      </c>
      <c r="I199" s="1191">
        <v>36608.699999999997</v>
      </c>
      <c r="J199" s="1191">
        <v>37331</v>
      </c>
      <c r="K199" s="1191">
        <v>38281.5</v>
      </c>
      <c r="L199" s="271" t="s">
        <v>1367</v>
      </c>
      <c r="M199" s="388" t="s">
        <v>4</v>
      </c>
      <c r="N199" s="384">
        <v>92</v>
      </c>
      <c r="O199" s="384">
        <v>93</v>
      </c>
      <c r="P199" s="384">
        <v>93</v>
      </c>
      <c r="Q199" s="384">
        <v>95</v>
      </c>
      <c r="R199" s="384">
        <v>96.6</v>
      </c>
    </row>
    <row r="200" spans="1:18" s="181" customFormat="1" ht="75" x14ac:dyDescent="0.25">
      <c r="A200" s="183"/>
      <c r="B200" s="1351"/>
      <c r="C200" s="380"/>
      <c r="D200" s="1057">
        <v>2</v>
      </c>
      <c r="E200" s="1058"/>
      <c r="F200" s="387" t="s">
        <v>1747</v>
      </c>
      <c r="G200" s="1191">
        <v>2307.3000000000002</v>
      </c>
      <c r="H200" s="1191">
        <v>2524.7800000000002</v>
      </c>
      <c r="I200" s="1191">
        <v>14835.9</v>
      </c>
      <c r="J200" s="1191">
        <v>15169.4</v>
      </c>
      <c r="K200" s="1191">
        <v>15669.4</v>
      </c>
      <c r="L200" s="271" t="s">
        <v>1368</v>
      </c>
      <c r="M200" s="388" t="s">
        <v>4</v>
      </c>
      <c r="N200" s="384">
        <v>89</v>
      </c>
      <c r="O200" s="384">
        <v>90.5</v>
      </c>
      <c r="P200" s="384">
        <v>90.5</v>
      </c>
      <c r="Q200" s="384">
        <v>91</v>
      </c>
      <c r="R200" s="384">
        <v>91.5</v>
      </c>
    </row>
    <row r="201" spans="1:18" s="181" customFormat="1" ht="30" x14ac:dyDescent="0.25">
      <c r="A201" s="183"/>
      <c r="B201" s="1351"/>
      <c r="C201" s="380"/>
      <c r="D201" s="1057">
        <v>3</v>
      </c>
      <c r="E201" s="1058"/>
      <c r="F201" s="387" t="s">
        <v>521</v>
      </c>
      <c r="G201" s="1191">
        <v>947.2</v>
      </c>
      <c r="H201" s="1191">
        <v>1243.74</v>
      </c>
      <c r="I201" s="1191" t="s">
        <v>22</v>
      </c>
      <c r="J201" s="1191" t="s">
        <v>22</v>
      </c>
      <c r="K201" s="1191" t="s">
        <v>22</v>
      </c>
      <c r="L201" s="271" t="s">
        <v>1369</v>
      </c>
      <c r="M201" s="388" t="s">
        <v>4</v>
      </c>
      <c r="N201" s="388">
        <v>78.400000000000006</v>
      </c>
      <c r="O201" s="388">
        <v>78.5</v>
      </c>
      <c r="P201" s="384"/>
      <c r="Q201" s="384"/>
      <c r="R201" s="384"/>
    </row>
    <row r="202" spans="1:18" s="181" customFormat="1" ht="28.5" x14ac:dyDescent="0.25">
      <c r="A202" s="183"/>
      <c r="B202" s="1351"/>
      <c r="C202" s="1056"/>
      <c r="D202" s="373">
        <v>4</v>
      </c>
      <c r="E202" s="389"/>
      <c r="F202" s="1018" t="s">
        <v>1164</v>
      </c>
      <c r="G202" s="1191">
        <v>1997.3</v>
      </c>
      <c r="H202" s="1191">
        <v>2258.63</v>
      </c>
      <c r="I202" s="1191" t="s">
        <v>22</v>
      </c>
      <c r="J202" s="1191" t="s">
        <v>22</v>
      </c>
      <c r="K202" s="1191" t="s">
        <v>22</v>
      </c>
      <c r="L202" s="316" t="s">
        <v>1370</v>
      </c>
      <c r="M202" s="390" t="s">
        <v>4</v>
      </c>
      <c r="N202" s="390">
        <v>100</v>
      </c>
      <c r="O202" s="390">
        <v>100</v>
      </c>
      <c r="P202" s="384"/>
      <c r="Q202" s="384"/>
      <c r="R202" s="384"/>
    </row>
    <row r="203" spans="1:18" s="181" customFormat="1" ht="30" x14ac:dyDescent="0.25">
      <c r="A203" s="183"/>
      <c r="B203" s="1351"/>
      <c r="C203" s="1056"/>
      <c r="D203" s="373">
        <v>5</v>
      </c>
      <c r="E203" s="389"/>
      <c r="F203" s="1072" t="s">
        <v>522</v>
      </c>
      <c r="G203" s="1191">
        <v>1977.2</v>
      </c>
      <c r="H203" s="1191">
        <v>2225.31</v>
      </c>
      <c r="I203" s="1191"/>
      <c r="J203" s="1191"/>
      <c r="K203" s="1191"/>
      <c r="L203" s="1025" t="s">
        <v>1371</v>
      </c>
      <c r="M203" s="390" t="s">
        <v>4</v>
      </c>
      <c r="N203" s="390">
        <v>8.5</v>
      </c>
      <c r="O203" s="390">
        <v>8.9</v>
      </c>
      <c r="P203" s="384"/>
      <c r="Q203" s="384"/>
      <c r="R203" s="384"/>
    </row>
    <row r="204" spans="1:18" s="181" customFormat="1" ht="45" x14ac:dyDescent="0.25">
      <c r="A204" s="183"/>
      <c r="B204" s="1351"/>
      <c r="C204" s="1056"/>
      <c r="D204" s="373">
        <v>6</v>
      </c>
      <c r="E204" s="389"/>
      <c r="F204" s="1072" t="s">
        <v>1358</v>
      </c>
      <c r="G204" s="1191">
        <v>5055.1000000000004</v>
      </c>
      <c r="H204" s="1191">
        <v>6887.7</v>
      </c>
      <c r="I204" s="1191" t="s">
        <v>22</v>
      </c>
      <c r="J204" s="1191" t="s">
        <v>22</v>
      </c>
      <c r="K204" s="1191" t="s">
        <v>22</v>
      </c>
      <c r="L204" s="1025" t="s">
        <v>1372</v>
      </c>
      <c r="M204" s="390" t="s">
        <v>4</v>
      </c>
      <c r="N204" s="390">
        <v>100</v>
      </c>
      <c r="O204" s="390">
        <v>100</v>
      </c>
      <c r="P204" s="390"/>
      <c r="Q204" s="390"/>
      <c r="R204" s="390"/>
    </row>
    <row r="205" spans="1:18" s="181" customFormat="1" ht="45" x14ac:dyDescent="0.25">
      <c r="A205" s="183"/>
      <c r="B205" s="1351"/>
      <c r="C205" s="1056"/>
      <c r="D205" s="393" t="s">
        <v>26</v>
      </c>
      <c r="E205" s="389"/>
      <c r="F205" s="1072" t="s">
        <v>1359</v>
      </c>
      <c r="G205" s="1191">
        <v>6250.9</v>
      </c>
      <c r="H205" s="1191">
        <v>6981.9</v>
      </c>
      <c r="I205" s="1191"/>
      <c r="J205" s="1191"/>
      <c r="K205" s="1191"/>
      <c r="L205" s="1025" t="s">
        <v>1372</v>
      </c>
      <c r="M205" s="390" t="s">
        <v>4</v>
      </c>
      <c r="N205" s="390">
        <v>83</v>
      </c>
      <c r="O205" s="390">
        <v>90.1</v>
      </c>
      <c r="P205" s="390"/>
      <c r="Q205" s="390"/>
      <c r="R205" s="390"/>
    </row>
    <row r="206" spans="1:18" s="181" customFormat="1" ht="15" x14ac:dyDescent="0.25">
      <c r="A206" s="183"/>
      <c r="B206" s="1351"/>
      <c r="C206" s="394"/>
      <c r="D206" s="393" t="s">
        <v>27</v>
      </c>
      <c r="E206" s="389"/>
      <c r="F206" s="1059" t="s">
        <v>1360</v>
      </c>
      <c r="G206" s="1191">
        <v>11089</v>
      </c>
      <c r="H206" s="1191">
        <v>15808.6</v>
      </c>
      <c r="I206" s="1191"/>
      <c r="J206" s="1191"/>
      <c r="K206" s="1191"/>
      <c r="L206" s="271" t="s">
        <v>1373</v>
      </c>
      <c r="M206" s="390" t="s">
        <v>4</v>
      </c>
      <c r="N206" s="390">
        <v>92</v>
      </c>
      <c r="O206" s="369">
        <v>93</v>
      </c>
      <c r="P206" s="369"/>
      <c r="Q206" s="369"/>
      <c r="R206" s="369"/>
    </row>
    <row r="207" spans="1:18" s="181" customFormat="1" ht="42.75" x14ac:dyDescent="0.25">
      <c r="A207" s="183"/>
      <c r="B207" s="1351"/>
      <c r="C207" s="394" t="s">
        <v>28</v>
      </c>
      <c r="D207" s="394"/>
      <c r="E207" s="382"/>
      <c r="F207" s="395" t="s">
        <v>1361</v>
      </c>
      <c r="G207" s="1192">
        <v>10370.799999999999</v>
      </c>
      <c r="H207" s="1192">
        <v>15914.5</v>
      </c>
      <c r="I207" s="1192">
        <v>8702</v>
      </c>
      <c r="J207" s="1192">
        <v>8812</v>
      </c>
      <c r="K207" s="1192">
        <v>9195.6</v>
      </c>
      <c r="L207" s="316" t="s">
        <v>1374</v>
      </c>
      <c r="M207" s="388" t="s">
        <v>4</v>
      </c>
      <c r="N207" s="388">
        <v>90.1</v>
      </c>
      <c r="O207" s="388">
        <v>90.5</v>
      </c>
      <c r="P207" s="388">
        <v>90.5</v>
      </c>
      <c r="Q207" s="388">
        <v>91</v>
      </c>
      <c r="R207" s="388">
        <v>91.5</v>
      </c>
    </row>
    <row r="208" spans="1:18" s="181" customFormat="1" ht="30" x14ac:dyDescent="0.25">
      <c r="A208" s="183"/>
      <c r="B208" s="1351"/>
      <c r="C208" s="394"/>
      <c r="D208" s="393" t="s">
        <v>10</v>
      </c>
      <c r="E208" s="1058"/>
      <c r="F208" s="1072" t="s">
        <v>1362</v>
      </c>
      <c r="G208" s="1191"/>
      <c r="H208" s="1191">
        <v>15914.5</v>
      </c>
      <c r="I208" s="1191">
        <v>8702</v>
      </c>
      <c r="J208" s="1191">
        <v>8812</v>
      </c>
      <c r="K208" s="1191">
        <v>9195.6</v>
      </c>
      <c r="L208" s="271" t="s">
        <v>1374</v>
      </c>
      <c r="M208" s="388" t="s">
        <v>4</v>
      </c>
      <c r="N208" s="388">
        <v>89.9</v>
      </c>
      <c r="O208" s="388">
        <v>90.5</v>
      </c>
      <c r="P208" s="388">
        <v>90.5</v>
      </c>
      <c r="Q208" s="388">
        <v>91</v>
      </c>
      <c r="R208" s="388">
        <v>91.5</v>
      </c>
    </row>
    <row r="209" spans="1:18" s="181" customFormat="1" ht="30" x14ac:dyDescent="0.25">
      <c r="A209" s="183"/>
      <c r="B209" s="1351"/>
      <c r="C209" s="394"/>
      <c r="D209" s="393" t="s">
        <v>10</v>
      </c>
      <c r="E209" s="389"/>
      <c r="F209" s="1072" t="s">
        <v>1363</v>
      </c>
      <c r="G209" s="1191">
        <v>1838.1</v>
      </c>
      <c r="H209" s="1191"/>
      <c r="I209" s="1191"/>
      <c r="J209" s="1191"/>
      <c r="K209" s="1191"/>
      <c r="L209" s="271" t="s">
        <v>1375</v>
      </c>
      <c r="M209" s="396" t="s">
        <v>4</v>
      </c>
      <c r="N209" s="390">
        <v>90.1</v>
      </c>
      <c r="O209" s="369"/>
      <c r="P209" s="369"/>
      <c r="Q209" s="369"/>
      <c r="R209" s="369"/>
    </row>
    <row r="210" spans="1:18" s="181" customFormat="1" ht="60" x14ac:dyDescent="0.25">
      <c r="A210" s="183"/>
      <c r="B210" s="1351"/>
      <c r="C210" s="394"/>
      <c r="D210" s="393" t="s">
        <v>13</v>
      </c>
      <c r="E210" s="1058"/>
      <c r="F210" s="1072" t="s">
        <v>1364</v>
      </c>
      <c r="G210" s="1191">
        <v>2048</v>
      </c>
      <c r="H210" s="1191"/>
      <c r="I210" s="1191"/>
      <c r="J210" s="1191"/>
      <c r="K210" s="1191"/>
      <c r="L210" s="271" t="s">
        <v>1376</v>
      </c>
      <c r="M210" s="388" t="s">
        <v>4</v>
      </c>
      <c r="N210" s="388">
        <v>50.8</v>
      </c>
      <c r="O210" s="384"/>
      <c r="P210" s="384"/>
      <c r="Q210" s="384"/>
      <c r="R210" s="384"/>
    </row>
    <row r="211" spans="1:18" s="181" customFormat="1" ht="45" x14ac:dyDescent="0.25">
      <c r="A211" s="183"/>
      <c r="B211" s="1351"/>
      <c r="C211" s="394"/>
      <c r="D211" s="393" t="s">
        <v>9</v>
      </c>
      <c r="E211" s="1058"/>
      <c r="F211" s="1072" t="s">
        <v>523</v>
      </c>
      <c r="G211" s="1191">
        <v>2173.4</v>
      </c>
      <c r="H211" s="1191"/>
      <c r="I211" s="1191"/>
      <c r="J211" s="1191"/>
      <c r="K211" s="1191"/>
      <c r="L211" s="271" t="s">
        <v>1377</v>
      </c>
      <c r="M211" s="388" t="s">
        <v>4</v>
      </c>
      <c r="N211" s="388">
        <v>64.900000000000006</v>
      </c>
      <c r="O211" s="384"/>
      <c r="P211" s="384"/>
      <c r="Q211" s="384"/>
      <c r="R211" s="384"/>
    </row>
    <row r="212" spans="1:18" s="181" customFormat="1" ht="60" x14ac:dyDescent="0.25">
      <c r="A212" s="183"/>
      <c r="B212" s="1351"/>
      <c r="C212" s="394"/>
      <c r="D212" s="393" t="s">
        <v>23</v>
      </c>
      <c r="E212" s="1058"/>
      <c r="F212" s="1059" t="s">
        <v>524</v>
      </c>
      <c r="G212" s="1191">
        <v>1297.0999999999999</v>
      </c>
      <c r="H212" s="1191"/>
      <c r="I212" s="1191"/>
      <c r="J212" s="1191"/>
      <c r="K212" s="1191"/>
      <c r="L212" s="1146" t="s">
        <v>1378</v>
      </c>
      <c r="M212" s="388" t="s">
        <v>4</v>
      </c>
      <c r="N212" s="388">
        <v>52</v>
      </c>
      <c r="O212" s="388"/>
      <c r="P212" s="388"/>
      <c r="Q212" s="388"/>
      <c r="R212" s="388"/>
    </row>
    <row r="213" spans="1:18" s="181" customFormat="1" ht="30" x14ac:dyDescent="0.25">
      <c r="A213" s="183"/>
      <c r="B213" s="1351"/>
      <c r="C213" s="394"/>
      <c r="D213" s="393" t="s">
        <v>24</v>
      </c>
      <c r="E213" s="1058"/>
      <c r="F213" s="1059" t="s">
        <v>1365</v>
      </c>
      <c r="G213" s="1191">
        <v>1918.6</v>
      </c>
      <c r="H213" s="1191" t="s">
        <v>22</v>
      </c>
      <c r="I213" s="1191" t="s">
        <v>22</v>
      </c>
      <c r="J213" s="1191" t="s">
        <v>22</v>
      </c>
      <c r="K213" s="1191" t="s">
        <v>22</v>
      </c>
      <c r="L213" s="1146" t="s">
        <v>1379</v>
      </c>
      <c r="M213" s="388" t="s">
        <v>4</v>
      </c>
      <c r="N213" s="388">
        <v>52.4</v>
      </c>
      <c r="O213" s="388"/>
      <c r="P213" s="388"/>
      <c r="Q213" s="388"/>
      <c r="R213" s="388"/>
    </row>
    <row r="214" spans="1:18" s="181" customFormat="1" ht="15" x14ac:dyDescent="0.25">
      <c r="A214" s="183"/>
      <c r="B214" s="1351"/>
      <c r="C214" s="394"/>
      <c r="D214" s="393" t="s">
        <v>25</v>
      </c>
      <c r="E214" s="1058"/>
      <c r="F214" s="1059" t="s">
        <v>1366</v>
      </c>
      <c r="G214" s="1191">
        <v>1095.5999999999999</v>
      </c>
      <c r="H214" s="1191" t="s">
        <v>22</v>
      </c>
      <c r="I214" s="1191" t="s">
        <v>22</v>
      </c>
      <c r="J214" s="1191" t="s">
        <v>22</v>
      </c>
      <c r="K214" s="1191" t="s">
        <v>22</v>
      </c>
      <c r="L214" s="1146" t="s">
        <v>1380</v>
      </c>
      <c r="M214" s="388" t="s">
        <v>4</v>
      </c>
      <c r="N214" s="388">
        <v>100</v>
      </c>
      <c r="O214" s="388"/>
      <c r="P214" s="388"/>
      <c r="Q214" s="388"/>
      <c r="R214" s="388"/>
    </row>
    <row r="215" spans="1:18" s="181" customFormat="1" ht="15" x14ac:dyDescent="0.25">
      <c r="A215" s="183"/>
      <c r="B215" s="1290" t="s">
        <v>299</v>
      </c>
      <c r="C215" s="1290"/>
      <c r="D215" s="1290"/>
      <c r="E215" s="1290"/>
      <c r="F215" s="1290"/>
      <c r="G215" s="378">
        <f>G198+G207</f>
        <v>45380</v>
      </c>
      <c r="H215" s="378">
        <f t="shared" ref="H215:K215" si="25">H198+H207</f>
        <v>60146.6</v>
      </c>
      <c r="I215" s="378">
        <f t="shared" si="25"/>
        <v>60146.6</v>
      </c>
      <c r="J215" s="378">
        <f t="shared" si="25"/>
        <v>61312.4</v>
      </c>
      <c r="K215" s="378">
        <f t="shared" si="25"/>
        <v>63146.5</v>
      </c>
      <c r="L215" s="397"/>
      <c r="M215" s="1335"/>
      <c r="N215" s="1335"/>
      <c r="O215" s="1335"/>
      <c r="P215" s="1335"/>
      <c r="Q215" s="1335"/>
      <c r="R215" s="1335"/>
    </row>
    <row r="216" spans="1:18" s="181" customFormat="1" ht="15" x14ac:dyDescent="0.25">
      <c r="A216" s="183"/>
      <c r="B216" s="1259" t="s">
        <v>525</v>
      </c>
      <c r="C216" s="1336" t="s">
        <v>60</v>
      </c>
      <c r="D216" s="1336"/>
      <c r="E216" s="1336"/>
      <c r="F216" s="1336"/>
      <c r="G216" s="1336"/>
      <c r="H216" s="1336"/>
      <c r="I216" s="1336"/>
      <c r="J216" s="1336"/>
      <c r="K216" s="1336"/>
      <c r="L216" s="1336"/>
      <c r="M216" s="1336"/>
      <c r="N216" s="1336"/>
      <c r="O216" s="1336"/>
      <c r="P216" s="1337"/>
      <c r="Q216" s="194"/>
      <c r="R216" s="195"/>
    </row>
    <row r="217" spans="1:18" s="181" customFormat="1" ht="15" customHeight="1" x14ac:dyDescent="0.25">
      <c r="A217" s="183"/>
      <c r="B217" s="1338" t="s">
        <v>61</v>
      </c>
      <c r="C217" s="1304" t="s">
        <v>0</v>
      </c>
      <c r="D217" s="1341"/>
      <c r="E217" s="1343"/>
      <c r="F217" s="1345" t="s">
        <v>526</v>
      </c>
      <c r="G217" s="1346">
        <v>59895</v>
      </c>
      <c r="H217" s="1346">
        <f>H219</f>
        <v>60169.9</v>
      </c>
      <c r="I217" s="1346">
        <f>I219</f>
        <v>70797.100000000006</v>
      </c>
      <c r="J217" s="1346">
        <f>J219</f>
        <v>72004.600000000006</v>
      </c>
      <c r="K217" s="1346">
        <f>K219</f>
        <v>73904.3</v>
      </c>
      <c r="L217" s="1368" t="s">
        <v>586</v>
      </c>
      <c r="M217" s="1361" t="s">
        <v>57</v>
      </c>
      <c r="N217" s="1361">
        <v>100</v>
      </c>
      <c r="O217" s="1361">
        <v>100</v>
      </c>
      <c r="P217" s="1361">
        <v>100</v>
      </c>
      <c r="Q217" s="1361">
        <v>100</v>
      </c>
      <c r="R217" s="1363">
        <v>100</v>
      </c>
    </row>
    <row r="218" spans="1:18" s="181" customFormat="1" ht="15" x14ac:dyDescent="0.25">
      <c r="A218" s="183"/>
      <c r="B218" s="1339"/>
      <c r="C218" s="1306"/>
      <c r="D218" s="1342"/>
      <c r="E218" s="1344"/>
      <c r="F218" s="1345"/>
      <c r="G218" s="1346"/>
      <c r="H218" s="1346"/>
      <c r="I218" s="1346"/>
      <c r="J218" s="1346"/>
      <c r="K218" s="1346"/>
      <c r="L218" s="1368"/>
      <c r="M218" s="1362"/>
      <c r="N218" s="1362"/>
      <c r="O218" s="1362"/>
      <c r="P218" s="1362"/>
      <c r="Q218" s="1362"/>
      <c r="R218" s="1364"/>
    </row>
    <row r="219" spans="1:18" s="181" customFormat="1" ht="30" x14ac:dyDescent="0.25">
      <c r="A219" s="183"/>
      <c r="B219" s="1339"/>
      <c r="C219" s="1077"/>
      <c r="D219" s="1053" t="s">
        <v>10</v>
      </c>
      <c r="E219" s="1054"/>
      <c r="F219" s="1063" t="s">
        <v>1272</v>
      </c>
      <c r="G219" s="1043">
        <v>59895</v>
      </c>
      <c r="H219" s="1043">
        <v>60169.9</v>
      </c>
      <c r="I219" s="23">
        <v>70797.100000000006</v>
      </c>
      <c r="J219" s="1043">
        <v>72004.600000000006</v>
      </c>
      <c r="K219" s="1043">
        <v>73904.3</v>
      </c>
      <c r="L219" s="1365"/>
      <c r="M219" s="1366"/>
      <c r="N219" s="1366"/>
      <c r="O219" s="1366"/>
      <c r="P219" s="1366"/>
      <c r="Q219" s="1366"/>
      <c r="R219" s="1367"/>
    </row>
    <row r="220" spans="1:18" s="181" customFormat="1" ht="15" customHeight="1" x14ac:dyDescent="0.25">
      <c r="A220" s="183"/>
      <c r="B220" s="1339"/>
      <c r="C220" s="1304" t="s">
        <v>62</v>
      </c>
      <c r="D220" s="1341"/>
      <c r="E220" s="1343"/>
      <c r="F220" s="1345" t="s">
        <v>528</v>
      </c>
      <c r="G220" s="1346">
        <f>G222</f>
        <v>65709.3</v>
      </c>
      <c r="H220" s="1346">
        <f>H222</f>
        <v>65709.3</v>
      </c>
      <c r="I220" s="1346">
        <f>I222</f>
        <v>85171.9</v>
      </c>
      <c r="J220" s="1346">
        <f>J222</f>
        <v>86640.2</v>
      </c>
      <c r="K220" s="1346">
        <f>K222</f>
        <v>88902.8</v>
      </c>
      <c r="L220" s="1318" t="s">
        <v>529</v>
      </c>
      <c r="M220" s="1361"/>
      <c r="N220" s="1353">
        <f>N222+N223+N224+N225</f>
        <v>458800</v>
      </c>
      <c r="O220" s="1353">
        <f t="shared" ref="O220:R220" si="26">O222+O223+O224+O225</f>
        <v>458900</v>
      </c>
      <c r="P220" s="1353">
        <f t="shared" si="26"/>
        <v>463489</v>
      </c>
      <c r="Q220" s="1355">
        <f t="shared" si="26"/>
        <v>472758.78</v>
      </c>
      <c r="R220" s="1357">
        <f t="shared" si="26"/>
        <v>486894.26752199989</v>
      </c>
    </row>
    <row r="221" spans="1:18" s="181" customFormat="1" ht="15" x14ac:dyDescent="0.25">
      <c r="A221" s="183"/>
      <c r="B221" s="1339"/>
      <c r="C221" s="1306"/>
      <c r="D221" s="1342"/>
      <c r="E221" s="1344"/>
      <c r="F221" s="1345"/>
      <c r="G221" s="1346"/>
      <c r="H221" s="1346"/>
      <c r="I221" s="1346"/>
      <c r="J221" s="1346"/>
      <c r="K221" s="1346"/>
      <c r="L221" s="1319"/>
      <c r="M221" s="1362"/>
      <c r="N221" s="1354"/>
      <c r="O221" s="1354"/>
      <c r="P221" s="1354"/>
      <c r="Q221" s="1356"/>
      <c r="R221" s="1358"/>
    </row>
    <row r="222" spans="1:18" s="181" customFormat="1" ht="15" customHeight="1" x14ac:dyDescent="0.25">
      <c r="A222" s="183"/>
      <c r="B222" s="1339"/>
      <c r="C222" s="1304"/>
      <c r="D222" s="1341" t="s">
        <v>10</v>
      </c>
      <c r="E222" s="1341"/>
      <c r="F222" s="1307" t="s">
        <v>530</v>
      </c>
      <c r="G222" s="1360">
        <v>65709.3</v>
      </c>
      <c r="H222" s="1360">
        <v>65709.3</v>
      </c>
      <c r="I222" s="1360">
        <v>85171.9</v>
      </c>
      <c r="J222" s="1360">
        <v>86640.2</v>
      </c>
      <c r="K222" s="1360">
        <v>88902.8</v>
      </c>
      <c r="L222" s="1049" t="s">
        <v>531</v>
      </c>
      <c r="M222" s="1051" t="s">
        <v>395</v>
      </c>
      <c r="N222" s="1051">
        <v>6300</v>
      </c>
      <c r="O222" s="1051">
        <v>6300</v>
      </c>
      <c r="P222" s="1051">
        <f>O222*101/100</f>
        <v>6363</v>
      </c>
      <c r="Q222" s="1189">
        <f>P222*102/100</f>
        <v>6490.26</v>
      </c>
      <c r="R222" s="1190">
        <f>Q222*102.99/100</f>
        <v>6684.3187740000003</v>
      </c>
    </row>
    <row r="223" spans="1:18" s="181" customFormat="1" ht="15" x14ac:dyDescent="0.25">
      <c r="A223" s="183"/>
      <c r="B223" s="1339"/>
      <c r="C223" s="1305"/>
      <c r="D223" s="1359"/>
      <c r="E223" s="1359"/>
      <c r="F223" s="1308"/>
      <c r="G223" s="1360"/>
      <c r="H223" s="1360"/>
      <c r="I223" s="1360"/>
      <c r="J223" s="1360"/>
      <c r="K223" s="1360"/>
      <c r="L223" s="1049" t="s">
        <v>532</v>
      </c>
      <c r="M223" s="1051" t="s">
        <v>395</v>
      </c>
      <c r="N223" s="1051">
        <v>6000</v>
      </c>
      <c r="O223" s="1051">
        <v>6000</v>
      </c>
      <c r="P223" s="1051">
        <f t="shared" ref="P223:P225" si="27">O223*101/100</f>
        <v>6060</v>
      </c>
      <c r="Q223" s="1189">
        <f t="shared" ref="Q223:Q225" si="28">P223*102/100</f>
        <v>6181.2</v>
      </c>
      <c r="R223" s="1190">
        <f t="shared" ref="R223:R225" si="29">Q223*102.99/100</f>
        <v>6366.0178799999994</v>
      </c>
    </row>
    <row r="224" spans="1:18" s="181" customFormat="1" ht="15" x14ac:dyDescent="0.25">
      <c r="A224" s="183"/>
      <c r="B224" s="1339"/>
      <c r="C224" s="1305"/>
      <c r="D224" s="1359"/>
      <c r="E224" s="1359"/>
      <c r="F224" s="1308"/>
      <c r="G224" s="1360"/>
      <c r="H224" s="1360"/>
      <c r="I224" s="1360"/>
      <c r="J224" s="1360"/>
      <c r="K224" s="1360"/>
      <c r="L224" s="1063" t="s">
        <v>533</v>
      </c>
      <c r="M224" s="1051" t="s">
        <v>395</v>
      </c>
      <c r="N224" s="1051">
        <v>441100</v>
      </c>
      <c r="O224" s="1051">
        <v>441200</v>
      </c>
      <c r="P224" s="1051">
        <f t="shared" si="27"/>
        <v>445612</v>
      </c>
      <c r="Q224" s="1189">
        <f t="shared" si="28"/>
        <v>454524.24</v>
      </c>
      <c r="R224" s="1190">
        <f t="shared" si="29"/>
        <v>468114.51477599994</v>
      </c>
    </row>
    <row r="225" spans="1:18" s="181" customFormat="1" ht="15" x14ac:dyDescent="0.25">
      <c r="A225" s="183"/>
      <c r="B225" s="1339"/>
      <c r="C225" s="1306"/>
      <c r="D225" s="1342"/>
      <c r="E225" s="1342"/>
      <c r="F225" s="1308"/>
      <c r="G225" s="1360"/>
      <c r="H225" s="1360"/>
      <c r="I225" s="1360"/>
      <c r="J225" s="1360"/>
      <c r="K225" s="1360"/>
      <c r="L225" s="1063" t="s">
        <v>534</v>
      </c>
      <c r="M225" s="1051" t="s">
        <v>395</v>
      </c>
      <c r="N225" s="1051">
        <v>5400</v>
      </c>
      <c r="O225" s="1051">
        <v>5400</v>
      </c>
      <c r="P225" s="1051">
        <f t="shared" si="27"/>
        <v>5454</v>
      </c>
      <c r="Q225" s="1189">
        <f t="shared" si="28"/>
        <v>5563.08</v>
      </c>
      <c r="R225" s="1190">
        <f t="shared" si="29"/>
        <v>5729.4160919999995</v>
      </c>
    </row>
    <row r="226" spans="1:18" s="181" customFormat="1" ht="15" customHeight="1" x14ac:dyDescent="0.25">
      <c r="A226" s="183"/>
      <c r="B226" s="1339"/>
      <c r="C226" s="1304" t="s">
        <v>63</v>
      </c>
      <c r="D226" s="1341"/>
      <c r="E226" s="1343"/>
      <c r="F226" s="1318" t="s">
        <v>535</v>
      </c>
      <c r="G226" s="1346">
        <f>G228</f>
        <v>84495.2</v>
      </c>
      <c r="H226" s="1346">
        <f>H228</f>
        <v>84495.2</v>
      </c>
      <c r="I226" s="1346">
        <f>I228</f>
        <v>84756</v>
      </c>
      <c r="J226" s="1346">
        <f>J228</f>
        <v>86398.9</v>
      </c>
      <c r="K226" s="1346">
        <f>K228</f>
        <v>88983.4</v>
      </c>
      <c r="L226" s="1318" t="s">
        <v>1382</v>
      </c>
      <c r="M226" s="1361" t="s">
        <v>4</v>
      </c>
      <c r="N226" s="1353">
        <v>40</v>
      </c>
      <c r="O226" s="1353">
        <v>50</v>
      </c>
      <c r="P226" s="1353">
        <v>55</v>
      </c>
      <c r="Q226" s="1353">
        <v>60</v>
      </c>
      <c r="R226" s="1369">
        <v>70</v>
      </c>
    </row>
    <row r="227" spans="1:18" s="181" customFormat="1" ht="15" x14ac:dyDescent="0.25">
      <c r="A227" s="183"/>
      <c r="B227" s="1339"/>
      <c r="C227" s="1306"/>
      <c r="D227" s="1342"/>
      <c r="E227" s="1344"/>
      <c r="F227" s="1319"/>
      <c r="G227" s="1346"/>
      <c r="H227" s="1346"/>
      <c r="I227" s="1346"/>
      <c r="J227" s="1346"/>
      <c r="K227" s="1346"/>
      <c r="L227" s="1319"/>
      <c r="M227" s="1362"/>
      <c r="N227" s="1354"/>
      <c r="O227" s="1354"/>
      <c r="P227" s="1354"/>
      <c r="Q227" s="1354"/>
      <c r="R227" s="1370"/>
    </row>
    <row r="228" spans="1:18" s="181" customFormat="1" ht="15" customHeight="1" x14ac:dyDescent="0.25">
      <c r="A228" s="183"/>
      <c r="B228" s="1339"/>
      <c r="C228" s="1341"/>
      <c r="D228" s="1341" t="s">
        <v>10</v>
      </c>
      <c r="E228" s="1343"/>
      <c r="F228" s="1307" t="s">
        <v>535</v>
      </c>
      <c r="G228" s="1360">
        <v>84495.2</v>
      </c>
      <c r="H228" s="1360">
        <v>84495.2</v>
      </c>
      <c r="I228" s="1360">
        <v>84756</v>
      </c>
      <c r="J228" s="1360">
        <v>86398.9</v>
      </c>
      <c r="K228" s="1360">
        <v>88983.4</v>
      </c>
      <c r="L228" s="1307" t="s">
        <v>536</v>
      </c>
      <c r="M228" s="1361" t="s">
        <v>395</v>
      </c>
      <c r="N228" s="1361">
        <v>6900</v>
      </c>
      <c r="O228" s="1372">
        <v>6900</v>
      </c>
      <c r="P228" s="1372">
        <v>6969</v>
      </c>
      <c r="Q228" s="1372">
        <v>7108</v>
      </c>
      <c r="R228" s="1374">
        <v>7321</v>
      </c>
    </row>
    <row r="229" spans="1:18" s="181" customFormat="1" ht="15" x14ac:dyDescent="0.25">
      <c r="A229" s="183"/>
      <c r="B229" s="1339"/>
      <c r="C229" s="1342"/>
      <c r="D229" s="1342"/>
      <c r="E229" s="1344"/>
      <c r="F229" s="1309"/>
      <c r="G229" s="1360"/>
      <c r="H229" s="1360"/>
      <c r="I229" s="1360"/>
      <c r="J229" s="1360"/>
      <c r="K229" s="1360"/>
      <c r="L229" s="1309"/>
      <c r="M229" s="1362"/>
      <c r="N229" s="1362"/>
      <c r="O229" s="1373"/>
      <c r="P229" s="1373"/>
      <c r="Q229" s="1373"/>
      <c r="R229" s="1375"/>
    </row>
    <row r="230" spans="1:18" s="181" customFormat="1" ht="27" customHeight="1" x14ac:dyDescent="0.25">
      <c r="A230" s="183"/>
      <c r="B230" s="1339"/>
      <c r="C230" s="1304" t="s">
        <v>64</v>
      </c>
      <c r="D230" s="1341"/>
      <c r="E230" s="1343"/>
      <c r="F230" s="1345" t="s">
        <v>1381</v>
      </c>
      <c r="G230" s="1371">
        <f>G232</f>
        <v>77831.399999999994</v>
      </c>
      <c r="H230" s="1371">
        <f>H232</f>
        <v>77831.399999999994</v>
      </c>
      <c r="I230" s="1371">
        <f>I232</f>
        <v>122071.8</v>
      </c>
      <c r="J230" s="1371">
        <f>J232</f>
        <v>124407.3</v>
      </c>
      <c r="K230" s="1371">
        <f>K232</f>
        <v>128128.8</v>
      </c>
      <c r="L230" s="1318" t="s">
        <v>1383</v>
      </c>
      <c r="M230" s="1361"/>
      <c r="N230" s="1353">
        <f>N232</f>
        <v>1000</v>
      </c>
      <c r="O230" s="1353">
        <f t="shared" ref="O230:R230" si="30">O232</f>
        <v>12000</v>
      </c>
      <c r="P230" s="1353">
        <f t="shared" si="30"/>
        <v>1212</v>
      </c>
      <c r="Q230" s="1353">
        <f t="shared" si="30"/>
        <v>1236</v>
      </c>
      <c r="R230" s="1369">
        <f t="shared" si="30"/>
        <v>1273</v>
      </c>
    </row>
    <row r="231" spans="1:18" s="181" customFormat="1" ht="27" customHeight="1" x14ac:dyDescent="0.25">
      <c r="A231" s="183"/>
      <c r="B231" s="1339"/>
      <c r="C231" s="1306"/>
      <c r="D231" s="1342"/>
      <c r="E231" s="1344"/>
      <c r="F231" s="1345"/>
      <c r="G231" s="1371"/>
      <c r="H231" s="1371"/>
      <c r="I231" s="1371"/>
      <c r="J231" s="1371"/>
      <c r="K231" s="1371"/>
      <c r="L231" s="1319"/>
      <c r="M231" s="1362"/>
      <c r="N231" s="1354"/>
      <c r="O231" s="1354"/>
      <c r="P231" s="1354"/>
      <c r="Q231" s="1354"/>
      <c r="R231" s="1370"/>
    </row>
    <row r="232" spans="1:18" s="181" customFormat="1" ht="15" customHeight="1" x14ac:dyDescent="0.25">
      <c r="A232" s="183"/>
      <c r="B232" s="1339"/>
      <c r="C232" s="1341"/>
      <c r="D232" s="1341" t="s">
        <v>10</v>
      </c>
      <c r="E232" s="1343"/>
      <c r="F232" s="1307" t="s">
        <v>1381</v>
      </c>
      <c r="G232" s="1360">
        <v>77831.399999999994</v>
      </c>
      <c r="H232" s="1360">
        <v>77831.399999999994</v>
      </c>
      <c r="I232" s="1261">
        <v>122071.8</v>
      </c>
      <c r="J232" s="1261">
        <v>124407.3</v>
      </c>
      <c r="K232" s="1261">
        <v>128128.8</v>
      </c>
      <c r="L232" s="1307" t="s">
        <v>1383</v>
      </c>
      <c r="M232" s="1361" t="s">
        <v>395</v>
      </c>
      <c r="N232" s="1361">
        <v>1000</v>
      </c>
      <c r="O232" s="1372">
        <v>12000</v>
      </c>
      <c r="P232" s="1372">
        <v>1212</v>
      </c>
      <c r="Q232" s="1372">
        <v>1236</v>
      </c>
      <c r="R232" s="1374">
        <v>1273</v>
      </c>
    </row>
    <row r="233" spans="1:18" s="181" customFormat="1" ht="15" x14ac:dyDescent="0.25">
      <c r="A233" s="183"/>
      <c r="B233" s="1340"/>
      <c r="C233" s="1342"/>
      <c r="D233" s="1342"/>
      <c r="E233" s="1344"/>
      <c r="F233" s="1309"/>
      <c r="G233" s="1360"/>
      <c r="H233" s="1360"/>
      <c r="I233" s="1360"/>
      <c r="J233" s="1360"/>
      <c r="K233" s="1360"/>
      <c r="L233" s="1309"/>
      <c r="M233" s="1362"/>
      <c r="N233" s="1362"/>
      <c r="O233" s="1373"/>
      <c r="P233" s="1373"/>
      <c r="Q233" s="1373"/>
      <c r="R233" s="1375"/>
    </row>
    <row r="234" spans="1:18" s="181" customFormat="1" ht="15" x14ac:dyDescent="0.25">
      <c r="A234" s="183"/>
      <c r="B234" s="1290" t="s">
        <v>299</v>
      </c>
      <c r="C234" s="1290"/>
      <c r="D234" s="1290"/>
      <c r="E234" s="1290"/>
      <c r="F234" s="1290"/>
      <c r="G234" s="284">
        <f>G217+G220+G226+G230</f>
        <v>287930.90000000002</v>
      </c>
      <c r="H234" s="284">
        <f t="shared" ref="H234:K234" si="31">H217+H220+H226+H230</f>
        <v>288205.80000000005</v>
      </c>
      <c r="I234" s="284">
        <f t="shared" si="31"/>
        <v>362796.79999999999</v>
      </c>
      <c r="J234" s="284">
        <f t="shared" si="31"/>
        <v>369451</v>
      </c>
      <c r="K234" s="284">
        <f t="shared" si="31"/>
        <v>379919.3</v>
      </c>
      <c r="L234" s="328"/>
      <c r="M234" s="399"/>
      <c r="N234" s="399"/>
      <c r="O234" s="399"/>
      <c r="P234" s="399"/>
      <c r="Q234" s="399"/>
      <c r="R234" s="400"/>
    </row>
    <row r="235" spans="1:18" s="181" customFormat="1" ht="15" x14ac:dyDescent="0.25">
      <c r="A235" s="183"/>
      <c r="B235" s="1259" t="s">
        <v>537</v>
      </c>
      <c r="C235" s="1260"/>
      <c r="D235" s="1260"/>
      <c r="E235" s="1260"/>
      <c r="F235" s="1260"/>
      <c r="G235" s="1260"/>
      <c r="H235" s="1260"/>
      <c r="I235" s="1260"/>
      <c r="J235" s="1260"/>
      <c r="K235" s="1260"/>
      <c r="L235" s="1260"/>
      <c r="M235" s="1260"/>
      <c r="N235" s="1260"/>
      <c r="O235" s="1260"/>
      <c r="P235" s="1260"/>
      <c r="Q235" s="401"/>
      <c r="R235" s="402"/>
    </row>
    <row r="236" spans="1:18" s="181" customFormat="1" ht="45" x14ac:dyDescent="0.25">
      <c r="A236" s="183"/>
      <c r="B236" s="1379">
        <v>22</v>
      </c>
      <c r="C236" s="1110" t="s">
        <v>0</v>
      </c>
      <c r="D236" s="403"/>
      <c r="E236" s="404"/>
      <c r="F236" s="1170" t="s">
        <v>538</v>
      </c>
      <c r="G236" s="1044">
        <f>G237+G238</f>
        <v>17529.400000000001</v>
      </c>
      <c r="H236" s="1185">
        <f>SUM(H237:H238)</f>
        <v>17529.399999999998</v>
      </c>
      <c r="I236" s="1185">
        <f>SUM(I237:I238)</f>
        <v>17813.3</v>
      </c>
      <c r="J236" s="1185">
        <f>SUM(J237:J238)</f>
        <v>17913.3</v>
      </c>
      <c r="K236" s="1185">
        <f>SUM(K237:K238)</f>
        <v>18013.3</v>
      </c>
      <c r="L236" s="1186" t="s">
        <v>586</v>
      </c>
      <c r="M236" s="1168" t="s">
        <v>21</v>
      </c>
      <c r="N236" s="1168">
        <v>1</v>
      </c>
      <c r="O236" s="1168">
        <v>1</v>
      </c>
      <c r="P236" s="1168">
        <v>1</v>
      </c>
      <c r="Q236" s="1168">
        <v>1</v>
      </c>
      <c r="R236" s="1168">
        <v>1</v>
      </c>
    </row>
    <row r="237" spans="1:18" s="181" customFormat="1" ht="30" x14ac:dyDescent="0.25">
      <c r="A237" s="183"/>
      <c r="B237" s="1379"/>
      <c r="C237" s="1110"/>
      <c r="D237" s="1109" t="s">
        <v>10</v>
      </c>
      <c r="E237" s="404"/>
      <c r="F237" s="1063" t="s">
        <v>1272</v>
      </c>
      <c r="G237" s="1043">
        <v>14686.7</v>
      </c>
      <c r="H237" s="10">
        <v>14686.8</v>
      </c>
      <c r="I237" s="10">
        <v>14940.6</v>
      </c>
      <c r="J237" s="10">
        <v>15040.6</v>
      </c>
      <c r="K237" s="10">
        <v>15140.6</v>
      </c>
      <c r="L237" s="1187"/>
      <c r="M237" s="387"/>
      <c r="N237" s="1168">
        <v>1</v>
      </c>
      <c r="O237" s="1168">
        <v>1</v>
      </c>
      <c r="P237" s="1168">
        <v>1</v>
      </c>
      <c r="Q237" s="1168">
        <v>1</v>
      </c>
      <c r="R237" s="1168">
        <v>1</v>
      </c>
    </row>
    <row r="238" spans="1:18" s="181" customFormat="1" ht="15" x14ac:dyDescent="0.25">
      <c r="A238" s="183"/>
      <c r="B238" s="1379"/>
      <c r="C238" s="1110"/>
      <c r="D238" s="1109" t="s">
        <v>13</v>
      </c>
      <c r="E238" s="404"/>
      <c r="F238" s="1173" t="s">
        <v>1748</v>
      </c>
      <c r="G238" s="24">
        <v>2842.7</v>
      </c>
      <c r="H238" s="10">
        <v>2842.6</v>
      </c>
      <c r="I238" s="10">
        <v>2872.7</v>
      </c>
      <c r="J238" s="10">
        <v>2872.7</v>
      </c>
      <c r="K238" s="10">
        <v>2872.7</v>
      </c>
      <c r="L238" s="1187"/>
      <c r="M238" s="387"/>
      <c r="N238" s="1168">
        <v>1</v>
      </c>
      <c r="O238" s="1168">
        <v>1</v>
      </c>
      <c r="P238" s="1168">
        <v>1</v>
      </c>
      <c r="Q238" s="1168">
        <v>1</v>
      </c>
      <c r="R238" s="1168">
        <v>1</v>
      </c>
    </row>
    <row r="239" spans="1:18" s="181" customFormat="1" ht="29.25" customHeight="1" x14ac:dyDescent="0.25">
      <c r="A239" s="183"/>
      <c r="B239" s="1379"/>
      <c r="C239" s="1110" t="s">
        <v>65</v>
      </c>
      <c r="D239" s="1109"/>
      <c r="E239" s="404"/>
      <c r="F239" s="1178" t="s">
        <v>1384</v>
      </c>
      <c r="G239" s="25">
        <f>G240</f>
        <v>30734.1</v>
      </c>
      <c r="H239" s="63">
        <f>SUM(H240:H240)</f>
        <v>48798.400000000001</v>
      </c>
      <c r="I239" s="63">
        <f>SUM(I240:I240)</f>
        <v>74867</v>
      </c>
      <c r="J239" s="63">
        <f>SUM(J240:J240)</f>
        <v>76136.799999999988</v>
      </c>
      <c r="K239" s="63">
        <f>SUM(K240:K240)</f>
        <v>78134.5</v>
      </c>
      <c r="L239" s="1187"/>
      <c r="M239" s="387"/>
      <c r="N239" s="387"/>
      <c r="O239" s="387"/>
      <c r="P239" s="387"/>
      <c r="Q239" s="387"/>
      <c r="R239" s="387"/>
    </row>
    <row r="240" spans="1:18" s="181" customFormat="1" ht="15" x14ac:dyDescent="0.25">
      <c r="A240" s="183"/>
      <c r="B240" s="1379"/>
      <c r="C240" s="1087"/>
      <c r="D240" s="1109" t="s">
        <v>10</v>
      </c>
      <c r="E240" s="404"/>
      <c r="F240" s="1188" t="s">
        <v>1385</v>
      </c>
      <c r="G240" s="1043">
        <v>30734.1</v>
      </c>
      <c r="H240" s="10">
        <v>48798.400000000001</v>
      </c>
      <c r="I240" s="10">
        <f>48798.4+26068.6</f>
        <v>74867</v>
      </c>
      <c r="J240" s="10">
        <f>50068.2+26068.6</f>
        <v>76136.799999999988</v>
      </c>
      <c r="K240" s="10">
        <f>52065.9+26068.6</f>
        <v>78134.5</v>
      </c>
      <c r="L240" s="1187" t="s">
        <v>539</v>
      </c>
      <c r="M240" s="1093" t="s">
        <v>395</v>
      </c>
      <c r="N240" s="1169">
        <v>5988</v>
      </c>
      <c r="O240" s="1169">
        <v>6000</v>
      </c>
      <c r="P240" s="1169">
        <v>6050</v>
      </c>
      <c r="Q240" s="1169">
        <v>6100</v>
      </c>
      <c r="R240" s="1169">
        <v>6150</v>
      </c>
    </row>
    <row r="241" spans="1:18" s="181" customFormat="1" ht="15" x14ac:dyDescent="0.25">
      <c r="A241" s="183"/>
      <c r="B241" s="1290" t="s">
        <v>299</v>
      </c>
      <c r="C241" s="1290"/>
      <c r="D241" s="1290"/>
      <c r="E241" s="1290"/>
      <c r="F241" s="1290"/>
      <c r="G241" s="284">
        <f>G236+G239</f>
        <v>48263.5</v>
      </c>
      <c r="H241" s="284">
        <f t="shared" ref="H241:K241" si="32">H236+H239</f>
        <v>66327.8</v>
      </c>
      <c r="I241" s="284">
        <f t="shared" si="32"/>
        <v>92680.3</v>
      </c>
      <c r="J241" s="284">
        <f t="shared" si="32"/>
        <v>94050.099999999991</v>
      </c>
      <c r="K241" s="284">
        <f t="shared" si="32"/>
        <v>96147.8</v>
      </c>
      <c r="L241" s="328"/>
      <c r="M241" s="399"/>
      <c r="N241" s="399"/>
      <c r="O241" s="399"/>
      <c r="P241" s="399"/>
      <c r="Q241" s="399"/>
      <c r="R241" s="400"/>
    </row>
    <row r="242" spans="1:18" s="181" customFormat="1" ht="15" x14ac:dyDescent="0.25">
      <c r="A242" s="183"/>
      <c r="B242" s="1259" t="s">
        <v>540</v>
      </c>
      <c r="C242" s="1260"/>
      <c r="D242" s="1260"/>
      <c r="E242" s="1260"/>
      <c r="F242" s="1260"/>
      <c r="G242" s="1260"/>
      <c r="H242" s="1260"/>
      <c r="I242" s="1260"/>
      <c r="J242" s="1260"/>
      <c r="K242" s="1260"/>
      <c r="L242" s="1260"/>
      <c r="M242" s="1260"/>
      <c r="N242" s="1260"/>
      <c r="O242" s="1260"/>
      <c r="P242" s="1260"/>
      <c r="Q242" s="401"/>
      <c r="R242" s="402"/>
    </row>
    <row r="243" spans="1:18" s="171" customFormat="1" ht="44.25" x14ac:dyDescent="0.2">
      <c r="A243" s="183"/>
      <c r="B243" s="1379">
        <v>22</v>
      </c>
      <c r="C243" s="380">
        <v>1</v>
      </c>
      <c r="D243" s="382"/>
      <c r="E243" s="413"/>
      <c r="F243" s="1170" t="s">
        <v>1386</v>
      </c>
      <c r="G243" s="1171">
        <f>G244+G245</f>
        <v>68801.100000000006</v>
      </c>
      <c r="H243" s="1171">
        <f>H244+H245</f>
        <v>102779.33</v>
      </c>
      <c r="I243" s="1172"/>
      <c r="J243" s="1172"/>
      <c r="K243" s="1172"/>
      <c r="L243" s="414" t="s">
        <v>541</v>
      </c>
      <c r="M243" s="415"/>
      <c r="N243" s="415"/>
      <c r="O243" s="415"/>
      <c r="P243" s="416"/>
      <c r="Q243" s="416"/>
      <c r="R243" s="416"/>
    </row>
    <row r="244" spans="1:18" s="181" customFormat="1" ht="30" x14ac:dyDescent="0.25">
      <c r="A244" s="183"/>
      <c r="B244" s="1379"/>
      <c r="C244" s="380"/>
      <c r="D244" s="1057">
        <v>1</v>
      </c>
      <c r="E244" s="417"/>
      <c r="F244" s="1173" t="s">
        <v>1387</v>
      </c>
      <c r="G244" s="1174">
        <v>45249.1</v>
      </c>
      <c r="H244" s="1174">
        <v>86800.23</v>
      </c>
      <c r="I244" s="1047"/>
      <c r="J244" s="1047"/>
      <c r="K244" s="1047"/>
      <c r="L244" s="387" t="s">
        <v>542</v>
      </c>
      <c r="M244" s="405" t="s">
        <v>4</v>
      </c>
      <c r="N244" s="388">
        <v>100</v>
      </c>
      <c r="O244" s="388">
        <v>100</v>
      </c>
      <c r="P244" s="404"/>
      <c r="Q244" s="404"/>
      <c r="R244" s="404"/>
    </row>
    <row r="245" spans="1:18" s="181" customFormat="1" ht="30" x14ac:dyDescent="0.25">
      <c r="A245" s="183"/>
      <c r="B245" s="1379"/>
      <c r="C245" s="380"/>
      <c r="D245" s="1057">
        <v>2</v>
      </c>
      <c r="E245" s="417"/>
      <c r="F245" s="1175" t="s">
        <v>1388</v>
      </c>
      <c r="G245" s="1174">
        <v>23552</v>
      </c>
      <c r="H245" s="1174">
        <v>15979.1</v>
      </c>
      <c r="I245" s="1047"/>
      <c r="J245" s="1047"/>
      <c r="K245" s="1047"/>
      <c r="L245" s="387" t="s">
        <v>543</v>
      </c>
      <c r="M245" s="405" t="s">
        <v>4</v>
      </c>
      <c r="N245" s="388">
        <v>90</v>
      </c>
      <c r="O245" s="388">
        <v>100</v>
      </c>
      <c r="P245" s="404"/>
      <c r="Q245" s="404"/>
      <c r="R245" s="404"/>
    </row>
    <row r="246" spans="1:18" s="171" customFormat="1" ht="85.5" x14ac:dyDescent="0.2">
      <c r="A246" s="183"/>
      <c r="B246" s="1379"/>
      <c r="C246" s="380">
        <v>2</v>
      </c>
      <c r="D246" s="419"/>
      <c r="E246" s="413"/>
      <c r="F246" s="1176" t="s">
        <v>1389</v>
      </c>
      <c r="G246" s="1177">
        <f>G247+G248+G249</f>
        <v>1122208.3999999999</v>
      </c>
      <c r="H246" s="1177">
        <f>H247+H248+H249</f>
        <v>660807.071</v>
      </c>
      <c r="I246" s="1172"/>
      <c r="J246" s="1172"/>
      <c r="K246" s="1172"/>
      <c r="L246" s="420" t="s">
        <v>544</v>
      </c>
      <c r="M246" s="415" t="s">
        <v>4</v>
      </c>
      <c r="N246" s="421">
        <v>90</v>
      </c>
      <c r="O246" s="421">
        <v>100</v>
      </c>
      <c r="P246" s="416"/>
      <c r="Q246" s="416"/>
      <c r="R246" s="416"/>
    </row>
    <row r="247" spans="1:18" s="181" customFormat="1" ht="30" x14ac:dyDescent="0.25">
      <c r="A247" s="183"/>
      <c r="B247" s="1379"/>
      <c r="C247" s="380"/>
      <c r="D247" s="1057">
        <v>1</v>
      </c>
      <c r="E247" s="417"/>
      <c r="F247" s="1175" t="s">
        <v>545</v>
      </c>
      <c r="G247" s="1174">
        <f>714431.8-10.8+27278.9+5489.6</f>
        <v>747189.5</v>
      </c>
      <c r="H247" s="1174">
        <f>501780.571+11123.3</f>
        <v>512903.87099999998</v>
      </c>
      <c r="I247" s="1047"/>
      <c r="J247" s="1047"/>
      <c r="K247" s="1047"/>
      <c r="L247" s="387" t="s">
        <v>546</v>
      </c>
      <c r="M247" s="405" t="s">
        <v>4</v>
      </c>
      <c r="N247" s="388">
        <v>50</v>
      </c>
      <c r="O247" s="388">
        <v>40</v>
      </c>
      <c r="P247" s="404"/>
      <c r="Q247" s="404"/>
      <c r="R247" s="404"/>
    </row>
    <row r="248" spans="1:18" s="181" customFormat="1" ht="30" x14ac:dyDescent="0.25">
      <c r="A248" s="183"/>
      <c r="B248" s="1379"/>
      <c r="C248" s="380"/>
      <c r="D248" s="1057">
        <v>2</v>
      </c>
      <c r="E248" s="417"/>
      <c r="F248" s="1175" t="s">
        <v>547</v>
      </c>
      <c r="G248" s="773">
        <v>125000</v>
      </c>
      <c r="H248" s="773">
        <v>0</v>
      </c>
      <c r="I248" s="1047"/>
      <c r="J248" s="1047"/>
      <c r="K248" s="1047"/>
      <c r="L248" s="387" t="s">
        <v>548</v>
      </c>
      <c r="M248" s="405" t="s">
        <v>4</v>
      </c>
      <c r="N248" s="388">
        <v>70</v>
      </c>
      <c r="O248" s="388">
        <v>80</v>
      </c>
      <c r="P248" s="404"/>
      <c r="Q248" s="404"/>
      <c r="R248" s="404"/>
    </row>
    <row r="249" spans="1:18" s="181" customFormat="1" ht="30" x14ac:dyDescent="0.25">
      <c r="A249" s="183"/>
      <c r="B249" s="1379"/>
      <c r="C249" s="380"/>
      <c r="D249" s="1057">
        <v>3</v>
      </c>
      <c r="E249" s="417"/>
      <c r="F249" s="1175" t="s">
        <v>549</v>
      </c>
      <c r="G249" s="1174">
        <v>250018.9</v>
      </c>
      <c r="H249" s="1174">
        <v>147903.20000000001</v>
      </c>
      <c r="I249" s="1047"/>
      <c r="J249" s="1047"/>
      <c r="K249" s="1047"/>
      <c r="L249" s="387" t="s">
        <v>1398</v>
      </c>
      <c r="M249" s="405" t="s">
        <v>4</v>
      </c>
      <c r="N249" s="388">
        <v>80</v>
      </c>
      <c r="O249" s="388">
        <v>90</v>
      </c>
      <c r="P249" s="404"/>
      <c r="Q249" s="404"/>
      <c r="R249" s="404"/>
    </row>
    <row r="250" spans="1:18" s="181" customFormat="1" ht="30" x14ac:dyDescent="0.25">
      <c r="A250" s="183"/>
      <c r="B250" s="1379"/>
      <c r="C250" s="380"/>
      <c r="D250" s="1057">
        <v>7</v>
      </c>
      <c r="E250" s="417"/>
      <c r="F250" s="1175" t="s">
        <v>550</v>
      </c>
      <c r="G250" s="1174"/>
      <c r="H250" s="1174">
        <v>0</v>
      </c>
      <c r="I250" s="1047"/>
      <c r="J250" s="1047"/>
      <c r="K250" s="1047"/>
      <c r="L250" s="422" t="s">
        <v>551</v>
      </c>
      <c r="M250" s="405" t="s">
        <v>4</v>
      </c>
      <c r="N250" s="388">
        <v>90</v>
      </c>
      <c r="O250" s="388">
        <v>100</v>
      </c>
      <c r="P250" s="404"/>
      <c r="Q250" s="404"/>
      <c r="R250" s="404"/>
    </row>
    <row r="251" spans="1:18" s="171" customFormat="1" ht="14.25" x14ac:dyDescent="0.2">
      <c r="A251" s="183"/>
      <c r="B251" s="1379"/>
      <c r="C251" s="380">
        <v>3</v>
      </c>
      <c r="D251" s="419"/>
      <c r="E251" s="413"/>
      <c r="F251" s="1176" t="s">
        <v>552</v>
      </c>
      <c r="G251" s="1177"/>
      <c r="H251" s="1177">
        <f>SUM(H252:H258)</f>
        <v>153613.60000000003</v>
      </c>
      <c r="I251" s="1172"/>
      <c r="J251" s="1172"/>
      <c r="K251" s="1172"/>
      <c r="L251" s="423"/>
      <c r="M251" s="415"/>
      <c r="N251" s="421"/>
      <c r="O251" s="421"/>
      <c r="P251" s="416"/>
      <c r="Q251" s="416"/>
      <c r="R251" s="416"/>
    </row>
    <row r="252" spans="1:18" s="181" customFormat="1" ht="45" x14ac:dyDescent="0.25">
      <c r="A252" s="183"/>
      <c r="B252" s="1379"/>
      <c r="C252" s="380"/>
      <c r="D252" s="1057">
        <v>1</v>
      </c>
      <c r="E252" s="417"/>
      <c r="F252" s="1175" t="s">
        <v>1390</v>
      </c>
      <c r="G252" s="1174"/>
      <c r="H252" s="1174">
        <v>17280.5</v>
      </c>
      <c r="I252" s="1047"/>
      <c r="J252" s="1047"/>
      <c r="K252" s="1047"/>
      <c r="L252" s="387" t="s">
        <v>553</v>
      </c>
      <c r="M252" s="405" t="s">
        <v>4</v>
      </c>
      <c r="N252" s="388"/>
      <c r="O252" s="388">
        <v>80</v>
      </c>
      <c r="P252" s="404"/>
      <c r="Q252" s="404"/>
      <c r="R252" s="404"/>
    </row>
    <row r="253" spans="1:18" s="181" customFormat="1" ht="30" x14ac:dyDescent="0.25">
      <c r="A253" s="183"/>
      <c r="B253" s="1379"/>
      <c r="C253" s="380"/>
      <c r="D253" s="1057">
        <v>2</v>
      </c>
      <c r="E253" s="417"/>
      <c r="F253" s="1175" t="s">
        <v>554</v>
      </c>
      <c r="G253" s="1174"/>
      <c r="H253" s="1174">
        <v>19274.8</v>
      </c>
      <c r="I253" s="1047"/>
      <c r="J253" s="1047"/>
      <c r="K253" s="1047"/>
      <c r="L253" s="387" t="s">
        <v>553</v>
      </c>
      <c r="M253" s="405" t="s">
        <v>4</v>
      </c>
      <c r="N253" s="388"/>
      <c r="O253" s="388">
        <v>80</v>
      </c>
      <c r="P253" s="404"/>
      <c r="Q253" s="404"/>
      <c r="R253" s="404"/>
    </row>
    <row r="254" spans="1:18" s="181" customFormat="1" ht="75" x14ac:dyDescent="0.25">
      <c r="A254" s="183"/>
      <c r="B254" s="1379"/>
      <c r="C254" s="380"/>
      <c r="D254" s="1057">
        <v>3</v>
      </c>
      <c r="E254" s="417"/>
      <c r="F254" s="1175" t="s">
        <v>555</v>
      </c>
      <c r="G254" s="1174"/>
      <c r="H254" s="1174">
        <v>108338.1</v>
      </c>
      <c r="I254" s="1047"/>
      <c r="J254" s="1047"/>
      <c r="K254" s="1047"/>
      <c r="L254" s="387" t="s">
        <v>553</v>
      </c>
      <c r="M254" s="405" t="s">
        <v>4</v>
      </c>
      <c r="N254" s="388"/>
      <c r="O254" s="388">
        <v>80</v>
      </c>
      <c r="P254" s="404"/>
      <c r="Q254" s="404"/>
      <c r="R254" s="404"/>
    </row>
    <row r="255" spans="1:18" s="181" customFormat="1" ht="30" x14ac:dyDescent="0.25">
      <c r="A255" s="183"/>
      <c r="B255" s="1379"/>
      <c r="C255" s="380"/>
      <c r="D255" s="1057">
        <v>4</v>
      </c>
      <c r="E255" s="417"/>
      <c r="F255" s="1175" t="s">
        <v>1391</v>
      </c>
      <c r="G255" s="1174"/>
      <c r="H255" s="1174"/>
      <c r="I255" s="1047"/>
      <c r="J255" s="1047"/>
      <c r="K255" s="1047"/>
      <c r="L255" s="422" t="s">
        <v>556</v>
      </c>
      <c r="M255" s="405" t="s">
        <v>4</v>
      </c>
      <c r="N255" s="388"/>
      <c r="O255" s="388">
        <v>100</v>
      </c>
      <c r="P255" s="404"/>
      <c r="Q255" s="404"/>
      <c r="R255" s="404"/>
    </row>
    <row r="256" spans="1:18" s="181" customFormat="1" ht="45" x14ac:dyDescent="0.25">
      <c r="A256" s="183"/>
      <c r="B256" s="1379"/>
      <c r="C256" s="380"/>
      <c r="D256" s="1057">
        <v>5</v>
      </c>
      <c r="E256" s="417"/>
      <c r="F256" s="1175" t="s">
        <v>557</v>
      </c>
      <c r="G256" s="1174"/>
      <c r="H256" s="1174">
        <v>1472.7</v>
      </c>
      <c r="I256" s="1047"/>
      <c r="J256" s="1047"/>
      <c r="K256" s="1047"/>
      <c r="L256" s="422" t="s">
        <v>558</v>
      </c>
      <c r="M256" s="405" t="s">
        <v>4</v>
      </c>
      <c r="N256" s="388"/>
      <c r="O256" s="388">
        <v>90</v>
      </c>
      <c r="P256" s="404"/>
      <c r="Q256" s="404"/>
      <c r="R256" s="404"/>
    </row>
    <row r="257" spans="1:18" s="181" customFormat="1" ht="30" x14ac:dyDescent="0.25">
      <c r="A257" s="183"/>
      <c r="B257" s="1379"/>
      <c r="C257" s="380"/>
      <c r="D257" s="1057">
        <v>5</v>
      </c>
      <c r="E257" s="417"/>
      <c r="F257" s="1175" t="s">
        <v>559</v>
      </c>
      <c r="G257" s="1174"/>
      <c r="H257" s="1174">
        <v>6400</v>
      </c>
      <c r="I257" s="1047"/>
      <c r="J257" s="1047"/>
      <c r="K257" s="1047"/>
      <c r="L257" s="387" t="s">
        <v>553</v>
      </c>
      <c r="M257" s="405" t="s">
        <v>4</v>
      </c>
      <c r="N257" s="388"/>
      <c r="O257" s="388">
        <v>90</v>
      </c>
      <c r="P257" s="404"/>
      <c r="Q257" s="404"/>
      <c r="R257" s="404"/>
    </row>
    <row r="258" spans="1:18" s="181" customFormat="1" ht="60" x14ac:dyDescent="0.25">
      <c r="A258" s="183"/>
      <c r="B258" s="1379"/>
      <c r="C258" s="380"/>
      <c r="D258" s="1057">
        <v>6</v>
      </c>
      <c r="E258" s="417"/>
      <c r="F258" s="1175" t="s">
        <v>1392</v>
      </c>
      <c r="G258" s="1174"/>
      <c r="H258" s="1174">
        <v>847.5</v>
      </c>
      <c r="I258" s="1047"/>
      <c r="J258" s="1047"/>
      <c r="K258" s="1047"/>
      <c r="L258" s="422" t="s">
        <v>560</v>
      </c>
      <c r="M258" s="405" t="s">
        <v>4</v>
      </c>
      <c r="N258" s="388"/>
      <c r="O258" s="388">
        <v>100</v>
      </c>
      <c r="P258" s="404"/>
      <c r="Q258" s="404"/>
      <c r="R258" s="404"/>
    </row>
    <row r="259" spans="1:18" s="171" customFormat="1" ht="59.25" x14ac:dyDescent="0.2">
      <c r="A259" s="183"/>
      <c r="B259" s="1379"/>
      <c r="C259" s="424" t="s">
        <v>116</v>
      </c>
      <c r="D259" s="424"/>
      <c r="E259" s="425"/>
      <c r="F259" s="1178" t="s">
        <v>1393</v>
      </c>
      <c r="G259" s="1179">
        <f>SUM(G260:G262)</f>
        <v>87983.900000000009</v>
      </c>
      <c r="H259" s="1179">
        <f>SUM(H260:H262)</f>
        <v>57073.999999999993</v>
      </c>
      <c r="I259" s="1172"/>
      <c r="J259" s="1172"/>
      <c r="K259" s="1172"/>
      <c r="L259" s="423" t="s">
        <v>1399</v>
      </c>
      <c r="M259" s="415"/>
      <c r="N259" s="426"/>
      <c r="O259" s="426"/>
      <c r="P259" s="416"/>
      <c r="Q259" s="416"/>
      <c r="R259" s="416"/>
    </row>
    <row r="260" spans="1:18" s="181" customFormat="1" ht="30" x14ac:dyDescent="0.25">
      <c r="A260" s="183"/>
      <c r="B260" s="1379"/>
      <c r="C260" s="424"/>
      <c r="D260" s="427" t="s">
        <v>10</v>
      </c>
      <c r="E260" s="428"/>
      <c r="F260" s="1094" t="s">
        <v>561</v>
      </c>
      <c r="G260" s="1180">
        <f>66174.5+25.6</f>
        <v>66200.100000000006</v>
      </c>
      <c r="H260" s="1180">
        <f>56543.1+9.2</f>
        <v>56552.299999999996</v>
      </c>
      <c r="I260" s="1047"/>
      <c r="J260" s="1047"/>
      <c r="K260" s="1047"/>
      <c r="L260" s="409" t="s">
        <v>562</v>
      </c>
      <c r="M260" s="405" t="s">
        <v>4</v>
      </c>
      <c r="N260" s="412">
        <v>90</v>
      </c>
      <c r="O260" s="412">
        <v>100</v>
      </c>
      <c r="P260" s="404"/>
      <c r="Q260" s="404"/>
      <c r="R260" s="404"/>
    </row>
    <row r="261" spans="1:18" s="181" customFormat="1" ht="30" x14ac:dyDescent="0.25">
      <c r="A261" s="183"/>
      <c r="B261" s="1379"/>
      <c r="C261" s="424"/>
      <c r="D261" s="427" t="s">
        <v>13</v>
      </c>
      <c r="E261" s="428"/>
      <c r="F261" s="1094" t="s">
        <v>563</v>
      </c>
      <c r="G261" s="1180">
        <v>18261.3</v>
      </c>
      <c r="H261" s="1180">
        <v>521.70000000000005</v>
      </c>
      <c r="I261" s="1047"/>
      <c r="J261" s="1047"/>
      <c r="K261" s="1047"/>
      <c r="L261" s="409" t="s">
        <v>564</v>
      </c>
      <c r="M261" s="405" t="s">
        <v>4</v>
      </c>
      <c r="N261" s="388">
        <v>80</v>
      </c>
      <c r="O261" s="388">
        <v>90</v>
      </c>
      <c r="P261" s="404"/>
      <c r="Q261" s="404"/>
      <c r="R261" s="404"/>
    </row>
    <row r="262" spans="1:18" s="181" customFormat="1" ht="30" x14ac:dyDescent="0.25">
      <c r="A262" s="183"/>
      <c r="B262" s="1379"/>
      <c r="C262" s="424"/>
      <c r="D262" s="427" t="s">
        <v>9</v>
      </c>
      <c r="E262" s="428"/>
      <c r="F262" s="1050" t="s">
        <v>565</v>
      </c>
      <c r="G262" s="1180">
        <v>3522.5</v>
      </c>
      <c r="H262" s="1180">
        <v>0</v>
      </c>
      <c r="I262" s="1047"/>
      <c r="J262" s="1047"/>
      <c r="K262" s="1047"/>
      <c r="L262" s="422" t="s">
        <v>553</v>
      </c>
      <c r="M262" s="405" t="s">
        <v>4</v>
      </c>
      <c r="N262" s="412">
        <v>60</v>
      </c>
      <c r="O262" s="412">
        <v>70</v>
      </c>
      <c r="P262" s="404"/>
      <c r="Q262" s="404"/>
      <c r="R262" s="404"/>
    </row>
    <row r="263" spans="1:18" s="171" customFormat="1" ht="42.75" x14ac:dyDescent="0.2">
      <c r="A263" s="183"/>
      <c r="B263" s="1379"/>
      <c r="C263" s="424" t="s">
        <v>115</v>
      </c>
      <c r="D263" s="424"/>
      <c r="E263" s="425"/>
      <c r="F263" s="1178" t="s">
        <v>566</v>
      </c>
      <c r="G263" s="1179">
        <f>SUM(G264:G266)</f>
        <v>4215.5</v>
      </c>
      <c r="H263" s="1179">
        <f>SUM(H264:H266)</f>
        <v>3689</v>
      </c>
      <c r="I263" s="1172"/>
      <c r="J263" s="1172"/>
      <c r="K263" s="1172"/>
      <c r="L263" s="423" t="s">
        <v>1400</v>
      </c>
      <c r="M263" s="415"/>
      <c r="N263" s="426"/>
      <c r="O263" s="426"/>
      <c r="P263" s="416"/>
      <c r="Q263" s="416"/>
      <c r="R263" s="416"/>
    </row>
    <row r="264" spans="1:18" s="181" customFormat="1" ht="30" x14ac:dyDescent="0.25">
      <c r="A264" s="183"/>
      <c r="B264" s="1379"/>
      <c r="C264" s="424"/>
      <c r="D264" s="427" t="s">
        <v>10</v>
      </c>
      <c r="E264" s="428"/>
      <c r="F264" s="1094" t="s">
        <v>567</v>
      </c>
      <c r="G264" s="1180">
        <f>4033.2+114.8</f>
        <v>4148</v>
      </c>
      <c r="H264" s="1180">
        <v>3689</v>
      </c>
      <c r="I264" s="1047"/>
      <c r="J264" s="1047"/>
      <c r="K264" s="1047"/>
      <c r="L264" s="409" t="s">
        <v>568</v>
      </c>
      <c r="M264" s="405" t="s">
        <v>4</v>
      </c>
      <c r="N264" s="412">
        <v>90</v>
      </c>
      <c r="O264" s="412">
        <v>100</v>
      </c>
      <c r="P264" s="404"/>
      <c r="Q264" s="404"/>
      <c r="R264" s="404"/>
    </row>
    <row r="265" spans="1:18" s="181" customFormat="1" ht="30" x14ac:dyDescent="0.25">
      <c r="A265" s="183"/>
      <c r="B265" s="1379"/>
      <c r="C265" s="424"/>
      <c r="D265" s="427" t="s">
        <v>13</v>
      </c>
      <c r="E265" s="428"/>
      <c r="F265" s="1094" t="s">
        <v>569</v>
      </c>
      <c r="G265" s="1180">
        <v>67.5</v>
      </c>
      <c r="H265" s="1180">
        <v>0</v>
      </c>
      <c r="I265" s="1047"/>
      <c r="J265" s="1047"/>
      <c r="K265" s="1047"/>
      <c r="L265" s="409" t="s">
        <v>570</v>
      </c>
      <c r="M265" s="405" t="s">
        <v>4</v>
      </c>
      <c r="N265" s="412">
        <v>80</v>
      </c>
      <c r="O265" s="412">
        <v>90</v>
      </c>
      <c r="P265" s="404"/>
      <c r="Q265" s="404"/>
      <c r="R265" s="404"/>
    </row>
    <row r="266" spans="1:18" s="181" customFormat="1" ht="30" x14ac:dyDescent="0.25">
      <c r="A266" s="183"/>
      <c r="B266" s="1379"/>
      <c r="C266" s="431"/>
      <c r="D266" s="432" t="s">
        <v>9</v>
      </c>
      <c r="E266" s="433"/>
      <c r="F266" s="1094" t="s">
        <v>1394</v>
      </c>
      <c r="G266" s="1181"/>
      <c r="H266" s="1181">
        <v>0</v>
      </c>
      <c r="I266" s="1182"/>
      <c r="J266" s="1182"/>
      <c r="K266" s="1182"/>
      <c r="L266" s="409" t="s">
        <v>571</v>
      </c>
      <c r="M266" s="434" t="s">
        <v>4</v>
      </c>
      <c r="N266" s="435">
        <v>70</v>
      </c>
      <c r="O266" s="435">
        <v>80</v>
      </c>
      <c r="P266" s="436"/>
      <c r="Q266" s="436"/>
      <c r="R266" s="436"/>
    </row>
    <row r="267" spans="1:18" s="171" customFormat="1" ht="57" x14ac:dyDescent="0.2">
      <c r="A267" s="183"/>
      <c r="B267" s="1380" t="s">
        <v>61</v>
      </c>
      <c r="C267" s="1052">
        <v>226</v>
      </c>
      <c r="D267" s="1052"/>
      <c r="E267" s="1079"/>
      <c r="F267" s="1055" t="s">
        <v>1395</v>
      </c>
      <c r="G267" s="1177"/>
      <c r="H267" s="1179">
        <f t="shared" ref="H267" si="33">H268+H269+H270+H271</f>
        <v>372107.9</v>
      </c>
      <c r="I267" s="1177">
        <f>I268+I269+I270+I271</f>
        <v>1369953.3509999998</v>
      </c>
      <c r="J267" s="1177">
        <f t="shared" ref="J267:K267" si="34">J268+J269+J270+J271</f>
        <v>1334609.892</v>
      </c>
      <c r="K267" s="1177">
        <f t="shared" si="34"/>
        <v>1535305.3</v>
      </c>
      <c r="L267" s="408"/>
      <c r="M267" s="421" t="s">
        <v>4</v>
      </c>
      <c r="N267" s="1088"/>
      <c r="O267" s="324"/>
      <c r="P267" s="421">
        <v>100</v>
      </c>
      <c r="Q267" s="421">
        <v>100</v>
      </c>
      <c r="R267" s="421">
        <v>100</v>
      </c>
    </row>
    <row r="268" spans="1:18" s="181" customFormat="1" ht="30" x14ac:dyDescent="0.25">
      <c r="A268" s="183"/>
      <c r="B268" s="1380"/>
      <c r="C268" s="1053"/>
      <c r="D268" s="1057">
        <v>601</v>
      </c>
      <c r="E268" s="1054"/>
      <c r="F268" s="1173" t="s">
        <v>1396</v>
      </c>
      <c r="G268" s="407"/>
      <c r="H268" s="1180">
        <f>22539.2+292+546.4+745.4</f>
        <v>24123.000000000004</v>
      </c>
      <c r="I268" s="1174">
        <f>92963.5+2218.1+2000+2540+4870+8171.1+6000+900+1000+1000+2500</f>
        <v>124162.70000000001</v>
      </c>
      <c r="J268" s="1174">
        <f>150058.1+4000</f>
        <v>154058.1</v>
      </c>
      <c r="K268" s="1174">
        <f>3420.9+153476.5+4000</f>
        <v>160897.4</v>
      </c>
      <c r="L268" s="387" t="s">
        <v>572</v>
      </c>
      <c r="M268" s="388" t="s">
        <v>4</v>
      </c>
      <c r="N268" s="1103"/>
      <c r="O268" s="1103"/>
      <c r="P268" s="388">
        <v>100</v>
      </c>
      <c r="Q268" s="388">
        <v>100</v>
      </c>
      <c r="R268" s="388">
        <v>100</v>
      </c>
    </row>
    <row r="269" spans="1:18" s="181" customFormat="1" ht="30" x14ac:dyDescent="0.25">
      <c r="A269" s="183"/>
      <c r="B269" s="1380"/>
      <c r="C269" s="1053"/>
      <c r="D269" s="1057">
        <v>602</v>
      </c>
      <c r="E269" s="1054"/>
      <c r="F269" s="1175" t="s">
        <v>1397</v>
      </c>
      <c r="G269" s="407"/>
      <c r="H269" s="1180">
        <f>149315.5+1797.3+70072.6+18310.1+31664.3+2784.7+32355.4</f>
        <v>306299.90000000002</v>
      </c>
      <c r="I269" s="1174">
        <f>498741.5+4454.9+1000+1420+1170+15880+7000+267528.6+2000+6000+15000+17597.8+132100+39814.5+23307.151+500+2000+5000+5000+5000+20000+50000+20000+3000</f>
        <v>1143514.4509999999</v>
      </c>
      <c r="J269" s="1174">
        <f>1012812.1+23307.292+40000</f>
        <v>1076119.392</v>
      </c>
      <c r="K269" s="1174">
        <f>1162324.8+45876.8-1276-3420.9+23307.2+40000</f>
        <v>1266811.9000000001</v>
      </c>
      <c r="L269" s="387" t="s">
        <v>543</v>
      </c>
      <c r="M269" s="388" t="s">
        <v>4</v>
      </c>
      <c r="N269" s="1103"/>
      <c r="O269" s="1103"/>
      <c r="P269" s="388">
        <v>100</v>
      </c>
      <c r="Q269" s="388">
        <v>100</v>
      </c>
      <c r="R269" s="388">
        <v>100</v>
      </c>
    </row>
    <row r="270" spans="1:18" s="181" customFormat="1" ht="30" x14ac:dyDescent="0.25">
      <c r="A270" s="183"/>
      <c r="B270" s="1380"/>
      <c r="C270" s="1053"/>
      <c r="D270" s="1057">
        <v>603</v>
      </c>
      <c r="E270" s="1054"/>
      <c r="F270" s="1094" t="s">
        <v>561</v>
      </c>
      <c r="G270" s="1183"/>
      <c r="H270" s="1180">
        <f>36955.8+434.4</f>
        <v>37390.200000000004</v>
      </c>
      <c r="I270" s="1180">
        <f>82819.6+1407.4+7716.5+400+2000+433</f>
        <v>94776.5</v>
      </c>
      <c r="J270" s="1174">
        <f>96172.2+454.7</f>
        <v>96626.9</v>
      </c>
      <c r="K270" s="1174">
        <f>99049.1+477.4</f>
        <v>99526.5</v>
      </c>
      <c r="L270" s="409" t="s">
        <v>562</v>
      </c>
      <c r="M270" s="388" t="s">
        <v>4</v>
      </c>
      <c r="N270" s="1103"/>
      <c r="O270" s="1103"/>
      <c r="P270" s="412">
        <v>100</v>
      </c>
      <c r="Q270" s="412">
        <v>100</v>
      </c>
      <c r="R270" s="412">
        <v>100</v>
      </c>
    </row>
    <row r="271" spans="1:18" s="181" customFormat="1" ht="30" x14ac:dyDescent="0.25">
      <c r="A271" s="183"/>
      <c r="B271" s="1380"/>
      <c r="C271" s="1053"/>
      <c r="D271" s="1057">
        <v>604</v>
      </c>
      <c r="E271" s="1054"/>
      <c r="F271" s="1094" t="s">
        <v>567</v>
      </c>
      <c r="G271" s="1183"/>
      <c r="H271" s="1180">
        <f>2481.6+1813.2</f>
        <v>4294.8</v>
      </c>
      <c r="I271" s="1180">
        <f>4418.3+762+690.3+300+1329.1</f>
        <v>7499.7000000000007</v>
      </c>
      <c r="J271" s="1174">
        <f>6290.2+1515.3</f>
        <v>7805.5</v>
      </c>
      <c r="K271" s="1174">
        <f>6478.4+1591.1</f>
        <v>8069.5</v>
      </c>
      <c r="L271" s="409" t="s">
        <v>1401</v>
      </c>
      <c r="M271" s="388" t="s">
        <v>4</v>
      </c>
      <c r="N271" s="1103"/>
      <c r="O271" s="1103"/>
      <c r="P271" s="412">
        <v>100</v>
      </c>
      <c r="Q271" s="412">
        <v>100</v>
      </c>
      <c r="R271" s="412">
        <v>100</v>
      </c>
    </row>
    <row r="272" spans="1:18" s="171" customFormat="1" ht="14.25" x14ac:dyDescent="0.2">
      <c r="A272" s="183"/>
      <c r="B272" s="1380"/>
      <c r="C272" s="380">
        <v>227</v>
      </c>
      <c r="D272" s="419"/>
      <c r="E272" s="413"/>
      <c r="F272" s="1176" t="s">
        <v>573</v>
      </c>
      <c r="G272" s="1177"/>
      <c r="H272" s="1177">
        <f t="shared" ref="H272" si="35">SUM(H273:H279)</f>
        <v>16427.400000000001</v>
      </c>
      <c r="I272" s="1177">
        <f>SUM(I273:I279)</f>
        <v>170041.10000000003</v>
      </c>
      <c r="J272" s="1177">
        <f>SUM(J273:J279)</f>
        <v>165853.20000000001</v>
      </c>
      <c r="K272" s="1177">
        <f>SUM(K273:K279)</f>
        <v>8946</v>
      </c>
      <c r="L272" s="1381"/>
      <c r="M272" s="1382"/>
      <c r="N272" s="1382"/>
      <c r="O272" s="1382"/>
      <c r="P272" s="1382"/>
      <c r="Q272" s="1382"/>
      <c r="R272" s="1383"/>
    </row>
    <row r="273" spans="1:18" s="181" customFormat="1" ht="45" x14ac:dyDescent="0.25">
      <c r="A273" s="183"/>
      <c r="B273" s="1380"/>
      <c r="C273" s="380"/>
      <c r="D273" s="1057">
        <v>701</v>
      </c>
      <c r="E273" s="417"/>
      <c r="F273" s="1175" t="s">
        <v>1390</v>
      </c>
      <c r="G273" s="1051"/>
      <c r="H273" s="1051"/>
      <c r="I273" s="1174">
        <v>17280.5</v>
      </c>
      <c r="J273" s="1174">
        <v>17280.5</v>
      </c>
      <c r="K273" s="1174"/>
      <c r="L273" s="387" t="s">
        <v>553</v>
      </c>
      <c r="M273" s="388" t="s">
        <v>4</v>
      </c>
      <c r="N273" s="1050"/>
      <c r="O273" s="1085"/>
      <c r="P273" s="388">
        <v>80</v>
      </c>
      <c r="Q273" s="388">
        <v>100</v>
      </c>
      <c r="R273" s="388"/>
    </row>
    <row r="274" spans="1:18" s="181" customFormat="1" ht="30" x14ac:dyDescent="0.25">
      <c r="A274" s="183"/>
      <c r="B274" s="1380"/>
      <c r="C274" s="380"/>
      <c r="D274" s="1057">
        <v>702</v>
      </c>
      <c r="E274" s="417"/>
      <c r="F274" s="1175" t="s">
        <v>554</v>
      </c>
      <c r="G274" s="1051"/>
      <c r="H274" s="1051"/>
      <c r="I274" s="1174">
        <v>19274.8</v>
      </c>
      <c r="J274" s="1174">
        <v>3958.1</v>
      </c>
      <c r="K274" s="1174"/>
      <c r="L274" s="387" t="s">
        <v>553</v>
      </c>
      <c r="M274" s="388" t="s">
        <v>4</v>
      </c>
      <c r="N274" s="1050"/>
      <c r="O274" s="1085"/>
      <c r="P274" s="388">
        <v>80</v>
      </c>
      <c r="Q274" s="388">
        <v>100</v>
      </c>
      <c r="R274" s="388"/>
    </row>
    <row r="275" spans="1:18" s="181" customFormat="1" ht="75" x14ac:dyDescent="0.25">
      <c r="A275" s="183"/>
      <c r="B275" s="1380"/>
      <c r="C275" s="380"/>
      <c r="D275" s="1057">
        <v>703</v>
      </c>
      <c r="E275" s="417"/>
      <c r="F275" s="1175" t="s">
        <v>574</v>
      </c>
      <c r="G275" s="1051"/>
      <c r="H275" s="1174">
        <v>1060</v>
      </c>
      <c r="I275" s="1174">
        <v>109398.1</v>
      </c>
      <c r="J275" s="1174">
        <v>123361.4</v>
      </c>
      <c r="K275" s="1174"/>
      <c r="L275" s="387" t="s">
        <v>553</v>
      </c>
      <c r="M275" s="388" t="s">
        <v>4</v>
      </c>
      <c r="N275" s="1050"/>
      <c r="O275" s="1085"/>
      <c r="P275" s="388">
        <v>80</v>
      </c>
      <c r="Q275" s="388">
        <v>100</v>
      </c>
      <c r="R275" s="388"/>
    </row>
    <row r="276" spans="1:18" s="181" customFormat="1" ht="15" x14ac:dyDescent="0.25">
      <c r="A276" s="183"/>
      <c r="B276" s="1380"/>
      <c r="C276" s="380"/>
      <c r="D276" s="1057">
        <v>704</v>
      </c>
      <c r="E276" s="417"/>
      <c r="F276" s="1175" t="s">
        <v>575</v>
      </c>
      <c r="G276" s="1051"/>
      <c r="H276" s="1174">
        <v>74.5</v>
      </c>
      <c r="I276" s="1174">
        <v>74.5</v>
      </c>
      <c r="J276" s="1174">
        <v>74.5</v>
      </c>
      <c r="K276" s="1174"/>
      <c r="L276" s="422" t="s">
        <v>576</v>
      </c>
      <c r="M276" s="388" t="s">
        <v>4</v>
      </c>
      <c r="N276" s="1050"/>
      <c r="O276" s="1085"/>
      <c r="P276" s="388">
        <v>100</v>
      </c>
      <c r="Q276" s="388">
        <v>100</v>
      </c>
      <c r="R276" s="388"/>
    </row>
    <row r="277" spans="1:18" s="181" customFormat="1" ht="45" x14ac:dyDescent="0.25">
      <c r="A277" s="183"/>
      <c r="B277" s="1380"/>
      <c r="C277" s="380"/>
      <c r="D277" s="1057">
        <v>705</v>
      </c>
      <c r="E277" s="417"/>
      <c r="F277" s="1175" t="s">
        <v>557</v>
      </c>
      <c r="G277" s="1051"/>
      <c r="H277" s="1174">
        <v>7194.5</v>
      </c>
      <c r="I277" s="1174">
        <v>8667.2000000000007</v>
      </c>
      <c r="J277" s="1174">
        <v>5832.7</v>
      </c>
      <c r="K277" s="1174"/>
      <c r="L277" s="422" t="s">
        <v>558</v>
      </c>
      <c r="M277" s="388" t="s">
        <v>4</v>
      </c>
      <c r="N277" s="1050"/>
      <c r="O277" s="1085"/>
      <c r="P277" s="388">
        <v>80</v>
      </c>
      <c r="Q277" s="388">
        <v>100</v>
      </c>
      <c r="R277" s="388"/>
    </row>
    <row r="278" spans="1:18" s="181" customFormat="1" ht="30" x14ac:dyDescent="0.25">
      <c r="A278" s="183"/>
      <c r="B278" s="1380"/>
      <c r="C278" s="380"/>
      <c r="D278" s="1057">
        <v>706</v>
      </c>
      <c r="E278" s="417"/>
      <c r="F278" s="1175" t="s">
        <v>577</v>
      </c>
      <c r="G278" s="1051"/>
      <c r="H278" s="1174"/>
      <c r="I278" s="1174">
        <v>6400</v>
      </c>
      <c r="J278" s="1174">
        <v>6400</v>
      </c>
      <c r="K278" s="1174"/>
      <c r="L278" s="387" t="s">
        <v>553</v>
      </c>
      <c r="M278" s="388" t="s">
        <v>4</v>
      </c>
      <c r="N278" s="1050"/>
      <c r="O278" s="1085"/>
      <c r="P278" s="388">
        <v>80</v>
      </c>
      <c r="Q278" s="388">
        <v>100</v>
      </c>
      <c r="R278" s="388"/>
    </row>
    <row r="279" spans="1:18" s="181" customFormat="1" ht="60" x14ac:dyDescent="0.25">
      <c r="A279" s="183"/>
      <c r="B279" s="1380"/>
      <c r="C279" s="380"/>
      <c r="D279" s="1057">
        <v>707</v>
      </c>
      <c r="E279" s="417"/>
      <c r="F279" s="1184" t="s">
        <v>578</v>
      </c>
      <c r="G279" s="1051"/>
      <c r="H279" s="1174">
        <f>3254.4+4844</f>
        <v>8098.4</v>
      </c>
      <c r="I279" s="1174">
        <v>8946</v>
      </c>
      <c r="J279" s="1174">
        <v>8946</v>
      </c>
      <c r="K279" s="1174">
        <v>8946</v>
      </c>
      <c r="L279" s="422" t="s">
        <v>560</v>
      </c>
      <c r="M279" s="388" t="s">
        <v>4</v>
      </c>
      <c r="N279" s="1050"/>
      <c r="O279" s="1085"/>
      <c r="P279" s="388">
        <v>100</v>
      </c>
      <c r="Q279" s="388">
        <v>100</v>
      </c>
      <c r="R279" s="388">
        <v>100</v>
      </c>
    </row>
    <row r="280" spans="1:18" s="181" customFormat="1" ht="15" x14ac:dyDescent="0.25">
      <c r="A280" s="183"/>
      <c r="B280" s="1290" t="s">
        <v>299</v>
      </c>
      <c r="C280" s="1290"/>
      <c r="D280" s="1290"/>
      <c r="E280" s="1290"/>
      <c r="F280" s="1290"/>
      <c r="G280" s="284">
        <f>G243+G246+G251+G259+G263+G267+G272</f>
        <v>1283208.8999999999</v>
      </c>
      <c r="H280" s="284">
        <f t="shared" ref="H280:K280" si="36">H243+H246+H251+H259+H263+H267+H272</f>
        <v>1366498.301</v>
      </c>
      <c r="I280" s="284">
        <f t="shared" si="36"/>
        <v>1539994.4509999999</v>
      </c>
      <c r="J280" s="284">
        <f t="shared" si="36"/>
        <v>1500463.0919999999</v>
      </c>
      <c r="K280" s="284">
        <f t="shared" si="36"/>
        <v>1544251.3</v>
      </c>
      <c r="L280" s="328"/>
      <c r="M280" s="399"/>
      <c r="N280" s="399"/>
      <c r="O280" s="399"/>
      <c r="P280" s="399"/>
      <c r="Q280" s="399"/>
      <c r="R280" s="400"/>
    </row>
    <row r="281" spans="1:18" s="181" customFormat="1" ht="15" x14ac:dyDescent="0.25">
      <c r="A281" s="183"/>
      <c r="B281" s="1259" t="s">
        <v>1583</v>
      </c>
      <c r="C281" s="1260"/>
      <c r="D281" s="1260"/>
      <c r="E281" s="1260"/>
      <c r="F281" s="1260"/>
      <c r="G281" s="1260"/>
      <c r="H281" s="1260"/>
      <c r="I281" s="1260"/>
      <c r="J281" s="1260"/>
      <c r="K281" s="1260"/>
      <c r="L281" s="1260"/>
      <c r="M281" s="1260"/>
      <c r="N281" s="1260"/>
      <c r="O281" s="1260"/>
      <c r="P281" s="1260"/>
      <c r="Q281" s="401"/>
      <c r="R281" s="402"/>
    </row>
    <row r="282" spans="1:18" s="181" customFormat="1" ht="15" customHeight="1" x14ac:dyDescent="0.25">
      <c r="A282" s="183"/>
      <c r="B282" s="1338" t="s">
        <v>61</v>
      </c>
      <c r="C282" s="1316" t="s">
        <v>59</v>
      </c>
      <c r="D282" s="1376"/>
      <c r="E282" s="1317"/>
      <c r="F282" s="1345" t="s">
        <v>1402</v>
      </c>
      <c r="G282" s="1377">
        <f>G284+G286+G287</f>
        <v>209748.6</v>
      </c>
      <c r="H282" s="1378">
        <f>H284+H286+H287</f>
        <v>184491.2</v>
      </c>
      <c r="I282" s="1378">
        <f>I284+I286+I287</f>
        <v>354719.8</v>
      </c>
      <c r="J282" s="1378">
        <f>J284+J286+J287</f>
        <v>314610.2</v>
      </c>
      <c r="K282" s="1378">
        <f>K284+K286+K287</f>
        <v>322303.69999999995</v>
      </c>
      <c r="L282" s="1386" t="s">
        <v>1405</v>
      </c>
      <c r="M282" s="1387" t="s">
        <v>395</v>
      </c>
      <c r="N282" s="1387">
        <v>2</v>
      </c>
      <c r="O282" s="1384">
        <v>2</v>
      </c>
      <c r="P282" s="1384">
        <v>0</v>
      </c>
      <c r="Q282" s="1384">
        <v>0</v>
      </c>
      <c r="R282" s="1384">
        <v>0</v>
      </c>
    </row>
    <row r="283" spans="1:18" s="181" customFormat="1" ht="15" x14ac:dyDescent="0.25">
      <c r="A283" s="183"/>
      <c r="B283" s="1339"/>
      <c r="C283" s="1316"/>
      <c r="D283" s="1376"/>
      <c r="E283" s="1317"/>
      <c r="F283" s="1345"/>
      <c r="G283" s="1377"/>
      <c r="H283" s="1378"/>
      <c r="I283" s="1378"/>
      <c r="J283" s="1378"/>
      <c r="K283" s="1378"/>
      <c r="L283" s="1386"/>
      <c r="M283" s="1387"/>
      <c r="N283" s="1387"/>
      <c r="O283" s="1384"/>
      <c r="P283" s="1384"/>
      <c r="Q283" s="1384"/>
      <c r="R283" s="1384"/>
    </row>
    <row r="284" spans="1:18" s="181" customFormat="1" ht="15" customHeight="1" x14ac:dyDescent="0.25">
      <c r="A284" s="183"/>
      <c r="B284" s="1339"/>
      <c r="C284" s="1376"/>
      <c r="D284" s="1376" t="s">
        <v>10</v>
      </c>
      <c r="E284" s="1376"/>
      <c r="F284" s="1334" t="s">
        <v>1403</v>
      </c>
      <c r="G284" s="1385">
        <v>107652.6</v>
      </c>
      <c r="H284" s="1261">
        <v>61498.2</v>
      </c>
      <c r="I284" s="1261">
        <f>131149.1+28710.8</f>
        <v>159859.9</v>
      </c>
      <c r="J284" s="1261">
        <f>128594.3+28710.8</f>
        <v>157305.1</v>
      </c>
      <c r="K284" s="1261">
        <f>132441.05+28710.8</f>
        <v>161151.84999999998</v>
      </c>
      <c r="L284" s="438" t="s">
        <v>579</v>
      </c>
      <c r="M284" s="1103" t="s">
        <v>395</v>
      </c>
      <c r="N284" s="1103">
        <v>5</v>
      </c>
      <c r="O284" s="1103">
        <v>3</v>
      </c>
      <c r="P284" s="1103">
        <v>0</v>
      </c>
      <c r="Q284" s="1103">
        <v>0</v>
      </c>
      <c r="R284" s="1103">
        <v>0</v>
      </c>
    </row>
    <row r="285" spans="1:18" s="181" customFormat="1" ht="15" x14ac:dyDescent="0.25">
      <c r="A285" s="183"/>
      <c r="B285" s="1339"/>
      <c r="C285" s="1376"/>
      <c r="D285" s="1376"/>
      <c r="E285" s="1376"/>
      <c r="F285" s="1334"/>
      <c r="G285" s="1385"/>
      <c r="H285" s="1261"/>
      <c r="I285" s="1261"/>
      <c r="J285" s="1261"/>
      <c r="K285" s="1261"/>
      <c r="L285" s="1103" t="s">
        <v>580</v>
      </c>
      <c r="M285" s="1103" t="s">
        <v>395</v>
      </c>
      <c r="N285" s="1103">
        <v>1</v>
      </c>
      <c r="O285" s="1103">
        <v>1</v>
      </c>
      <c r="P285" s="1103">
        <v>0</v>
      </c>
      <c r="Q285" s="1103">
        <v>0</v>
      </c>
      <c r="R285" s="1103">
        <v>0</v>
      </c>
    </row>
    <row r="286" spans="1:18" s="181" customFormat="1" ht="30" x14ac:dyDescent="0.25">
      <c r="A286" s="183"/>
      <c r="B286" s="1339"/>
      <c r="C286" s="1053"/>
      <c r="D286" s="1053" t="s">
        <v>13</v>
      </c>
      <c r="E286" s="1054"/>
      <c r="F286" s="1063" t="s">
        <v>581</v>
      </c>
      <c r="G286" s="1022">
        <v>59036</v>
      </c>
      <c r="H286" s="1022">
        <v>61497</v>
      </c>
      <c r="I286" s="1022">
        <f>166149.1+28710.8</f>
        <v>194859.9</v>
      </c>
      <c r="J286" s="1022">
        <f>128594.3+28710.8</f>
        <v>157305.1</v>
      </c>
      <c r="K286" s="1022">
        <f>132441.05+28710.8</f>
        <v>161151.84999999998</v>
      </c>
      <c r="L286" s="1076" t="s">
        <v>582</v>
      </c>
      <c r="M286" s="1103" t="s">
        <v>583</v>
      </c>
      <c r="N286" s="1103">
        <v>17475</v>
      </c>
      <c r="O286" s="1103">
        <v>12916</v>
      </c>
      <c r="P286" s="1103">
        <v>12000</v>
      </c>
      <c r="Q286" s="1103">
        <v>12000</v>
      </c>
      <c r="R286" s="1103">
        <v>12000</v>
      </c>
    </row>
    <row r="287" spans="1:18" s="181" customFormat="1" ht="43.5" customHeight="1" x14ac:dyDescent="0.25">
      <c r="A287" s="183"/>
      <c r="B287" s="1340"/>
      <c r="C287" s="1053"/>
      <c r="D287" s="1053" t="s">
        <v>9</v>
      </c>
      <c r="E287" s="1054"/>
      <c r="F287" s="1063" t="s">
        <v>1404</v>
      </c>
      <c r="G287" s="12">
        <v>43060</v>
      </c>
      <c r="H287" s="12">
        <v>61496</v>
      </c>
      <c r="I287" s="12"/>
      <c r="J287" s="12"/>
      <c r="K287" s="12"/>
      <c r="L287" s="1076" t="s">
        <v>1406</v>
      </c>
      <c r="M287" s="1103" t="s">
        <v>395</v>
      </c>
      <c r="N287" s="1103">
        <v>17908</v>
      </c>
      <c r="O287" s="1103">
        <v>13454</v>
      </c>
      <c r="P287" s="1103">
        <v>0</v>
      </c>
      <c r="Q287" s="1103">
        <v>0</v>
      </c>
      <c r="R287" s="1103">
        <v>0</v>
      </c>
    </row>
    <row r="288" spans="1:18" s="181" customFormat="1" ht="18" customHeight="1" x14ac:dyDescent="0.25">
      <c r="A288" s="183"/>
      <c r="B288" s="1290" t="s">
        <v>299</v>
      </c>
      <c r="C288" s="1290"/>
      <c r="D288" s="1290"/>
      <c r="E288" s="1290"/>
      <c r="F288" s="1290"/>
      <c r="G288" s="284">
        <f>G282</f>
        <v>209748.6</v>
      </c>
      <c r="H288" s="284">
        <f>H282</f>
        <v>184491.2</v>
      </c>
      <c r="I288" s="284">
        <f t="shared" ref="I288:K288" si="37">I282</f>
        <v>354719.8</v>
      </c>
      <c r="J288" s="284">
        <f t="shared" si="37"/>
        <v>314610.2</v>
      </c>
      <c r="K288" s="284">
        <f t="shared" si="37"/>
        <v>322303.69999999995</v>
      </c>
      <c r="L288" s="328"/>
      <c r="M288" s="399"/>
      <c r="N288" s="399"/>
      <c r="O288" s="399"/>
      <c r="P288" s="399"/>
      <c r="Q288" s="399"/>
      <c r="R288" s="400"/>
    </row>
    <row r="289" spans="1:18" s="181" customFormat="1" ht="24" customHeight="1" x14ac:dyDescent="0.25">
      <c r="A289" s="183"/>
      <c r="B289" s="1276" t="s">
        <v>584</v>
      </c>
      <c r="C289" s="1277"/>
      <c r="D289" s="1277"/>
      <c r="E289" s="1277"/>
      <c r="F289" s="1278"/>
      <c r="G289" s="284">
        <f>G288+G280+G241+G234</f>
        <v>1829151.9</v>
      </c>
      <c r="H289" s="284">
        <f>H288+H280+H241+H234</f>
        <v>1905523.101</v>
      </c>
      <c r="I289" s="284">
        <f>I288+I280+I241+I234</f>
        <v>2350191.3509999998</v>
      </c>
      <c r="J289" s="284">
        <f>J288+J280+J241+J234</f>
        <v>2278574.392</v>
      </c>
      <c r="K289" s="284">
        <f>K288+K280+K241+K234</f>
        <v>2342622.1</v>
      </c>
      <c r="L289" s="328"/>
      <c r="M289" s="399"/>
      <c r="N289" s="399"/>
      <c r="O289" s="399"/>
      <c r="P289" s="399"/>
      <c r="Q289" s="399"/>
      <c r="R289" s="400"/>
    </row>
    <row r="290" spans="1:18" s="181" customFormat="1" ht="15" x14ac:dyDescent="0.25">
      <c r="A290" s="183"/>
      <c r="B290" s="1253" t="s">
        <v>585</v>
      </c>
      <c r="C290" s="1253"/>
      <c r="D290" s="1253"/>
      <c r="E290" s="1253"/>
      <c r="F290" s="1253"/>
      <c r="G290" s="1253"/>
      <c r="H290" s="1253"/>
      <c r="I290" s="1253"/>
      <c r="J290" s="1253"/>
      <c r="K290" s="1253"/>
      <c r="L290" s="1253"/>
      <c r="M290" s="1253"/>
      <c r="N290" s="1253"/>
      <c r="O290" s="1253"/>
      <c r="P290" s="1253"/>
      <c r="Q290" s="1253"/>
      <c r="R290" s="1253"/>
    </row>
    <row r="291" spans="1:18" s="181" customFormat="1" ht="15" customHeight="1" x14ac:dyDescent="0.25">
      <c r="A291" s="183"/>
      <c r="B291" s="1304" t="s">
        <v>136</v>
      </c>
      <c r="C291" s="1316" t="s">
        <v>0</v>
      </c>
      <c r="D291" s="1376"/>
      <c r="E291" s="1376"/>
      <c r="F291" s="1345" t="s">
        <v>1407</v>
      </c>
      <c r="G291" s="1378">
        <f>G293+G294</f>
        <v>276427.09999999998</v>
      </c>
      <c r="H291" s="1378">
        <f>H293+H294</f>
        <v>521755.10000000003</v>
      </c>
      <c r="I291" s="1378">
        <f>I293+I294</f>
        <v>508067.19999999995</v>
      </c>
      <c r="J291" s="1378">
        <f>J293+J294</f>
        <v>517820.6</v>
      </c>
      <c r="K291" s="1378">
        <f>K293+K294</f>
        <v>520079.2</v>
      </c>
      <c r="L291" s="1368" t="s">
        <v>586</v>
      </c>
      <c r="M291" s="1315" t="s">
        <v>1</v>
      </c>
      <c r="N291" s="1387">
        <v>28.5</v>
      </c>
      <c r="O291" s="1390">
        <v>28.8</v>
      </c>
      <c r="P291" s="1391">
        <v>30</v>
      </c>
      <c r="Q291" s="1391">
        <v>30</v>
      </c>
      <c r="R291" s="1391">
        <v>30</v>
      </c>
    </row>
    <row r="292" spans="1:18" s="181" customFormat="1" ht="15" x14ac:dyDescent="0.25">
      <c r="A292" s="183"/>
      <c r="B292" s="1305"/>
      <c r="C292" s="1316"/>
      <c r="D292" s="1376"/>
      <c r="E292" s="1376"/>
      <c r="F292" s="1345"/>
      <c r="G292" s="1378"/>
      <c r="H292" s="1378"/>
      <c r="I292" s="1378"/>
      <c r="J292" s="1378"/>
      <c r="K292" s="1378"/>
      <c r="L292" s="1368"/>
      <c r="M292" s="1315"/>
      <c r="N292" s="1387"/>
      <c r="O292" s="1390"/>
      <c r="P292" s="1391"/>
      <c r="Q292" s="1391"/>
      <c r="R292" s="1391"/>
    </row>
    <row r="293" spans="1:18" s="181" customFormat="1" ht="30" customHeight="1" x14ac:dyDescent="0.25">
      <c r="A293" s="183"/>
      <c r="B293" s="1305"/>
      <c r="C293" s="1053"/>
      <c r="D293" s="1053" t="s">
        <v>10</v>
      </c>
      <c r="E293" s="1053"/>
      <c r="F293" s="439" t="s">
        <v>587</v>
      </c>
      <c r="G293" s="1022">
        <f>170514.5+97041.5</f>
        <v>267556</v>
      </c>
      <c r="H293" s="1022">
        <f>171859.4+300000</f>
        <v>471859.4</v>
      </c>
      <c r="I293" s="1022">
        <f>170911.6+300000</f>
        <v>470911.6</v>
      </c>
      <c r="J293" s="1022">
        <f>174158.8+300000</f>
        <v>474158.8</v>
      </c>
      <c r="K293" s="1022">
        <f>179383.7+300000</f>
        <v>479383.7</v>
      </c>
      <c r="L293" s="1050"/>
      <c r="M293" s="1103"/>
      <c r="N293" s="1103"/>
      <c r="O293" s="1103"/>
      <c r="P293" s="1103"/>
      <c r="Q293" s="1103"/>
      <c r="R293" s="1103"/>
    </row>
    <row r="294" spans="1:18" s="181" customFormat="1" ht="15" x14ac:dyDescent="0.25">
      <c r="A294" s="183"/>
      <c r="B294" s="1305"/>
      <c r="C294" s="1053"/>
      <c r="D294" s="1053" t="s">
        <v>13</v>
      </c>
      <c r="E294" s="1053"/>
      <c r="F294" s="439" t="s">
        <v>1408</v>
      </c>
      <c r="G294" s="1022">
        <f>4563.6+4307.5</f>
        <v>8871.1</v>
      </c>
      <c r="H294" s="1022">
        <f>7155.6+42740.1</f>
        <v>49895.7</v>
      </c>
      <c r="I294" s="1022">
        <f>7155.6+30000</f>
        <v>37155.599999999999</v>
      </c>
      <c r="J294" s="1022">
        <f>7291.7+36370.1</f>
        <v>43661.799999999996</v>
      </c>
      <c r="K294" s="1022">
        <f>7510.5+33185</f>
        <v>40695.5</v>
      </c>
      <c r="L294" s="1050"/>
      <c r="M294" s="1103"/>
      <c r="N294" s="1103"/>
      <c r="O294" s="1103"/>
      <c r="P294" s="1103"/>
      <c r="Q294" s="1103"/>
      <c r="R294" s="1103"/>
    </row>
    <row r="295" spans="1:18" s="181" customFormat="1" ht="88.5" x14ac:dyDescent="0.25">
      <c r="A295" s="183"/>
      <c r="B295" s="1305"/>
      <c r="C295" s="1052" t="s">
        <v>29</v>
      </c>
      <c r="D295" s="1048"/>
      <c r="E295" s="1053"/>
      <c r="F295" s="1055" t="s">
        <v>1411</v>
      </c>
      <c r="G295" s="1034">
        <f>G296</f>
        <v>1390126</v>
      </c>
      <c r="H295" s="1034">
        <f>H296</f>
        <v>1324577.8999999999</v>
      </c>
      <c r="I295" s="1034">
        <f>I296</f>
        <v>1909740.6</v>
      </c>
      <c r="J295" s="1034">
        <f>J296</f>
        <v>1941168.656</v>
      </c>
      <c r="K295" s="1034">
        <f>K296</f>
        <v>1987704.5559999999</v>
      </c>
      <c r="L295" s="1088" t="s">
        <v>588</v>
      </c>
      <c r="M295" s="1051" t="s">
        <v>297</v>
      </c>
      <c r="N295" s="441">
        <v>26</v>
      </c>
      <c r="O295" s="442">
        <v>26</v>
      </c>
      <c r="P295" s="442">
        <v>28</v>
      </c>
      <c r="Q295" s="442">
        <v>28</v>
      </c>
      <c r="R295" s="442">
        <v>28</v>
      </c>
    </row>
    <row r="296" spans="1:18" s="181" customFormat="1" ht="45" x14ac:dyDescent="0.25">
      <c r="A296" s="183"/>
      <c r="B296" s="1305"/>
      <c r="C296" s="1082"/>
      <c r="D296" s="1082" t="s">
        <v>10</v>
      </c>
      <c r="E296" s="1082"/>
      <c r="F296" s="1093" t="s">
        <v>589</v>
      </c>
      <c r="G296" s="1022">
        <f>1192593.2+197532.8</f>
        <v>1390126</v>
      </c>
      <c r="H296" s="1022">
        <f>1176292.9+148285</f>
        <v>1324577.8999999999</v>
      </c>
      <c r="I296" s="1022">
        <v>1909740.6</v>
      </c>
      <c r="J296" s="1022">
        <f>1900638.3+7799.4+32730.956</f>
        <v>1941168.656</v>
      </c>
      <c r="K296" s="1022">
        <f>1947174.2+7799.4+32730.956</f>
        <v>1987704.5559999999</v>
      </c>
      <c r="L296" s="1050" t="s">
        <v>590</v>
      </c>
      <c r="M296" s="1051" t="s">
        <v>318</v>
      </c>
      <c r="N296" s="1050">
        <v>792</v>
      </c>
      <c r="O296" s="1070">
        <v>1029</v>
      </c>
      <c r="P296" s="1070">
        <v>1140</v>
      </c>
      <c r="Q296" s="1070">
        <v>1134</v>
      </c>
      <c r="R296" s="1070">
        <v>1140</v>
      </c>
    </row>
    <row r="297" spans="1:18" s="181" customFormat="1" ht="74.25" x14ac:dyDescent="0.25">
      <c r="A297" s="183"/>
      <c r="B297" s="1305"/>
      <c r="C297" s="1071" t="s">
        <v>30</v>
      </c>
      <c r="D297" s="1082"/>
      <c r="E297" s="1082"/>
      <c r="F297" s="1106" t="s">
        <v>591</v>
      </c>
      <c r="G297" s="1034">
        <f>G298</f>
        <v>26110.6</v>
      </c>
      <c r="H297" s="1034">
        <f>H298</f>
        <v>28893.599999999999</v>
      </c>
      <c r="I297" s="1034">
        <f>I298</f>
        <v>29763</v>
      </c>
      <c r="J297" s="1034">
        <f>J298</f>
        <v>30675.4</v>
      </c>
      <c r="K297" s="1034">
        <f>K298</f>
        <v>31211</v>
      </c>
      <c r="L297" s="1088" t="s">
        <v>592</v>
      </c>
      <c r="M297" s="1051" t="s">
        <v>4</v>
      </c>
      <c r="N297" s="1050">
        <v>98</v>
      </c>
      <c r="O297" s="1070">
        <v>90</v>
      </c>
      <c r="P297" s="1070">
        <v>90</v>
      </c>
      <c r="Q297" s="1070">
        <v>90</v>
      </c>
      <c r="R297" s="1070">
        <v>90</v>
      </c>
    </row>
    <row r="298" spans="1:18" s="181" customFormat="1" ht="45" x14ac:dyDescent="0.25">
      <c r="A298" s="183"/>
      <c r="B298" s="1305"/>
      <c r="C298" s="1082"/>
      <c r="D298" s="1082" t="s">
        <v>10</v>
      </c>
      <c r="E298" s="1082"/>
      <c r="F298" s="1093" t="s">
        <v>593</v>
      </c>
      <c r="G298" s="1022">
        <f>4349.5+21761.1</f>
        <v>26110.6</v>
      </c>
      <c r="H298" s="1022">
        <f>3193.6+25700</f>
        <v>28893.599999999999</v>
      </c>
      <c r="I298" s="1022">
        <v>29763</v>
      </c>
      <c r="J298" s="1022">
        <f>4375.4+26300</f>
        <v>30675.4</v>
      </c>
      <c r="K298" s="1022">
        <v>31211</v>
      </c>
      <c r="L298" s="1209" t="s">
        <v>594</v>
      </c>
      <c r="M298" s="1051" t="s">
        <v>4</v>
      </c>
      <c r="N298" s="450">
        <v>6</v>
      </c>
      <c r="O298" s="1070">
        <v>7.7</v>
      </c>
      <c r="P298" s="1070">
        <v>7.7</v>
      </c>
      <c r="Q298" s="1070">
        <v>7.7</v>
      </c>
      <c r="R298" s="1070">
        <v>7.7</v>
      </c>
    </row>
    <row r="299" spans="1:18" s="181" customFormat="1" ht="118.5" x14ac:dyDescent="0.25">
      <c r="A299" s="183"/>
      <c r="B299" s="1305"/>
      <c r="C299" s="1071" t="s">
        <v>31</v>
      </c>
      <c r="D299" s="1082"/>
      <c r="E299" s="1082"/>
      <c r="F299" s="1055" t="s">
        <v>595</v>
      </c>
      <c r="G299" s="1034">
        <f>G300+G302</f>
        <v>68156</v>
      </c>
      <c r="H299" s="1034">
        <f>H300+H302</f>
        <v>62692.600000000006</v>
      </c>
      <c r="I299" s="1034">
        <f>I300+I302</f>
        <v>92215.7</v>
      </c>
      <c r="J299" s="1034">
        <f>J300+J302</f>
        <v>94091.6</v>
      </c>
      <c r="K299" s="1034">
        <f>K300+K302</f>
        <v>96923.1</v>
      </c>
      <c r="L299" s="1088" t="s">
        <v>596</v>
      </c>
      <c r="M299" s="1051" t="s">
        <v>297</v>
      </c>
      <c r="N299" s="317">
        <v>724</v>
      </c>
      <c r="O299" s="451">
        <v>3000</v>
      </c>
      <c r="P299" s="451">
        <v>3000</v>
      </c>
      <c r="Q299" s="451">
        <v>3000</v>
      </c>
      <c r="R299" s="451">
        <v>3000</v>
      </c>
    </row>
    <row r="300" spans="1:18" s="181" customFormat="1" ht="30" x14ac:dyDescent="0.25">
      <c r="A300" s="183"/>
      <c r="B300" s="1305"/>
      <c r="C300" s="1341"/>
      <c r="D300" s="1341" t="s">
        <v>10</v>
      </c>
      <c r="E300" s="1341"/>
      <c r="F300" s="1388" t="s">
        <v>597</v>
      </c>
      <c r="G300" s="1261">
        <v>44967.9</v>
      </c>
      <c r="H300" s="1261">
        <v>42384.5</v>
      </c>
      <c r="I300" s="1261">
        <f>42384.5+42683.95</f>
        <v>85068.45</v>
      </c>
      <c r="J300" s="1261">
        <v>43189.8</v>
      </c>
      <c r="K300" s="1261">
        <v>44485.599999999999</v>
      </c>
      <c r="L300" s="1050" t="s">
        <v>598</v>
      </c>
      <c r="M300" s="1051" t="s">
        <v>297</v>
      </c>
      <c r="N300" s="1051">
        <v>17410</v>
      </c>
      <c r="O300" s="1051">
        <v>17410</v>
      </c>
      <c r="P300" s="1051">
        <v>17410</v>
      </c>
      <c r="Q300" s="1051">
        <v>17410</v>
      </c>
      <c r="R300" s="1051">
        <v>17410</v>
      </c>
    </row>
    <row r="301" spans="1:18" s="181" customFormat="1" ht="15" x14ac:dyDescent="0.25">
      <c r="A301" s="183"/>
      <c r="B301" s="1305"/>
      <c r="C301" s="1342"/>
      <c r="D301" s="1342"/>
      <c r="E301" s="1342"/>
      <c r="F301" s="1389"/>
      <c r="G301" s="1261"/>
      <c r="H301" s="1261"/>
      <c r="I301" s="1261"/>
      <c r="J301" s="1261"/>
      <c r="K301" s="1261"/>
      <c r="L301" s="1050" t="s">
        <v>1410</v>
      </c>
      <c r="M301" s="1051" t="s">
        <v>297</v>
      </c>
      <c r="N301" s="1051">
        <v>600</v>
      </c>
      <c r="O301" s="1051">
        <v>600</v>
      </c>
      <c r="P301" s="1051">
        <v>600</v>
      </c>
      <c r="Q301" s="1051">
        <v>600</v>
      </c>
      <c r="R301" s="1051">
        <v>600</v>
      </c>
    </row>
    <row r="302" spans="1:18" s="181" customFormat="1" ht="60" x14ac:dyDescent="0.25">
      <c r="A302" s="183"/>
      <c r="B302" s="1306"/>
      <c r="C302" s="1048"/>
      <c r="D302" s="1048" t="s">
        <v>13</v>
      </c>
      <c r="E302" s="1048"/>
      <c r="F302" s="1049" t="s">
        <v>1409</v>
      </c>
      <c r="G302" s="1022">
        <f>21730.1+1458</f>
        <v>23188.1</v>
      </c>
      <c r="H302" s="1022">
        <f>18781.7+1526.4</f>
        <v>20308.100000000002</v>
      </c>
      <c r="I302" s="1022">
        <f>48781.7+1049.5-42683.95</f>
        <v>7147.25</v>
      </c>
      <c r="J302" s="1022">
        <v>50901.8</v>
      </c>
      <c r="K302" s="1022">
        <v>52437.5</v>
      </c>
      <c r="L302" s="1050" t="s">
        <v>596</v>
      </c>
      <c r="M302" s="1051" t="s">
        <v>297</v>
      </c>
      <c r="N302" s="317">
        <v>724</v>
      </c>
      <c r="O302" s="451">
        <v>3000</v>
      </c>
      <c r="P302" s="451">
        <v>3000</v>
      </c>
      <c r="Q302" s="451">
        <v>3000</v>
      </c>
      <c r="R302" s="451">
        <v>3000</v>
      </c>
    </row>
    <row r="303" spans="1:18" s="181" customFormat="1" ht="15" x14ac:dyDescent="0.25">
      <c r="A303" s="183"/>
      <c r="B303" s="1276" t="s">
        <v>299</v>
      </c>
      <c r="C303" s="1277"/>
      <c r="D303" s="1277"/>
      <c r="E303" s="1277"/>
      <c r="F303" s="1278"/>
      <c r="G303" s="341">
        <f>G291+G295+G297+G299</f>
        <v>1760819.7000000002</v>
      </c>
      <c r="H303" s="341">
        <f>H291+H295+H297+H299</f>
        <v>1937919.2000000002</v>
      </c>
      <c r="I303" s="341">
        <f>I293+I294+I296+I298+I300+I302</f>
        <v>2539786.5</v>
      </c>
      <c r="J303" s="341">
        <f>J293+J294+J296+J298+J300+J302</f>
        <v>2583756.2559999996</v>
      </c>
      <c r="K303" s="341">
        <f>K293+K294+K296+K298+K300+K302</f>
        <v>2635917.8560000001</v>
      </c>
      <c r="L303" s="452"/>
      <c r="M303" s="453"/>
      <c r="N303" s="453"/>
      <c r="O303" s="453"/>
      <c r="P303" s="453"/>
      <c r="Q303" s="453"/>
      <c r="R303" s="453"/>
    </row>
    <row r="304" spans="1:18" s="181" customFormat="1" ht="15" x14ac:dyDescent="0.25">
      <c r="A304" s="183"/>
      <c r="B304" s="1253" t="s">
        <v>599</v>
      </c>
      <c r="C304" s="1253"/>
      <c r="D304" s="1253"/>
      <c r="E304" s="1253"/>
      <c r="F304" s="1253"/>
      <c r="G304" s="1253"/>
      <c r="H304" s="1253"/>
      <c r="I304" s="1253"/>
      <c r="J304" s="1253"/>
      <c r="K304" s="1253"/>
      <c r="L304" s="1253"/>
      <c r="M304" s="1253"/>
      <c r="N304" s="1253"/>
      <c r="O304" s="1253"/>
      <c r="P304" s="1253"/>
      <c r="Q304" s="1253"/>
      <c r="R304" s="1253"/>
    </row>
    <row r="305" spans="1:19" s="181" customFormat="1" ht="15" x14ac:dyDescent="0.25">
      <c r="A305" s="183"/>
      <c r="B305" s="1291">
        <v>24</v>
      </c>
      <c r="C305" s="454">
        <v>242</v>
      </c>
      <c r="D305" s="455"/>
      <c r="E305" s="455"/>
      <c r="F305" s="455" t="s">
        <v>600</v>
      </c>
      <c r="G305" s="1210">
        <f>SUM(G306:G310)</f>
        <v>1559883.4</v>
      </c>
      <c r="H305" s="1210">
        <f>SUM(H306:H310)</f>
        <v>1245467.2</v>
      </c>
      <c r="I305" s="1210">
        <f>SUM(I306:I311)</f>
        <v>2910267.2</v>
      </c>
      <c r="J305" s="1210">
        <f>SUM(J306:J311)</f>
        <v>2929299.1209999998</v>
      </c>
      <c r="K305" s="1210">
        <f>SUM(K306:K311)</f>
        <v>2959239.7129999995</v>
      </c>
      <c r="L305" s="314"/>
      <c r="M305" s="303"/>
      <c r="N305" s="456"/>
      <c r="O305" s="456"/>
      <c r="P305" s="456"/>
      <c r="Q305" s="456"/>
      <c r="R305" s="456"/>
    </row>
    <row r="306" spans="1:19" s="181" customFormat="1" ht="15" x14ac:dyDescent="0.25">
      <c r="A306" s="183"/>
      <c r="B306" s="1292"/>
      <c r="C306" s="454"/>
      <c r="D306" s="457" t="s">
        <v>10</v>
      </c>
      <c r="E306" s="272"/>
      <c r="F306" s="272" t="s">
        <v>601</v>
      </c>
      <c r="G306" s="34">
        <v>781565.5</v>
      </c>
      <c r="H306" s="34">
        <v>500000</v>
      </c>
      <c r="I306" s="34">
        <v>500000</v>
      </c>
      <c r="J306" s="34">
        <v>500000</v>
      </c>
      <c r="K306" s="34">
        <v>500000</v>
      </c>
      <c r="L306" s="1211" t="s">
        <v>1412</v>
      </c>
      <c r="M306" s="102" t="s">
        <v>4</v>
      </c>
      <c r="N306" s="102">
        <v>90</v>
      </c>
      <c r="O306" s="102">
        <v>92</v>
      </c>
      <c r="P306" s="102">
        <v>100</v>
      </c>
      <c r="Q306" s="102">
        <v>100</v>
      </c>
      <c r="R306" s="102">
        <v>100</v>
      </c>
    </row>
    <row r="307" spans="1:19" s="181" customFormat="1" ht="15" x14ac:dyDescent="0.25">
      <c r="A307" s="183"/>
      <c r="B307" s="1292"/>
      <c r="C307" s="454"/>
      <c r="D307" s="457" t="s">
        <v>13</v>
      </c>
      <c r="E307" s="272"/>
      <c r="F307" s="1050" t="s">
        <v>602</v>
      </c>
      <c r="G307" s="34">
        <v>447905.7</v>
      </c>
      <c r="H307" s="34">
        <v>510066</v>
      </c>
      <c r="I307" s="34">
        <f>770086.8+5000+819400</f>
        <v>1594486.8</v>
      </c>
      <c r="J307" s="34">
        <f>784973.6+819400</f>
        <v>1604373.6</v>
      </c>
      <c r="K307" s="34">
        <f>800527.3+819400</f>
        <v>1619927.3</v>
      </c>
      <c r="L307" s="1211" t="s">
        <v>1413</v>
      </c>
      <c r="M307" s="102" t="s">
        <v>4</v>
      </c>
      <c r="N307" s="102">
        <v>85</v>
      </c>
      <c r="O307" s="102">
        <v>90</v>
      </c>
      <c r="P307" s="102">
        <v>95</v>
      </c>
      <c r="Q307" s="102">
        <v>95</v>
      </c>
      <c r="R307" s="102">
        <v>95</v>
      </c>
    </row>
    <row r="308" spans="1:19" s="181" customFormat="1" ht="15" x14ac:dyDescent="0.25">
      <c r="A308" s="183"/>
      <c r="B308" s="1292"/>
      <c r="C308" s="454"/>
      <c r="D308" s="457" t="s">
        <v>9</v>
      </c>
      <c r="E308" s="272"/>
      <c r="F308" s="1050" t="s">
        <v>603</v>
      </c>
      <c r="G308" s="34">
        <v>267875</v>
      </c>
      <c r="H308" s="34">
        <v>175401.2</v>
      </c>
      <c r="I308" s="34">
        <f>415380.4+4000+100000</f>
        <v>519380.4</v>
      </c>
      <c r="J308" s="34">
        <f>422780.3+100000</f>
        <v>522780.3</v>
      </c>
      <c r="K308" s="34">
        <f>428128.9+100000</f>
        <v>528128.9</v>
      </c>
      <c r="L308" s="1211" t="s">
        <v>1414</v>
      </c>
      <c r="M308" s="102" t="s">
        <v>4</v>
      </c>
      <c r="N308" s="102">
        <v>85</v>
      </c>
      <c r="O308" s="102">
        <v>90</v>
      </c>
      <c r="P308" s="102">
        <v>95</v>
      </c>
      <c r="Q308" s="102">
        <v>95</v>
      </c>
      <c r="R308" s="102">
        <v>95</v>
      </c>
    </row>
    <row r="309" spans="1:19" s="181" customFormat="1" ht="30" x14ac:dyDescent="0.25">
      <c r="A309" s="183"/>
      <c r="B309" s="1292"/>
      <c r="C309" s="454"/>
      <c r="D309" s="457" t="s">
        <v>23</v>
      </c>
      <c r="E309" s="272"/>
      <c r="F309" s="1050" t="s">
        <v>604</v>
      </c>
      <c r="G309" s="34">
        <v>32600</v>
      </c>
      <c r="H309" s="34">
        <v>30000</v>
      </c>
      <c r="I309" s="34">
        <v>30000</v>
      </c>
      <c r="J309" s="34">
        <v>30581.5</v>
      </c>
      <c r="K309" s="34">
        <v>31496.3</v>
      </c>
      <c r="L309" s="1211" t="s">
        <v>1415</v>
      </c>
      <c r="M309" s="102" t="s">
        <v>4</v>
      </c>
      <c r="N309" s="102">
        <v>85</v>
      </c>
      <c r="O309" s="102">
        <v>90</v>
      </c>
      <c r="P309" s="102">
        <v>95</v>
      </c>
      <c r="Q309" s="102">
        <v>95</v>
      </c>
      <c r="R309" s="102">
        <v>95</v>
      </c>
    </row>
    <row r="310" spans="1:19" s="181" customFormat="1" ht="27" customHeight="1" x14ac:dyDescent="0.25">
      <c r="A310" s="183"/>
      <c r="B310" s="1292"/>
      <c r="C310" s="455"/>
      <c r="D310" s="457" t="s">
        <v>24</v>
      </c>
      <c r="E310" s="272"/>
      <c r="F310" s="1050" t="s">
        <v>605</v>
      </c>
      <c r="G310" s="34">
        <v>29937.200000000001</v>
      </c>
      <c r="H310" s="34">
        <v>30000</v>
      </c>
      <c r="I310" s="34">
        <v>30000</v>
      </c>
      <c r="J310" s="34">
        <v>30581.5</v>
      </c>
      <c r="K310" s="34">
        <v>31496.3</v>
      </c>
      <c r="L310" s="1211" t="s">
        <v>1413</v>
      </c>
      <c r="M310" s="102" t="s">
        <v>4</v>
      </c>
      <c r="N310" s="102">
        <v>90</v>
      </c>
      <c r="O310" s="102">
        <v>90</v>
      </c>
      <c r="P310" s="102">
        <v>90</v>
      </c>
      <c r="Q310" s="102">
        <v>90</v>
      </c>
      <c r="R310" s="102">
        <v>90</v>
      </c>
    </row>
    <row r="311" spans="1:19" s="181" customFormat="1" ht="30" x14ac:dyDescent="0.25">
      <c r="A311" s="183"/>
      <c r="B311" s="1293"/>
      <c r="C311" s="455"/>
      <c r="D311" s="457" t="s">
        <v>25</v>
      </c>
      <c r="E311" s="272"/>
      <c r="F311" s="1050" t="s">
        <v>606</v>
      </c>
      <c r="G311" s="34"/>
      <c r="H311" s="34">
        <v>236400</v>
      </c>
      <c r="I311" s="34">
        <v>236400</v>
      </c>
      <c r="J311" s="34">
        <v>240982.22099999999</v>
      </c>
      <c r="K311" s="34">
        <v>248190.913</v>
      </c>
      <c r="L311" s="314"/>
      <c r="M311" s="303"/>
      <c r="N311" s="456"/>
      <c r="O311" s="456"/>
      <c r="P311" s="456"/>
      <c r="Q311" s="456"/>
      <c r="R311" s="456"/>
    </row>
    <row r="312" spans="1:19" s="181" customFormat="1" ht="15" x14ac:dyDescent="0.25">
      <c r="A312" s="183"/>
      <c r="B312" s="1276" t="s">
        <v>299</v>
      </c>
      <c r="C312" s="1277"/>
      <c r="D312" s="1277"/>
      <c r="E312" s="1277"/>
      <c r="F312" s="1278"/>
      <c r="G312" s="284">
        <f>SUM(G306:G310)</f>
        <v>1559883.4</v>
      </c>
      <c r="H312" s="284">
        <f>SUM(H306:H311)</f>
        <v>1481867.2</v>
      </c>
      <c r="I312" s="284">
        <f>SUM(I306:I311)</f>
        <v>2910267.2</v>
      </c>
      <c r="J312" s="284">
        <f>SUM(J306:J311)</f>
        <v>2929299.1209999998</v>
      </c>
      <c r="K312" s="284">
        <f>SUM(K306:K311)</f>
        <v>2959239.7129999995</v>
      </c>
      <c r="L312" s="222"/>
      <c r="M312" s="222"/>
      <c r="N312" s="182"/>
      <c r="O312" s="182"/>
      <c r="P312" s="182"/>
      <c r="Q312" s="182"/>
      <c r="R312" s="182"/>
    </row>
    <row r="313" spans="1:19" s="181" customFormat="1" ht="15" x14ac:dyDescent="0.25">
      <c r="A313" s="183"/>
      <c r="B313" s="1253" t="s">
        <v>607</v>
      </c>
      <c r="C313" s="1253"/>
      <c r="D313" s="1253"/>
      <c r="E313" s="1253"/>
      <c r="F313" s="1253"/>
      <c r="G313" s="1253"/>
      <c r="H313" s="1253"/>
      <c r="I313" s="1253"/>
      <c r="J313" s="1253"/>
      <c r="K313" s="1253"/>
      <c r="L313" s="1253"/>
      <c r="M313" s="1253"/>
      <c r="N313" s="1253"/>
      <c r="O313" s="1253"/>
      <c r="P313" s="1253"/>
      <c r="Q313" s="1253"/>
      <c r="R313" s="1253"/>
    </row>
    <row r="314" spans="1:19" s="181" customFormat="1" ht="15" x14ac:dyDescent="0.25">
      <c r="A314" s="183"/>
      <c r="B314" s="1253" t="s">
        <v>608</v>
      </c>
      <c r="C314" s="1253"/>
      <c r="D314" s="1253"/>
      <c r="E314" s="1253"/>
      <c r="F314" s="1253"/>
      <c r="G314" s="1253"/>
      <c r="H314" s="1253"/>
      <c r="I314" s="1253"/>
      <c r="J314" s="1253"/>
      <c r="K314" s="1253"/>
      <c r="L314" s="1253"/>
      <c r="M314" s="1253"/>
      <c r="N314" s="1253"/>
      <c r="O314" s="1253"/>
      <c r="P314" s="1253"/>
      <c r="Q314" s="1253"/>
      <c r="R314" s="1253"/>
    </row>
    <row r="315" spans="1:19" s="181" customFormat="1" ht="38.25" x14ac:dyDescent="0.25">
      <c r="A315" s="183"/>
      <c r="B315" s="1399">
        <v>26</v>
      </c>
      <c r="C315" s="1402" t="s">
        <v>133</v>
      </c>
      <c r="D315" s="1393"/>
      <c r="E315" s="1393"/>
      <c r="F315" s="1406" t="s">
        <v>609</v>
      </c>
      <c r="G315" s="1392">
        <f>G319+G321+G324+G328+G329+G330+G331</f>
        <v>5075900</v>
      </c>
      <c r="H315" s="1392">
        <f t="shared" ref="H315:K315" si="38">H319+H321+H324+H328+H329+H330+H331</f>
        <v>4782403.8999999994</v>
      </c>
      <c r="I315" s="1392">
        <f t="shared" si="38"/>
        <v>7803739.4000000004</v>
      </c>
      <c r="J315" s="1392">
        <f t="shared" si="38"/>
        <v>8048306</v>
      </c>
      <c r="K315" s="1392">
        <f t="shared" si="38"/>
        <v>8092276.9000000004</v>
      </c>
      <c r="L315" s="458" t="s">
        <v>610</v>
      </c>
      <c r="M315" s="459" t="s">
        <v>4</v>
      </c>
      <c r="N315" s="460">
        <v>0.38287459948650127</v>
      </c>
      <c r="O315" s="460">
        <v>0.35321297170787036</v>
      </c>
      <c r="P315" s="460">
        <v>0.36502480389027964</v>
      </c>
      <c r="Q315" s="460">
        <v>0.36505092752441137</v>
      </c>
      <c r="R315" s="461"/>
      <c r="S315" s="462"/>
    </row>
    <row r="316" spans="1:19" s="181" customFormat="1" ht="15" x14ac:dyDescent="0.25">
      <c r="A316" s="183"/>
      <c r="B316" s="1400"/>
      <c r="C316" s="1403"/>
      <c r="D316" s="1405"/>
      <c r="E316" s="1405"/>
      <c r="F316" s="1406"/>
      <c r="G316" s="1392"/>
      <c r="H316" s="1392"/>
      <c r="I316" s="1392"/>
      <c r="J316" s="1392"/>
      <c r="K316" s="1392"/>
      <c r="L316" s="458" t="s">
        <v>611</v>
      </c>
      <c r="M316" s="459" t="s">
        <v>2</v>
      </c>
      <c r="N316" s="463">
        <v>2.5</v>
      </c>
      <c r="O316" s="463">
        <v>2.5</v>
      </c>
      <c r="P316" s="463">
        <v>2.6</v>
      </c>
      <c r="Q316" s="463">
        <v>2.7</v>
      </c>
      <c r="R316" s="461"/>
    </row>
    <row r="317" spans="1:19" s="181" customFormat="1" ht="25.5" x14ac:dyDescent="0.25">
      <c r="A317" s="183"/>
      <c r="B317" s="1400"/>
      <c r="C317" s="1403"/>
      <c r="D317" s="1405"/>
      <c r="E317" s="1405"/>
      <c r="F317" s="1406"/>
      <c r="G317" s="1392"/>
      <c r="H317" s="1392"/>
      <c r="I317" s="1392"/>
      <c r="J317" s="1392"/>
      <c r="K317" s="1392"/>
      <c r="L317" s="458" t="s">
        <v>612</v>
      </c>
      <c r="M317" s="459" t="s">
        <v>4</v>
      </c>
      <c r="N317" s="460">
        <v>1</v>
      </c>
      <c r="O317" s="460">
        <v>1</v>
      </c>
      <c r="P317" s="460">
        <v>1</v>
      </c>
      <c r="Q317" s="460">
        <v>1</v>
      </c>
      <c r="R317" s="461"/>
    </row>
    <row r="318" spans="1:19" s="181" customFormat="1" ht="25.5" x14ac:dyDescent="0.25">
      <c r="A318" s="183"/>
      <c r="B318" s="1400"/>
      <c r="C318" s="1404"/>
      <c r="D318" s="1394"/>
      <c r="E318" s="1394"/>
      <c r="F318" s="1406"/>
      <c r="G318" s="1392"/>
      <c r="H318" s="1392"/>
      <c r="I318" s="1392"/>
      <c r="J318" s="1392"/>
      <c r="K318" s="1392"/>
      <c r="L318" s="458" t="s">
        <v>613</v>
      </c>
      <c r="M318" s="459" t="s">
        <v>4</v>
      </c>
      <c r="N318" s="460">
        <v>0.7</v>
      </c>
      <c r="O318" s="460">
        <v>0.72</v>
      </c>
      <c r="P318" s="460">
        <v>0.73</v>
      </c>
      <c r="Q318" s="460">
        <v>0.75</v>
      </c>
      <c r="R318" s="461"/>
    </row>
    <row r="319" spans="1:19" s="181" customFormat="1" ht="25.5" x14ac:dyDescent="0.25">
      <c r="A319" s="183"/>
      <c r="B319" s="1400"/>
      <c r="C319" s="1393"/>
      <c r="D319" s="1393" t="s">
        <v>10</v>
      </c>
      <c r="E319" s="1393"/>
      <c r="F319" s="1395" t="s">
        <v>614</v>
      </c>
      <c r="G319" s="1396">
        <v>593367.9</v>
      </c>
      <c r="H319" s="1396">
        <v>447802.4</v>
      </c>
      <c r="I319" s="1398">
        <f>503442.9-386750+150000+197244.7</f>
        <v>463937.60000000003</v>
      </c>
      <c r="J319" s="1396">
        <v>447802.4</v>
      </c>
      <c r="K319" s="1396">
        <v>532999.9</v>
      </c>
      <c r="L319" s="458" t="s">
        <v>615</v>
      </c>
      <c r="M319" s="459" t="s">
        <v>4</v>
      </c>
      <c r="N319" s="460">
        <v>0.96</v>
      </c>
      <c r="O319" s="460">
        <v>0.96</v>
      </c>
      <c r="P319" s="460">
        <v>1</v>
      </c>
      <c r="Q319" s="460">
        <v>1</v>
      </c>
      <c r="R319" s="461"/>
    </row>
    <row r="320" spans="1:19" s="181" customFormat="1" ht="25.5" x14ac:dyDescent="0.25">
      <c r="A320" s="183"/>
      <c r="B320" s="1400"/>
      <c r="C320" s="1394"/>
      <c r="D320" s="1394"/>
      <c r="E320" s="1394"/>
      <c r="F320" s="1395"/>
      <c r="G320" s="1397"/>
      <c r="H320" s="1397"/>
      <c r="I320" s="1398"/>
      <c r="J320" s="1397"/>
      <c r="K320" s="1397"/>
      <c r="L320" s="458" t="s">
        <v>616</v>
      </c>
      <c r="M320" s="459" t="s">
        <v>125</v>
      </c>
      <c r="N320" s="463">
        <v>100.7</v>
      </c>
      <c r="O320" s="464">
        <v>100.7</v>
      </c>
      <c r="P320" s="464">
        <v>100.7</v>
      </c>
      <c r="Q320" s="463">
        <v>100.7</v>
      </c>
      <c r="R320" s="461"/>
    </row>
    <row r="321" spans="1:18" s="181" customFormat="1" ht="51" x14ac:dyDescent="0.25">
      <c r="A321" s="183"/>
      <c r="B321" s="1400"/>
      <c r="C321" s="1393"/>
      <c r="D321" s="1393" t="s">
        <v>13</v>
      </c>
      <c r="E321" s="1393"/>
      <c r="F321" s="1408" t="s">
        <v>617</v>
      </c>
      <c r="G321" s="1396">
        <v>4036376.8</v>
      </c>
      <c r="H321" s="1396">
        <v>3875108.9</v>
      </c>
      <c r="I321" s="1396">
        <v>3875108.9</v>
      </c>
      <c r="J321" s="1396">
        <v>3983070.7</v>
      </c>
      <c r="K321" s="1396">
        <v>4094651.2</v>
      </c>
      <c r="L321" s="458" t="s">
        <v>618</v>
      </c>
      <c r="M321" s="459" t="s">
        <v>4</v>
      </c>
      <c r="N321" s="465">
        <v>0.83</v>
      </c>
      <c r="O321" s="465">
        <v>0.84</v>
      </c>
      <c r="P321" s="465">
        <v>0.85</v>
      </c>
      <c r="Q321" s="465">
        <v>0.9</v>
      </c>
      <c r="R321" s="461"/>
    </row>
    <row r="322" spans="1:18" s="181" customFormat="1" ht="25.5" x14ac:dyDescent="0.25">
      <c r="A322" s="183"/>
      <c r="B322" s="1400"/>
      <c r="C322" s="1405"/>
      <c r="D322" s="1405"/>
      <c r="E322" s="1405"/>
      <c r="F322" s="1409"/>
      <c r="G322" s="1407"/>
      <c r="H322" s="1407"/>
      <c r="I322" s="1407"/>
      <c r="J322" s="1407"/>
      <c r="K322" s="1407"/>
      <c r="L322" s="458" t="s">
        <v>619</v>
      </c>
      <c r="M322" s="459" t="s">
        <v>4</v>
      </c>
      <c r="N322" s="465">
        <v>0.83</v>
      </c>
      <c r="O322" s="465">
        <v>0.84</v>
      </c>
      <c r="P322" s="465">
        <v>0.85</v>
      </c>
      <c r="Q322" s="465">
        <v>0.87</v>
      </c>
      <c r="R322" s="461"/>
    </row>
    <row r="323" spans="1:18" s="181" customFormat="1" ht="25.5" x14ac:dyDescent="0.25">
      <c r="A323" s="183"/>
      <c r="B323" s="1400"/>
      <c r="C323" s="1405"/>
      <c r="D323" s="1405"/>
      <c r="E323" s="1405"/>
      <c r="F323" s="1409"/>
      <c r="G323" s="1407"/>
      <c r="H323" s="1407"/>
      <c r="I323" s="1407"/>
      <c r="J323" s="1407"/>
      <c r="K323" s="1397"/>
      <c r="L323" s="458" t="s">
        <v>620</v>
      </c>
      <c r="M323" s="466" t="s">
        <v>4</v>
      </c>
      <c r="N323" s="465">
        <v>0.75</v>
      </c>
      <c r="O323" s="465">
        <v>0.77</v>
      </c>
      <c r="P323" s="465">
        <v>0.8</v>
      </c>
      <c r="Q323" s="465">
        <v>0.85</v>
      </c>
      <c r="R323" s="461"/>
    </row>
    <row r="324" spans="1:18" s="181" customFormat="1" ht="25.5" x14ac:dyDescent="0.25">
      <c r="A324" s="183"/>
      <c r="B324" s="1400"/>
      <c r="C324" s="1393"/>
      <c r="D324" s="1393" t="s">
        <v>9</v>
      </c>
      <c r="E324" s="1393"/>
      <c r="F324" s="1408" t="s">
        <v>621</v>
      </c>
      <c r="G324" s="1396">
        <v>286919.3</v>
      </c>
      <c r="H324" s="1396">
        <v>174152</v>
      </c>
      <c r="I324" s="1396">
        <v>174152</v>
      </c>
      <c r="J324" s="1396">
        <v>179180</v>
      </c>
      <c r="K324" s="1396">
        <v>184377</v>
      </c>
      <c r="L324" s="458" t="s">
        <v>622</v>
      </c>
      <c r="M324" s="459" t="s">
        <v>126</v>
      </c>
      <c r="N324" s="467">
        <v>30133</v>
      </c>
      <c r="O324" s="467">
        <v>30500</v>
      </c>
      <c r="P324" s="467">
        <v>30700</v>
      </c>
      <c r="Q324" s="467">
        <v>40100</v>
      </c>
      <c r="R324" s="461"/>
    </row>
    <row r="325" spans="1:18" s="181" customFormat="1" ht="25.5" x14ac:dyDescent="0.25">
      <c r="A325" s="183"/>
      <c r="B325" s="1400"/>
      <c r="C325" s="1405"/>
      <c r="D325" s="1405"/>
      <c r="E325" s="1405"/>
      <c r="F325" s="1409"/>
      <c r="G325" s="1407"/>
      <c r="H325" s="1407"/>
      <c r="I325" s="1407"/>
      <c r="J325" s="1407"/>
      <c r="K325" s="1407"/>
      <c r="L325" s="468" t="s">
        <v>623</v>
      </c>
      <c r="M325" s="469" t="s">
        <v>4</v>
      </c>
      <c r="N325" s="465">
        <v>0.72</v>
      </c>
      <c r="O325" s="465">
        <v>0.73</v>
      </c>
      <c r="P325" s="465">
        <v>0.74</v>
      </c>
      <c r="Q325" s="465">
        <v>0.75</v>
      </c>
      <c r="R325" s="461"/>
    </row>
    <row r="326" spans="1:18" s="181" customFormat="1" ht="25.5" x14ac:dyDescent="0.25">
      <c r="A326" s="183"/>
      <c r="B326" s="1400"/>
      <c r="C326" s="1405"/>
      <c r="D326" s="1405"/>
      <c r="E326" s="1405"/>
      <c r="F326" s="1409"/>
      <c r="G326" s="1407"/>
      <c r="H326" s="1407"/>
      <c r="I326" s="1407"/>
      <c r="J326" s="1407"/>
      <c r="K326" s="1407"/>
      <c r="L326" s="468" t="s">
        <v>624</v>
      </c>
      <c r="M326" s="469" t="s">
        <v>4</v>
      </c>
      <c r="N326" s="465">
        <v>0.75</v>
      </c>
      <c r="O326" s="465">
        <v>0.76</v>
      </c>
      <c r="P326" s="465">
        <v>0.77</v>
      </c>
      <c r="Q326" s="465">
        <v>0.78</v>
      </c>
      <c r="R326" s="461"/>
    </row>
    <row r="327" spans="1:18" s="181" customFormat="1" ht="25.5" x14ac:dyDescent="0.25">
      <c r="A327" s="183"/>
      <c r="B327" s="1400"/>
      <c r="C327" s="1394"/>
      <c r="D327" s="1394"/>
      <c r="E327" s="1394"/>
      <c r="F327" s="1409"/>
      <c r="G327" s="1397"/>
      <c r="H327" s="1397"/>
      <c r="I327" s="1397"/>
      <c r="J327" s="1397"/>
      <c r="K327" s="1397"/>
      <c r="L327" s="468" t="s">
        <v>625</v>
      </c>
      <c r="M327" s="469" t="s">
        <v>4</v>
      </c>
      <c r="N327" s="465">
        <v>0.57999999999999996</v>
      </c>
      <c r="O327" s="465">
        <v>0.59</v>
      </c>
      <c r="P327" s="465">
        <v>0.6</v>
      </c>
      <c r="Q327" s="465">
        <v>0.61</v>
      </c>
      <c r="R327" s="461"/>
    </row>
    <row r="328" spans="1:18" s="181" customFormat="1" ht="57" customHeight="1" x14ac:dyDescent="0.25">
      <c r="A328" s="183"/>
      <c r="B328" s="1400"/>
      <c r="C328" s="470"/>
      <c r="D328" s="470" t="s">
        <v>23</v>
      </c>
      <c r="E328" s="470"/>
      <c r="F328" s="471" t="s">
        <v>621</v>
      </c>
      <c r="G328" s="472">
        <v>34236</v>
      </c>
      <c r="H328" s="472">
        <v>33096</v>
      </c>
      <c r="I328" s="472">
        <v>35052</v>
      </c>
      <c r="J328" s="472">
        <v>36064</v>
      </c>
      <c r="K328" s="472">
        <v>37109.9</v>
      </c>
      <c r="L328" s="468" t="s">
        <v>626</v>
      </c>
      <c r="M328" s="469" t="s">
        <v>2</v>
      </c>
      <c r="N328" s="467">
        <v>2320</v>
      </c>
      <c r="O328" s="467">
        <v>2500</v>
      </c>
      <c r="P328" s="467">
        <v>4036</v>
      </c>
      <c r="Q328" s="467">
        <v>3638</v>
      </c>
      <c r="R328" s="461"/>
    </row>
    <row r="329" spans="1:18" s="181" customFormat="1" ht="104.25" customHeight="1" x14ac:dyDescent="0.25">
      <c r="A329" s="183"/>
      <c r="B329" s="1400"/>
      <c r="C329" s="473"/>
      <c r="D329" s="473" t="s">
        <v>24</v>
      </c>
      <c r="E329" s="473"/>
      <c r="F329" s="471" t="s">
        <v>627</v>
      </c>
      <c r="G329" s="474">
        <v>55000</v>
      </c>
      <c r="H329" s="474">
        <v>55000</v>
      </c>
      <c r="I329" s="474">
        <v>105000</v>
      </c>
      <c r="J329" s="474">
        <v>105000</v>
      </c>
      <c r="K329" s="474">
        <v>105000</v>
      </c>
      <c r="L329" s="458" t="s">
        <v>628</v>
      </c>
      <c r="M329" s="459" t="s">
        <v>4</v>
      </c>
      <c r="N329" s="460" t="s">
        <v>629</v>
      </c>
      <c r="O329" s="460" t="s">
        <v>630</v>
      </c>
      <c r="P329" s="460" t="s">
        <v>630</v>
      </c>
      <c r="Q329" s="460" t="s">
        <v>630</v>
      </c>
      <c r="R329" s="461"/>
    </row>
    <row r="330" spans="1:18" s="181" customFormat="1" ht="38.25" x14ac:dyDescent="0.25">
      <c r="A330" s="183"/>
      <c r="B330" s="1400"/>
      <c r="C330" s="473"/>
      <c r="D330" s="473" t="s">
        <v>39</v>
      </c>
      <c r="E330" s="473"/>
      <c r="F330" s="471" t="s">
        <v>631</v>
      </c>
      <c r="G330" s="474">
        <v>70000</v>
      </c>
      <c r="H330" s="474"/>
      <c r="I330" s="474">
        <v>2763738.9</v>
      </c>
      <c r="J330" s="474">
        <v>2763738.9</v>
      </c>
      <c r="K330" s="475">
        <v>2763738.9</v>
      </c>
      <c r="L330" s="458" t="s">
        <v>632</v>
      </c>
      <c r="M330" s="466" t="s">
        <v>4</v>
      </c>
      <c r="N330" s="460">
        <v>1</v>
      </c>
      <c r="O330" s="460">
        <v>1</v>
      </c>
      <c r="P330" s="460">
        <v>1</v>
      </c>
      <c r="Q330" s="476">
        <v>1</v>
      </c>
      <c r="R330" s="461"/>
    </row>
    <row r="331" spans="1:18" s="181" customFormat="1" ht="25.5" x14ac:dyDescent="0.25">
      <c r="A331" s="183"/>
      <c r="B331" s="1400"/>
      <c r="C331" s="1393"/>
      <c r="D331" s="1393" t="s">
        <v>41</v>
      </c>
      <c r="E331" s="1393"/>
      <c r="F331" s="1425" t="s">
        <v>633</v>
      </c>
      <c r="G331" s="1396"/>
      <c r="H331" s="1396">
        <v>197244.6</v>
      </c>
      <c r="I331" s="1396">
        <v>386750</v>
      </c>
      <c r="J331" s="1396">
        <v>533450</v>
      </c>
      <c r="K331" s="1396">
        <v>374400</v>
      </c>
      <c r="L331" s="458" t="s">
        <v>634</v>
      </c>
      <c r="M331" s="459" t="s">
        <v>4</v>
      </c>
      <c r="N331" s="460">
        <v>0</v>
      </c>
      <c r="O331" s="465">
        <v>0.05</v>
      </c>
      <c r="P331" s="465">
        <v>0.1</v>
      </c>
      <c r="Q331" s="465">
        <v>0.15</v>
      </c>
      <c r="R331" s="465">
        <v>0.15</v>
      </c>
    </row>
    <row r="332" spans="1:18" s="181" customFormat="1" ht="15" x14ac:dyDescent="0.25">
      <c r="A332" s="183"/>
      <c r="B332" s="1400"/>
      <c r="C332" s="1405"/>
      <c r="D332" s="1405"/>
      <c r="E332" s="1405"/>
      <c r="F332" s="1426"/>
      <c r="G332" s="1407"/>
      <c r="H332" s="1407"/>
      <c r="I332" s="1407"/>
      <c r="J332" s="1407"/>
      <c r="K332" s="1407"/>
      <c r="L332" s="458" t="s">
        <v>635</v>
      </c>
      <c r="M332" s="459" t="s">
        <v>636</v>
      </c>
      <c r="N332" s="460" t="s">
        <v>127</v>
      </c>
      <c r="O332" s="465" t="s">
        <v>128</v>
      </c>
      <c r="P332" s="465" t="s">
        <v>129</v>
      </c>
      <c r="Q332" s="465" t="s">
        <v>130</v>
      </c>
      <c r="R332" s="465" t="s">
        <v>131</v>
      </c>
    </row>
    <row r="333" spans="1:18" s="181" customFormat="1" ht="25.5" x14ac:dyDescent="0.25">
      <c r="A333" s="183"/>
      <c r="B333" s="1400"/>
      <c r="C333" s="1405"/>
      <c r="D333" s="1405"/>
      <c r="E333" s="1405"/>
      <c r="F333" s="1426"/>
      <c r="G333" s="1407"/>
      <c r="H333" s="1407"/>
      <c r="I333" s="1407"/>
      <c r="J333" s="1407"/>
      <c r="K333" s="1407"/>
      <c r="L333" s="458" t="s">
        <v>637</v>
      </c>
      <c r="M333" s="459" t="s">
        <v>321</v>
      </c>
      <c r="N333" s="460"/>
      <c r="O333" s="1415" t="s">
        <v>638</v>
      </c>
      <c r="P333" s="1415"/>
      <c r="Q333" s="1415"/>
      <c r="R333" s="1415"/>
    </row>
    <row r="334" spans="1:18" s="181" customFormat="1" ht="25.5" x14ac:dyDescent="0.25">
      <c r="A334" s="183"/>
      <c r="B334" s="1400"/>
      <c r="C334" s="1394"/>
      <c r="D334" s="1394"/>
      <c r="E334" s="1394"/>
      <c r="F334" s="1427"/>
      <c r="G334" s="1397"/>
      <c r="H334" s="1397"/>
      <c r="I334" s="1397"/>
      <c r="J334" s="1397"/>
      <c r="K334" s="1397"/>
      <c r="L334" s="458" t="s">
        <v>639</v>
      </c>
      <c r="M334" s="459" t="s">
        <v>4</v>
      </c>
      <c r="N334" s="460">
        <v>0</v>
      </c>
      <c r="O334" s="1416" t="s">
        <v>640</v>
      </c>
      <c r="P334" s="1417"/>
      <c r="Q334" s="1417"/>
      <c r="R334" s="1418"/>
    </row>
    <row r="335" spans="1:18" s="181" customFormat="1" ht="25.5" x14ac:dyDescent="0.25">
      <c r="A335" s="183"/>
      <c r="B335" s="1400"/>
      <c r="C335" s="1419" t="s">
        <v>641</v>
      </c>
      <c r="D335" s="1393"/>
      <c r="E335" s="1393"/>
      <c r="F335" s="1422" t="s">
        <v>642</v>
      </c>
      <c r="G335" s="1410">
        <f>SUM(G340:G349)</f>
        <v>7410700</v>
      </c>
      <c r="H335" s="1410">
        <f>SUM(H340:H349)</f>
        <v>5651237.8000000007</v>
      </c>
      <c r="I335" s="1410">
        <f>SUM(I340:I349)</f>
        <v>6389728.5</v>
      </c>
      <c r="J335" s="1410">
        <f>SUM(J340:J349)</f>
        <v>6385310.6000000006</v>
      </c>
      <c r="K335" s="1410">
        <f>SUM(K340:K349)</f>
        <v>6450586.7999999998</v>
      </c>
      <c r="L335" s="477" t="s">
        <v>643</v>
      </c>
      <c r="M335" s="478" t="s">
        <v>4</v>
      </c>
      <c r="N335" s="479" t="s">
        <v>644</v>
      </c>
      <c r="O335" s="479" t="s">
        <v>645</v>
      </c>
      <c r="P335" s="479" t="s">
        <v>646</v>
      </c>
      <c r="Q335" s="479" t="s">
        <v>647</v>
      </c>
      <c r="R335" s="479" t="s">
        <v>647</v>
      </c>
    </row>
    <row r="336" spans="1:18" s="181" customFormat="1" ht="25.5" x14ac:dyDescent="0.25">
      <c r="A336" s="183"/>
      <c r="B336" s="1400"/>
      <c r="C336" s="1420"/>
      <c r="D336" s="1405"/>
      <c r="E336" s="1405"/>
      <c r="F336" s="1423"/>
      <c r="G336" s="1410"/>
      <c r="H336" s="1410"/>
      <c r="I336" s="1410"/>
      <c r="J336" s="1410"/>
      <c r="K336" s="1410"/>
      <c r="L336" s="480" t="s">
        <v>648</v>
      </c>
      <c r="M336" s="481" t="s">
        <v>4</v>
      </c>
      <c r="N336" s="482">
        <v>0.82</v>
      </c>
      <c r="O336" s="482">
        <v>0.83</v>
      </c>
      <c r="P336" s="482">
        <v>0.85</v>
      </c>
      <c r="Q336" s="483" t="s">
        <v>649</v>
      </c>
      <c r="R336" s="483" t="s">
        <v>649</v>
      </c>
    </row>
    <row r="337" spans="1:18" s="181" customFormat="1" ht="25.5" x14ac:dyDescent="0.25">
      <c r="A337" s="183"/>
      <c r="B337" s="1400"/>
      <c r="C337" s="1420"/>
      <c r="D337" s="1405"/>
      <c r="E337" s="1405"/>
      <c r="F337" s="1423"/>
      <c r="G337" s="1410"/>
      <c r="H337" s="1410"/>
      <c r="I337" s="1410"/>
      <c r="J337" s="1410"/>
      <c r="K337" s="1410"/>
      <c r="L337" s="477" t="s">
        <v>650</v>
      </c>
      <c r="M337" s="1411" t="s">
        <v>4</v>
      </c>
      <c r="N337" s="484"/>
      <c r="O337" s="484"/>
      <c r="P337" s="484"/>
      <c r="Q337" s="484"/>
      <c r="R337" s="484"/>
    </row>
    <row r="338" spans="1:18" s="181" customFormat="1" ht="15" x14ac:dyDescent="0.25">
      <c r="A338" s="183"/>
      <c r="B338" s="1400"/>
      <c r="C338" s="1420"/>
      <c r="D338" s="1405"/>
      <c r="E338" s="1405"/>
      <c r="F338" s="1423"/>
      <c r="G338" s="1410"/>
      <c r="H338" s="1410"/>
      <c r="I338" s="1410"/>
      <c r="J338" s="1410"/>
      <c r="K338" s="1410"/>
      <c r="L338" s="477" t="s">
        <v>651</v>
      </c>
      <c r="M338" s="1412"/>
      <c r="N338" s="482">
        <v>0.14899999999999999</v>
      </c>
      <c r="O338" s="482">
        <v>0.15</v>
      </c>
      <c r="P338" s="482">
        <v>0.151</v>
      </c>
      <c r="Q338" s="482">
        <v>0.152</v>
      </c>
      <c r="R338" s="482">
        <v>0.152</v>
      </c>
    </row>
    <row r="339" spans="1:18" s="181" customFormat="1" ht="15" x14ac:dyDescent="0.25">
      <c r="A339" s="183"/>
      <c r="B339" s="1400"/>
      <c r="C339" s="1421"/>
      <c r="D339" s="1394"/>
      <c r="E339" s="1394"/>
      <c r="F339" s="1424"/>
      <c r="G339" s="1410"/>
      <c r="H339" s="1410"/>
      <c r="I339" s="1410"/>
      <c r="J339" s="1410"/>
      <c r="K339" s="1410"/>
      <c r="L339" s="477" t="s">
        <v>652</v>
      </c>
      <c r="M339" s="1413"/>
      <c r="N339" s="479">
        <v>5.5E-2</v>
      </c>
      <c r="O339" s="479">
        <v>5.6000000000000001E-2</v>
      </c>
      <c r="P339" s="479">
        <v>5.7000000000000002E-2</v>
      </c>
      <c r="Q339" s="479">
        <v>5.8000000000000003E-2</v>
      </c>
      <c r="R339" s="479">
        <v>5.8000000000000003E-2</v>
      </c>
    </row>
    <row r="340" spans="1:18" s="181" customFormat="1" ht="25.5" x14ac:dyDescent="0.25">
      <c r="A340" s="183"/>
      <c r="B340" s="1400"/>
      <c r="C340" s="1393"/>
      <c r="D340" s="1393" t="s">
        <v>10</v>
      </c>
      <c r="E340" s="1393"/>
      <c r="F340" s="1408" t="s">
        <v>653</v>
      </c>
      <c r="G340" s="1398">
        <f>6391248.3-1005381+700336.6</f>
        <v>6086203.8999999994</v>
      </c>
      <c r="H340" s="1398">
        <f>6231419.3-2789000+405749.9+598594.4-9.6</f>
        <v>4446754</v>
      </c>
      <c r="I340" s="1398">
        <f>6469307.1-2788610+523059</f>
        <v>4203756.0999999996</v>
      </c>
      <c r="J340" s="1398">
        <f>3680697.1+510879.5</f>
        <v>4191576.6</v>
      </c>
      <c r="K340" s="1398">
        <f>6843637.3-2565000-80811.7</f>
        <v>4197825.5999999996</v>
      </c>
      <c r="L340" s="458" t="s">
        <v>654</v>
      </c>
      <c r="M340" s="459" t="s">
        <v>4</v>
      </c>
      <c r="N340" s="460" t="s">
        <v>649</v>
      </c>
      <c r="O340" s="460" t="s">
        <v>649</v>
      </c>
      <c r="P340" s="460" t="s">
        <v>649</v>
      </c>
      <c r="Q340" s="460" t="s">
        <v>649</v>
      </c>
      <c r="R340" s="460" t="s">
        <v>649</v>
      </c>
    </row>
    <row r="341" spans="1:18" s="181" customFormat="1" ht="15" x14ac:dyDescent="0.25">
      <c r="A341" s="183"/>
      <c r="B341" s="1400"/>
      <c r="C341" s="1405"/>
      <c r="D341" s="1405"/>
      <c r="E341" s="1405"/>
      <c r="F341" s="1409"/>
      <c r="G341" s="1398"/>
      <c r="H341" s="1398"/>
      <c r="I341" s="1398"/>
      <c r="J341" s="1398"/>
      <c r="K341" s="1398"/>
      <c r="L341" s="485" t="s">
        <v>655</v>
      </c>
      <c r="M341" s="459" t="s">
        <v>4</v>
      </c>
      <c r="N341" s="460">
        <v>6.5000000000000002E-2</v>
      </c>
      <c r="O341" s="460">
        <v>7.0000000000000007E-2</v>
      </c>
      <c r="P341" s="460">
        <v>7.4999999999999997E-2</v>
      </c>
      <c r="Q341" s="460">
        <v>0.08</v>
      </c>
      <c r="R341" s="460">
        <v>0.08</v>
      </c>
    </row>
    <row r="342" spans="1:18" s="181" customFormat="1" ht="25.5" x14ac:dyDescent="0.25">
      <c r="A342" s="183"/>
      <c r="B342" s="1400"/>
      <c r="C342" s="1405"/>
      <c r="D342" s="1405"/>
      <c r="E342" s="1405"/>
      <c r="F342" s="1409"/>
      <c r="G342" s="1398"/>
      <c r="H342" s="1398"/>
      <c r="I342" s="1398"/>
      <c r="J342" s="1398"/>
      <c r="K342" s="1398"/>
      <c r="L342" s="458" t="s">
        <v>656</v>
      </c>
      <c r="M342" s="469" t="s">
        <v>4</v>
      </c>
      <c r="N342" s="486">
        <v>1.05</v>
      </c>
      <c r="O342" s="486">
        <v>1.03</v>
      </c>
      <c r="P342" s="486">
        <v>1.01</v>
      </c>
      <c r="Q342" s="486">
        <v>1</v>
      </c>
      <c r="R342" s="486">
        <v>1</v>
      </c>
    </row>
    <row r="343" spans="1:18" s="181" customFormat="1" ht="25.5" x14ac:dyDescent="0.25">
      <c r="A343" s="183"/>
      <c r="B343" s="1400"/>
      <c r="C343" s="1405"/>
      <c r="D343" s="1405"/>
      <c r="E343" s="1405"/>
      <c r="F343" s="1409"/>
      <c r="G343" s="1398"/>
      <c r="H343" s="1398"/>
      <c r="I343" s="1398"/>
      <c r="J343" s="1398"/>
      <c r="K343" s="1398"/>
      <c r="L343" s="458" t="s">
        <v>657</v>
      </c>
      <c r="M343" s="459" t="s">
        <v>4</v>
      </c>
      <c r="N343" s="460" t="s">
        <v>658</v>
      </c>
      <c r="O343" s="460" t="s">
        <v>658</v>
      </c>
      <c r="P343" s="460" t="s">
        <v>658</v>
      </c>
      <c r="Q343" s="460" t="s">
        <v>658</v>
      </c>
      <c r="R343" s="460" t="s">
        <v>658</v>
      </c>
    </row>
    <row r="344" spans="1:18" s="181" customFormat="1" ht="25.5" x14ac:dyDescent="0.25">
      <c r="A344" s="183"/>
      <c r="B344" s="1400"/>
      <c r="C344" s="1394"/>
      <c r="D344" s="1394"/>
      <c r="E344" s="1394"/>
      <c r="F344" s="1414"/>
      <c r="G344" s="1398"/>
      <c r="H344" s="1398"/>
      <c r="I344" s="1398"/>
      <c r="J344" s="1398"/>
      <c r="K344" s="1398"/>
      <c r="L344" s="458" t="s">
        <v>657</v>
      </c>
      <c r="M344" s="459" t="s">
        <v>4</v>
      </c>
      <c r="N344" s="460">
        <v>1.06</v>
      </c>
      <c r="O344" s="460">
        <v>1.02</v>
      </c>
      <c r="P344" s="460" t="s">
        <v>132</v>
      </c>
      <c r="Q344" s="460" t="s">
        <v>132</v>
      </c>
      <c r="R344" s="460" t="s">
        <v>132</v>
      </c>
    </row>
    <row r="345" spans="1:18" s="181" customFormat="1" ht="38.25" x14ac:dyDescent="0.25">
      <c r="A345" s="183"/>
      <c r="B345" s="1400"/>
      <c r="C345" s="473"/>
      <c r="D345" s="473" t="s">
        <v>13</v>
      </c>
      <c r="E345" s="473"/>
      <c r="F345" s="471" t="s">
        <v>659</v>
      </c>
      <c r="G345" s="1008">
        <v>676147</v>
      </c>
      <c r="H345" s="1008">
        <v>647299.4</v>
      </c>
      <c r="I345" s="1008">
        <f>725215.4-290000</f>
        <v>435215.4</v>
      </c>
      <c r="J345" s="1008">
        <f>746114.8-290000-20000</f>
        <v>436114.80000000005</v>
      </c>
      <c r="K345" s="1008">
        <f>767714.7-290000</f>
        <v>477714.69999999995</v>
      </c>
      <c r="L345" s="458" t="s">
        <v>657</v>
      </c>
      <c r="M345" s="469" t="s">
        <v>4</v>
      </c>
      <c r="N345" s="486">
        <v>1</v>
      </c>
      <c r="O345" s="486">
        <v>1</v>
      </c>
      <c r="P345" s="486">
        <v>1</v>
      </c>
      <c r="Q345" s="486">
        <v>1</v>
      </c>
      <c r="R345" s="486">
        <v>1</v>
      </c>
    </row>
    <row r="346" spans="1:18" s="181" customFormat="1" ht="38.25" x14ac:dyDescent="0.25">
      <c r="A346" s="183"/>
      <c r="B346" s="1400"/>
      <c r="C346" s="487"/>
      <c r="D346" s="487" t="s">
        <v>9</v>
      </c>
      <c r="E346" s="487"/>
      <c r="F346" s="471" t="s">
        <v>660</v>
      </c>
      <c r="G346" s="1008">
        <v>235864</v>
      </c>
      <c r="H346" s="1008">
        <v>230680.3</v>
      </c>
      <c r="I346" s="1008">
        <f>228327.8-8000</f>
        <v>220327.8</v>
      </c>
      <c r="J346" s="1008">
        <f>234919.9-8000</f>
        <v>226919.9</v>
      </c>
      <c r="K346" s="1008">
        <f>241732.9-8000</f>
        <v>233732.9</v>
      </c>
      <c r="L346" s="458" t="s">
        <v>657</v>
      </c>
      <c r="M346" s="469" t="s">
        <v>4</v>
      </c>
      <c r="N346" s="486" t="s">
        <v>661</v>
      </c>
      <c r="O346" s="486" t="s">
        <v>661</v>
      </c>
      <c r="P346" s="486" t="s">
        <v>661</v>
      </c>
      <c r="Q346" s="486" t="s">
        <v>661</v>
      </c>
      <c r="R346" s="486" t="s">
        <v>661</v>
      </c>
    </row>
    <row r="347" spans="1:18" s="181" customFormat="1" ht="25.5" x14ac:dyDescent="0.25">
      <c r="A347" s="183"/>
      <c r="B347" s="1400"/>
      <c r="C347" s="487"/>
      <c r="D347" s="487" t="s">
        <v>23</v>
      </c>
      <c r="E347" s="487"/>
      <c r="F347" s="471" t="s">
        <v>662</v>
      </c>
      <c r="G347" s="1008">
        <v>46414.2</v>
      </c>
      <c r="H347" s="1008">
        <v>51929.9</v>
      </c>
      <c r="I347" s="1008">
        <f>32500-2000</f>
        <v>30500</v>
      </c>
      <c r="J347" s="1008">
        <f>33438.3-2000</f>
        <v>31438.300000000003</v>
      </c>
      <c r="K347" s="1008">
        <f>34408.1-2000</f>
        <v>32408.1</v>
      </c>
      <c r="L347" s="458" t="s">
        <v>657</v>
      </c>
      <c r="M347" s="469" t="s">
        <v>4</v>
      </c>
      <c r="N347" s="486" t="s">
        <v>661</v>
      </c>
      <c r="O347" s="486" t="s">
        <v>661</v>
      </c>
      <c r="P347" s="486" t="s">
        <v>661</v>
      </c>
      <c r="Q347" s="486" t="s">
        <v>661</v>
      </c>
      <c r="R347" s="486" t="s">
        <v>661</v>
      </c>
    </row>
    <row r="348" spans="1:18" s="181" customFormat="1" ht="25.5" x14ac:dyDescent="0.25">
      <c r="A348" s="183"/>
      <c r="B348" s="1400"/>
      <c r="C348" s="487"/>
      <c r="D348" s="487" t="s">
        <v>24</v>
      </c>
      <c r="E348" s="487"/>
      <c r="F348" s="471" t="s">
        <v>663</v>
      </c>
      <c r="G348" s="1008">
        <v>275283.40000000002</v>
      </c>
      <c r="H348" s="1008">
        <v>274574.2</v>
      </c>
      <c r="I348" s="1008">
        <f>328756.7-115000</f>
        <v>213756.7</v>
      </c>
      <c r="J348" s="1008">
        <f>338088.5-125000</f>
        <v>213088.5</v>
      </c>
      <c r="K348" s="1008">
        <f>347733-125000</f>
        <v>222733</v>
      </c>
      <c r="L348" s="458" t="s">
        <v>657</v>
      </c>
      <c r="M348" s="469" t="s">
        <v>4</v>
      </c>
      <c r="N348" s="486" t="s">
        <v>661</v>
      </c>
      <c r="O348" s="486" t="s">
        <v>661</v>
      </c>
      <c r="P348" s="486" t="s">
        <v>661</v>
      </c>
      <c r="Q348" s="486" t="s">
        <v>661</v>
      </c>
      <c r="R348" s="486" t="s">
        <v>661</v>
      </c>
    </row>
    <row r="349" spans="1:18" s="181" customFormat="1" ht="39" x14ac:dyDescent="0.25">
      <c r="A349" s="183"/>
      <c r="B349" s="1400"/>
      <c r="C349" s="473"/>
      <c r="D349" s="473" t="s">
        <v>27</v>
      </c>
      <c r="E349" s="473"/>
      <c r="F349" s="488" t="s">
        <v>664</v>
      </c>
      <c r="G349" s="1008">
        <v>90787.5</v>
      </c>
      <c r="H349" s="1008"/>
      <c r="I349" s="1008">
        <v>1286172.5</v>
      </c>
      <c r="J349" s="1008">
        <v>1286172.5</v>
      </c>
      <c r="K349" s="1008">
        <v>1286172.5</v>
      </c>
      <c r="L349" s="458" t="s">
        <v>665</v>
      </c>
      <c r="M349" s="459" t="s">
        <v>4</v>
      </c>
      <c r="N349" s="460">
        <v>0.83699999999999997</v>
      </c>
      <c r="O349" s="460">
        <v>1</v>
      </c>
      <c r="P349" s="460">
        <v>1</v>
      </c>
      <c r="Q349" s="460">
        <v>1</v>
      </c>
      <c r="R349" s="460">
        <v>1</v>
      </c>
    </row>
    <row r="350" spans="1:18" s="181" customFormat="1" ht="95.25" customHeight="1" x14ac:dyDescent="0.25">
      <c r="A350" s="183"/>
      <c r="B350" s="1400"/>
      <c r="C350" s="489" t="s">
        <v>666</v>
      </c>
      <c r="D350" s="473"/>
      <c r="E350" s="473"/>
      <c r="F350" s="1102" t="s">
        <v>1416</v>
      </c>
      <c r="G350" s="1009">
        <f>G351</f>
        <v>757700</v>
      </c>
      <c r="H350" s="1009">
        <f>H351</f>
        <v>757700</v>
      </c>
      <c r="I350" s="1009">
        <f>I351</f>
        <v>1421280</v>
      </c>
      <c r="J350" s="1009">
        <f>J351</f>
        <v>1421280</v>
      </c>
      <c r="K350" s="1009">
        <f>K351</f>
        <v>1516397.9</v>
      </c>
      <c r="L350" s="477" t="s">
        <v>1418</v>
      </c>
      <c r="M350" s="490" t="s">
        <v>4</v>
      </c>
      <c r="N350" s="491">
        <v>0.78</v>
      </c>
      <c r="O350" s="491">
        <v>0.79</v>
      </c>
      <c r="P350" s="491">
        <v>0.8</v>
      </c>
      <c r="Q350" s="491">
        <v>0.81</v>
      </c>
      <c r="R350" s="491">
        <v>0.81</v>
      </c>
    </row>
    <row r="351" spans="1:18" s="181" customFormat="1" ht="89.25" x14ac:dyDescent="0.25">
      <c r="A351" s="183"/>
      <c r="B351" s="1401"/>
      <c r="C351" s="473"/>
      <c r="D351" s="473" t="s">
        <v>10</v>
      </c>
      <c r="E351" s="473"/>
      <c r="F351" s="1101" t="s">
        <v>1417</v>
      </c>
      <c r="G351" s="1008">
        <f>682700+75000</f>
        <v>757700</v>
      </c>
      <c r="H351" s="1008">
        <v>757700</v>
      </c>
      <c r="I351" s="1008">
        <v>1421280</v>
      </c>
      <c r="J351" s="1008">
        <v>1421280</v>
      </c>
      <c r="K351" s="1008">
        <f>1526397.9-10000</f>
        <v>1516397.9</v>
      </c>
      <c r="L351" s="458" t="s">
        <v>1419</v>
      </c>
      <c r="M351" s="459" t="s">
        <v>321</v>
      </c>
      <c r="N351" s="492">
        <v>170</v>
      </c>
      <c r="O351" s="492">
        <v>190</v>
      </c>
      <c r="P351" s="492"/>
      <c r="Q351" s="492"/>
      <c r="R351" s="492"/>
    </row>
    <row r="352" spans="1:18" s="181" customFormat="1" ht="24.75" customHeight="1" x14ac:dyDescent="0.25">
      <c r="A352" s="183"/>
      <c r="B352" s="1276" t="s">
        <v>299</v>
      </c>
      <c r="C352" s="1277"/>
      <c r="D352" s="1277"/>
      <c r="E352" s="1277"/>
      <c r="F352" s="1278"/>
      <c r="G352" s="284">
        <f>G315+G335+G350</f>
        <v>13244300</v>
      </c>
      <c r="H352" s="284">
        <f t="shared" ref="H352:K352" si="39">H315+H335+H350</f>
        <v>11191341.699999999</v>
      </c>
      <c r="I352" s="284">
        <f t="shared" si="39"/>
        <v>15614747.9</v>
      </c>
      <c r="J352" s="284">
        <f t="shared" si="39"/>
        <v>15854896.600000001</v>
      </c>
      <c r="K352" s="284">
        <f t="shared" si="39"/>
        <v>16059261.6</v>
      </c>
      <c r="L352" s="222"/>
      <c r="M352" s="222"/>
      <c r="N352" s="182"/>
      <c r="O352" s="182"/>
      <c r="P352" s="182"/>
      <c r="Q352" s="182"/>
      <c r="R352" s="182"/>
    </row>
    <row r="353" spans="1:18" s="181" customFormat="1" ht="15" x14ac:dyDescent="0.25">
      <c r="A353" s="183"/>
      <c r="B353" s="1253" t="s">
        <v>667</v>
      </c>
      <c r="C353" s="1253"/>
      <c r="D353" s="1253"/>
      <c r="E353" s="1253"/>
      <c r="F353" s="1253"/>
      <c r="G353" s="1253"/>
      <c r="H353" s="1253"/>
      <c r="I353" s="1253"/>
      <c r="J353" s="1253"/>
      <c r="K353" s="1253"/>
      <c r="L353" s="1253"/>
      <c r="M353" s="1253"/>
      <c r="N353" s="1253"/>
      <c r="O353" s="1253"/>
      <c r="P353" s="1253"/>
      <c r="Q353" s="1253"/>
      <c r="R353" s="1253"/>
    </row>
    <row r="354" spans="1:18" s="181" customFormat="1" ht="76.5" customHeight="1" x14ac:dyDescent="0.25">
      <c r="A354" s="183"/>
      <c r="B354" s="1325">
        <v>26</v>
      </c>
      <c r="C354" s="1086" t="s">
        <v>119</v>
      </c>
      <c r="D354" s="1083"/>
      <c r="E354" s="1083"/>
      <c r="F354" s="1104" t="s">
        <v>668</v>
      </c>
      <c r="G354" s="1002">
        <f>SUM(G355:G358)</f>
        <v>22536707.399999999</v>
      </c>
      <c r="H354" s="1002">
        <f>SUM(H355:H358)</f>
        <v>23215728.400000002</v>
      </c>
      <c r="I354" s="999">
        <f>SUM(I355:I358)</f>
        <v>26675588.5</v>
      </c>
      <c r="J354" s="999">
        <f>SUM(J355:J358)</f>
        <v>27786222.600000001</v>
      </c>
      <c r="K354" s="999">
        <f>SUM(K355:K358)</f>
        <v>28880876.299999997</v>
      </c>
      <c r="L354" s="396" t="s">
        <v>669</v>
      </c>
      <c r="M354" s="189"/>
      <c r="N354" s="189"/>
      <c r="O354" s="189"/>
      <c r="P354" s="189"/>
      <c r="Q354" s="189"/>
      <c r="R354" s="189"/>
    </row>
    <row r="355" spans="1:18" s="181" customFormat="1" ht="45" x14ac:dyDescent="0.25">
      <c r="A355" s="183"/>
      <c r="B355" s="1326"/>
      <c r="C355" s="1086"/>
      <c r="D355" s="1083" t="s">
        <v>10</v>
      </c>
      <c r="E355" s="1083"/>
      <c r="F355" s="1103" t="s">
        <v>670</v>
      </c>
      <c r="G355" s="994">
        <v>13520624.4</v>
      </c>
      <c r="H355" s="994">
        <v>14231364.6</v>
      </c>
      <c r="I355" s="995">
        <f>15459468.9+960185+138000</f>
        <v>16557653.9</v>
      </c>
      <c r="J355" s="995">
        <f>16352960.9+960185</f>
        <v>17313145.899999999</v>
      </c>
      <c r="K355" s="995">
        <f>16939073.2+960185</f>
        <v>17899258.199999999</v>
      </c>
      <c r="L355" s="396" t="s">
        <v>669</v>
      </c>
      <c r="M355" s="189"/>
      <c r="N355" s="189"/>
      <c r="O355" s="189"/>
      <c r="P355" s="189"/>
      <c r="Q355" s="189"/>
      <c r="R355" s="189"/>
    </row>
    <row r="356" spans="1:18" s="181" customFormat="1" ht="45" x14ac:dyDescent="0.25">
      <c r="A356" s="183"/>
      <c r="B356" s="1326"/>
      <c r="C356" s="1086"/>
      <c r="D356" s="1083" t="s">
        <v>13</v>
      </c>
      <c r="E356" s="1083"/>
      <c r="F356" s="1103" t="s">
        <v>671</v>
      </c>
      <c r="G356" s="994">
        <v>1910982.5</v>
      </c>
      <c r="H356" s="994">
        <v>1915837.9</v>
      </c>
      <c r="I356" s="995">
        <f>1986225.4</f>
        <v>1986225.4</v>
      </c>
      <c r="J356" s="995">
        <v>2036880.6</v>
      </c>
      <c r="K356" s="995">
        <v>2088150.9</v>
      </c>
      <c r="L356" s="396" t="s">
        <v>669</v>
      </c>
      <c r="M356" s="189"/>
      <c r="N356" s="189"/>
      <c r="O356" s="189"/>
      <c r="P356" s="189"/>
      <c r="Q356" s="189"/>
      <c r="R356" s="189"/>
    </row>
    <row r="357" spans="1:18" s="181" customFormat="1" ht="45" x14ac:dyDescent="0.25">
      <c r="A357" s="183"/>
      <c r="B357" s="1326"/>
      <c r="C357" s="1086"/>
      <c r="D357" s="1083" t="s">
        <v>9</v>
      </c>
      <c r="E357" s="1083"/>
      <c r="F357" s="1103" t="s">
        <v>672</v>
      </c>
      <c r="G357" s="994">
        <f>3311200+36000</f>
        <v>3347200</v>
      </c>
      <c r="H357" s="994">
        <v>3305981.3</v>
      </c>
      <c r="I357" s="995">
        <f>4007316.1+120000+71313.9</f>
        <v>4198630</v>
      </c>
      <c r="J357" s="995">
        <f>4153349.6+120000+71313.9</f>
        <v>4344663.5</v>
      </c>
      <c r="K357" s="995">
        <f>4451760.1+120000+71313.9</f>
        <v>4643074</v>
      </c>
      <c r="L357" s="396" t="s">
        <v>669</v>
      </c>
      <c r="M357" s="189"/>
      <c r="N357" s="189"/>
      <c r="O357" s="189"/>
      <c r="P357" s="189"/>
      <c r="Q357" s="189"/>
      <c r="R357" s="189"/>
    </row>
    <row r="358" spans="1:18" s="181" customFormat="1" ht="45" x14ac:dyDescent="0.25">
      <c r="A358" s="183"/>
      <c r="B358" s="1327"/>
      <c r="C358" s="1086"/>
      <c r="D358" s="1083" t="s">
        <v>23</v>
      </c>
      <c r="E358" s="1083"/>
      <c r="F358" s="1103" t="s">
        <v>673</v>
      </c>
      <c r="G358" s="994">
        <v>3757900.5</v>
      </c>
      <c r="H358" s="994">
        <v>3762544.6</v>
      </c>
      <c r="I358" s="995">
        <v>3933079.2</v>
      </c>
      <c r="J358" s="995">
        <v>4091532.6</v>
      </c>
      <c r="K358" s="995">
        <v>4250393.2</v>
      </c>
      <c r="L358" s="396" t="s">
        <v>669</v>
      </c>
      <c r="M358" s="189"/>
      <c r="N358" s="189"/>
      <c r="O358" s="189"/>
      <c r="P358" s="189"/>
      <c r="Q358" s="189"/>
      <c r="R358" s="189"/>
    </row>
    <row r="359" spans="1:18" s="181" customFormat="1" ht="15" x14ac:dyDescent="0.25">
      <c r="A359" s="183"/>
      <c r="B359" s="1276" t="s">
        <v>299</v>
      </c>
      <c r="C359" s="1277"/>
      <c r="D359" s="1277"/>
      <c r="E359" s="1277"/>
      <c r="F359" s="1278"/>
      <c r="G359" s="798">
        <f>G354</f>
        <v>22536707.399999999</v>
      </c>
      <c r="H359" s="798">
        <f t="shared" ref="H359:K359" si="40">H354</f>
        <v>23215728.400000002</v>
      </c>
      <c r="I359" s="798">
        <f t="shared" si="40"/>
        <v>26675588.5</v>
      </c>
      <c r="J359" s="798">
        <f t="shared" si="40"/>
        <v>27786222.600000001</v>
      </c>
      <c r="K359" s="798">
        <f t="shared" si="40"/>
        <v>28880876.299999997</v>
      </c>
      <c r="L359" s="193"/>
      <c r="M359" s="1279"/>
      <c r="N359" s="1279"/>
      <c r="O359" s="1279"/>
      <c r="P359" s="1279"/>
      <c r="Q359" s="1279"/>
      <c r="R359" s="1279"/>
    </row>
    <row r="360" spans="1:18" s="181" customFormat="1" ht="15" x14ac:dyDescent="0.25">
      <c r="A360" s="183"/>
      <c r="B360" s="1428" t="s">
        <v>674</v>
      </c>
      <c r="C360" s="1429"/>
      <c r="D360" s="1429"/>
      <c r="E360" s="1429"/>
      <c r="F360" s="1429"/>
      <c r="G360" s="1429"/>
      <c r="H360" s="1429"/>
      <c r="I360" s="1429"/>
      <c r="J360" s="1429"/>
      <c r="K360" s="1429"/>
      <c r="L360" s="1429"/>
      <c r="M360" s="1429"/>
      <c r="N360" s="1429"/>
      <c r="O360" s="1429"/>
      <c r="P360" s="1429"/>
      <c r="Q360" s="1429"/>
      <c r="R360" s="1430"/>
    </row>
    <row r="361" spans="1:18" s="181" customFormat="1" ht="28.5" x14ac:dyDescent="0.25">
      <c r="A361" s="183"/>
      <c r="B361" s="1291">
        <v>26</v>
      </c>
      <c r="C361" s="496">
        <v>263</v>
      </c>
      <c r="D361" s="226"/>
      <c r="E361" s="226"/>
      <c r="F361" s="226" t="s">
        <v>674</v>
      </c>
      <c r="G361" s="497">
        <f>SUM(G362:G379)</f>
        <v>32095567.684999999</v>
      </c>
      <c r="H361" s="497">
        <f t="shared" ref="H361:K361" si="41">SUM(H362:H379)</f>
        <v>17115635.399999999</v>
      </c>
      <c r="I361" s="497">
        <f t="shared" si="41"/>
        <v>97520377</v>
      </c>
      <c r="J361" s="497">
        <f t="shared" si="41"/>
        <v>98189290.599999994</v>
      </c>
      <c r="K361" s="497">
        <f t="shared" si="41"/>
        <v>97361859.299999982</v>
      </c>
      <c r="L361" s="103" t="s">
        <v>1425</v>
      </c>
      <c r="M361" s="169" t="s">
        <v>4</v>
      </c>
      <c r="N361" s="169">
        <v>100</v>
      </c>
      <c r="O361" s="169">
        <v>100</v>
      </c>
      <c r="P361" s="169">
        <v>100</v>
      </c>
      <c r="Q361" s="169">
        <v>100</v>
      </c>
      <c r="R361" s="170">
        <v>100</v>
      </c>
    </row>
    <row r="362" spans="1:18" s="181" customFormat="1" ht="45" x14ac:dyDescent="0.25">
      <c r="A362" s="183"/>
      <c r="B362" s="1292"/>
      <c r="C362" s="454"/>
      <c r="D362" s="498" t="s">
        <v>9</v>
      </c>
      <c r="E362" s="259"/>
      <c r="F362" s="1059" t="s">
        <v>675</v>
      </c>
      <c r="G362" s="1004"/>
      <c r="H362" s="1004">
        <v>70500</v>
      </c>
      <c r="I362" s="1004">
        <v>87650</v>
      </c>
      <c r="J362" s="1004">
        <v>80000</v>
      </c>
      <c r="K362" s="1004">
        <v>31500</v>
      </c>
      <c r="L362" s="101" t="s">
        <v>1426</v>
      </c>
      <c r="M362" s="33" t="s">
        <v>4</v>
      </c>
      <c r="N362" s="33">
        <v>100</v>
      </c>
      <c r="O362" s="33">
        <v>100</v>
      </c>
      <c r="P362" s="33">
        <v>100</v>
      </c>
      <c r="Q362" s="33">
        <v>100</v>
      </c>
      <c r="R362" s="168">
        <v>100</v>
      </c>
    </row>
    <row r="363" spans="1:18" s="181" customFormat="1" ht="30" x14ac:dyDescent="0.25">
      <c r="A363" s="183"/>
      <c r="B363" s="1292"/>
      <c r="C363" s="499"/>
      <c r="D363" s="498" t="s">
        <v>23</v>
      </c>
      <c r="E363" s="259"/>
      <c r="F363" s="1059" t="s">
        <v>676</v>
      </c>
      <c r="G363" s="1004"/>
      <c r="H363" s="1004">
        <v>500000</v>
      </c>
      <c r="I363" s="1004">
        <v>500000</v>
      </c>
      <c r="J363" s="1004">
        <v>509691.7</v>
      </c>
      <c r="K363" s="1004">
        <v>509691.7</v>
      </c>
      <c r="L363" s="101" t="s">
        <v>1427</v>
      </c>
      <c r="M363" s="33" t="s">
        <v>4</v>
      </c>
      <c r="N363" s="33">
        <v>20</v>
      </c>
      <c r="O363" s="33">
        <v>40</v>
      </c>
      <c r="P363" s="33">
        <v>50</v>
      </c>
      <c r="Q363" s="33">
        <v>75</v>
      </c>
      <c r="R363" s="168">
        <v>100</v>
      </c>
    </row>
    <row r="364" spans="1:18" s="181" customFormat="1" ht="30" x14ac:dyDescent="0.25">
      <c r="A364" s="183"/>
      <c r="B364" s="1292"/>
      <c r="C364" s="499"/>
      <c r="D364" s="498" t="s">
        <v>25</v>
      </c>
      <c r="E364" s="259"/>
      <c r="F364" s="1059" t="s">
        <v>677</v>
      </c>
      <c r="G364" s="1004"/>
      <c r="H364" s="1004">
        <v>600000</v>
      </c>
      <c r="I364" s="1004">
        <v>600000</v>
      </c>
      <c r="J364" s="1004">
        <v>611630</v>
      </c>
      <c r="K364" s="1004">
        <v>611630</v>
      </c>
      <c r="L364" s="101" t="s">
        <v>1428</v>
      </c>
      <c r="M364" s="33" t="s">
        <v>4</v>
      </c>
      <c r="N364" s="33">
        <v>40</v>
      </c>
      <c r="O364" s="33">
        <v>50</v>
      </c>
      <c r="P364" s="33">
        <v>60</v>
      </c>
      <c r="Q364" s="33">
        <v>70</v>
      </c>
      <c r="R364" s="168">
        <v>90</v>
      </c>
    </row>
    <row r="365" spans="1:18" s="181" customFormat="1" ht="30" x14ac:dyDescent="0.25">
      <c r="A365" s="183"/>
      <c r="B365" s="1292"/>
      <c r="C365" s="499"/>
      <c r="D365" s="498" t="s">
        <v>26</v>
      </c>
      <c r="E365" s="259"/>
      <c r="F365" s="1059" t="s">
        <v>678</v>
      </c>
      <c r="G365" s="1004">
        <v>304150.614</v>
      </c>
      <c r="H365" s="1004">
        <v>500000</v>
      </c>
      <c r="I365" s="1004">
        <v>700000</v>
      </c>
      <c r="J365" s="1004">
        <v>710000</v>
      </c>
      <c r="K365" s="1004">
        <v>725000</v>
      </c>
      <c r="L365" s="101" t="s">
        <v>1429</v>
      </c>
      <c r="M365" s="33" t="s">
        <v>4</v>
      </c>
      <c r="N365" s="33">
        <v>100</v>
      </c>
      <c r="O365" s="33">
        <v>100</v>
      </c>
      <c r="P365" s="33">
        <v>100</v>
      </c>
      <c r="Q365" s="33">
        <v>100</v>
      </c>
      <c r="R365" s="168">
        <v>100</v>
      </c>
    </row>
    <row r="366" spans="1:18" s="181" customFormat="1" ht="18" customHeight="1" x14ac:dyDescent="0.25">
      <c r="A366" s="183"/>
      <c r="B366" s="1292"/>
      <c r="C366" s="499"/>
      <c r="D366" s="498" t="s">
        <v>27</v>
      </c>
      <c r="E366" s="259"/>
      <c r="F366" s="1144" t="s">
        <v>679</v>
      </c>
      <c r="G366" s="1004">
        <v>30688770.355999999</v>
      </c>
      <c r="H366" s="1004">
        <v>9904618.5999999996</v>
      </c>
      <c r="I366" s="1004">
        <v>11463447</v>
      </c>
      <c r="J366" s="1004">
        <v>12936630.100000001</v>
      </c>
      <c r="K366" s="1004">
        <v>13892935</v>
      </c>
      <c r="L366" s="101" t="s">
        <v>1430</v>
      </c>
      <c r="M366" s="33" t="s">
        <v>4</v>
      </c>
      <c r="N366" s="33">
        <v>100</v>
      </c>
      <c r="O366" s="33">
        <v>100</v>
      </c>
      <c r="P366" s="33">
        <v>100</v>
      </c>
      <c r="Q366" s="33">
        <v>100</v>
      </c>
      <c r="R366" s="168">
        <v>100</v>
      </c>
    </row>
    <row r="367" spans="1:18" s="181" customFormat="1" ht="30" x14ac:dyDescent="0.25">
      <c r="A367" s="183"/>
      <c r="B367" s="1292"/>
      <c r="C367" s="499"/>
      <c r="D367" s="498" t="s">
        <v>39</v>
      </c>
      <c r="E367" s="259"/>
      <c r="F367" s="1144" t="s">
        <v>680</v>
      </c>
      <c r="G367" s="1004">
        <v>410720.45199999999</v>
      </c>
      <c r="H367" s="1004">
        <v>500000</v>
      </c>
      <c r="I367" s="1004">
        <v>500000</v>
      </c>
      <c r="J367" s="1004">
        <v>500000</v>
      </c>
      <c r="K367" s="1004">
        <v>500000</v>
      </c>
      <c r="L367" s="101" t="s">
        <v>1431</v>
      </c>
      <c r="M367" s="33" t="s">
        <v>4</v>
      </c>
      <c r="N367" s="33">
        <v>100</v>
      </c>
      <c r="O367" s="33">
        <v>100</v>
      </c>
      <c r="P367" s="33">
        <v>100</v>
      </c>
      <c r="Q367" s="33">
        <v>100</v>
      </c>
      <c r="R367" s="168">
        <v>100</v>
      </c>
    </row>
    <row r="368" spans="1:18" s="181" customFormat="1" ht="15" x14ac:dyDescent="0.25">
      <c r="A368" s="183"/>
      <c r="B368" s="1292"/>
      <c r="C368" s="499"/>
      <c r="D368" s="498" t="s">
        <v>41</v>
      </c>
      <c r="E368" s="259"/>
      <c r="F368" s="1144" t="s">
        <v>681</v>
      </c>
      <c r="G368" s="1004">
        <v>1305</v>
      </c>
      <c r="H368" s="1004">
        <v>30300.799999999999</v>
      </c>
      <c r="I368" s="1004">
        <v>30300.799999999999</v>
      </c>
      <c r="J368" s="1004">
        <v>30888.1</v>
      </c>
      <c r="K368" s="1004">
        <v>31812.1</v>
      </c>
      <c r="L368" s="101" t="s">
        <v>1432</v>
      </c>
      <c r="M368" s="33" t="s">
        <v>4</v>
      </c>
      <c r="N368" s="33">
        <v>100</v>
      </c>
      <c r="O368" s="33">
        <v>100</v>
      </c>
      <c r="P368" s="33">
        <v>100</v>
      </c>
      <c r="Q368" s="33">
        <v>100</v>
      </c>
      <c r="R368" s="168">
        <v>100</v>
      </c>
    </row>
    <row r="369" spans="1:18" s="181" customFormat="1" ht="43.5" customHeight="1" x14ac:dyDescent="0.25">
      <c r="A369" s="183"/>
      <c r="B369" s="1292"/>
      <c r="C369" s="499"/>
      <c r="D369" s="498" t="s">
        <v>42</v>
      </c>
      <c r="E369" s="259"/>
      <c r="F369" s="1144" t="s">
        <v>682</v>
      </c>
      <c r="G369" s="1004">
        <v>30910.262999999999</v>
      </c>
      <c r="H369" s="1004">
        <v>45000</v>
      </c>
      <c r="I369" s="1004">
        <v>45000</v>
      </c>
      <c r="J369" s="1004">
        <v>45000</v>
      </c>
      <c r="K369" s="1004">
        <v>45000</v>
      </c>
      <c r="L369" s="101" t="s">
        <v>1433</v>
      </c>
      <c r="M369" s="33" t="s">
        <v>4</v>
      </c>
      <c r="N369" s="33">
        <v>100</v>
      </c>
      <c r="O369" s="33">
        <v>100</v>
      </c>
      <c r="P369" s="33">
        <v>100</v>
      </c>
      <c r="Q369" s="33">
        <v>100</v>
      </c>
      <c r="R369" s="168">
        <v>100</v>
      </c>
    </row>
    <row r="370" spans="1:18" s="181" customFormat="1" ht="30" x14ac:dyDescent="0.25">
      <c r="A370" s="183"/>
      <c r="B370" s="1292"/>
      <c r="C370" s="499"/>
      <c r="D370" s="498" t="s">
        <v>44</v>
      </c>
      <c r="E370" s="259"/>
      <c r="F370" s="1144" t="s">
        <v>683</v>
      </c>
      <c r="G370" s="1004">
        <v>239711</v>
      </c>
      <c r="H370" s="1004">
        <v>2365216</v>
      </c>
      <c r="I370" s="1004">
        <v>1112000</v>
      </c>
      <c r="J370" s="1004">
        <v>1112000</v>
      </c>
      <c r="K370" s="1004">
        <v>1112000</v>
      </c>
      <c r="L370" s="101" t="s">
        <v>1434</v>
      </c>
      <c r="M370" s="33" t="s">
        <v>4</v>
      </c>
      <c r="N370" s="33">
        <v>100</v>
      </c>
      <c r="O370" s="33">
        <v>100</v>
      </c>
      <c r="P370" s="33">
        <v>100</v>
      </c>
      <c r="Q370" s="33">
        <v>100</v>
      </c>
      <c r="R370" s="168">
        <v>100</v>
      </c>
    </row>
    <row r="371" spans="1:18" s="181" customFormat="1" ht="30" x14ac:dyDescent="0.25">
      <c r="A371" s="183"/>
      <c r="B371" s="1292"/>
      <c r="C371" s="499"/>
      <c r="D371" s="498" t="s">
        <v>45</v>
      </c>
      <c r="E371" s="259"/>
      <c r="F371" s="1144" t="s">
        <v>684</v>
      </c>
      <c r="G371" s="1004"/>
      <c r="H371" s="1004">
        <v>100000</v>
      </c>
      <c r="I371" s="1004">
        <v>150000</v>
      </c>
      <c r="J371" s="1004">
        <v>200000</v>
      </c>
      <c r="K371" s="1004">
        <v>250000</v>
      </c>
      <c r="L371" s="101" t="s">
        <v>1435</v>
      </c>
      <c r="M371" s="33" t="s">
        <v>4</v>
      </c>
      <c r="N371" s="33">
        <v>40</v>
      </c>
      <c r="O371" s="33">
        <v>50</v>
      </c>
      <c r="P371" s="33">
        <v>60</v>
      </c>
      <c r="Q371" s="33">
        <v>70</v>
      </c>
      <c r="R371" s="168">
        <v>90</v>
      </c>
    </row>
    <row r="372" spans="1:18" s="181" customFormat="1" ht="30" x14ac:dyDescent="0.25">
      <c r="A372" s="183"/>
      <c r="B372" s="1292"/>
      <c r="C372" s="499"/>
      <c r="D372" s="498" t="s">
        <v>46</v>
      </c>
      <c r="E372" s="259"/>
      <c r="F372" s="1144" t="s">
        <v>685</v>
      </c>
      <c r="G372" s="1004">
        <v>420000</v>
      </c>
      <c r="H372" s="1004">
        <v>500000</v>
      </c>
      <c r="I372" s="1004">
        <v>500000</v>
      </c>
      <c r="J372" s="1004">
        <v>500000</v>
      </c>
      <c r="K372" s="1004">
        <v>620000</v>
      </c>
      <c r="L372" s="101" t="s">
        <v>1434</v>
      </c>
      <c r="M372" s="33" t="s">
        <v>4</v>
      </c>
      <c r="N372" s="33">
        <v>100</v>
      </c>
      <c r="O372" s="33">
        <v>100</v>
      </c>
      <c r="P372" s="33">
        <v>100</v>
      </c>
      <c r="Q372" s="33">
        <v>100</v>
      </c>
      <c r="R372" s="168">
        <v>100</v>
      </c>
    </row>
    <row r="373" spans="1:18" s="181" customFormat="1" ht="30" x14ac:dyDescent="0.25">
      <c r="A373" s="183"/>
      <c r="B373" s="1292"/>
      <c r="C373" s="499"/>
      <c r="D373" s="498" t="s">
        <v>56</v>
      </c>
      <c r="E373" s="259"/>
      <c r="F373" s="1144" t="s">
        <v>686</v>
      </c>
      <c r="G373" s="1004"/>
      <c r="H373" s="1004">
        <v>2000000</v>
      </c>
      <c r="I373" s="1004">
        <v>801377.3</v>
      </c>
      <c r="J373" s="1004">
        <v>1528571.7</v>
      </c>
      <c r="K373" s="1004">
        <v>1534652.6</v>
      </c>
      <c r="L373" s="101" t="s">
        <v>1436</v>
      </c>
      <c r="M373" s="33" t="s">
        <v>4</v>
      </c>
      <c r="N373" s="33">
        <v>100</v>
      </c>
      <c r="O373" s="33">
        <v>100</v>
      </c>
      <c r="P373" s="33">
        <v>100</v>
      </c>
      <c r="Q373" s="33">
        <v>100</v>
      </c>
      <c r="R373" s="168">
        <v>100</v>
      </c>
    </row>
    <row r="374" spans="1:18" s="181" customFormat="1" ht="15" x14ac:dyDescent="0.25">
      <c r="A374" s="993"/>
      <c r="B374" s="1292"/>
      <c r="C374" s="499"/>
      <c r="D374" s="498" t="s">
        <v>221</v>
      </c>
      <c r="E374" s="259"/>
      <c r="F374" s="1146" t="s">
        <v>1420</v>
      </c>
      <c r="G374" s="1004"/>
      <c r="H374" s="1004"/>
      <c r="I374" s="1004">
        <v>4339018.8</v>
      </c>
      <c r="J374" s="1004"/>
      <c r="K374" s="1004"/>
      <c r="L374" s="101" t="s">
        <v>1437</v>
      </c>
      <c r="M374" s="33" t="s">
        <v>4</v>
      </c>
      <c r="N374" s="33" t="s">
        <v>222</v>
      </c>
      <c r="O374" s="33" t="s">
        <v>222</v>
      </c>
      <c r="P374" s="33">
        <v>100</v>
      </c>
      <c r="Q374" s="33" t="s">
        <v>222</v>
      </c>
      <c r="R374" s="168" t="s">
        <v>222</v>
      </c>
    </row>
    <row r="375" spans="1:18" s="181" customFormat="1" ht="30" x14ac:dyDescent="0.25">
      <c r="A375" s="183"/>
      <c r="B375" s="1292"/>
      <c r="C375" s="499"/>
      <c r="D375" s="498" t="s">
        <v>120</v>
      </c>
      <c r="E375" s="259"/>
      <c r="F375" s="1144" t="s">
        <v>687</v>
      </c>
      <c r="G375" s="1004"/>
      <c r="H375" s="1004"/>
      <c r="I375" s="1004">
        <v>72994638.5</v>
      </c>
      <c r="J375" s="1004">
        <f>76742020.6-25.3</f>
        <v>76741995.299999997</v>
      </c>
      <c r="K375" s="1004">
        <f>74701014.6-25.3</f>
        <v>74700989.299999997</v>
      </c>
      <c r="L375" s="101" t="s">
        <v>1438</v>
      </c>
      <c r="M375" s="33" t="s">
        <v>4</v>
      </c>
      <c r="N375" s="33"/>
      <c r="O375" s="33"/>
      <c r="P375" s="33">
        <v>100</v>
      </c>
      <c r="Q375" s="33">
        <v>100</v>
      </c>
      <c r="R375" s="168">
        <v>100</v>
      </c>
    </row>
    <row r="376" spans="1:18" s="181" customFormat="1" ht="45" x14ac:dyDescent="0.25">
      <c r="A376" s="183"/>
      <c r="B376" s="1292"/>
      <c r="C376" s="499"/>
      <c r="D376" s="498" t="s">
        <v>121</v>
      </c>
      <c r="E376" s="259"/>
      <c r="F376" s="1144" t="s">
        <v>1421</v>
      </c>
      <c r="G376" s="1004"/>
      <c r="H376" s="1004"/>
      <c r="I376" s="1004">
        <v>1996944.6</v>
      </c>
      <c r="J376" s="1004">
        <v>2182883.6999999997</v>
      </c>
      <c r="K376" s="1004">
        <v>2296648.5999999996</v>
      </c>
      <c r="L376" s="101" t="s">
        <v>1439</v>
      </c>
      <c r="M376" s="33" t="s">
        <v>4</v>
      </c>
      <c r="N376" s="33"/>
      <c r="O376" s="33"/>
      <c r="P376" s="33">
        <v>100</v>
      </c>
      <c r="Q376" s="33">
        <v>100</v>
      </c>
      <c r="R376" s="168">
        <v>100</v>
      </c>
    </row>
    <row r="377" spans="1:18" s="181" customFormat="1" ht="30" x14ac:dyDescent="0.25">
      <c r="A377" s="183"/>
      <c r="B377" s="1292"/>
      <c r="C377" s="499"/>
      <c r="D377" s="498" t="s">
        <v>61</v>
      </c>
      <c r="E377" s="259"/>
      <c r="F377" s="1144" t="s">
        <v>688</v>
      </c>
      <c r="G377" s="1004"/>
      <c r="H377" s="1004"/>
      <c r="I377" s="1004">
        <v>300000</v>
      </c>
      <c r="J377" s="1004"/>
      <c r="K377" s="1004"/>
      <c r="L377" s="101" t="s">
        <v>1440</v>
      </c>
      <c r="M377" s="33" t="s">
        <v>4</v>
      </c>
      <c r="N377" s="33"/>
      <c r="O377" s="33"/>
      <c r="P377" s="33">
        <v>100</v>
      </c>
      <c r="Q377" s="33"/>
      <c r="R377" s="168"/>
    </row>
    <row r="378" spans="1:18" s="181" customFormat="1" ht="30" x14ac:dyDescent="0.25">
      <c r="A378" s="993"/>
      <c r="B378" s="1292"/>
      <c r="C378" s="499"/>
      <c r="D378" s="1038" t="s">
        <v>219</v>
      </c>
      <c r="E378" s="16"/>
      <c r="F378" s="1146" t="s">
        <v>1422</v>
      </c>
      <c r="G378" s="1004"/>
      <c r="H378" s="1004"/>
      <c r="I378" s="1004">
        <v>900000</v>
      </c>
      <c r="J378" s="1004"/>
      <c r="K378" s="1004"/>
      <c r="L378" s="101" t="s">
        <v>1437</v>
      </c>
      <c r="M378" s="33" t="s">
        <v>4</v>
      </c>
      <c r="N378" s="33"/>
      <c r="O378" s="33"/>
      <c r="P378" s="33">
        <v>100</v>
      </c>
      <c r="Q378" s="33"/>
      <c r="R378" s="168"/>
    </row>
    <row r="379" spans="1:18" s="181" customFormat="1" ht="45" x14ac:dyDescent="0.25">
      <c r="A379" s="993"/>
      <c r="B379" s="1292"/>
      <c r="C379" s="499"/>
      <c r="D379" s="1038" t="s">
        <v>220</v>
      </c>
      <c r="E379" s="16"/>
      <c r="F379" s="1146" t="s">
        <v>1423</v>
      </c>
      <c r="G379" s="1004"/>
      <c r="H379" s="1004"/>
      <c r="I379" s="1004">
        <v>500000</v>
      </c>
      <c r="J379" s="1004">
        <v>500000</v>
      </c>
      <c r="K379" s="1004">
        <v>500000</v>
      </c>
      <c r="L379" s="101" t="s">
        <v>1441</v>
      </c>
      <c r="M379" s="33" t="s">
        <v>4</v>
      </c>
      <c r="N379" s="33"/>
      <c r="O379" s="33"/>
      <c r="P379" s="33">
        <v>100</v>
      </c>
      <c r="Q379" s="33">
        <v>100</v>
      </c>
      <c r="R379" s="168">
        <v>100</v>
      </c>
    </row>
    <row r="380" spans="1:18" s="181" customFormat="1" ht="28.5" x14ac:dyDescent="0.25">
      <c r="A380" s="183"/>
      <c r="B380" s="1292"/>
      <c r="C380" s="454">
        <v>264</v>
      </c>
      <c r="D380" s="498"/>
      <c r="E380" s="259"/>
      <c r="F380" s="316" t="s">
        <v>689</v>
      </c>
      <c r="G380" s="500">
        <f>G381+G382+G383+G384+G385+G386+G387+G388+G389+G390</f>
        <v>4057203.5549999997</v>
      </c>
      <c r="H380" s="500">
        <f t="shared" ref="H380:K380" si="42">H381+H382+H383+H384+H385+H386+H387+H388+H389+H390</f>
        <v>10877535.5</v>
      </c>
      <c r="I380" s="500">
        <f t="shared" si="42"/>
        <v>15756409.500000002</v>
      </c>
      <c r="J380" s="500">
        <f t="shared" si="42"/>
        <v>16791462.280000001</v>
      </c>
      <c r="K380" s="500">
        <f t="shared" si="42"/>
        <v>20142612.799999997</v>
      </c>
      <c r="L380" s="103" t="s">
        <v>1442</v>
      </c>
      <c r="M380" s="169" t="s">
        <v>4</v>
      </c>
      <c r="N380" s="169">
        <v>100</v>
      </c>
      <c r="O380" s="169">
        <v>100</v>
      </c>
      <c r="P380" s="169">
        <v>100</v>
      </c>
      <c r="Q380" s="169">
        <v>100</v>
      </c>
      <c r="R380" s="170">
        <v>100</v>
      </c>
    </row>
    <row r="381" spans="1:18" s="181" customFormat="1" ht="30" x14ac:dyDescent="0.25">
      <c r="A381" s="183"/>
      <c r="B381" s="1292"/>
      <c r="C381" s="454"/>
      <c r="D381" s="498" t="s">
        <v>10</v>
      </c>
      <c r="E381" s="259"/>
      <c r="F381" s="1144" t="s">
        <v>690</v>
      </c>
      <c r="G381" s="1004">
        <v>3147743.531</v>
      </c>
      <c r="H381" s="1004">
        <v>3000000</v>
      </c>
      <c r="I381" s="1004">
        <v>3000000</v>
      </c>
      <c r="J381" s="1004">
        <v>4000000</v>
      </c>
      <c r="K381" s="1004">
        <v>6500000</v>
      </c>
      <c r="L381" s="101" t="s">
        <v>1443</v>
      </c>
      <c r="M381" s="33" t="s">
        <v>4</v>
      </c>
      <c r="N381" s="33">
        <v>100</v>
      </c>
      <c r="O381" s="33">
        <v>100</v>
      </c>
      <c r="P381" s="33">
        <v>100</v>
      </c>
      <c r="Q381" s="33">
        <v>100</v>
      </c>
      <c r="R381" s="168">
        <v>100</v>
      </c>
    </row>
    <row r="382" spans="1:18" s="181" customFormat="1" ht="30" x14ac:dyDescent="0.25">
      <c r="A382" s="183"/>
      <c r="B382" s="1292"/>
      <c r="C382" s="454"/>
      <c r="D382" s="498" t="s">
        <v>13</v>
      </c>
      <c r="E382" s="259"/>
      <c r="F382" s="1144" t="s">
        <v>691</v>
      </c>
      <c r="G382" s="1004">
        <v>9970</v>
      </c>
      <c r="H382" s="1004">
        <v>150000</v>
      </c>
      <c r="I382" s="1004">
        <v>150000</v>
      </c>
      <c r="J382" s="1004">
        <v>150000</v>
      </c>
      <c r="K382" s="1004">
        <v>150000</v>
      </c>
      <c r="L382" s="101" t="s">
        <v>1444</v>
      </c>
      <c r="M382" s="33" t="s">
        <v>4</v>
      </c>
      <c r="N382" s="33">
        <v>100</v>
      </c>
      <c r="O382" s="33">
        <v>100</v>
      </c>
      <c r="P382" s="33">
        <v>100</v>
      </c>
      <c r="Q382" s="33">
        <v>100</v>
      </c>
      <c r="R382" s="168">
        <v>100</v>
      </c>
    </row>
    <row r="383" spans="1:18" s="181" customFormat="1" ht="30" x14ac:dyDescent="0.25">
      <c r="A383" s="183"/>
      <c r="B383" s="1292"/>
      <c r="C383" s="454"/>
      <c r="D383" s="498" t="s">
        <v>9</v>
      </c>
      <c r="E383" s="259"/>
      <c r="F383" s="1144" t="s">
        <v>692</v>
      </c>
      <c r="G383" s="1004"/>
      <c r="H383" s="1004">
        <v>1237807.7</v>
      </c>
      <c r="I383" s="1004">
        <f>5893278.3-25.3</f>
        <v>5893253</v>
      </c>
      <c r="J383" s="1004">
        <v>5794275.7400000002</v>
      </c>
      <c r="K383" s="1004">
        <v>5794275.7000000002</v>
      </c>
      <c r="L383" s="101" t="s">
        <v>1445</v>
      </c>
      <c r="M383" s="33" t="s">
        <v>4</v>
      </c>
      <c r="N383" s="33">
        <v>100</v>
      </c>
      <c r="O383" s="33">
        <v>100</v>
      </c>
      <c r="P383" s="33">
        <v>100</v>
      </c>
      <c r="Q383" s="33">
        <v>100</v>
      </c>
      <c r="R383" s="168">
        <v>100</v>
      </c>
    </row>
    <row r="384" spans="1:18" s="181" customFormat="1" ht="30" x14ac:dyDescent="0.25">
      <c r="A384" s="183"/>
      <c r="B384" s="1292"/>
      <c r="C384" s="454"/>
      <c r="D384" s="498" t="s">
        <v>23</v>
      </c>
      <c r="E384" s="259"/>
      <c r="F384" s="1144" t="s">
        <v>693</v>
      </c>
      <c r="G384" s="1004"/>
      <c r="H384" s="1004">
        <v>1967300</v>
      </c>
      <c r="I384" s="1004">
        <v>1423225.3</v>
      </c>
      <c r="J384" s="1004">
        <f>1423200+25.3</f>
        <v>1423225.3</v>
      </c>
      <c r="K384" s="1004">
        <f>1423200+25.3</f>
        <v>1423225.3</v>
      </c>
      <c r="L384" s="101" t="s">
        <v>1446</v>
      </c>
      <c r="M384" s="33" t="s">
        <v>4</v>
      </c>
      <c r="N384" s="33">
        <v>100</v>
      </c>
      <c r="O384" s="33">
        <v>100</v>
      </c>
      <c r="P384" s="33">
        <v>100</v>
      </c>
      <c r="Q384" s="33">
        <v>100</v>
      </c>
      <c r="R384" s="168">
        <v>100</v>
      </c>
    </row>
    <row r="385" spans="1:18" s="181" customFormat="1" ht="30" x14ac:dyDescent="0.25">
      <c r="A385" s="183"/>
      <c r="B385" s="1292"/>
      <c r="C385" s="454"/>
      <c r="D385" s="498" t="s">
        <v>24</v>
      </c>
      <c r="E385" s="259"/>
      <c r="F385" s="1144" t="s">
        <v>694</v>
      </c>
      <c r="G385" s="1004"/>
      <c r="H385" s="1004">
        <v>1038234.9</v>
      </c>
      <c r="I385" s="1004">
        <v>874400</v>
      </c>
      <c r="J385" s="1004">
        <v>874400</v>
      </c>
      <c r="K385" s="1004">
        <v>874400</v>
      </c>
      <c r="L385" s="101" t="s">
        <v>1447</v>
      </c>
      <c r="M385" s="33" t="s">
        <v>4</v>
      </c>
      <c r="N385" s="33">
        <v>100</v>
      </c>
      <c r="O385" s="33">
        <v>100</v>
      </c>
      <c r="P385" s="33">
        <v>100</v>
      </c>
      <c r="Q385" s="33">
        <v>100</v>
      </c>
      <c r="R385" s="168">
        <v>100</v>
      </c>
    </row>
    <row r="386" spans="1:18" s="181" customFormat="1" ht="24" customHeight="1" x14ac:dyDescent="0.25">
      <c r="A386" s="183"/>
      <c r="B386" s="1292"/>
      <c r="C386" s="454"/>
      <c r="D386" s="498" t="s">
        <v>25</v>
      </c>
      <c r="E386" s="259"/>
      <c r="F386" s="1144" t="s">
        <v>1424</v>
      </c>
      <c r="G386" s="1004">
        <v>347538.45899999997</v>
      </c>
      <c r="H386" s="1004">
        <v>600000</v>
      </c>
      <c r="I386" s="1004">
        <v>600000</v>
      </c>
      <c r="J386" s="1004">
        <v>600000</v>
      </c>
      <c r="K386" s="1004">
        <v>1000000</v>
      </c>
      <c r="L386" s="101" t="s">
        <v>1448</v>
      </c>
      <c r="M386" s="33" t="s">
        <v>4</v>
      </c>
      <c r="N386" s="33">
        <v>100</v>
      </c>
      <c r="O386" s="33">
        <v>100</v>
      </c>
      <c r="P386" s="33">
        <v>100</v>
      </c>
      <c r="Q386" s="33">
        <v>100</v>
      </c>
      <c r="R386" s="168">
        <v>100</v>
      </c>
    </row>
    <row r="387" spans="1:18" s="181" customFormat="1" ht="30" x14ac:dyDescent="0.25">
      <c r="A387" s="183"/>
      <c r="B387" s="1292"/>
      <c r="C387" s="499"/>
      <c r="D387" s="498" t="s">
        <v>26</v>
      </c>
      <c r="E387" s="259"/>
      <c r="F387" s="1146" t="s">
        <v>695</v>
      </c>
      <c r="G387" s="1004">
        <v>187479.13699999999</v>
      </c>
      <c r="H387" s="1004">
        <v>201540.8</v>
      </c>
      <c r="I387" s="1004">
        <v>216540.79999999999</v>
      </c>
      <c r="J387" s="1004">
        <v>220441.60000000001</v>
      </c>
      <c r="K387" s="1004">
        <v>226578.1</v>
      </c>
      <c r="L387" s="101" t="s">
        <v>1449</v>
      </c>
      <c r="M387" s="33" t="s">
        <v>4</v>
      </c>
      <c r="N387" s="33">
        <v>100</v>
      </c>
      <c r="O387" s="33">
        <v>100</v>
      </c>
      <c r="P387" s="33">
        <v>100</v>
      </c>
      <c r="Q387" s="33">
        <v>100</v>
      </c>
      <c r="R387" s="168">
        <v>100</v>
      </c>
    </row>
    <row r="388" spans="1:18" s="181" customFormat="1" ht="30" x14ac:dyDescent="0.25">
      <c r="A388" s="183"/>
      <c r="B388" s="1292"/>
      <c r="C388" s="499"/>
      <c r="D388" s="498" t="s">
        <v>27</v>
      </c>
      <c r="E388" s="259"/>
      <c r="F388" s="1146" t="s">
        <v>696</v>
      </c>
      <c r="G388" s="1004">
        <v>364472.42800000001</v>
      </c>
      <c r="H388" s="1004">
        <v>371590.40000000002</v>
      </c>
      <c r="I388" s="1004">
        <v>1208990.3999999999</v>
      </c>
      <c r="J388" s="1004">
        <v>1216183.3400000001</v>
      </c>
      <c r="K388" s="1004">
        <v>1227499.3</v>
      </c>
      <c r="L388" s="101" t="s">
        <v>1449</v>
      </c>
      <c r="M388" s="33" t="s">
        <v>4</v>
      </c>
      <c r="N388" s="33">
        <v>100</v>
      </c>
      <c r="O388" s="33">
        <v>100</v>
      </c>
      <c r="P388" s="33">
        <v>100</v>
      </c>
      <c r="Q388" s="33">
        <v>100</v>
      </c>
      <c r="R388" s="168">
        <v>100</v>
      </c>
    </row>
    <row r="389" spans="1:18" s="181" customFormat="1" ht="30" x14ac:dyDescent="0.25">
      <c r="A389" s="183"/>
      <c r="B389" s="1292"/>
      <c r="C389" s="499"/>
      <c r="D389" s="498" t="s">
        <v>39</v>
      </c>
      <c r="E389" s="259"/>
      <c r="F389" s="1146" t="s">
        <v>697</v>
      </c>
      <c r="G389" s="1004"/>
      <c r="H389" s="1004">
        <v>2311061.7000000002</v>
      </c>
      <c r="I389" s="1004">
        <v>2290000</v>
      </c>
      <c r="J389" s="1004">
        <v>2412936.2999999998</v>
      </c>
      <c r="K389" s="1004">
        <v>2846634.4</v>
      </c>
      <c r="L389" s="101" t="s">
        <v>1450</v>
      </c>
      <c r="M389" s="33" t="s">
        <v>4</v>
      </c>
      <c r="N389" s="33"/>
      <c r="O389" s="33">
        <v>100</v>
      </c>
      <c r="P389" s="33">
        <v>100</v>
      </c>
      <c r="Q389" s="33">
        <v>100</v>
      </c>
      <c r="R389" s="168">
        <v>100</v>
      </c>
    </row>
    <row r="390" spans="1:18" s="181" customFormat="1" ht="30" x14ac:dyDescent="0.25">
      <c r="A390" s="183"/>
      <c r="B390" s="1293"/>
      <c r="C390" s="499"/>
      <c r="D390" s="498" t="s">
        <v>43</v>
      </c>
      <c r="E390" s="259"/>
      <c r="F390" s="1146" t="s">
        <v>698</v>
      </c>
      <c r="G390" s="1004"/>
      <c r="H390" s="1004"/>
      <c r="I390" s="1004">
        <v>100000</v>
      </c>
      <c r="J390" s="1004">
        <v>100000</v>
      </c>
      <c r="K390" s="1004">
        <v>100000</v>
      </c>
      <c r="L390" s="101" t="s">
        <v>1451</v>
      </c>
      <c r="M390" s="33" t="s">
        <v>4</v>
      </c>
      <c r="N390" s="33"/>
      <c r="O390" s="33"/>
      <c r="P390" s="33">
        <v>100</v>
      </c>
      <c r="Q390" s="33">
        <v>100</v>
      </c>
      <c r="R390" s="168">
        <v>100</v>
      </c>
    </row>
    <row r="391" spans="1:18" s="181" customFormat="1" ht="15" x14ac:dyDescent="0.25">
      <c r="A391" s="183"/>
      <c r="B391" s="1276" t="s">
        <v>299</v>
      </c>
      <c r="C391" s="1277"/>
      <c r="D391" s="1277"/>
      <c r="E391" s="1277"/>
      <c r="F391" s="1278"/>
      <c r="G391" s="221">
        <f>G361+G380</f>
        <v>36152771.239999995</v>
      </c>
      <c r="H391" s="221">
        <f>H361+H380</f>
        <v>27993170.899999999</v>
      </c>
      <c r="I391" s="221">
        <f>I361+I380</f>
        <v>113276786.5</v>
      </c>
      <c r="J391" s="221">
        <f>J361+J380</f>
        <v>114980752.88</v>
      </c>
      <c r="K391" s="221">
        <f>K361+K380</f>
        <v>117504472.09999998</v>
      </c>
      <c r="L391" s="222"/>
      <c r="M391" s="222"/>
      <c r="N391" s="182"/>
      <c r="O391" s="182"/>
      <c r="P391" s="182"/>
      <c r="Q391" s="182"/>
      <c r="R391" s="182"/>
    </row>
    <row r="392" spans="1:18" s="181" customFormat="1" ht="27" customHeight="1" x14ac:dyDescent="0.25">
      <c r="A392" s="183"/>
      <c r="B392" s="1276" t="s">
        <v>584</v>
      </c>
      <c r="C392" s="1277"/>
      <c r="D392" s="1277"/>
      <c r="E392" s="1277"/>
      <c r="F392" s="1278"/>
      <c r="G392" s="221">
        <f>G352+G359+G391</f>
        <v>71933778.639999986</v>
      </c>
      <c r="H392" s="221">
        <f>H352+H359+H391</f>
        <v>62400241</v>
      </c>
      <c r="I392" s="221">
        <f>I352+I359+I391-0.1</f>
        <v>155567122.80000001</v>
      </c>
      <c r="J392" s="221">
        <f>J352+J359+J391</f>
        <v>158621872.07999998</v>
      </c>
      <c r="K392" s="221">
        <f>K352+K359+K391</f>
        <v>162444609.99999997</v>
      </c>
      <c r="L392" s="222"/>
      <c r="M392" s="222"/>
      <c r="N392" s="182"/>
      <c r="O392" s="182"/>
      <c r="P392" s="182"/>
      <c r="Q392" s="182"/>
      <c r="R392" s="182"/>
    </row>
    <row r="393" spans="1:18" s="1019" customFormat="1" ht="15" customHeight="1" x14ac:dyDescent="0.25">
      <c r="A393" s="227"/>
      <c r="B393" s="1785" t="s">
        <v>1582</v>
      </c>
      <c r="C393" s="1786" t="s">
        <v>254</v>
      </c>
      <c r="D393" s="1786"/>
      <c r="E393" s="1786"/>
      <c r="F393" s="1786"/>
      <c r="G393" s="1786"/>
      <c r="H393" s="1786"/>
      <c r="I393" s="1786"/>
      <c r="J393" s="1786"/>
      <c r="K393" s="1786"/>
      <c r="L393" s="1786"/>
      <c r="M393" s="1786"/>
      <c r="N393" s="1786"/>
      <c r="O393" s="1786"/>
      <c r="P393" s="1786"/>
      <c r="Q393" s="35"/>
      <c r="R393" s="86"/>
    </row>
    <row r="394" spans="1:18" s="1019" customFormat="1" ht="15" x14ac:dyDescent="0.25">
      <c r="A394" s="227"/>
      <c r="B394" s="1800" t="s">
        <v>220</v>
      </c>
      <c r="C394" s="1023" t="s">
        <v>253</v>
      </c>
      <c r="D394" s="1024"/>
      <c r="E394" s="1040"/>
      <c r="F394" s="1041" t="s">
        <v>1452</v>
      </c>
      <c r="G394" s="999"/>
      <c r="H394" s="999">
        <v>103299.2</v>
      </c>
      <c r="I394" s="999"/>
      <c r="J394" s="999"/>
      <c r="K394" s="999"/>
      <c r="L394" s="1121" t="s">
        <v>586</v>
      </c>
      <c r="M394" s="1043" t="s">
        <v>57</v>
      </c>
      <c r="N394" s="1043">
        <v>18.899999999999999</v>
      </c>
      <c r="O394" s="1043">
        <v>16.8</v>
      </c>
      <c r="P394" s="1043">
        <v>17</v>
      </c>
      <c r="Q394" s="1043">
        <v>17</v>
      </c>
      <c r="R394" s="1028">
        <v>17</v>
      </c>
    </row>
    <row r="395" spans="1:18" s="1019" customFormat="1" ht="15" x14ac:dyDescent="0.25">
      <c r="A395" s="227"/>
      <c r="B395" s="1800"/>
      <c r="C395" s="1024"/>
      <c r="D395" s="1024" t="s">
        <v>10</v>
      </c>
      <c r="E395" s="1040"/>
      <c r="F395" s="1025" t="s">
        <v>875</v>
      </c>
      <c r="G395" s="995"/>
      <c r="H395" s="995">
        <v>103299.2</v>
      </c>
      <c r="I395" s="995"/>
      <c r="J395" s="995"/>
      <c r="K395" s="995"/>
      <c r="L395" s="1781"/>
      <c r="M395" s="1781"/>
      <c r="N395" s="1781"/>
      <c r="O395" s="1781"/>
      <c r="P395" s="1781"/>
      <c r="Q395" s="1781"/>
      <c r="R395" s="1782"/>
    </row>
    <row r="396" spans="1:18" s="1019" customFormat="1" ht="27" hidden="1" customHeight="1" x14ac:dyDescent="0.25">
      <c r="A396" s="227"/>
      <c r="B396" s="1800"/>
      <c r="C396" s="1024"/>
      <c r="D396" s="1024" t="s">
        <v>13</v>
      </c>
      <c r="E396" s="1040"/>
      <c r="F396" s="1025" t="s">
        <v>58</v>
      </c>
      <c r="G396" s="995"/>
      <c r="H396" s="995"/>
      <c r="I396" s="994"/>
      <c r="J396" s="995"/>
      <c r="K396" s="995"/>
      <c r="L396" s="1781"/>
      <c r="M396" s="1781"/>
      <c r="N396" s="1781"/>
      <c r="O396" s="1781"/>
      <c r="P396" s="1781"/>
      <c r="Q396" s="1781"/>
      <c r="R396" s="1782"/>
    </row>
    <row r="397" spans="1:18" s="1019" customFormat="1" ht="28.5" x14ac:dyDescent="0.25">
      <c r="A397" s="227"/>
      <c r="B397" s="1800"/>
      <c r="C397" s="1023" t="s">
        <v>252</v>
      </c>
      <c r="D397" s="1024"/>
      <c r="E397" s="1040"/>
      <c r="F397" s="1041" t="s">
        <v>1453</v>
      </c>
      <c r="G397" s="999"/>
      <c r="H397" s="999">
        <v>66502.399999999994</v>
      </c>
      <c r="I397" s="999"/>
      <c r="J397" s="999"/>
      <c r="K397" s="999"/>
      <c r="L397" s="1025" t="s">
        <v>1498</v>
      </c>
      <c r="M397" s="1119" t="s">
        <v>4</v>
      </c>
      <c r="N397" s="1119">
        <v>63</v>
      </c>
      <c r="O397" s="1119">
        <v>63</v>
      </c>
      <c r="P397" s="1119">
        <v>63</v>
      </c>
      <c r="Q397" s="1119">
        <v>63</v>
      </c>
      <c r="R397" s="1120">
        <v>63</v>
      </c>
    </row>
    <row r="398" spans="1:18" s="1019" customFormat="1" ht="45" customHeight="1" x14ac:dyDescent="0.25">
      <c r="A398" s="227"/>
      <c r="B398" s="1800"/>
      <c r="C398" s="1458"/>
      <c r="D398" s="1458" t="s">
        <v>10</v>
      </c>
      <c r="E398" s="1733"/>
      <c r="F398" s="1735" t="s">
        <v>1454</v>
      </c>
      <c r="G398" s="1261"/>
      <c r="H398" s="1261">
        <v>32337.3</v>
      </c>
      <c r="I398" s="1261"/>
      <c r="J398" s="1261"/>
      <c r="K398" s="1261"/>
      <c r="L398" s="1025" t="s">
        <v>1498</v>
      </c>
      <c r="M398" s="1119" t="s">
        <v>4</v>
      </c>
      <c r="N398" s="1119">
        <v>63</v>
      </c>
      <c r="O398" s="1119">
        <v>63</v>
      </c>
      <c r="P398" s="1119">
        <v>63</v>
      </c>
      <c r="Q398" s="1119">
        <v>63</v>
      </c>
      <c r="R398" s="1120">
        <v>63</v>
      </c>
    </row>
    <row r="399" spans="1:18" s="1019" customFormat="1" ht="45" x14ac:dyDescent="0.25">
      <c r="A399" s="227"/>
      <c r="B399" s="1800"/>
      <c r="C399" s="1458"/>
      <c r="D399" s="1458"/>
      <c r="E399" s="1733"/>
      <c r="F399" s="1735"/>
      <c r="G399" s="1261"/>
      <c r="H399" s="1261"/>
      <c r="I399" s="1261"/>
      <c r="J399" s="1261"/>
      <c r="K399" s="1261"/>
      <c r="L399" s="1025" t="s">
        <v>1499</v>
      </c>
      <c r="M399" s="1119" t="s">
        <v>4</v>
      </c>
      <c r="N399" s="1119"/>
      <c r="O399" s="1119">
        <v>10</v>
      </c>
      <c r="P399" s="1119">
        <v>50</v>
      </c>
      <c r="Q399" s="1119">
        <v>75</v>
      </c>
      <c r="R399" s="1120">
        <v>100</v>
      </c>
    </row>
    <row r="400" spans="1:18" s="1019" customFormat="1" ht="60" x14ac:dyDescent="0.25">
      <c r="A400" s="227"/>
      <c r="B400" s="1800"/>
      <c r="C400" s="1458"/>
      <c r="D400" s="1458"/>
      <c r="E400" s="1733"/>
      <c r="F400" s="1735"/>
      <c r="G400" s="1261"/>
      <c r="H400" s="1261"/>
      <c r="I400" s="1261"/>
      <c r="J400" s="1261"/>
      <c r="K400" s="1261"/>
      <c r="L400" s="1039" t="s">
        <v>1500</v>
      </c>
      <c r="M400" s="1030" t="s">
        <v>297</v>
      </c>
      <c r="N400" s="1043">
        <v>20</v>
      </c>
      <c r="O400" s="1043">
        <v>20</v>
      </c>
      <c r="P400" s="1043">
        <v>20</v>
      </c>
      <c r="Q400" s="1043">
        <v>20</v>
      </c>
      <c r="R400" s="1028">
        <v>20</v>
      </c>
    </row>
    <row r="401" spans="1:18" s="1019" customFormat="1" ht="30" x14ac:dyDescent="0.25">
      <c r="A401" s="227"/>
      <c r="B401" s="1800"/>
      <c r="C401" s="1024"/>
      <c r="D401" s="1024" t="s">
        <v>13</v>
      </c>
      <c r="E401" s="1040"/>
      <c r="F401" s="1046" t="s">
        <v>1455</v>
      </c>
      <c r="G401" s="1010"/>
      <c r="H401" s="995">
        <v>9499.2000000000007</v>
      </c>
      <c r="I401" s="1011"/>
      <c r="J401" s="995"/>
      <c r="K401" s="995"/>
      <c r="L401" s="154" t="s">
        <v>1501</v>
      </c>
      <c r="M401" s="1043" t="s">
        <v>216</v>
      </c>
      <c r="N401" s="1043"/>
      <c r="O401" s="1119">
        <v>172891.6</v>
      </c>
      <c r="P401" s="1119">
        <v>174209.9</v>
      </c>
      <c r="Q401" s="8">
        <v>174972</v>
      </c>
      <c r="R401" s="1120" t="s">
        <v>113</v>
      </c>
    </row>
    <row r="402" spans="1:18" s="1019" customFormat="1" ht="15" x14ac:dyDescent="0.25">
      <c r="A402" s="227"/>
      <c r="B402" s="1800"/>
      <c r="C402" s="1024"/>
      <c r="D402" s="1024" t="s">
        <v>9</v>
      </c>
      <c r="E402" s="75"/>
      <c r="F402" s="1046" t="s">
        <v>1456</v>
      </c>
      <c r="G402" s="1011"/>
      <c r="H402" s="995">
        <v>2375.6999999999998</v>
      </c>
      <c r="I402" s="1011"/>
      <c r="J402" s="995"/>
      <c r="K402" s="995"/>
      <c r="L402" s="154" t="s">
        <v>1502</v>
      </c>
      <c r="M402" s="1043" t="s">
        <v>1187</v>
      </c>
      <c r="N402" s="1043"/>
      <c r="O402" s="8">
        <v>3000000</v>
      </c>
      <c r="P402" s="8">
        <v>3000000</v>
      </c>
      <c r="Q402" s="8">
        <v>4000000</v>
      </c>
      <c r="R402" s="89">
        <v>6500000</v>
      </c>
    </row>
    <row r="403" spans="1:18" s="1019" customFormat="1" ht="30" x14ac:dyDescent="0.25">
      <c r="A403" s="227"/>
      <c r="B403" s="1800"/>
      <c r="C403" s="1024"/>
      <c r="D403" s="1024" t="s">
        <v>23</v>
      </c>
      <c r="E403" s="75"/>
      <c r="F403" s="1212" t="s">
        <v>1457</v>
      </c>
      <c r="G403" s="1011"/>
      <c r="H403" s="39">
        <v>2320.4</v>
      </c>
      <c r="I403" s="1011"/>
      <c r="J403" s="39"/>
      <c r="K403" s="995"/>
      <c r="L403" s="1025" t="s">
        <v>1503</v>
      </c>
      <c r="M403" s="1043" t="s">
        <v>216</v>
      </c>
      <c r="N403" s="2">
        <v>600</v>
      </c>
      <c r="O403" s="8">
        <v>600</v>
      </c>
      <c r="P403" s="8">
        <v>600</v>
      </c>
      <c r="Q403" s="8">
        <v>600</v>
      </c>
      <c r="R403" s="89">
        <v>1000</v>
      </c>
    </row>
    <row r="404" spans="1:18" s="1019" customFormat="1" ht="60" customHeight="1" x14ac:dyDescent="0.25">
      <c r="A404" s="227"/>
      <c r="B404" s="1800"/>
      <c r="C404" s="1458"/>
      <c r="D404" s="1458" t="s">
        <v>24</v>
      </c>
      <c r="E404" s="1733"/>
      <c r="F404" s="1736" t="s">
        <v>1458</v>
      </c>
      <c r="G404" s="1738"/>
      <c r="H404" s="1738">
        <v>8095.8</v>
      </c>
      <c r="I404" s="1738"/>
      <c r="J404" s="1738"/>
      <c r="K404" s="1738"/>
      <c r="L404" s="1025" t="s">
        <v>1504</v>
      </c>
      <c r="M404" s="1043" t="s">
        <v>216</v>
      </c>
      <c r="N404" s="1043"/>
      <c r="O404" s="8">
        <v>18089.849999999999</v>
      </c>
      <c r="P404" s="8">
        <v>16528.560000000001</v>
      </c>
      <c r="Q404" s="8">
        <v>14172.05</v>
      </c>
      <c r="R404" s="89">
        <v>10026.41</v>
      </c>
    </row>
    <row r="405" spans="1:18" s="1019" customFormat="1" ht="30" x14ac:dyDescent="0.25">
      <c r="A405" s="227"/>
      <c r="B405" s="1800"/>
      <c r="C405" s="1458"/>
      <c r="D405" s="1458"/>
      <c r="E405" s="1733"/>
      <c r="F405" s="1737"/>
      <c r="G405" s="1738"/>
      <c r="H405" s="1738"/>
      <c r="I405" s="1738"/>
      <c r="J405" s="1738"/>
      <c r="K405" s="1738"/>
      <c r="L405" s="37" t="s">
        <v>1505</v>
      </c>
      <c r="M405" s="1043" t="s">
        <v>216</v>
      </c>
      <c r="N405" s="1043"/>
      <c r="O405" s="8">
        <v>25826.09</v>
      </c>
      <c r="P405" s="8">
        <v>33648.089999999997</v>
      </c>
      <c r="Q405" s="8">
        <v>43163.78</v>
      </c>
      <c r="R405" s="89">
        <v>26920.97</v>
      </c>
    </row>
    <row r="406" spans="1:18" s="1019" customFormat="1" ht="75" customHeight="1" x14ac:dyDescent="0.25">
      <c r="A406" s="227"/>
      <c r="B406" s="1800"/>
      <c r="C406" s="1458"/>
      <c r="D406" s="1458" t="s">
        <v>25</v>
      </c>
      <c r="E406" s="1458"/>
      <c r="F406" s="1459" t="s">
        <v>1459</v>
      </c>
      <c r="G406" s="1261"/>
      <c r="H406" s="1261">
        <v>5017.6000000000004</v>
      </c>
      <c r="I406" s="1261"/>
      <c r="J406" s="1261"/>
      <c r="K406" s="1261"/>
      <c r="L406" s="1025" t="s">
        <v>1506</v>
      </c>
      <c r="M406" s="1043" t="s">
        <v>114</v>
      </c>
      <c r="N406" s="1043">
        <v>0</v>
      </c>
      <c r="O406" s="1043">
        <v>0</v>
      </c>
      <c r="P406" s="1043">
        <v>0</v>
      </c>
      <c r="Q406" s="1043">
        <v>0</v>
      </c>
      <c r="R406" s="1028">
        <v>0</v>
      </c>
    </row>
    <row r="407" spans="1:18" s="1019" customFormat="1" ht="30" x14ac:dyDescent="0.25">
      <c r="A407" s="227"/>
      <c r="B407" s="1800"/>
      <c r="C407" s="1458"/>
      <c r="D407" s="1458"/>
      <c r="E407" s="1458"/>
      <c r="F407" s="1459"/>
      <c r="G407" s="1261"/>
      <c r="H407" s="1261"/>
      <c r="I407" s="1261"/>
      <c r="J407" s="1261"/>
      <c r="K407" s="1261"/>
      <c r="L407" s="1025" t="s">
        <v>1507</v>
      </c>
      <c r="M407" s="1043" t="s">
        <v>4</v>
      </c>
      <c r="N407" s="1043" t="s">
        <v>251</v>
      </c>
      <c r="O407" s="1043" t="s">
        <v>251</v>
      </c>
      <c r="P407" s="1043" t="s">
        <v>251</v>
      </c>
      <c r="Q407" s="1043" t="s">
        <v>251</v>
      </c>
      <c r="R407" s="1028" t="s">
        <v>251</v>
      </c>
    </row>
    <row r="408" spans="1:18" s="1019" customFormat="1" ht="15" x14ac:dyDescent="0.25">
      <c r="A408" s="227"/>
      <c r="B408" s="1800"/>
      <c r="C408" s="1458"/>
      <c r="D408" s="1458"/>
      <c r="E408" s="1458"/>
      <c r="F408" s="1459"/>
      <c r="G408" s="1261"/>
      <c r="H408" s="1261"/>
      <c r="I408" s="1261"/>
      <c r="J408" s="1261"/>
      <c r="K408" s="1261"/>
      <c r="L408" s="1025" t="s">
        <v>1508</v>
      </c>
      <c r="M408" s="1043" t="s">
        <v>4</v>
      </c>
      <c r="N408" s="1043">
        <v>100</v>
      </c>
      <c r="O408" s="1043">
        <v>100</v>
      </c>
      <c r="P408" s="1043">
        <v>100</v>
      </c>
      <c r="Q408" s="1043">
        <v>100</v>
      </c>
      <c r="R408" s="1028">
        <v>100</v>
      </c>
    </row>
    <row r="409" spans="1:18" s="1019" customFormat="1" ht="30" x14ac:dyDescent="0.25">
      <c r="A409" s="227"/>
      <c r="B409" s="1800"/>
      <c r="C409" s="1458"/>
      <c r="D409" s="1458"/>
      <c r="E409" s="1458"/>
      <c r="F409" s="1459"/>
      <c r="G409" s="1261"/>
      <c r="H409" s="1261"/>
      <c r="I409" s="1261"/>
      <c r="J409" s="1261"/>
      <c r="K409" s="1261"/>
      <c r="L409" s="1025" t="s">
        <v>1509</v>
      </c>
      <c r="M409" s="1043" t="s">
        <v>114</v>
      </c>
      <c r="N409" s="1043">
        <v>0</v>
      </c>
      <c r="O409" s="1043">
        <v>0</v>
      </c>
      <c r="P409" s="1043">
        <v>0</v>
      </c>
      <c r="Q409" s="1043">
        <v>0</v>
      </c>
      <c r="R409" s="1028">
        <v>0</v>
      </c>
    </row>
    <row r="410" spans="1:18" s="1019" customFormat="1" ht="75" customHeight="1" x14ac:dyDescent="0.25">
      <c r="A410" s="227"/>
      <c r="B410" s="1800"/>
      <c r="C410" s="1458"/>
      <c r="D410" s="1458" t="s">
        <v>26</v>
      </c>
      <c r="E410" s="1458"/>
      <c r="F410" s="1459" t="s">
        <v>1460</v>
      </c>
      <c r="G410" s="1460"/>
      <c r="H410" s="1460">
        <v>6856.4</v>
      </c>
      <c r="I410" s="1460"/>
      <c r="J410" s="1460"/>
      <c r="K410" s="1460"/>
      <c r="L410" s="1046" t="s">
        <v>1510</v>
      </c>
      <c r="M410" s="1043" t="s">
        <v>4</v>
      </c>
      <c r="N410" s="1043">
        <v>22.5</v>
      </c>
      <c r="O410" s="1043">
        <v>22.5</v>
      </c>
      <c r="P410" s="1043">
        <v>22.5</v>
      </c>
      <c r="Q410" s="1043">
        <v>22.5</v>
      </c>
      <c r="R410" s="1028">
        <v>22.5</v>
      </c>
    </row>
    <row r="411" spans="1:18" s="1019" customFormat="1" ht="30" x14ac:dyDescent="0.25">
      <c r="A411" s="227"/>
      <c r="B411" s="1800"/>
      <c r="C411" s="1458"/>
      <c r="D411" s="1458"/>
      <c r="E411" s="1458"/>
      <c r="F411" s="1459"/>
      <c r="G411" s="1460"/>
      <c r="H411" s="1460"/>
      <c r="I411" s="1460"/>
      <c r="J411" s="1460"/>
      <c r="K411" s="1460"/>
      <c r="L411" s="1046" t="s">
        <v>1511</v>
      </c>
      <c r="M411" s="1043" t="s">
        <v>4</v>
      </c>
      <c r="N411" s="1043">
        <v>0.5</v>
      </c>
      <c r="O411" s="1043">
        <v>0.5</v>
      </c>
      <c r="P411" s="1043">
        <v>0.5</v>
      </c>
      <c r="Q411" s="1043">
        <v>0.5</v>
      </c>
      <c r="R411" s="1028">
        <v>0.5</v>
      </c>
    </row>
    <row r="412" spans="1:18" s="1019" customFormat="1" ht="30" x14ac:dyDescent="0.25">
      <c r="A412" s="227"/>
      <c r="B412" s="1800"/>
      <c r="C412" s="1458"/>
      <c r="D412" s="1458"/>
      <c r="E412" s="1458"/>
      <c r="F412" s="1459"/>
      <c r="G412" s="1460"/>
      <c r="H412" s="1460"/>
      <c r="I412" s="1460"/>
      <c r="J412" s="1460"/>
      <c r="K412" s="1460"/>
      <c r="L412" s="1046" t="s">
        <v>1512</v>
      </c>
      <c r="M412" s="1043" t="s">
        <v>1513</v>
      </c>
      <c r="N412" s="1043">
        <v>4</v>
      </c>
      <c r="O412" s="1043">
        <v>4</v>
      </c>
      <c r="P412" s="1043">
        <v>4</v>
      </c>
      <c r="Q412" s="1043">
        <v>4</v>
      </c>
      <c r="R412" s="1028">
        <v>4</v>
      </c>
    </row>
    <row r="413" spans="1:18" s="1019" customFormat="1" ht="27" hidden="1" customHeight="1" x14ac:dyDescent="0.25">
      <c r="A413" s="227"/>
      <c r="B413" s="1800"/>
      <c r="C413" s="1024"/>
      <c r="D413" s="1024" t="s">
        <v>27</v>
      </c>
      <c r="E413" s="1040"/>
      <c r="F413" s="1046" t="s">
        <v>250</v>
      </c>
      <c r="G413" s="1011"/>
      <c r="H413" s="995"/>
      <c r="I413" s="1011"/>
      <c r="J413" s="995"/>
      <c r="K413" s="995"/>
      <c r="L413" s="1046" t="s">
        <v>249</v>
      </c>
      <c r="M413" s="1043" t="s">
        <v>248</v>
      </c>
      <c r="N413" s="1043">
        <v>71</v>
      </c>
      <c r="O413" s="1043">
        <v>71</v>
      </c>
      <c r="P413" s="1043">
        <v>71</v>
      </c>
      <c r="Q413" s="1043">
        <v>75</v>
      </c>
      <c r="R413" s="1028">
        <v>75</v>
      </c>
    </row>
    <row r="414" spans="1:18" s="1019" customFormat="1" ht="15" customHeight="1" x14ac:dyDescent="0.25">
      <c r="A414" s="227"/>
      <c r="B414" s="1800"/>
      <c r="C414" s="1732" t="s">
        <v>247</v>
      </c>
      <c r="D414" s="1458"/>
      <c r="E414" s="1733"/>
      <c r="F414" s="1734" t="s">
        <v>1461</v>
      </c>
      <c r="G414" s="1378"/>
      <c r="H414" s="1378">
        <v>22836.400000000001</v>
      </c>
      <c r="I414" s="1378"/>
      <c r="J414" s="1378"/>
      <c r="K414" s="1378"/>
      <c r="L414" s="1735" t="s">
        <v>1514</v>
      </c>
      <c r="M414" s="1360" t="s">
        <v>4</v>
      </c>
      <c r="N414" s="1360">
        <v>100</v>
      </c>
      <c r="O414" s="1360">
        <v>100</v>
      </c>
      <c r="P414" s="1360">
        <v>100</v>
      </c>
      <c r="Q414" s="1360">
        <v>100</v>
      </c>
      <c r="R414" s="1776">
        <v>100</v>
      </c>
    </row>
    <row r="415" spans="1:18" s="1019" customFormat="1" ht="63.75" customHeight="1" x14ac:dyDescent="0.25">
      <c r="A415" s="227"/>
      <c r="B415" s="1800"/>
      <c r="C415" s="1732"/>
      <c r="D415" s="1458"/>
      <c r="E415" s="1733"/>
      <c r="F415" s="1734"/>
      <c r="G415" s="1378"/>
      <c r="H415" s="1378"/>
      <c r="I415" s="1378"/>
      <c r="J415" s="1378"/>
      <c r="K415" s="1378"/>
      <c r="L415" s="1735"/>
      <c r="M415" s="1360"/>
      <c r="N415" s="1360"/>
      <c r="O415" s="1360"/>
      <c r="P415" s="1360"/>
      <c r="Q415" s="1360"/>
      <c r="R415" s="1776"/>
    </row>
    <row r="416" spans="1:18" s="1019" customFormat="1" ht="30" x14ac:dyDescent="0.25">
      <c r="A416" s="227"/>
      <c r="B416" s="1800"/>
      <c r="C416" s="1024"/>
      <c r="D416" s="1024" t="s">
        <v>10</v>
      </c>
      <c r="E416" s="1040"/>
      <c r="F416" s="153" t="s">
        <v>1462</v>
      </c>
      <c r="G416" s="1011"/>
      <c r="H416" s="1011">
        <v>22836.400000000001</v>
      </c>
      <c r="I416" s="1011"/>
      <c r="J416" s="1011"/>
      <c r="K416" s="1011"/>
      <c r="L416" s="1459" t="s">
        <v>1515</v>
      </c>
      <c r="M416" s="1739" t="s">
        <v>246</v>
      </c>
      <c r="N416" s="1739" t="s">
        <v>245</v>
      </c>
      <c r="O416" s="1739" t="s">
        <v>245</v>
      </c>
      <c r="P416" s="1739" t="s">
        <v>245</v>
      </c>
      <c r="Q416" s="1739" t="s">
        <v>245</v>
      </c>
      <c r="R416" s="1777" t="s">
        <v>245</v>
      </c>
    </row>
    <row r="417" spans="1:18" s="1019" customFormat="1" ht="27" hidden="1" customHeight="1" x14ac:dyDescent="0.25">
      <c r="A417" s="227"/>
      <c r="B417" s="1800"/>
      <c r="C417" s="1024"/>
      <c r="D417" s="1024" t="s">
        <v>13</v>
      </c>
      <c r="E417" s="1040"/>
      <c r="F417" s="1046" t="s">
        <v>244</v>
      </c>
      <c r="G417" s="1011"/>
      <c r="H417" s="1011"/>
      <c r="I417" s="1011">
        <v>-3.4106051316484809E-12</v>
      </c>
      <c r="J417" s="1011">
        <v>0</v>
      </c>
      <c r="K417" s="1011">
        <v>-9.5496943686157465E-12</v>
      </c>
      <c r="L417" s="1459"/>
      <c r="M417" s="1739"/>
      <c r="N417" s="1739"/>
      <c r="O417" s="1739"/>
      <c r="P417" s="1739"/>
      <c r="Q417" s="1739"/>
      <c r="R417" s="1777"/>
    </row>
    <row r="418" spans="1:18" s="1019" customFormat="1" ht="15" customHeight="1" x14ac:dyDescent="0.25">
      <c r="A418" s="227"/>
      <c r="B418" s="1800"/>
      <c r="C418" s="1732" t="s">
        <v>243</v>
      </c>
      <c r="D418" s="1458"/>
      <c r="E418" s="1733"/>
      <c r="F418" s="1734" t="s">
        <v>1463</v>
      </c>
      <c r="G418" s="1740">
        <v>36186.199999999997</v>
      </c>
      <c r="H418" s="1740">
        <v>134172.90000000002</v>
      </c>
      <c r="I418" s="1741">
        <v>170413.04</v>
      </c>
      <c r="J418" s="1740">
        <v>163451.63999999998</v>
      </c>
      <c r="K418" s="1740">
        <v>168316.04</v>
      </c>
      <c r="L418" s="1360"/>
      <c r="M418" s="1360"/>
      <c r="N418" s="1360"/>
      <c r="O418" s="1360"/>
      <c r="P418" s="1360"/>
      <c r="Q418" s="1360"/>
      <c r="R418" s="1776"/>
    </row>
    <row r="419" spans="1:18" s="1019" customFormat="1" ht="24.75" customHeight="1" x14ac:dyDescent="0.25">
      <c r="A419" s="227"/>
      <c r="B419" s="1800"/>
      <c r="C419" s="1732"/>
      <c r="D419" s="1458"/>
      <c r="E419" s="1733"/>
      <c r="F419" s="1734"/>
      <c r="G419" s="1740"/>
      <c r="H419" s="1740"/>
      <c r="I419" s="1741"/>
      <c r="J419" s="1740"/>
      <c r="K419" s="1740"/>
      <c r="L419" s="1360"/>
      <c r="M419" s="1360"/>
      <c r="N419" s="1360"/>
      <c r="O419" s="1360"/>
      <c r="P419" s="1360"/>
      <c r="Q419" s="1360"/>
      <c r="R419" s="1776"/>
    </row>
    <row r="420" spans="1:18" s="1019" customFormat="1" ht="60" x14ac:dyDescent="0.25">
      <c r="A420" s="227"/>
      <c r="B420" s="1800"/>
      <c r="C420" s="1024"/>
      <c r="D420" s="1024" t="s">
        <v>10</v>
      </c>
      <c r="E420" s="1040"/>
      <c r="F420" s="1046" t="s">
        <v>1464</v>
      </c>
      <c r="G420" s="1011">
        <v>17000</v>
      </c>
      <c r="H420" s="1011">
        <v>19598.099999999999</v>
      </c>
      <c r="I420" s="1012">
        <v>20108.099999999999</v>
      </c>
      <c r="J420" s="1011">
        <v>20668.5</v>
      </c>
      <c r="K420" s="1011">
        <v>21287.7</v>
      </c>
      <c r="L420" s="1025" t="s">
        <v>1516</v>
      </c>
      <c r="M420" s="1043" t="s">
        <v>321</v>
      </c>
      <c r="N420" s="1043">
        <v>5000</v>
      </c>
      <c r="O420" s="1043">
        <v>4500</v>
      </c>
      <c r="P420" s="1043">
        <v>4725</v>
      </c>
      <c r="Q420" s="1043">
        <v>4961</v>
      </c>
      <c r="R420" s="1028">
        <v>5209</v>
      </c>
    </row>
    <row r="421" spans="1:18" s="1019" customFormat="1" ht="120" customHeight="1" x14ac:dyDescent="0.25">
      <c r="A421" s="227"/>
      <c r="B421" s="1800"/>
      <c r="C421" s="1458"/>
      <c r="D421" s="1458" t="s">
        <v>13</v>
      </c>
      <c r="E421" s="1458"/>
      <c r="F421" s="1459" t="s">
        <v>1465</v>
      </c>
      <c r="G421" s="1460">
        <v>19186.2</v>
      </c>
      <c r="H421" s="1460">
        <v>16946.2</v>
      </c>
      <c r="I421" s="1747">
        <v>16946.2</v>
      </c>
      <c r="J421" s="1460">
        <v>17274.7</v>
      </c>
      <c r="K421" s="1460">
        <v>17791.400000000001</v>
      </c>
      <c r="L421" s="1025" t="s">
        <v>1517</v>
      </c>
      <c r="M421" s="1043" t="s">
        <v>1518</v>
      </c>
      <c r="N421" s="1043">
        <v>5</v>
      </c>
      <c r="O421" s="1043">
        <v>5</v>
      </c>
      <c r="P421" s="1043">
        <v>5</v>
      </c>
      <c r="Q421" s="1043">
        <v>5</v>
      </c>
      <c r="R421" s="1028">
        <v>5</v>
      </c>
    </row>
    <row r="422" spans="1:18" s="1019" customFormat="1" ht="15" x14ac:dyDescent="0.25">
      <c r="A422" s="227"/>
      <c r="B422" s="1800"/>
      <c r="C422" s="1458"/>
      <c r="D422" s="1458"/>
      <c r="E422" s="1458"/>
      <c r="F422" s="1459"/>
      <c r="G422" s="1460"/>
      <c r="H422" s="1460"/>
      <c r="I422" s="1747"/>
      <c r="J422" s="1460"/>
      <c r="K422" s="1460"/>
      <c r="L422" s="1025" t="s">
        <v>1519</v>
      </c>
      <c r="M422" s="1043" t="s">
        <v>1518</v>
      </c>
      <c r="N422" s="1043" t="s">
        <v>242</v>
      </c>
      <c r="O422" s="1043" t="s">
        <v>242</v>
      </c>
      <c r="P422" s="1043" t="s">
        <v>242</v>
      </c>
      <c r="Q422" s="1043" t="s">
        <v>242</v>
      </c>
      <c r="R422" s="1043" t="s">
        <v>242</v>
      </c>
    </row>
    <row r="423" spans="1:18" s="1019" customFormat="1" ht="45" x14ac:dyDescent="0.25">
      <c r="A423" s="227"/>
      <c r="B423" s="1800"/>
      <c r="C423" s="1458"/>
      <c r="D423" s="1458"/>
      <c r="E423" s="1458"/>
      <c r="F423" s="1459"/>
      <c r="G423" s="1460"/>
      <c r="H423" s="1460"/>
      <c r="I423" s="1747"/>
      <c r="J423" s="1460"/>
      <c r="K423" s="1460"/>
      <c r="L423" s="1025" t="s">
        <v>1520</v>
      </c>
      <c r="M423" s="1043" t="s">
        <v>1521</v>
      </c>
      <c r="N423" s="1043">
        <v>100</v>
      </c>
      <c r="O423" s="1043">
        <v>100</v>
      </c>
      <c r="P423" s="1043">
        <v>100</v>
      </c>
      <c r="Q423" s="1043">
        <v>100</v>
      </c>
      <c r="R423" s="1028">
        <v>100</v>
      </c>
    </row>
    <row r="424" spans="1:18" s="1019" customFormat="1" ht="60" x14ac:dyDescent="0.25">
      <c r="A424" s="227"/>
      <c r="B424" s="1800"/>
      <c r="C424" s="1458"/>
      <c r="D424" s="1458"/>
      <c r="E424" s="1458"/>
      <c r="F424" s="1459"/>
      <c r="G424" s="1460"/>
      <c r="H424" s="1460"/>
      <c r="I424" s="1747"/>
      <c r="J424" s="1460"/>
      <c r="K424" s="1460"/>
      <c r="L424" s="1025" t="s">
        <v>1522</v>
      </c>
      <c r="M424" s="1043" t="s">
        <v>395</v>
      </c>
      <c r="N424" s="1043" t="s">
        <v>1523</v>
      </c>
      <c r="O424" s="1043" t="s">
        <v>1523</v>
      </c>
      <c r="P424" s="1043" t="s">
        <v>1523</v>
      </c>
      <c r="Q424" s="1043" t="s">
        <v>1523</v>
      </c>
      <c r="R424" s="1043" t="s">
        <v>1523</v>
      </c>
    </row>
    <row r="425" spans="1:18" s="1019" customFormat="1" ht="30" x14ac:dyDescent="0.25">
      <c r="A425" s="227"/>
      <c r="B425" s="1800"/>
      <c r="C425" s="1458"/>
      <c r="D425" s="1458"/>
      <c r="E425" s="1458"/>
      <c r="F425" s="1459"/>
      <c r="G425" s="1460"/>
      <c r="H425" s="1460"/>
      <c r="I425" s="1747"/>
      <c r="J425" s="1460"/>
      <c r="K425" s="1460"/>
      <c r="L425" s="1025" t="s">
        <v>1524</v>
      </c>
      <c r="M425" s="1043" t="s">
        <v>4</v>
      </c>
      <c r="N425" s="1043">
        <v>100</v>
      </c>
      <c r="O425" s="1043">
        <v>100</v>
      </c>
      <c r="P425" s="1043">
        <v>100</v>
      </c>
      <c r="Q425" s="1043">
        <v>100</v>
      </c>
      <c r="R425" s="1028">
        <v>100</v>
      </c>
    </row>
    <row r="426" spans="1:18" s="1019" customFormat="1" ht="45" x14ac:dyDescent="0.25">
      <c r="A426" s="227"/>
      <c r="B426" s="1800"/>
      <c r="C426" s="1024"/>
      <c r="D426" s="1024" t="s">
        <v>9</v>
      </c>
      <c r="E426" s="1040"/>
      <c r="F426" s="153" t="s">
        <v>1466</v>
      </c>
      <c r="G426" s="1011"/>
      <c r="H426" s="1011">
        <v>10203</v>
      </c>
      <c r="I426" s="1012">
        <v>22763</v>
      </c>
      <c r="J426" s="1011">
        <v>13218.1</v>
      </c>
      <c r="K426" s="1011">
        <v>14280.7</v>
      </c>
      <c r="L426" s="1121" t="s">
        <v>1525</v>
      </c>
      <c r="M426" s="1043" t="s">
        <v>4</v>
      </c>
      <c r="N426" s="1043">
        <v>100</v>
      </c>
      <c r="O426" s="1043">
        <v>100</v>
      </c>
      <c r="P426" s="1043">
        <v>100</v>
      </c>
      <c r="Q426" s="1043">
        <v>100</v>
      </c>
      <c r="R426" s="1028">
        <v>100</v>
      </c>
    </row>
    <row r="427" spans="1:18" s="1019" customFormat="1" ht="30" x14ac:dyDescent="0.25">
      <c r="A427" s="227"/>
      <c r="B427" s="1800"/>
      <c r="C427" s="1024"/>
      <c r="D427" s="1024" t="s">
        <v>23</v>
      </c>
      <c r="E427" s="1040"/>
      <c r="F427" s="153" t="s">
        <v>1467</v>
      </c>
      <c r="G427" s="1011"/>
      <c r="H427" s="1011">
        <v>87425.600000000006</v>
      </c>
      <c r="I427" s="1012">
        <v>110595.74</v>
      </c>
      <c r="J427" s="1011">
        <v>112290.34</v>
      </c>
      <c r="K427" s="1011">
        <v>114956.24</v>
      </c>
      <c r="L427" s="38" t="s">
        <v>1526</v>
      </c>
      <c r="M427" s="1043" t="s">
        <v>216</v>
      </c>
      <c r="N427" s="2">
        <v>4449</v>
      </c>
      <c r="O427" s="2">
        <v>5018.7</v>
      </c>
      <c r="P427" s="2">
        <v>5023.8999999999996</v>
      </c>
      <c r="Q427" s="2">
        <v>5438.2</v>
      </c>
      <c r="R427" s="84">
        <v>5450.3</v>
      </c>
    </row>
    <row r="428" spans="1:18" s="1019" customFormat="1" ht="15" customHeight="1" x14ac:dyDescent="0.25">
      <c r="A428" s="227"/>
      <c r="B428" s="1800"/>
      <c r="C428" s="1732" t="s">
        <v>241</v>
      </c>
      <c r="D428" s="1458"/>
      <c r="E428" s="1733"/>
      <c r="F428" s="1748" t="s">
        <v>1468</v>
      </c>
      <c r="G428" s="1378">
        <v>2547529.2999999998</v>
      </c>
      <c r="H428" s="1378">
        <v>2161028.2000000002</v>
      </c>
      <c r="I428" s="1638">
        <v>2612374.3000000003</v>
      </c>
      <c r="J428" s="1378">
        <v>2662322.8000000007</v>
      </c>
      <c r="K428" s="1378">
        <v>2740900.6999999997</v>
      </c>
      <c r="L428" s="1360"/>
      <c r="M428" s="1360"/>
      <c r="N428" s="1360"/>
      <c r="O428" s="1360"/>
      <c r="P428" s="1360"/>
      <c r="Q428" s="1360"/>
      <c r="R428" s="1776"/>
    </row>
    <row r="429" spans="1:18" s="1019" customFormat="1" ht="15" customHeight="1" x14ac:dyDescent="0.25">
      <c r="A429" s="227"/>
      <c r="B429" s="1800"/>
      <c r="C429" s="1732"/>
      <c r="D429" s="1458"/>
      <c r="E429" s="1733"/>
      <c r="F429" s="1749"/>
      <c r="G429" s="1378"/>
      <c r="H429" s="1378"/>
      <c r="I429" s="1638"/>
      <c r="J429" s="1378"/>
      <c r="K429" s="1378"/>
      <c r="L429" s="1360"/>
      <c r="M429" s="1360"/>
      <c r="N429" s="1360"/>
      <c r="O429" s="1360"/>
      <c r="P429" s="1360"/>
      <c r="Q429" s="1360"/>
      <c r="R429" s="1776"/>
    </row>
    <row r="430" spans="1:18" s="1019" customFormat="1" ht="27" hidden="1" customHeight="1" x14ac:dyDescent="0.25">
      <c r="A430" s="227"/>
      <c r="B430" s="1800"/>
      <c r="C430" s="1023"/>
      <c r="D430" s="1024"/>
      <c r="E430" s="1040"/>
      <c r="F430" s="1041"/>
      <c r="G430" s="995">
        <v>1503757.5999999999</v>
      </c>
      <c r="H430" s="995">
        <v>1465419.9</v>
      </c>
      <c r="I430" s="994">
        <v>1581261.0000000002</v>
      </c>
      <c r="J430" s="995">
        <v>1611911.2000000004</v>
      </c>
      <c r="K430" s="995">
        <v>1660129.4999999998</v>
      </c>
      <c r="L430" s="1043"/>
      <c r="M430" s="1043"/>
      <c r="N430" s="1043"/>
      <c r="O430" s="1043"/>
      <c r="P430" s="1043"/>
      <c r="Q430" s="1043"/>
      <c r="R430" s="1028"/>
    </row>
    <row r="431" spans="1:18" s="1019" customFormat="1" ht="45" x14ac:dyDescent="0.25">
      <c r="A431" s="227"/>
      <c r="B431" s="1800"/>
      <c r="C431" s="1023"/>
      <c r="D431" s="1124">
        <v>1</v>
      </c>
      <c r="E431" s="152"/>
      <c r="F431" s="151" t="s">
        <v>1469</v>
      </c>
      <c r="G431" s="995">
        <v>245781.69999999998</v>
      </c>
      <c r="H431" s="995">
        <v>202705.2</v>
      </c>
      <c r="I431" s="994">
        <v>244016</v>
      </c>
      <c r="J431" s="995">
        <v>264374.8</v>
      </c>
      <c r="K431" s="995">
        <v>272283.3</v>
      </c>
      <c r="L431" s="1025" t="s">
        <v>1527</v>
      </c>
      <c r="M431" s="1043" t="s">
        <v>4</v>
      </c>
      <c r="N431" s="1043">
        <v>100.3</v>
      </c>
      <c r="O431" s="1043">
        <v>100</v>
      </c>
      <c r="P431" s="1043">
        <v>100</v>
      </c>
      <c r="Q431" s="1043">
        <v>100</v>
      </c>
      <c r="R431" s="1028">
        <v>100</v>
      </c>
    </row>
    <row r="432" spans="1:18" s="1019" customFormat="1" ht="45" x14ac:dyDescent="0.25">
      <c r="A432" s="227"/>
      <c r="B432" s="1800"/>
      <c r="C432" s="1023"/>
      <c r="D432" s="1124">
        <v>2</v>
      </c>
      <c r="E432" s="152"/>
      <c r="F432" s="151" t="s">
        <v>1470</v>
      </c>
      <c r="G432" s="995">
        <v>1257975.8999999999</v>
      </c>
      <c r="H432" s="995">
        <v>1262714.7</v>
      </c>
      <c r="I432" s="994">
        <v>1337245.0000000002</v>
      </c>
      <c r="J432" s="995">
        <v>1347536.4000000004</v>
      </c>
      <c r="K432" s="995">
        <v>1387846.1999999997</v>
      </c>
      <c r="L432" s="1025" t="s">
        <v>1763</v>
      </c>
      <c r="M432" s="1043" t="s">
        <v>240</v>
      </c>
      <c r="N432" s="1043">
        <v>1.9E-2</v>
      </c>
      <c r="O432" s="1043">
        <v>1.4999999999999999E-2</v>
      </c>
      <c r="P432" s="1043">
        <v>1.4999999999999999E-2</v>
      </c>
      <c r="Q432" s="1043">
        <v>1.4999999999999999E-2</v>
      </c>
      <c r="R432" s="1028">
        <v>1.6E-2</v>
      </c>
    </row>
    <row r="433" spans="1:18" s="1019" customFormat="1" ht="27" hidden="1" customHeight="1" x14ac:dyDescent="0.25">
      <c r="A433" s="227"/>
      <c r="B433" s="1800"/>
      <c r="C433" s="1732"/>
      <c r="D433" s="1732"/>
      <c r="E433" s="1753"/>
      <c r="F433" s="1734" t="s">
        <v>239</v>
      </c>
      <c r="G433" s="1378">
        <v>1043771.7</v>
      </c>
      <c r="H433" s="1378">
        <v>695608.3</v>
      </c>
      <c r="I433" s="1638">
        <v>1031113.3</v>
      </c>
      <c r="J433" s="1378">
        <v>1050411.6000000001</v>
      </c>
      <c r="K433" s="1378">
        <v>1080771.2</v>
      </c>
      <c r="L433" s="1754"/>
      <c r="M433" s="1346"/>
      <c r="N433" s="1346"/>
      <c r="O433" s="1371"/>
      <c r="P433" s="1371"/>
      <c r="Q433" s="1371"/>
      <c r="R433" s="1778"/>
    </row>
    <row r="434" spans="1:18" s="1019" customFormat="1" ht="27" hidden="1" customHeight="1" x14ac:dyDescent="0.25">
      <c r="A434" s="227"/>
      <c r="B434" s="1800"/>
      <c r="C434" s="1732"/>
      <c r="D434" s="1732"/>
      <c r="E434" s="1753"/>
      <c r="F434" s="1734"/>
      <c r="G434" s="1378"/>
      <c r="H434" s="1378"/>
      <c r="I434" s="1638"/>
      <c r="J434" s="1378"/>
      <c r="K434" s="1378"/>
      <c r="L434" s="1754"/>
      <c r="M434" s="1346"/>
      <c r="N434" s="1346"/>
      <c r="O434" s="1371"/>
      <c r="P434" s="1371"/>
      <c r="Q434" s="1371"/>
      <c r="R434" s="1778"/>
    </row>
    <row r="435" spans="1:18" s="1019" customFormat="1" ht="45" x14ac:dyDescent="0.25">
      <c r="A435" s="227"/>
      <c r="B435" s="1800"/>
      <c r="C435" s="1123"/>
      <c r="D435" s="1024" t="s">
        <v>9</v>
      </c>
      <c r="E435" s="1040"/>
      <c r="F435" s="151" t="s">
        <v>1471</v>
      </c>
      <c r="G435" s="995">
        <v>262743.5</v>
      </c>
      <c r="H435" s="995">
        <v>170227.4</v>
      </c>
      <c r="I435" s="994">
        <v>221722.4</v>
      </c>
      <c r="J435" s="995">
        <v>219854</v>
      </c>
      <c r="K435" s="995">
        <v>229203.4</v>
      </c>
      <c r="L435" s="1025" t="s">
        <v>1528</v>
      </c>
      <c r="M435" s="1043" t="s">
        <v>4</v>
      </c>
      <c r="N435" s="1043">
        <v>84.9</v>
      </c>
      <c r="O435" s="1043">
        <v>98</v>
      </c>
      <c r="P435" s="1043">
        <v>100</v>
      </c>
      <c r="Q435" s="1043">
        <v>100</v>
      </c>
      <c r="R435" s="1028">
        <v>100</v>
      </c>
    </row>
    <row r="436" spans="1:18" s="1019" customFormat="1" ht="60" x14ac:dyDescent="0.25">
      <c r="A436" s="227"/>
      <c r="B436" s="1800"/>
      <c r="C436" s="1123"/>
      <c r="D436" s="1024" t="s">
        <v>23</v>
      </c>
      <c r="E436" s="1040"/>
      <c r="F436" s="150" t="s">
        <v>1472</v>
      </c>
      <c r="G436" s="995">
        <v>781028.2</v>
      </c>
      <c r="H436" s="995">
        <v>525380.9</v>
      </c>
      <c r="I436" s="994">
        <v>809390.9</v>
      </c>
      <c r="J436" s="995">
        <v>830557.6</v>
      </c>
      <c r="K436" s="995">
        <v>851567.8</v>
      </c>
      <c r="L436" s="1025" t="s">
        <v>1529</v>
      </c>
      <c r="M436" s="1043" t="s">
        <v>238</v>
      </c>
      <c r="N436" s="149">
        <v>3.6113168966328518E-2</v>
      </c>
      <c r="O436" s="149">
        <v>2.3264491638795987E-2</v>
      </c>
      <c r="P436" s="149">
        <v>1.7977759118815457E-2</v>
      </c>
      <c r="Q436" s="149">
        <v>1.6504263858352738E-2</v>
      </c>
      <c r="R436" s="148">
        <v>1.5247518715391843E-2</v>
      </c>
    </row>
    <row r="437" spans="1:18" s="1019" customFormat="1" ht="117.75" customHeight="1" x14ac:dyDescent="0.25">
      <c r="A437" s="227"/>
      <c r="B437" s="1800"/>
      <c r="C437" s="1032" t="s">
        <v>237</v>
      </c>
      <c r="D437" s="1031"/>
      <c r="E437" s="147"/>
      <c r="F437" s="146" t="s">
        <v>1473</v>
      </c>
      <c r="G437" s="145">
        <v>139141.59999999998</v>
      </c>
      <c r="H437" s="999">
        <v>64763.099999999991</v>
      </c>
      <c r="I437" s="1002"/>
      <c r="J437" s="999"/>
      <c r="K437" s="999"/>
      <c r="L437" s="97"/>
      <c r="M437" s="1141"/>
      <c r="N437" s="1141"/>
      <c r="O437" s="144"/>
      <c r="P437" s="144"/>
      <c r="Q437" s="144"/>
      <c r="R437" s="144"/>
    </row>
    <row r="438" spans="1:18" s="1019" customFormat="1" ht="60" customHeight="1" x14ac:dyDescent="0.25">
      <c r="A438" s="227"/>
      <c r="B438" s="1800"/>
      <c r="C438" s="1742" t="s">
        <v>22</v>
      </c>
      <c r="D438" s="1742" t="s">
        <v>10</v>
      </c>
      <c r="E438" s="1742"/>
      <c r="F438" s="1743" t="s">
        <v>1474</v>
      </c>
      <c r="G438" s="1745">
        <v>30129.200000000001</v>
      </c>
      <c r="H438" s="1745">
        <v>30129.200000000001</v>
      </c>
      <c r="I438" s="1746"/>
      <c r="J438" s="1745"/>
      <c r="K438" s="1745"/>
      <c r="L438" s="1214" t="s">
        <v>1530</v>
      </c>
      <c r="M438" s="1140" t="s">
        <v>4</v>
      </c>
      <c r="N438" s="1140">
        <v>104.5</v>
      </c>
      <c r="O438" s="1140">
        <v>94.7</v>
      </c>
      <c r="P438" s="1140">
        <v>104</v>
      </c>
      <c r="Q438" s="1140">
        <v>105.7</v>
      </c>
      <c r="R438" s="87">
        <v>100.6</v>
      </c>
    </row>
    <row r="439" spans="1:18" s="1019" customFormat="1" ht="15" x14ac:dyDescent="0.25">
      <c r="A439" s="227"/>
      <c r="B439" s="1800"/>
      <c r="C439" s="1742"/>
      <c r="D439" s="1742"/>
      <c r="E439" s="1742"/>
      <c r="F439" s="1744"/>
      <c r="G439" s="1745"/>
      <c r="H439" s="1745"/>
      <c r="I439" s="1746"/>
      <c r="J439" s="1745"/>
      <c r="K439" s="1745"/>
      <c r="L439" s="1214" t="s">
        <v>1531</v>
      </c>
      <c r="M439" s="1140" t="s">
        <v>4</v>
      </c>
      <c r="N439" s="1142" t="s">
        <v>236</v>
      </c>
      <c r="O439" s="1142" t="s">
        <v>235</v>
      </c>
      <c r="P439" s="1142" t="s">
        <v>234</v>
      </c>
      <c r="Q439" s="1142" t="s">
        <v>233</v>
      </c>
      <c r="R439" s="143" t="s">
        <v>233</v>
      </c>
    </row>
    <row r="440" spans="1:18" s="1019" customFormat="1" ht="30" x14ac:dyDescent="0.25">
      <c r="A440" s="227"/>
      <c r="B440" s="1800"/>
      <c r="C440" s="1742" t="s">
        <v>22</v>
      </c>
      <c r="D440" s="1742" t="s">
        <v>13</v>
      </c>
      <c r="E440" s="1742"/>
      <c r="F440" s="1750" t="s">
        <v>1475</v>
      </c>
      <c r="G440" s="1745">
        <v>15800.5</v>
      </c>
      <c r="H440" s="1745">
        <v>15800.5</v>
      </c>
      <c r="I440" s="1746"/>
      <c r="J440" s="1745"/>
      <c r="K440" s="1745"/>
      <c r="L440" s="1025" t="s">
        <v>1532</v>
      </c>
      <c r="M440" s="1779" t="s">
        <v>4</v>
      </c>
      <c r="N440" s="30">
        <v>107</v>
      </c>
      <c r="O440" s="1140">
        <v>93.8</v>
      </c>
      <c r="P440" s="1140">
        <v>108.5</v>
      </c>
      <c r="Q440" s="1140">
        <v>112.5</v>
      </c>
      <c r="R440" s="87">
        <v>88.9</v>
      </c>
    </row>
    <row r="441" spans="1:18" s="1019" customFormat="1" ht="15" x14ac:dyDescent="0.25">
      <c r="A441" s="227"/>
      <c r="B441" s="1800"/>
      <c r="C441" s="1742"/>
      <c r="D441" s="1742"/>
      <c r="E441" s="1742"/>
      <c r="F441" s="1737"/>
      <c r="G441" s="1745"/>
      <c r="H441" s="1745"/>
      <c r="I441" s="1746"/>
      <c r="J441" s="1745"/>
      <c r="K441" s="1745"/>
      <c r="L441" s="1025" t="s">
        <v>1533</v>
      </c>
      <c r="M441" s="1779"/>
      <c r="N441" s="30">
        <v>42.4</v>
      </c>
      <c r="O441" s="1140">
        <v>55.3</v>
      </c>
      <c r="P441" s="1140">
        <v>53.4</v>
      </c>
      <c r="Q441" s="1140">
        <v>55.9</v>
      </c>
      <c r="R441" s="87">
        <v>47.1</v>
      </c>
    </row>
    <row r="442" spans="1:18" s="1019" customFormat="1" ht="30" x14ac:dyDescent="0.25">
      <c r="A442" s="227"/>
      <c r="B442" s="1800"/>
      <c r="C442" s="1035"/>
      <c r="D442" s="1031" t="s">
        <v>23</v>
      </c>
      <c r="E442" s="1031"/>
      <c r="F442" s="1213" t="s">
        <v>1476</v>
      </c>
      <c r="G442" s="142">
        <v>5657.1</v>
      </c>
      <c r="H442" s="142">
        <v>5657.1</v>
      </c>
      <c r="I442" s="1005"/>
      <c r="J442" s="142"/>
      <c r="K442" s="142"/>
      <c r="L442" s="1025" t="s">
        <v>1534</v>
      </c>
      <c r="M442" s="1140" t="s">
        <v>216</v>
      </c>
      <c r="N442" s="1030">
        <v>1500</v>
      </c>
      <c r="O442" s="141">
        <v>3000</v>
      </c>
      <c r="P442" s="1030">
        <v>4000</v>
      </c>
      <c r="Q442" s="1030">
        <v>5000</v>
      </c>
      <c r="R442" s="125">
        <v>7000</v>
      </c>
    </row>
    <row r="443" spans="1:18" s="1019" customFormat="1" ht="150" customHeight="1" x14ac:dyDescent="0.25">
      <c r="A443" s="227"/>
      <c r="B443" s="1800"/>
      <c r="C443" s="1751"/>
      <c r="D443" s="1752" t="s">
        <v>24</v>
      </c>
      <c r="E443" s="1742"/>
      <c r="F443" s="1744" t="s">
        <v>1477</v>
      </c>
      <c r="G443" s="1745">
        <v>5337</v>
      </c>
      <c r="H443" s="1745">
        <v>5337</v>
      </c>
      <c r="I443" s="1746"/>
      <c r="J443" s="1745"/>
      <c r="K443" s="1745"/>
      <c r="L443" s="1025" t="s">
        <v>1535</v>
      </c>
      <c r="M443" s="1140" t="s">
        <v>1047</v>
      </c>
      <c r="N443" s="1030">
        <v>80</v>
      </c>
      <c r="O443" s="1030">
        <v>70</v>
      </c>
      <c r="P443" s="1030">
        <v>60</v>
      </c>
      <c r="Q443" s="1030">
        <v>50</v>
      </c>
      <c r="R443" s="125">
        <v>50</v>
      </c>
    </row>
    <row r="444" spans="1:18" s="1019" customFormat="1" ht="15" x14ac:dyDescent="0.25">
      <c r="A444" s="227"/>
      <c r="B444" s="1800"/>
      <c r="C444" s="1751"/>
      <c r="D444" s="1752"/>
      <c r="E444" s="1742"/>
      <c r="F444" s="1744"/>
      <c r="G444" s="1745"/>
      <c r="H444" s="1745"/>
      <c r="I444" s="1746"/>
      <c r="J444" s="1745"/>
      <c r="K444" s="1745"/>
      <c r="L444" s="1025" t="s">
        <v>1536</v>
      </c>
      <c r="M444" s="1140" t="s">
        <v>1047</v>
      </c>
      <c r="N444" s="1030">
        <v>78</v>
      </c>
      <c r="O444" s="1030">
        <v>70</v>
      </c>
      <c r="P444" s="1030">
        <v>60</v>
      </c>
      <c r="Q444" s="1030">
        <v>50</v>
      </c>
      <c r="R444" s="125">
        <v>50</v>
      </c>
    </row>
    <row r="445" spans="1:18" s="1019" customFormat="1" ht="15" x14ac:dyDescent="0.25">
      <c r="A445" s="227"/>
      <c r="B445" s="1800"/>
      <c r="C445" s="1751"/>
      <c r="D445" s="1752"/>
      <c r="E445" s="1742"/>
      <c r="F445" s="1744"/>
      <c r="G445" s="1745"/>
      <c r="H445" s="1745"/>
      <c r="I445" s="1746"/>
      <c r="J445" s="1745"/>
      <c r="K445" s="1745"/>
      <c r="L445" s="1025" t="s">
        <v>1537</v>
      </c>
      <c r="M445" s="1140" t="s">
        <v>1047</v>
      </c>
      <c r="N445" s="1030">
        <v>117</v>
      </c>
      <c r="O445" s="1030">
        <v>115</v>
      </c>
      <c r="P445" s="1030">
        <v>110</v>
      </c>
      <c r="Q445" s="1030">
        <v>100</v>
      </c>
      <c r="R445" s="125">
        <v>100</v>
      </c>
    </row>
    <row r="446" spans="1:18" s="1019" customFormat="1" ht="75" x14ac:dyDescent="0.25">
      <c r="A446" s="227"/>
      <c r="B446" s="1800"/>
      <c r="C446" s="1035"/>
      <c r="D446" s="1031" t="s">
        <v>25</v>
      </c>
      <c r="E446" s="1031"/>
      <c r="F446" s="126" t="s">
        <v>1478</v>
      </c>
      <c r="G446" s="1013">
        <v>4231.6000000000004</v>
      </c>
      <c r="H446" s="1013">
        <v>4231.6000000000004</v>
      </c>
      <c r="I446" s="1014"/>
      <c r="J446" s="1013"/>
      <c r="K446" s="1013"/>
      <c r="L446" s="1025" t="s">
        <v>1538</v>
      </c>
      <c r="M446" s="133" t="s">
        <v>4</v>
      </c>
      <c r="N446" s="133">
        <v>30</v>
      </c>
      <c r="O446" s="133">
        <v>40</v>
      </c>
      <c r="P446" s="133">
        <v>50</v>
      </c>
      <c r="Q446" s="133">
        <v>60</v>
      </c>
      <c r="R446" s="132">
        <v>70</v>
      </c>
    </row>
    <row r="447" spans="1:18" s="1019" customFormat="1" ht="60" x14ac:dyDescent="0.25">
      <c r="A447" s="227"/>
      <c r="B447" s="1800"/>
      <c r="C447" s="1035"/>
      <c r="D447" s="1031" t="s">
        <v>26</v>
      </c>
      <c r="E447" s="1031"/>
      <c r="F447" s="135" t="s">
        <v>1479</v>
      </c>
      <c r="G447" s="1013">
        <v>3607.7</v>
      </c>
      <c r="H447" s="1013">
        <v>3607.7</v>
      </c>
      <c r="I447" s="1014"/>
      <c r="J447" s="1013"/>
      <c r="K447" s="1013"/>
      <c r="L447" s="1025" t="s">
        <v>1539</v>
      </c>
      <c r="M447" s="140" t="s">
        <v>4</v>
      </c>
      <c r="N447" s="1043">
        <v>10</v>
      </c>
      <c r="O447" s="1043">
        <v>15</v>
      </c>
      <c r="P447" s="1043">
        <v>50</v>
      </c>
      <c r="Q447" s="1043">
        <v>80</v>
      </c>
      <c r="R447" s="1028">
        <v>100</v>
      </c>
    </row>
    <row r="448" spans="1:18" s="1019" customFormat="1" ht="60" customHeight="1" x14ac:dyDescent="0.25">
      <c r="A448" s="227"/>
      <c r="B448" s="1800"/>
      <c r="C448" s="139"/>
      <c r="D448" s="1031" t="s">
        <v>27</v>
      </c>
      <c r="E448" s="138"/>
      <c r="F448" s="135" t="s">
        <v>1480</v>
      </c>
      <c r="G448" s="136">
        <v>74378.5</v>
      </c>
      <c r="H448" s="137"/>
      <c r="I448" s="1014"/>
      <c r="J448" s="1013"/>
      <c r="K448" s="136"/>
      <c r="L448" s="135"/>
      <c r="M448" s="1140"/>
      <c r="N448" s="1140"/>
      <c r="O448" s="1140"/>
      <c r="P448" s="1030"/>
      <c r="Q448" s="1030"/>
      <c r="R448" s="125"/>
    </row>
    <row r="449" spans="1:18" s="1019" customFormat="1" ht="15" customHeight="1" x14ac:dyDescent="0.25">
      <c r="A449" s="227"/>
      <c r="B449" s="1800"/>
      <c r="C449" s="1732" t="s">
        <v>231</v>
      </c>
      <c r="D449" s="1458"/>
      <c r="E449" s="1733"/>
      <c r="F449" s="1748" t="s">
        <v>1481</v>
      </c>
      <c r="G449" s="1378">
        <v>95413.3</v>
      </c>
      <c r="H449" s="1378">
        <v>159550.79999999999</v>
      </c>
      <c r="I449" s="1638">
        <v>188928.6</v>
      </c>
      <c r="J449" s="1378">
        <v>192339.30000000002</v>
      </c>
      <c r="K449" s="1378">
        <v>197355.1</v>
      </c>
      <c r="L449" s="1766"/>
      <c r="M449" s="1378"/>
      <c r="N449" s="1378"/>
      <c r="O449" s="1378"/>
      <c r="P449" s="1378"/>
      <c r="Q449" s="1378"/>
      <c r="R449" s="1780"/>
    </row>
    <row r="450" spans="1:18" s="1019" customFormat="1" ht="15" x14ac:dyDescent="0.25">
      <c r="A450" s="227"/>
      <c r="B450" s="1800"/>
      <c r="C450" s="1732"/>
      <c r="D450" s="1458"/>
      <c r="E450" s="1733"/>
      <c r="F450" s="1749"/>
      <c r="G450" s="1378"/>
      <c r="H450" s="1378"/>
      <c r="I450" s="1638"/>
      <c r="J450" s="1378"/>
      <c r="K450" s="1378"/>
      <c r="L450" s="1766"/>
      <c r="M450" s="1378"/>
      <c r="N450" s="1378"/>
      <c r="O450" s="1378"/>
      <c r="P450" s="1378"/>
      <c r="Q450" s="1378"/>
      <c r="R450" s="1780"/>
    </row>
    <row r="451" spans="1:18" s="1019" customFormat="1" ht="45" customHeight="1" x14ac:dyDescent="0.25">
      <c r="A451" s="227"/>
      <c r="B451" s="1800"/>
      <c r="C451" s="1751"/>
      <c r="D451" s="1742" t="s">
        <v>10</v>
      </c>
      <c r="E451" s="1742"/>
      <c r="F451" s="1755" t="s">
        <v>1482</v>
      </c>
      <c r="G451" s="1745">
        <v>24245.7</v>
      </c>
      <c r="H451" s="1745">
        <v>24050.1</v>
      </c>
      <c r="I451" s="1746">
        <v>-1.3926637620897964E-12</v>
      </c>
      <c r="J451" s="1745">
        <v>-1.4210854715202004E-12</v>
      </c>
      <c r="K451" s="1745">
        <v>251.7</v>
      </c>
      <c r="L451" s="126" t="s">
        <v>1540</v>
      </c>
      <c r="M451" s="1140" t="s">
        <v>297</v>
      </c>
      <c r="N451" s="133">
        <v>7915</v>
      </c>
      <c r="O451" s="133">
        <v>5</v>
      </c>
      <c r="P451" s="133">
        <v>5</v>
      </c>
      <c r="Q451" s="133">
        <v>5</v>
      </c>
      <c r="R451" s="132">
        <v>5</v>
      </c>
    </row>
    <row r="452" spans="1:18" s="1019" customFormat="1" ht="42.75" customHeight="1" x14ac:dyDescent="0.25">
      <c r="A452" s="227"/>
      <c r="B452" s="1800"/>
      <c r="C452" s="1751"/>
      <c r="D452" s="1742"/>
      <c r="E452" s="1742"/>
      <c r="F452" s="1755"/>
      <c r="G452" s="1745"/>
      <c r="H452" s="1745"/>
      <c r="I452" s="1746"/>
      <c r="J452" s="1745"/>
      <c r="K452" s="1745"/>
      <c r="L452" s="126" t="s">
        <v>1541</v>
      </c>
      <c r="M452" s="1140"/>
      <c r="N452" s="133">
        <v>93018</v>
      </c>
      <c r="O452" s="133">
        <v>5</v>
      </c>
      <c r="P452" s="133">
        <v>5</v>
      </c>
      <c r="Q452" s="133">
        <v>5</v>
      </c>
      <c r="R452" s="132">
        <v>5</v>
      </c>
    </row>
    <row r="453" spans="1:18" s="1019" customFormat="1" ht="90" customHeight="1" x14ac:dyDescent="0.25">
      <c r="A453" s="227"/>
      <c r="B453" s="1800"/>
      <c r="C453" s="1756"/>
      <c r="D453" s="1758" t="s">
        <v>23</v>
      </c>
      <c r="E453" s="1758"/>
      <c r="F453" s="1760" t="s">
        <v>1483</v>
      </c>
      <c r="G453" s="1762">
        <v>17403</v>
      </c>
      <c r="H453" s="1762">
        <v>17403</v>
      </c>
      <c r="I453" s="1764">
        <v>0</v>
      </c>
      <c r="J453" s="1762">
        <v>0</v>
      </c>
      <c r="K453" s="1762">
        <v>0</v>
      </c>
      <c r="L453" s="26" t="s">
        <v>1542</v>
      </c>
      <c r="M453" s="1140" t="s">
        <v>1543</v>
      </c>
      <c r="N453" s="1140">
        <v>6400.7</v>
      </c>
      <c r="O453" s="1140">
        <v>5764</v>
      </c>
      <c r="P453" s="1140">
        <v>6103</v>
      </c>
      <c r="Q453" s="1140">
        <v>6597</v>
      </c>
      <c r="R453" s="87">
        <v>6662</v>
      </c>
    </row>
    <row r="454" spans="1:18" s="1019" customFormat="1" ht="69" customHeight="1" x14ac:dyDescent="0.25">
      <c r="A454" s="227"/>
      <c r="B454" s="1800"/>
      <c r="C454" s="1757"/>
      <c r="D454" s="1759"/>
      <c r="E454" s="1759"/>
      <c r="F454" s="1761"/>
      <c r="G454" s="1763"/>
      <c r="H454" s="1763"/>
      <c r="I454" s="1765"/>
      <c r="J454" s="1763"/>
      <c r="K454" s="1763"/>
      <c r="L454" s="26" t="s">
        <v>1544</v>
      </c>
      <c r="M454" s="1140" t="s">
        <v>4</v>
      </c>
      <c r="N454" s="1140">
        <v>95.8</v>
      </c>
      <c r="O454" s="30">
        <f>O453/N453*100</f>
        <v>90.052650491352509</v>
      </c>
      <c r="P454" s="30">
        <f>P453/O453*100</f>
        <v>105.88133240804996</v>
      </c>
      <c r="Q454" s="30">
        <f>Q453/P453*100</f>
        <v>108.09437981320661</v>
      </c>
      <c r="R454" s="88">
        <f>R453/Q453*100</f>
        <v>100.98529634682431</v>
      </c>
    </row>
    <row r="455" spans="1:18" s="1019" customFormat="1" ht="27" hidden="1" customHeight="1" x14ac:dyDescent="0.25">
      <c r="A455" s="227"/>
      <c r="B455" s="1800"/>
      <c r="C455" s="1031"/>
      <c r="D455" s="1031" t="s">
        <v>24</v>
      </c>
      <c r="E455" s="1031"/>
      <c r="F455" s="1039" t="s">
        <v>230</v>
      </c>
      <c r="G455" s="1013">
        <v>0</v>
      </c>
      <c r="H455" s="1013">
        <v>0</v>
      </c>
      <c r="I455" s="1014">
        <v>0</v>
      </c>
      <c r="J455" s="1013">
        <v>0</v>
      </c>
      <c r="K455" s="1013">
        <v>0</v>
      </c>
      <c r="L455" s="26" t="s">
        <v>229</v>
      </c>
      <c r="M455" s="1140" t="s">
        <v>67</v>
      </c>
      <c r="N455" s="133">
        <v>50</v>
      </c>
      <c r="O455" s="133">
        <v>100</v>
      </c>
      <c r="P455" s="133">
        <v>120</v>
      </c>
      <c r="Q455" s="1030">
        <v>140</v>
      </c>
      <c r="R455" s="125">
        <v>160</v>
      </c>
    </row>
    <row r="456" spans="1:18" s="1019" customFormat="1" ht="60" customHeight="1" x14ac:dyDescent="0.25">
      <c r="A456" s="227"/>
      <c r="B456" s="1800"/>
      <c r="C456" s="1031"/>
      <c r="D456" s="1031" t="s">
        <v>25</v>
      </c>
      <c r="E456" s="1031"/>
      <c r="F456" s="135" t="s">
        <v>1484</v>
      </c>
      <c r="G456" s="1013">
        <v>7596.2</v>
      </c>
      <c r="H456" s="1013">
        <v>7596.2</v>
      </c>
      <c r="I456" s="1014">
        <v>7596.2</v>
      </c>
      <c r="J456" s="1013">
        <v>7743.4</v>
      </c>
      <c r="K456" s="1013">
        <v>7975.1</v>
      </c>
      <c r="L456" s="126" t="s">
        <v>1545</v>
      </c>
      <c r="M456" s="1140" t="s">
        <v>4</v>
      </c>
      <c r="N456" s="1021">
        <v>28.7</v>
      </c>
      <c r="O456" s="133">
        <v>30</v>
      </c>
      <c r="P456" s="1030">
        <v>35</v>
      </c>
      <c r="Q456" s="1030">
        <v>35</v>
      </c>
      <c r="R456" s="125">
        <v>40</v>
      </c>
    </row>
    <row r="457" spans="1:18" s="1019" customFormat="1" ht="27" hidden="1" customHeight="1" x14ac:dyDescent="0.25">
      <c r="A457" s="227"/>
      <c r="B457" s="1800"/>
      <c r="C457" s="1769"/>
      <c r="D457" s="1770" t="s">
        <v>26</v>
      </c>
      <c r="E457" s="1770"/>
      <c r="F457" s="1735" t="s">
        <v>1485</v>
      </c>
      <c r="G457" s="1745">
        <v>25166.799999999999</v>
      </c>
      <c r="H457" s="1771">
        <v>25166.799999999999</v>
      </c>
      <c r="I457" s="1772">
        <v>26706.2</v>
      </c>
      <c r="J457" s="1771">
        <v>27287.4</v>
      </c>
      <c r="K457" s="1771">
        <v>27887.100000000002</v>
      </c>
      <c r="L457" s="126" t="s">
        <v>227</v>
      </c>
      <c r="M457" s="1043" t="s">
        <v>4</v>
      </c>
      <c r="N457" s="1043">
        <v>100</v>
      </c>
      <c r="O457" s="1043">
        <v>100</v>
      </c>
      <c r="P457" s="1043">
        <v>100</v>
      </c>
      <c r="Q457" s="1043">
        <v>100</v>
      </c>
      <c r="R457" s="1028">
        <v>100</v>
      </c>
    </row>
    <row r="458" spans="1:18" s="1019" customFormat="1" ht="45" x14ac:dyDescent="0.25">
      <c r="A458" s="227"/>
      <c r="B458" s="1800"/>
      <c r="C458" s="1769"/>
      <c r="D458" s="1770"/>
      <c r="E458" s="1770"/>
      <c r="F458" s="1735"/>
      <c r="G458" s="1745"/>
      <c r="H458" s="1771"/>
      <c r="I458" s="1772"/>
      <c r="J458" s="1771"/>
      <c r="K458" s="1771"/>
      <c r="L458" s="134" t="s">
        <v>1546</v>
      </c>
      <c r="M458" s="1030" t="s">
        <v>297</v>
      </c>
      <c r="N458" s="1030">
        <v>7</v>
      </c>
      <c r="O458" s="1030">
        <v>0</v>
      </c>
      <c r="P458" s="1030">
        <v>13</v>
      </c>
      <c r="Q458" s="1030">
        <v>8</v>
      </c>
      <c r="R458" s="125">
        <v>0</v>
      </c>
    </row>
    <row r="459" spans="1:18" s="1019" customFormat="1" ht="75" x14ac:dyDescent="0.25">
      <c r="A459" s="227"/>
      <c r="B459" s="1800"/>
      <c r="C459" s="1769"/>
      <c r="D459" s="1770"/>
      <c r="E459" s="1770"/>
      <c r="F459" s="1735"/>
      <c r="G459" s="1745"/>
      <c r="H459" s="1771"/>
      <c r="I459" s="1772"/>
      <c r="J459" s="1771"/>
      <c r="K459" s="1771"/>
      <c r="L459" s="126" t="s">
        <v>1547</v>
      </c>
      <c r="M459" s="1030" t="s">
        <v>297</v>
      </c>
      <c r="N459" s="133">
        <v>0</v>
      </c>
      <c r="O459" s="133">
        <v>17</v>
      </c>
      <c r="P459" s="133">
        <v>17</v>
      </c>
      <c r="Q459" s="133">
        <v>17</v>
      </c>
      <c r="R459" s="132">
        <v>17</v>
      </c>
    </row>
    <row r="460" spans="1:18" s="1019" customFormat="1" ht="27" hidden="1" customHeight="1" x14ac:dyDescent="0.25">
      <c r="A460" s="227"/>
      <c r="B460" s="1800"/>
      <c r="C460" s="1773"/>
      <c r="D460" s="1774" t="s">
        <v>27</v>
      </c>
      <c r="E460" s="1774"/>
      <c r="F460" s="1735" t="s">
        <v>1486</v>
      </c>
      <c r="G460" s="1775">
        <v>15891.1</v>
      </c>
      <c r="H460" s="1775">
        <v>14917.4</v>
      </c>
      <c r="I460" s="1792">
        <v>15417.4</v>
      </c>
      <c r="J460" s="1775">
        <v>16080.6</v>
      </c>
      <c r="K460" s="1775">
        <v>16837.2</v>
      </c>
      <c r="L460" s="131" t="s">
        <v>226</v>
      </c>
      <c r="M460" s="130" t="s">
        <v>3</v>
      </c>
      <c r="N460" s="129">
        <v>99</v>
      </c>
      <c r="O460" s="129">
        <v>89</v>
      </c>
      <c r="P460" s="128">
        <v>85</v>
      </c>
      <c r="Q460" s="128">
        <v>90</v>
      </c>
      <c r="R460" s="127">
        <v>95</v>
      </c>
    </row>
    <row r="461" spans="1:18" s="1019" customFormat="1" ht="75" x14ac:dyDescent="0.25">
      <c r="A461" s="227"/>
      <c r="B461" s="1800"/>
      <c r="C461" s="1773"/>
      <c r="D461" s="1774"/>
      <c r="E461" s="1774"/>
      <c r="F461" s="1735"/>
      <c r="G461" s="1775"/>
      <c r="H461" s="1775"/>
      <c r="I461" s="1792"/>
      <c r="J461" s="1775"/>
      <c r="K461" s="1775"/>
      <c r="L461" s="131" t="s">
        <v>1548</v>
      </c>
      <c r="M461" s="130" t="s">
        <v>3</v>
      </c>
      <c r="N461" s="129">
        <v>61</v>
      </c>
      <c r="O461" s="129">
        <v>65</v>
      </c>
      <c r="P461" s="128">
        <v>67</v>
      </c>
      <c r="Q461" s="128">
        <v>68</v>
      </c>
      <c r="R461" s="127">
        <v>70</v>
      </c>
    </row>
    <row r="462" spans="1:18" s="1019" customFormat="1" ht="120" customHeight="1" x14ac:dyDescent="0.25">
      <c r="A462" s="227"/>
      <c r="B462" s="1800"/>
      <c r="C462" s="1790"/>
      <c r="D462" s="1742" t="s">
        <v>39</v>
      </c>
      <c r="E462" s="1742"/>
      <c r="F462" s="1735" t="s">
        <v>1487</v>
      </c>
      <c r="G462" s="1745">
        <v>518.9</v>
      </c>
      <c r="H462" s="1745">
        <v>3110.5</v>
      </c>
      <c r="I462" s="1746">
        <v>21551.200000000001</v>
      </c>
      <c r="J462" s="1745">
        <v>21968.9</v>
      </c>
      <c r="K462" s="1745">
        <v>22626.1</v>
      </c>
      <c r="L462" s="126" t="s">
        <v>1549</v>
      </c>
      <c r="M462" s="1030" t="s">
        <v>297</v>
      </c>
      <c r="N462" s="1030">
        <v>2</v>
      </c>
      <c r="O462" s="1030">
        <v>4</v>
      </c>
      <c r="P462" s="1030">
        <v>6</v>
      </c>
      <c r="Q462" s="1030">
        <v>6</v>
      </c>
      <c r="R462" s="125">
        <v>6</v>
      </c>
    </row>
    <row r="463" spans="1:18" s="1019" customFormat="1" ht="57.75" customHeight="1" x14ac:dyDescent="0.25">
      <c r="A463" s="227"/>
      <c r="B463" s="1800"/>
      <c r="C463" s="1791"/>
      <c r="D463" s="1742"/>
      <c r="E463" s="1742"/>
      <c r="F463" s="1735"/>
      <c r="G463" s="1745"/>
      <c r="H463" s="1745"/>
      <c r="I463" s="1746"/>
      <c r="J463" s="1745"/>
      <c r="K463" s="1745"/>
      <c r="L463" s="126" t="s">
        <v>1550</v>
      </c>
      <c r="M463" s="1030" t="s">
        <v>297</v>
      </c>
      <c r="N463" s="1030">
        <v>1</v>
      </c>
      <c r="O463" s="1030">
        <v>2</v>
      </c>
      <c r="P463" s="1030">
        <v>3</v>
      </c>
      <c r="Q463" s="1030">
        <v>3</v>
      </c>
      <c r="R463" s="125">
        <v>3</v>
      </c>
    </row>
    <row r="464" spans="1:18" s="1019" customFormat="1" ht="150" customHeight="1" x14ac:dyDescent="0.25">
      <c r="A464" s="227"/>
      <c r="B464" s="1800"/>
      <c r="C464" s="1458"/>
      <c r="D464" s="1458" t="s">
        <v>42</v>
      </c>
      <c r="E464" s="1458"/>
      <c r="F464" s="1735" t="s">
        <v>1488</v>
      </c>
      <c r="G464" s="1767">
        <v>4591.6000000000004</v>
      </c>
      <c r="H464" s="1767">
        <v>4909</v>
      </c>
      <c r="I464" s="1768">
        <v>39957</v>
      </c>
      <c r="J464" s="1767">
        <v>40052.199999999997</v>
      </c>
      <c r="K464" s="1767">
        <v>40201.800000000003</v>
      </c>
      <c r="L464" s="1121" t="s">
        <v>1551</v>
      </c>
      <c r="M464" s="1043" t="s">
        <v>866</v>
      </c>
      <c r="N464" s="1043"/>
      <c r="O464" s="1119">
        <v>3000</v>
      </c>
      <c r="P464" s="1119">
        <v>3300</v>
      </c>
      <c r="Q464" s="1119">
        <v>3600</v>
      </c>
      <c r="R464" s="1120">
        <v>3900</v>
      </c>
    </row>
    <row r="465" spans="1:18" s="1019" customFormat="1" ht="15" x14ac:dyDescent="0.25">
      <c r="A465" s="227"/>
      <c r="B465" s="1800"/>
      <c r="C465" s="1458"/>
      <c r="D465" s="1458"/>
      <c r="E465" s="1458"/>
      <c r="F465" s="1735"/>
      <c r="G465" s="1767"/>
      <c r="H465" s="1767"/>
      <c r="I465" s="1768"/>
      <c r="J465" s="1767"/>
      <c r="K465" s="1767"/>
      <c r="L465" s="1121" t="s">
        <v>1552</v>
      </c>
      <c r="M465" s="1043" t="s">
        <v>4</v>
      </c>
      <c r="N465" s="1043"/>
      <c r="O465" s="1119">
        <v>3.5</v>
      </c>
      <c r="P465" s="1119">
        <v>4</v>
      </c>
      <c r="Q465" s="1119">
        <v>4.5</v>
      </c>
      <c r="R465" s="1120">
        <v>4.8</v>
      </c>
    </row>
    <row r="466" spans="1:18" s="1019" customFormat="1" ht="45" x14ac:dyDescent="0.25">
      <c r="A466" s="227"/>
      <c r="B466" s="1800"/>
      <c r="C466" s="1458"/>
      <c r="D466" s="1458"/>
      <c r="E466" s="1458"/>
      <c r="F466" s="1735"/>
      <c r="G466" s="1767"/>
      <c r="H466" s="1767"/>
      <c r="I466" s="1768"/>
      <c r="J466" s="1767"/>
      <c r="K466" s="1767"/>
      <c r="L466" s="1121" t="s">
        <v>1553</v>
      </c>
      <c r="M466" s="1043" t="s">
        <v>1554</v>
      </c>
      <c r="N466" s="1043"/>
      <c r="O466" s="1119">
        <v>126.4</v>
      </c>
      <c r="P466" s="1119">
        <v>132.69999999999999</v>
      </c>
      <c r="Q466" s="1119">
        <v>139.30000000000001</v>
      </c>
      <c r="R466" s="1120">
        <v>146.30000000000001</v>
      </c>
    </row>
    <row r="467" spans="1:18" s="1019" customFormat="1" ht="15" x14ac:dyDescent="0.25">
      <c r="A467" s="227"/>
      <c r="B467" s="1800"/>
      <c r="C467" s="1458"/>
      <c r="D467" s="1458"/>
      <c r="E467" s="1458"/>
      <c r="F467" s="1735"/>
      <c r="G467" s="1767"/>
      <c r="H467" s="1767"/>
      <c r="I467" s="1768"/>
      <c r="J467" s="1767"/>
      <c r="K467" s="1767"/>
      <c r="L467" s="1121" t="s">
        <v>1555</v>
      </c>
      <c r="M467" s="1043" t="s">
        <v>216</v>
      </c>
      <c r="N467" s="1043"/>
      <c r="O467" s="1119">
        <v>15820.8</v>
      </c>
      <c r="P467" s="1119">
        <v>16611.8</v>
      </c>
      <c r="Q467" s="1119">
        <v>17442.400000000001</v>
      </c>
      <c r="R467" s="1120">
        <v>18314.5</v>
      </c>
    </row>
    <row r="468" spans="1:18" s="1019" customFormat="1" ht="75" x14ac:dyDescent="0.25">
      <c r="A468" s="227"/>
      <c r="B468" s="1800"/>
      <c r="C468" s="1122"/>
      <c r="D468" s="124">
        <v>12</v>
      </c>
      <c r="E468" s="1119"/>
      <c r="F468" s="1121" t="s">
        <v>1489</v>
      </c>
      <c r="G468" s="995"/>
      <c r="H468" s="995">
        <v>44554.3</v>
      </c>
      <c r="I468" s="994">
        <v>50706.7</v>
      </c>
      <c r="J468" s="74">
        <v>51689.599999999999</v>
      </c>
      <c r="K468" s="74">
        <v>53235.8</v>
      </c>
      <c r="L468" s="1121" t="s">
        <v>1556</v>
      </c>
      <c r="M468" s="1043" t="s">
        <v>1557</v>
      </c>
      <c r="N468" s="1043" t="s">
        <v>1558</v>
      </c>
      <c r="O468" s="1043" t="s">
        <v>1558</v>
      </c>
      <c r="P468" s="1043" t="s">
        <v>1558</v>
      </c>
      <c r="Q468" s="1043" t="s">
        <v>1558</v>
      </c>
      <c r="R468" s="1043" t="s">
        <v>1558</v>
      </c>
    </row>
    <row r="469" spans="1:18" s="1019" customFormat="1" ht="30" x14ac:dyDescent="0.25">
      <c r="A469" s="227"/>
      <c r="B469" s="1800"/>
      <c r="C469" s="1122"/>
      <c r="D469" s="124">
        <v>13</v>
      </c>
      <c r="E469" s="1119"/>
      <c r="F469" s="1121" t="s">
        <v>1217</v>
      </c>
      <c r="G469" s="995"/>
      <c r="H469" s="995">
        <v>16859.3</v>
      </c>
      <c r="I469" s="994">
        <v>17993.900000000001</v>
      </c>
      <c r="J469" s="995">
        <v>18342.7</v>
      </c>
      <c r="K469" s="995">
        <v>18891.400000000001</v>
      </c>
      <c r="L469" s="1025" t="s">
        <v>1559</v>
      </c>
      <c r="M469" s="1043" t="s">
        <v>321</v>
      </c>
      <c r="N469" s="1043" t="s">
        <v>225</v>
      </c>
      <c r="O469" s="1043" t="str">
        <f>N469</f>
        <v>37/7</v>
      </c>
      <c r="P469" s="1043" t="str">
        <f>O469</f>
        <v>37/7</v>
      </c>
      <c r="Q469" s="1043" t="str">
        <f>P469</f>
        <v>37/7</v>
      </c>
      <c r="R469" s="1028" t="str">
        <f>Q469</f>
        <v>37/7</v>
      </c>
    </row>
    <row r="470" spans="1:18" s="1019" customFormat="1" ht="165" x14ac:dyDescent="0.25">
      <c r="A470" s="227"/>
      <c r="B470" s="1800"/>
      <c r="C470" s="1033"/>
      <c r="D470" s="1038" t="s">
        <v>45</v>
      </c>
      <c r="E470" s="1031"/>
      <c r="F470" s="1121" t="s">
        <v>1490</v>
      </c>
      <c r="G470" s="995">
        <v>0</v>
      </c>
      <c r="H470" s="995">
        <v>984.2</v>
      </c>
      <c r="I470" s="994">
        <v>9000</v>
      </c>
      <c r="J470" s="995">
        <v>9174.5</v>
      </c>
      <c r="K470" s="995">
        <v>9448.9</v>
      </c>
      <c r="L470" s="1121" t="s">
        <v>1560</v>
      </c>
      <c r="M470" s="122"/>
      <c r="N470" s="123">
        <v>0</v>
      </c>
      <c r="O470" s="123">
        <v>1</v>
      </c>
      <c r="P470" s="123">
        <v>2</v>
      </c>
      <c r="Q470" s="122">
        <v>4</v>
      </c>
      <c r="R470" s="121">
        <v>5</v>
      </c>
    </row>
    <row r="471" spans="1:18" s="1019" customFormat="1" ht="15" x14ac:dyDescent="0.25">
      <c r="A471" s="227"/>
      <c r="B471" s="1800"/>
      <c r="C471" s="120">
        <v>278</v>
      </c>
      <c r="D471" s="119"/>
      <c r="E471" s="1023"/>
      <c r="F471" s="1041" t="s">
        <v>1491</v>
      </c>
      <c r="G471" s="999">
        <v>22528.7</v>
      </c>
      <c r="H471" s="999">
        <v>22636.000000000004</v>
      </c>
      <c r="I471" s="1002">
        <v>24106.5</v>
      </c>
      <c r="J471" s="999">
        <v>24545.000000000004</v>
      </c>
      <c r="K471" s="999">
        <v>24983.8</v>
      </c>
      <c r="L471" s="118"/>
      <c r="M471" s="117"/>
      <c r="N471" s="117"/>
      <c r="O471" s="117"/>
      <c r="P471" s="117"/>
      <c r="Q471" s="117"/>
      <c r="R471" s="116"/>
    </row>
    <row r="472" spans="1:18" s="1019" customFormat="1" ht="30" x14ac:dyDescent="0.25">
      <c r="A472" s="227"/>
      <c r="B472" s="1800"/>
      <c r="C472" s="1023"/>
      <c r="D472" s="1024" t="s">
        <v>10</v>
      </c>
      <c r="E472" s="1024"/>
      <c r="F472" s="1025" t="s">
        <v>1272</v>
      </c>
      <c r="G472" s="1015">
        <v>8904.5</v>
      </c>
      <c r="H472" s="1015">
        <v>8839.6</v>
      </c>
      <c r="I472" s="994">
        <v>8839.6</v>
      </c>
      <c r="J472" s="995">
        <v>9010.7000000000007</v>
      </c>
      <c r="K472" s="995">
        <v>9028.5999999999985</v>
      </c>
      <c r="L472" s="1121" t="s">
        <v>1561</v>
      </c>
      <c r="M472" s="1043" t="s">
        <v>4</v>
      </c>
      <c r="N472" s="1043">
        <v>100</v>
      </c>
      <c r="O472" s="1043">
        <v>100</v>
      </c>
      <c r="P472" s="1043">
        <v>100</v>
      </c>
      <c r="Q472" s="1043">
        <v>100</v>
      </c>
      <c r="R472" s="1028">
        <v>100</v>
      </c>
    </row>
    <row r="473" spans="1:18" s="1019" customFormat="1" ht="30" x14ac:dyDescent="0.25">
      <c r="A473" s="227"/>
      <c r="B473" s="1800"/>
      <c r="C473" s="1023"/>
      <c r="D473" s="1024" t="s">
        <v>13</v>
      </c>
      <c r="E473" s="1024"/>
      <c r="F473" s="1025" t="s">
        <v>1492</v>
      </c>
      <c r="G473" s="1015">
        <v>765</v>
      </c>
      <c r="H473" s="1015">
        <v>779.3</v>
      </c>
      <c r="I473" s="994">
        <v>779.3</v>
      </c>
      <c r="J473" s="995">
        <v>794.4</v>
      </c>
      <c r="K473" s="995">
        <v>818</v>
      </c>
      <c r="L473" s="1121" t="s">
        <v>1561</v>
      </c>
      <c r="M473" s="1043" t="s">
        <v>4</v>
      </c>
      <c r="N473" s="1043">
        <v>100</v>
      </c>
      <c r="O473" s="1043">
        <v>100</v>
      </c>
      <c r="P473" s="1043">
        <v>100</v>
      </c>
      <c r="Q473" s="1043">
        <v>100</v>
      </c>
      <c r="R473" s="1028">
        <v>100</v>
      </c>
    </row>
    <row r="474" spans="1:18" s="1019" customFormat="1" ht="45" customHeight="1" x14ac:dyDescent="0.25">
      <c r="A474" s="227"/>
      <c r="B474" s="1800"/>
      <c r="C474" s="1732"/>
      <c r="D474" s="1458" t="s">
        <v>9</v>
      </c>
      <c r="E474" s="1458"/>
      <c r="F474" s="1735" t="s">
        <v>1493</v>
      </c>
      <c r="G474" s="1385">
        <v>5394.2</v>
      </c>
      <c r="H474" s="1385">
        <v>5543.3</v>
      </c>
      <c r="I474" s="1658">
        <v>7013.4</v>
      </c>
      <c r="J474" s="1261">
        <v>7121.1</v>
      </c>
      <c r="K474" s="1261">
        <v>7290</v>
      </c>
      <c r="L474" s="1121" t="s">
        <v>1562</v>
      </c>
      <c r="M474" s="1043" t="s">
        <v>1563</v>
      </c>
      <c r="N474" s="1043">
        <v>11.7</v>
      </c>
      <c r="O474" s="1119">
        <v>12</v>
      </c>
      <c r="P474" s="1119">
        <v>12.3</v>
      </c>
      <c r="Q474" s="1119">
        <v>12.8</v>
      </c>
      <c r="R474" s="1120">
        <v>13</v>
      </c>
    </row>
    <row r="475" spans="1:18" s="1019" customFormat="1" ht="15" x14ac:dyDescent="0.25">
      <c r="A475" s="227"/>
      <c r="B475" s="1800"/>
      <c r="C475" s="1732"/>
      <c r="D475" s="1458"/>
      <c r="E475" s="1458"/>
      <c r="F475" s="1735"/>
      <c r="G475" s="1385"/>
      <c r="H475" s="1385"/>
      <c r="I475" s="1658"/>
      <c r="J475" s="1261"/>
      <c r="K475" s="1261"/>
      <c r="L475" s="1121" t="s">
        <v>1564</v>
      </c>
      <c r="M475" s="1043" t="s">
        <v>1563</v>
      </c>
      <c r="N475" s="1043">
        <v>10</v>
      </c>
      <c r="O475" s="1119">
        <v>13</v>
      </c>
      <c r="P475" s="1119">
        <v>16</v>
      </c>
      <c r="Q475" s="1119">
        <v>18</v>
      </c>
      <c r="R475" s="1120">
        <v>21</v>
      </c>
    </row>
    <row r="476" spans="1:18" s="1019" customFormat="1" ht="15" x14ac:dyDescent="0.25">
      <c r="A476" s="227"/>
      <c r="B476" s="1800"/>
      <c r="C476" s="1732"/>
      <c r="D476" s="1458"/>
      <c r="E476" s="1458"/>
      <c r="F476" s="1735"/>
      <c r="G476" s="1385"/>
      <c r="H476" s="1385"/>
      <c r="I476" s="1658"/>
      <c r="J476" s="1261"/>
      <c r="K476" s="1261"/>
      <c r="L476" s="1121" t="s">
        <v>1565</v>
      </c>
      <c r="M476" s="1043" t="s">
        <v>1563</v>
      </c>
      <c r="N476" s="1043">
        <v>19.5</v>
      </c>
      <c r="O476" s="1119">
        <v>20.5</v>
      </c>
      <c r="P476" s="1119">
        <v>22.5</v>
      </c>
      <c r="Q476" s="1119">
        <v>25.2</v>
      </c>
      <c r="R476" s="1120">
        <v>23.2</v>
      </c>
    </row>
    <row r="477" spans="1:18" s="1019" customFormat="1" ht="120" customHeight="1" x14ac:dyDescent="0.25">
      <c r="A477" s="227"/>
      <c r="B477" s="1800"/>
      <c r="C477" s="1732"/>
      <c r="D477" s="1458" t="s">
        <v>23</v>
      </c>
      <c r="E477" s="1458"/>
      <c r="F477" s="1735" t="s">
        <v>1494</v>
      </c>
      <c r="G477" s="1261">
        <v>4081.4</v>
      </c>
      <c r="H477" s="1261">
        <v>4272.1000000000004</v>
      </c>
      <c r="I477" s="1658">
        <v>4272.1000000000004</v>
      </c>
      <c r="J477" s="1261">
        <v>4355.1000000000004</v>
      </c>
      <c r="K477" s="1261">
        <v>4484.8999999999996</v>
      </c>
      <c r="L477" s="1121" t="s">
        <v>1566</v>
      </c>
      <c r="M477" s="1043" t="s">
        <v>1563</v>
      </c>
      <c r="N477" s="1043">
        <v>1.3</v>
      </c>
      <c r="O477" s="1119">
        <v>1.5</v>
      </c>
      <c r="P477" s="1119">
        <v>1.7</v>
      </c>
      <c r="Q477" s="1119">
        <v>1.8</v>
      </c>
      <c r="R477" s="1120">
        <v>1.9</v>
      </c>
    </row>
    <row r="478" spans="1:18" s="1019" customFormat="1" ht="15" x14ac:dyDescent="0.25">
      <c r="A478" s="227"/>
      <c r="B478" s="1800"/>
      <c r="C478" s="1732"/>
      <c r="D478" s="1458"/>
      <c r="E478" s="1458"/>
      <c r="F478" s="1735"/>
      <c r="G478" s="1261"/>
      <c r="H478" s="1261"/>
      <c r="I478" s="1658"/>
      <c r="J478" s="1261"/>
      <c r="K478" s="1261"/>
      <c r="L478" s="5" t="s">
        <v>1567</v>
      </c>
      <c r="M478" s="1043" t="s">
        <v>4</v>
      </c>
      <c r="N478" s="1119">
        <v>4.9000000000000004</v>
      </c>
      <c r="O478" s="1119">
        <v>5</v>
      </c>
      <c r="P478" s="1119">
        <v>5.0999999999999996</v>
      </c>
      <c r="Q478" s="1119">
        <v>5.2</v>
      </c>
      <c r="R478" s="1120">
        <v>5.3</v>
      </c>
    </row>
    <row r="479" spans="1:18" s="1019" customFormat="1" ht="15" x14ac:dyDescent="0.25">
      <c r="A479" s="227"/>
      <c r="B479" s="1800"/>
      <c r="C479" s="1732"/>
      <c r="D479" s="1458"/>
      <c r="E479" s="1458"/>
      <c r="F479" s="1735"/>
      <c r="G479" s="1261"/>
      <c r="H479" s="1261"/>
      <c r="I479" s="1658"/>
      <c r="J479" s="1261"/>
      <c r="K479" s="1261"/>
      <c r="L479" s="1121" t="s">
        <v>1568</v>
      </c>
      <c r="M479" s="1043" t="s">
        <v>216</v>
      </c>
      <c r="N479" s="1043">
        <v>38</v>
      </c>
      <c r="O479" s="1119">
        <v>65</v>
      </c>
      <c r="P479" s="1119">
        <v>120</v>
      </c>
      <c r="Q479" s="1119">
        <v>140</v>
      </c>
      <c r="R479" s="1120">
        <v>180</v>
      </c>
    </row>
    <row r="480" spans="1:18" s="1019" customFormat="1" ht="30" x14ac:dyDescent="0.25">
      <c r="A480" s="227"/>
      <c r="B480" s="1800"/>
      <c r="C480" s="1732"/>
      <c r="D480" s="1458"/>
      <c r="E480" s="1458"/>
      <c r="F480" s="1735"/>
      <c r="G480" s="1261"/>
      <c r="H480" s="1261"/>
      <c r="I480" s="1658"/>
      <c r="J480" s="1261"/>
      <c r="K480" s="1261"/>
      <c r="L480" s="1121" t="s">
        <v>1569</v>
      </c>
      <c r="M480" s="1043" t="s">
        <v>1570</v>
      </c>
      <c r="N480" s="1043">
        <v>0.5</v>
      </c>
      <c r="O480" s="1119">
        <v>0.5</v>
      </c>
      <c r="P480" s="1119">
        <v>1</v>
      </c>
      <c r="Q480" s="1119">
        <v>2</v>
      </c>
      <c r="R480" s="1120">
        <v>2</v>
      </c>
    </row>
    <row r="481" spans="1:18" s="1019" customFormat="1" ht="37.5" customHeight="1" x14ac:dyDescent="0.25">
      <c r="A481" s="227"/>
      <c r="B481" s="1800"/>
      <c r="C481" s="1732"/>
      <c r="D481" s="1458" t="s">
        <v>24</v>
      </c>
      <c r="E481" s="1458"/>
      <c r="F481" s="1735" t="s">
        <v>1495</v>
      </c>
      <c r="G481" s="1261">
        <v>3383.6</v>
      </c>
      <c r="H481" s="1261">
        <v>3201.7</v>
      </c>
      <c r="I481" s="1658">
        <v>3202.1</v>
      </c>
      <c r="J481" s="1261">
        <v>3263.7000000000003</v>
      </c>
      <c r="K481" s="1261">
        <v>3362.3</v>
      </c>
      <c r="L481" s="1121" t="s">
        <v>1571</v>
      </c>
      <c r="M481" s="1043" t="s">
        <v>4</v>
      </c>
      <c r="N481" s="1043">
        <v>90</v>
      </c>
      <c r="O481" s="1119">
        <v>95</v>
      </c>
      <c r="P481" s="1119">
        <v>96</v>
      </c>
      <c r="Q481" s="1119">
        <v>97</v>
      </c>
      <c r="R481" s="1120">
        <v>98</v>
      </c>
    </row>
    <row r="482" spans="1:18" s="1019" customFormat="1" ht="22.5" customHeight="1" x14ac:dyDescent="0.25">
      <c r="A482" s="227"/>
      <c r="B482" s="1800"/>
      <c r="C482" s="1732"/>
      <c r="D482" s="1458"/>
      <c r="E482" s="1458"/>
      <c r="F482" s="1735"/>
      <c r="G482" s="1261"/>
      <c r="H482" s="1261"/>
      <c r="I482" s="1658"/>
      <c r="J482" s="1261"/>
      <c r="K482" s="1261"/>
      <c r="L482" s="1121" t="s">
        <v>1572</v>
      </c>
      <c r="M482" s="1043" t="s">
        <v>297</v>
      </c>
      <c r="N482" s="1043">
        <v>484</v>
      </c>
      <c r="O482" s="1119">
        <v>495</v>
      </c>
      <c r="P482" s="1119">
        <v>505</v>
      </c>
      <c r="Q482" s="1119">
        <v>510</v>
      </c>
      <c r="R482" s="1120">
        <v>515</v>
      </c>
    </row>
    <row r="483" spans="1:18" s="1019" customFormat="1" ht="34.5" customHeight="1" x14ac:dyDescent="0.25">
      <c r="A483" s="227"/>
      <c r="B483" s="1800"/>
      <c r="C483" s="1732"/>
      <c r="D483" s="1458"/>
      <c r="E483" s="1458"/>
      <c r="F483" s="1735"/>
      <c r="G483" s="1261"/>
      <c r="H483" s="1261"/>
      <c r="I483" s="1658"/>
      <c r="J483" s="1261"/>
      <c r="K483" s="1261"/>
      <c r="L483" s="1121" t="s">
        <v>1573</v>
      </c>
      <c r="M483" s="1043" t="s">
        <v>297</v>
      </c>
      <c r="N483" s="1043">
        <v>130</v>
      </c>
      <c r="O483" s="1119">
        <v>135</v>
      </c>
      <c r="P483" s="1119">
        <v>140</v>
      </c>
      <c r="Q483" s="1119">
        <v>145</v>
      </c>
      <c r="R483" s="1120">
        <v>150</v>
      </c>
    </row>
    <row r="484" spans="1:18" s="1019" customFormat="1" ht="15" x14ac:dyDescent="0.25">
      <c r="A484" s="227"/>
      <c r="B484" s="1800"/>
      <c r="C484" s="1023" t="s">
        <v>224</v>
      </c>
      <c r="D484" s="1024"/>
      <c r="E484" s="1024"/>
      <c r="F484" s="115" t="s">
        <v>1496</v>
      </c>
      <c r="G484" s="995"/>
      <c r="H484" s="999">
        <v>3173529.1</v>
      </c>
      <c r="I484" s="999">
        <v>4612239.9000000004</v>
      </c>
      <c r="J484" s="999">
        <v>5466188.2000000002</v>
      </c>
      <c r="K484" s="999">
        <v>4866705.8</v>
      </c>
      <c r="L484" s="1000"/>
      <c r="M484" s="996"/>
      <c r="N484" s="996"/>
      <c r="O484" s="997"/>
      <c r="P484" s="997"/>
      <c r="Q484" s="997"/>
      <c r="R484" s="998"/>
    </row>
    <row r="485" spans="1:18" s="1019" customFormat="1" ht="15" x14ac:dyDescent="0.25">
      <c r="A485" s="227"/>
      <c r="B485" s="1800"/>
      <c r="C485" s="1023"/>
      <c r="D485" s="1024" t="s">
        <v>10</v>
      </c>
      <c r="E485" s="1024"/>
      <c r="F485" s="114" t="s">
        <v>1497</v>
      </c>
      <c r="G485" s="995"/>
      <c r="H485" s="995">
        <v>3173529.1</v>
      </c>
      <c r="I485" s="995">
        <v>4612239.9000000004</v>
      </c>
      <c r="J485" s="995">
        <v>5466188.2000000002</v>
      </c>
      <c r="K485" s="995">
        <v>4866705.8</v>
      </c>
      <c r="L485" s="59"/>
      <c r="M485" s="996"/>
      <c r="N485" s="996"/>
      <c r="O485" s="997"/>
      <c r="P485" s="997"/>
      <c r="Q485" s="997"/>
      <c r="R485" s="998"/>
    </row>
    <row r="486" spans="1:18" s="1019" customFormat="1" ht="15" x14ac:dyDescent="0.25">
      <c r="A486" s="227"/>
      <c r="B486" s="1783" t="s">
        <v>223</v>
      </c>
      <c r="C486" s="1784"/>
      <c r="D486" s="1784"/>
      <c r="E486" s="1784"/>
      <c r="F486" s="1784"/>
      <c r="G486" s="1">
        <f>G471+G449+G437+G428+G418+G414+G397+G394</f>
        <v>2840799.1</v>
      </c>
      <c r="H486" s="1">
        <f>H471+H449+H437+H428+H418+H414+H397+H394+H484</f>
        <v>5908318.0999999996</v>
      </c>
      <c r="I486" s="1">
        <f>I471+I449+I437+I428+I418+I414+I397+I394+I484+0.1</f>
        <v>7608062.4400000004</v>
      </c>
      <c r="J486" s="1">
        <f>J471+J449+J437+J428+J418+J414+J397+J394+J484</f>
        <v>8508846.9400000013</v>
      </c>
      <c r="K486" s="1">
        <f>K471+K449+K437+K428+K418+K414+K397+K394+K484</f>
        <v>7998261.4399999995</v>
      </c>
      <c r="L486" s="3"/>
      <c r="M486" s="27"/>
      <c r="N486" s="27"/>
      <c r="O486" s="27"/>
      <c r="P486" s="27"/>
      <c r="Q486" s="27"/>
      <c r="R486" s="85"/>
    </row>
    <row r="487" spans="1:18" s="1019" customFormat="1" ht="15" customHeight="1" x14ac:dyDescent="0.25">
      <c r="A487" s="227"/>
      <c r="B487" s="1785" t="s">
        <v>1581</v>
      </c>
      <c r="C487" s="1786" t="s">
        <v>254</v>
      </c>
      <c r="D487" s="1786"/>
      <c r="E487" s="1786"/>
      <c r="F487" s="1786"/>
      <c r="G487" s="1786"/>
      <c r="H487" s="1786"/>
      <c r="I487" s="1786"/>
      <c r="J487" s="1786"/>
      <c r="K487" s="1786"/>
      <c r="L487" s="1786"/>
      <c r="M487" s="1786"/>
      <c r="N487" s="1786"/>
      <c r="O487" s="1786"/>
      <c r="P487" s="1786"/>
      <c r="Q487" s="35"/>
      <c r="R487" s="86"/>
    </row>
    <row r="488" spans="1:18" s="1019" customFormat="1" ht="15" x14ac:dyDescent="0.25">
      <c r="A488" s="227"/>
      <c r="B488" s="1787" t="s">
        <v>255</v>
      </c>
      <c r="C488" s="155" t="s">
        <v>0</v>
      </c>
      <c r="D488" s="1024"/>
      <c r="E488" s="156"/>
      <c r="F488" s="97" t="s">
        <v>1574</v>
      </c>
      <c r="G488" s="157"/>
      <c r="H488" s="157"/>
      <c r="I488" s="157">
        <f>I489+I490</f>
        <v>222286.30000000002</v>
      </c>
      <c r="J488" s="157">
        <f>J489+J490</f>
        <v>193885.30000000002</v>
      </c>
      <c r="K488" s="157">
        <f>K489+K490</f>
        <v>197468.1</v>
      </c>
      <c r="L488" s="1130"/>
      <c r="M488" s="1130"/>
      <c r="N488" s="1130"/>
      <c r="O488" s="1130"/>
      <c r="P488" s="1130"/>
      <c r="Q488" s="1134"/>
      <c r="R488" s="1136"/>
    </row>
    <row r="489" spans="1:18" s="1019" customFormat="1" ht="30" x14ac:dyDescent="0.25">
      <c r="A489" s="227"/>
      <c r="B489" s="1788"/>
      <c r="C489" s="1142"/>
      <c r="D489" s="1024" t="s">
        <v>10</v>
      </c>
      <c r="E489" s="156"/>
      <c r="F489" s="26" t="s">
        <v>1272</v>
      </c>
      <c r="G489" s="157"/>
      <c r="H489" s="157"/>
      <c r="I489" s="102">
        <f>143200.6+48407.1+30678.6</f>
        <v>222286.30000000002</v>
      </c>
      <c r="J489" s="102">
        <f>145478.2+48407.1</f>
        <v>193885.30000000002</v>
      </c>
      <c r="K489" s="102">
        <f>149061+48407.1</f>
        <v>197468.1</v>
      </c>
      <c r="L489" s="1130"/>
      <c r="M489" s="1130"/>
      <c r="N489" s="1130"/>
      <c r="O489" s="1130"/>
      <c r="P489" s="1130"/>
      <c r="Q489" s="1134"/>
      <c r="R489" s="1136"/>
    </row>
    <row r="490" spans="1:18" s="1019" customFormat="1" ht="27" hidden="1" customHeight="1" x14ac:dyDescent="0.25">
      <c r="A490" s="227"/>
      <c r="B490" s="1788"/>
      <c r="C490" s="1142"/>
      <c r="D490" s="1024" t="s">
        <v>13</v>
      </c>
      <c r="E490" s="156"/>
      <c r="F490" s="26" t="s">
        <v>256</v>
      </c>
      <c r="G490" s="157"/>
      <c r="H490" s="157"/>
      <c r="I490" s="102"/>
      <c r="J490" s="102"/>
      <c r="K490" s="102"/>
      <c r="L490" s="1130"/>
      <c r="M490" s="1130"/>
      <c r="N490" s="1130"/>
      <c r="O490" s="1130"/>
      <c r="P490" s="1130"/>
      <c r="Q490" s="1134"/>
      <c r="R490" s="1136"/>
    </row>
    <row r="491" spans="1:18" s="1019" customFormat="1" ht="27" hidden="1" customHeight="1" x14ac:dyDescent="0.25">
      <c r="A491" s="227"/>
      <c r="B491" s="1788"/>
      <c r="C491" s="1023" t="s">
        <v>32</v>
      </c>
      <c r="D491" s="1024"/>
      <c r="E491" s="1024"/>
      <c r="F491" s="115" t="s">
        <v>257</v>
      </c>
      <c r="G491" s="157"/>
      <c r="H491" s="157"/>
      <c r="I491" s="157">
        <f>I492+I493+I494+I495+I496+I497+I498+I499+I500+I501+I502</f>
        <v>0</v>
      </c>
      <c r="J491" s="157">
        <f>J492+J493+J494+J495+J496+J497+J498+J499+J500+J501+J502</f>
        <v>0</v>
      </c>
      <c r="K491" s="157">
        <f>K492+K493+K494+K495+K496+K497+K498+K499+K500+K501+K502</f>
        <v>0</v>
      </c>
      <c r="L491" s="1130"/>
      <c r="M491" s="1130"/>
      <c r="N491" s="1130"/>
      <c r="O491" s="1130"/>
      <c r="P491" s="1130"/>
      <c r="Q491" s="1134"/>
      <c r="R491" s="1136"/>
    </row>
    <row r="492" spans="1:18" s="1019" customFormat="1" ht="27" hidden="1" customHeight="1" x14ac:dyDescent="0.25">
      <c r="A492" s="227"/>
      <c r="B492" s="1788"/>
      <c r="C492" s="1023"/>
      <c r="D492" s="1024" t="s">
        <v>10</v>
      </c>
      <c r="E492" s="1024"/>
      <c r="F492" s="1037" t="s">
        <v>258</v>
      </c>
      <c r="G492" s="157"/>
      <c r="H492" s="157"/>
      <c r="I492" s="102"/>
      <c r="J492" s="102"/>
      <c r="K492" s="102"/>
      <c r="L492" s="1130"/>
      <c r="M492" s="1130"/>
      <c r="N492" s="1130"/>
      <c r="O492" s="1130"/>
      <c r="P492" s="1130"/>
      <c r="Q492" s="1134"/>
      <c r="R492" s="1136"/>
    </row>
    <row r="493" spans="1:18" s="1019" customFormat="1" ht="27" hidden="1" customHeight="1" x14ac:dyDescent="0.25">
      <c r="A493" s="227"/>
      <c r="B493" s="1788"/>
      <c r="C493" s="1023"/>
      <c r="D493" s="1024" t="s">
        <v>13</v>
      </c>
      <c r="E493" s="1024"/>
      <c r="F493" s="158" t="s">
        <v>259</v>
      </c>
      <c r="G493" s="157"/>
      <c r="H493" s="157"/>
      <c r="I493" s="102"/>
      <c r="J493" s="102"/>
      <c r="K493" s="102"/>
      <c r="L493" s="1130"/>
      <c r="M493" s="1130"/>
      <c r="N493" s="1130"/>
      <c r="O493" s="1130"/>
      <c r="P493" s="1130"/>
      <c r="Q493" s="1134"/>
      <c r="R493" s="1136"/>
    </row>
    <row r="494" spans="1:18" s="1019" customFormat="1" ht="27" hidden="1" customHeight="1" x14ac:dyDescent="0.25">
      <c r="A494" s="227"/>
      <c r="B494" s="1788"/>
      <c r="C494" s="1023"/>
      <c r="D494" s="1024" t="s">
        <v>9</v>
      </c>
      <c r="E494" s="1024"/>
      <c r="F494" s="126" t="s">
        <v>260</v>
      </c>
      <c r="G494" s="157"/>
      <c r="H494" s="157"/>
      <c r="I494" s="102"/>
      <c r="J494" s="102"/>
      <c r="K494" s="102"/>
      <c r="L494" s="1130"/>
      <c r="M494" s="1130"/>
      <c r="N494" s="1130"/>
      <c r="O494" s="1130"/>
      <c r="P494" s="1130"/>
      <c r="Q494" s="1134"/>
      <c r="R494" s="1136"/>
    </row>
    <row r="495" spans="1:18" s="1019" customFormat="1" ht="27" hidden="1" customHeight="1" x14ac:dyDescent="0.25">
      <c r="A495" s="227"/>
      <c r="B495" s="1788"/>
      <c r="C495" s="1023"/>
      <c r="D495" s="1024" t="s">
        <v>23</v>
      </c>
      <c r="E495" s="1024"/>
      <c r="F495" s="135" t="s">
        <v>261</v>
      </c>
      <c r="G495" s="157"/>
      <c r="H495" s="157"/>
      <c r="I495" s="102"/>
      <c r="J495" s="102"/>
      <c r="K495" s="102"/>
      <c r="L495" s="1130"/>
      <c r="M495" s="1130"/>
      <c r="N495" s="1130"/>
      <c r="O495" s="1130"/>
      <c r="P495" s="1130"/>
      <c r="Q495" s="1134"/>
      <c r="R495" s="1136"/>
    </row>
    <row r="496" spans="1:18" s="1019" customFormat="1" ht="27" hidden="1" customHeight="1" x14ac:dyDescent="0.25">
      <c r="A496" s="227"/>
      <c r="B496" s="1788"/>
      <c r="C496" s="1023"/>
      <c r="D496" s="1024" t="s">
        <v>24</v>
      </c>
      <c r="E496" s="1024"/>
      <c r="F496" s="135" t="s">
        <v>262</v>
      </c>
      <c r="G496" s="157"/>
      <c r="H496" s="157"/>
      <c r="I496" s="102"/>
      <c r="J496" s="102"/>
      <c r="K496" s="102"/>
      <c r="L496" s="1130"/>
      <c r="M496" s="1130"/>
      <c r="N496" s="1130"/>
      <c r="O496" s="1130"/>
      <c r="P496" s="1130"/>
      <c r="Q496" s="1134"/>
      <c r="R496" s="1136"/>
    </row>
    <row r="497" spans="1:18" s="1019" customFormat="1" ht="27" hidden="1" customHeight="1" x14ac:dyDescent="0.25">
      <c r="A497" s="227"/>
      <c r="B497" s="1788"/>
      <c r="C497" s="1023"/>
      <c r="D497" s="1024" t="s">
        <v>25</v>
      </c>
      <c r="E497" s="1024"/>
      <c r="F497" s="1132" t="s">
        <v>263</v>
      </c>
      <c r="G497" s="157"/>
      <c r="H497" s="157"/>
      <c r="I497" s="102"/>
      <c r="J497" s="102"/>
      <c r="K497" s="102"/>
      <c r="L497" s="1130"/>
      <c r="M497" s="1130"/>
      <c r="N497" s="1130"/>
      <c r="O497" s="1130"/>
      <c r="P497" s="1130"/>
      <c r="Q497" s="1134"/>
      <c r="R497" s="1136"/>
    </row>
    <row r="498" spans="1:18" s="1019" customFormat="1" ht="27" hidden="1" customHeight="1" x14ac:dyDescent="0.25">
      <c r="A498" s="227"/>
      <c r="B498" s="1788"/>
      <c r="C498" s="1023"/>
      <c r="D498" s="1024" t="s">
        <v>26</v>
      </c>
      <c r="E498" s="1024"/>
      <c r="F498" s="1036" t="s">
        <v>264</v>
      </c>
      <c r="G498" s="157"/>
      <c r="H498" s="157"/>
      <c r="I498" s="102"/>
      <c r="J498" s="102"/>
      <c r="K498" s="102"/>
      <c r="L498" s="1130"/>
      <c r="M498" s="1130"/>
      <c r="N498" s="1130"/>
      <c r="O498" s="1130"/>
      <c r="P498" s="1130"/>
      <c r="Q498" s="1134"/>
      <c r="R498" s="1136"/>
    </row>
    <row r="499" spans="1:18" s="1019" customFormat="1" ht="27" hidden="1" customHeight="1" x14ac:dyDescent="0.25">
      <c r="A499" s="227"/>
      <c r="B499" s="1788"/>
      <c r="C499" s="1023"/>
      <c r="D499" s="1024" t="s">
        <v>27</v>
      </c>
      <c r="E499" s="1024"/>
      <c r="F499" s="135" t="s">
        <v>232</v>
      </c>
      <c r="G499" s="157"/>
      <c r="H499" s="157"/>
      <c r="I499" s="102"/>
      <c r="J499" s="102"/>
      <c r="K499" s="102"/>
      <c r="L499" s="1130"/>
      <c r="M499" s="1130"/>
      <c r="N499" s="1130"/>
      <c r="O499" s="1130"/>
      <c r="P499" s="1130"/>
      <c r="Q499" s="1134"/>
      <c r="R499" s="1136"/>
    </row>
    <row r="500" spans="1:18" s="1019" customFormat="1" ht="27" hidden="1" customHeight="1" x14ac:dyDescent="0.25">
      <c r="A500" s="227"/>
      <c r="B500" s="1788"/>
      <c r="C500" s="1023"/>
      <c r="D500" s="1024" t="s">
        <v>39</v>
      </c>
      <c r="E500" s="1024"/>
      <c r="F500" s="1039" t="s">
        <v>265</v>
      </c>
      <c r="G500" s="157"/>
      <c r="H500" s="157"/>
      <c r="I500" s="102"/>
      <c r="J500" s="102"/>
      <c r="K500" s="102"/>
      <c r="L500" s="1130"/>
      <c r="M500" s="1130"/>
      <c r="N500" s="1130"/>
      <c r="O500" s="1130"/>
      <c r="P500" s="1130"/>
      <c r="Q500" s="1134"/>
      <c r="R500" s="1136"/>
    </row>
    <row r="501" spans="1:18" s="1019" customFormat="1" ht="27" hidden="1" customHeight="1" x14ac:dyDescent="0.25">
      <c r="A501" s="227"/>
      <c r="B501" s="1788"/>
      <c r="C501" s="1023"/>
      <c r="D501" s="1024" t="s">
        <v>41</v>
      </c>
      <c r="E501" s="1024"/>
      <c r="F501" s="159" t="s">
        <v>266</v>
      </c>
      <c r="G501" s="157"/>
      <c r="H501" s="157"/>
      <c r="I501" s="102"/>
      <c r="J501" s="102"/>
      <c r="K501" s="102"/>
      <c r="L501" s="1130"/>
      <c r="M501" s="1130"/>
      <c r="N501" s="1130"/>
      <c r="O501" s="1130"/>
      <c r="P501" s="1130"/>
      <c r="Q501" s="1134"/>
      <c r="R501" s="1136"/>
    </row>
    <row r="502" spans="1:18" s="1019" customFormat="1" ht="27" hidden="1" customHeight="1" x14ac:dyDescent="0.25">
      <c r="A502" s="227"/>
      <c r="B502" s="1788"/>
      <c r="C502" s="1023"/>
      <c r="D502" s="1024" t="s">
        <v>42</v>
      </c>
      <c r="E502" s="1024"/>
      <c r="F502" s="160" t="s">
        <v>267</v>
      </c>
      <c r="G502" s="157"/>
      <c r="H502" s="157"/>
      <c r="I502" s="102"/>
      <c r="J502" s="102"/>
      <c r="K502" s="102"/>
      <c r="L502" s="1130"/>
      <c r="M502" s="1130"/>
      <c r="N502" s="1130"/>
      <c r="O502" s="1130"/>
      <c r="P502" s="1130"/>
      <c r="Q502" s="1134"/>
      <c r="R502" s="1136"/>
    </row>
    <row r="503" spans="1:18" s="1019" customFormat="1" ht="42.75" x14ac:dyDescent="0.25">
      <c r="A503" s="227"/>
      <c r="B503" s="1788"/>
      <c r="C503" s="1023" t="s">
        <v>37</v>
      </c>
      <c r="D503" s="1024"/>
      <c r="E503" s="1024"/>
      <c r="F503" s="115" t="s">
        <v>1575</v>
      </c>
      <c r="G503" s="157"/>
      <c r="H503" s="157"/>
      <c r="I503" s="157">
        <f>I504+I505+I506+I507+I508+I509</f>
        <v>24050.1</v>
      </c>
      <c r="J503" s="157">
        <f>J504+J505+J506+J507+J508+J509</f>
        <v>24511.599999999999</v>
      </c>
      <c r="K503" s="157">
        <f>K504+K505+K506+K507+K508+K509</f>
        <v>25219.9</v>
      </c>
      <c r="L503" s="1130"/>
      <c r="M503" s="1130"/>
      <c r="N503" s="1130"/>
      <c r="O503" s="1130"/>
      <c r="P503" s="1130"/>
      <c r="Q503" s="1134"/>
      <c r="R503" s="1136"/>
    </row>
    <row r="504" spans="1:18" s="1019" customFormat="1" ht="27" hidden="1" customHeight="1" x14ac:dyDescent="0.25">
      <c r="A504" s="227"/>
      <c r="B504" s="1788"/>
      <c r="C504" s="1023"/>
      <c r="D504" s="1024" t="s">
        <v>10</v>
      </c>
      <c r="E504" s="1024"/>
      <c r="F504" s="161" t="s">
        <v>268</v>
      </c>
      <c r="G504" s="157"/>
      <c r="H504" s="157"/>
      <c r="I504" s="157"/>
      <c r="J504" s="157"/>
      <c r="K504" s="157"/>
      <c r="L504" s="1130"/>
      <c r="M504" s="1130"/>
      <c r="N504" s="1130"/>
      <c r="O504" s="1130"/>
      <c r="P504" s="1130"/>
      <c r="Q504" s="1134"/>
      <c r="R504" s="1136"/>
    </row>
    <row r="505" spans="1:18" s="1019" customFormat="1" ht="27" hidden="1" customHeight="1" x14ac:dyDescent="0.25">
      <c r="A505" s="227"/>
      <c r="B505" s="1788"/>
      <c r="C505" s="1023"/>
      <c r="D505" s="1024" t="s">
        <v>13</v>
      </c>
      <c r="E505" s="1024"/>
      <c r="F505" s="135" t="s">
        <v>269</v>
      </c>
      <c r="G505" s="157"/>
      <c r="H505" s="157"/>
      <c r="I505" s="157"/>
      <c r="J505" s="157"/>
      <c r="K505" s="157"/>
      <c r="L505" s="1130"/>
      <c r="M505" s="1130"/>
      <c r="N505" s="1130"/>
      <c r="O505" s="1130"/>
      <c r="P505" s="1130"/>
      <c r="Q505" s="1134"/>
      <c r="R505" s="1136"/>
    </row>
    <row r="506" spans="1:18" s="1019" customFormat="1" ht="27" hidden="1" customHeight="1" x14ac:dyDescent="0.25">
      <c r="A506" s="227"/>
      <c r="B506" s="1788"/>
      <c r="C506" s="1023"/>
      <c r="D506" s="1024" t="s">
        <v>9</v>
      </c>
      <c r="E506" s="1024"/>
      <c r="F506" s="114" t="s">
        <v>270</v>
      </c>
      <c r="G506" s="157"/>
      <c r="H506" s="157"/>
      <c r="I506" s="157"/>
      <c r="J506" s="157"/>
      <c r="K506" s="157"/>
      <c r="L506" s="1130"/>
      <c r="M506" s="1130"/>
      <c r="N506" s="1130"/>
      <c r="O506" s="1130"/>
      <c r="P506" s="1130"/>
      <c r="Q506" s="1134"/>
      <c r="R506" s="1136"/>
    </row>
    <row r="507" spans="1:18" s="1019" customFormat="1" ht="27" hidden="1" customHeight="1" x14ac:dyDescent="0.25">
      <c r="A507" s="227"/>
      <c r="B507" s="1788"/>
      <c r="C507" s="1023"/>
      <c r="D507" s="1024" t="s">
        <v>23</v>
      </c>
      <c r="E507" s="1024"/>
      <c r="F507" s="114" t="s">
        <v>271</v>
      </c>
      <c r="G507" s="157"/>
      <c r="H507" s="157"/>
      <c r="I507" s="157"/>
      <c r="J507" s="157"/>
      <c r="K507" s="157"/>
      <c r="L507" s="1130"/>
      <c r="M507" s="1130"/>
      <c r="N507" s="1130"/>
      <c r="O507" s="1130"/>
      <c r="P507" s="1130"/>
      <c r="Q507" s="1134"/>
      <c r="R507" s="1136"/>
    </row>
    <row r="508" spans="1:18" s="1019" customFormat="1" ht="60" x14ac:dyDescent="0.25">
      <c r="A508" s="227"/>
      <c r="B508" s="1788"/>
      <c r="C508" s="1023"/>
      <c r="D508" s="1024" t="s">
        <v>24</v>
      </c>
      <c r="E508" s="1024"/>
      <c r="F508" s="162" t="s">
        <v>1576</v>
      </c>
      <c r="G508" s="157"/>
      <c r="H508" s="157"/>
      <c r="I508" s="102">
        <f>24050.1</f>
        <v>24050.1</v>
      </c>
      <c r="J508" s="102">
        <v>24511.599999999999</v>
      </c>
      <c r="K508" s="102">
        <v>25219.9</v>
      </c>
      <c r="L508" s="1132" t="s">
        <v>1540</v>
      </c>
      <c r="M508" s="1131" t="s">
        <v>2</v>
      </c>
      <c r="N508" s="1131">
        <v>7915</v>
      </c>
      <c r="O508" s="167" t="s">
        <v>286</v>
      </c>
      <c r="P508" s="167" t="s">
        <v>286</v>
      </c>
      <c r="Q508" s="167" t="s">
        <v>286</v>
      </c>
      <c r="R508" s="167" t="s">
        <v>286</v>
      </c>
    </row>
    <row r="509" spans="1:18" s="1019" customFormat="1" ht="27" hidden="1" customHeight="1" x14ac:dyDescent="0.25">
      <c r="A509" s="227"/>
      <c r="B509" s="1788"/>
      <c r="C509" s="1023"/>
      <c r="D509" s="1024" t="s">
        <v>25</v>
      </c>
      <c r="E509" s="1024"/>
      <c r="F509" s="163" t="s">
        <v>272</v>
      </c>
      <c r="G509" s="157"/>
      <c r="H509" s="157"/>
      <c r="I509" s="157"/>
      <c r="J509" s="157"/>
      <c r="K509" s="157"/>
      <c r="L509" s="1130"/>
      <c r="M509" s="1130"/>
      <c r="N509" s="1130"/>
      <c r="O509" s="1130"/>
      <c r="P509" s="1130"/>
      <c r="Q509" s="1134"/>
      <c r="R509" s="1136"/>
    </row>
    <row r="510" spans="1:18" s="1019" customFormat="1" ht="28.5" x14ac:dyDescent="0.25">
      <c r="A510" s="227"/>
      <c r="B510" s="1788"/>
      <c r="C510" s="1023" t="s">
        <v>116</v>
      </c>
      <c r="D510" s="1024"/>
      <c r="E510" s="1024"/>
      <c r="F510" s="115" t="s">
        <v>1577</v>
      </c>
      <c r="G510" s="157"/>
      <c r="H510" s="157"/>
      <c r="I510" s="157">
        <f>I511+I512+I513+I514+I515+I516+I517+I518</f>
        <v>17403</v>
      </c>
      <c r="J510" s="157">
        <f>J511+J512+J513+J514+J515+J516+J517+J518</f>
        <v>17740.3</v>
      </c>
      <c r="K510" s="157">
        <f>K511+K512+K513+K514+K515+K516+K517+K518</f>
        <v>18271</v>
      </c>
      <c r="L510" s="1130"/>
      <c r="M510" s="1130"/>
      <c r="N510" s="1130"/>
      <c r="O510" s="1130"/>
      <c r="P510" s="1130"/>
      <c r="Q510" s="1134"/>
      <c r="R510" s="1136"/>
    </row>
    <row r="511" spans="1:18" s="1019" customFormat="1" ht="27" hidden="1" customHeight="1" x14ac:dyDescent="0.25">
      <c r="A511" s="227"/>
      <c r="B511" s="1788"/>
      <c r="C511" s="1023"/>
      <c r="D511" s="1024" t="s">
        <v>10</v>
      </c>
      <c r="E511" s="1024"/>
      <c r="F511" s="1037" t="s">
        <v>273</v>
      </c>
      <c r="G511" s="157"/>
      <c r="H511" s="157"/>
      <c r="I511" s="157"/>
      <c r="J511" s="157"/>
      <c r="K511" s="157"/>
      <c r="L511" s="1130"/>
      <c r="M511" s="1130"/>
      <c r="N511" s="1130"/>
      <c r="O511" s="1130"/>
      <c r="P511" s="1130"/>
      <c r="Q511" s="1134"/>
      <c r="R511" s="1136"/>
    </row>
    <row r="512" spans="1:18" s="1019" customFormat="1" ht="27" hidden="1" customHeight="1" x14ac:dyDescent="0.25">
      <c r="A512" s="227"/>
      <c r="B512" s="1788"/>
      <c r="C512" s="1023"/>
      <c r="D512" s="1024" t="s">
        <v>13</v>
      </c>
      <c r="E512" s="1024"/>
      <c r="F512" s="1036" t="s">
        <v>274</v>
      </c>
      <c r="G512" s="157"/>
      <c r="H512" s="157"/>
      <c r="I512" s="157"/>
      <c r="J512" s="157"/>
      <c r="K512" s="157"/>
      <c r="L512" s="1130"/>
      <c r="M512" s="1130"/>
      <c r="N512" s="1130"/>
      <c r="O512" s="1130"/>
      <c r="P512" s="1130"/>
      <c r="Q512" s="1134"/>
      <c r="R512" s="1136"/>
    </row>
    <row r="513" spans="1:19" s="1019" customFormat="1" ht="27" hidden="1" customHeight="1" x14ac:dyDescent="0.25">
      <c r="A513" s="227"/>
      <c r="B513" s="1788"/>
      <c r="C513" s="1023"/>
      <c r="D513" s="1024" t="s">
        <v>9</v>
      </c>
      <c r="E513" s="1024"/>
      <c r="F513" s="135" t="s">
        <v>275</v>
      </c>
      <c r="G513" s="157"/>
      <c r="H513" s="157"/>
      <c r="I513" s="157"/>
      <c r="J513" s="157"/>
      <c r="K513" s="157"/>
      <c r="L513" s="1130"/>
      <c r="M513" s="1130"/>
      <c r="N513" s="1130"/>
      <c r="O513" s="1130"/>
      <c r="P513" s="1130"/>
      <c r="Q513" s="1134"/>
      <c r="R513" s="1136"/>
    </row>
    <row r="514" spans="1:19" s="1019" customFormat="1" ht="27" hidden="1" customHeight="1" x14ac:dyDescent="0.25">
      <c r="A514" s="227"/>
      <c r="B514" s="1788"/>
      <c r="C514" s="1023"/>
      <c r="D514" s="1024" t="s">
        <v>23</v>
      </c>
      <c r="E514" s="1024"/>
      <c r="F514" s="1147" t="s">
        <v>276</v>
      </c>
      <c r="G514" s="157"/>
      <c r="H514" s="157"/>
      <c r="I514" s="157"/>
      <c r="J514" s="157"/>
      <c r="K514" s="157"/>
      <c r="L514" s="1130"/>
      <c r="M514" s="1130"/>
      <c r="N514" s="1130"/>
      <c r="O514" s="1130"/>
      <c r="P514" s="1130"/>
      <c r="Q514" s="1134"/>
      <c r="R514" s="1136"/>
    </row>
    <row r="515" spans="1:19" s="1019" customFormat="1" ht="75" x14ac:dyDescent="0.25">
      <c r="A515" s="227"/>
      <c r="B515" s="1788"/>
      <c r="C515" s="1023"/>
      <c r="D515" s="1024" t="s">
        <v>24</v>
      </c>
      <c r="E515" s="1024"/>
      <c r="F515" s="160" t="s">
        <v>1578</v>
      </c>
      <c r="G515" s="157"/>
      <c r="H515" s="157"/>
      <c r="I515" s="102">
        <v>17403</v>
      </c>
      <c r="J515" s="102">
        <v>17740.3</v>
      </c>
      <c r="K515" s="102">
        <v>18271</v>
      </c>
      <c r="L515" s="1132" t="s">
        <v>1544</v>
      </c>
      <c r="M515" s="1131" t="s">
        <v>4</v>
      </c>
      <c r="N515" s="1131">
        <v>90.1</v>
      </c>
      <c r="O515" s="1131">
        <v>105.9</v>
      </c>
      <c r="P515" s="1131">
        <v>108.1</v>
      </c>
      <c r="Q515" s="1134">
        <v>101</v>
      </c>
      <c r="R515" s="1136">
        <v>101</v>
      </c>
    </row>
    <row r="516" spans="1:19" s="1019" customFormat="1" ht="27" hidden="1" customHeight="1" x14ac:dyDescent="0.25">
      <c r="A516" s="227"/>
      <c r="B516" s="1788"/>
      <c r="C516" s="1023"/>
      <c r="D516" s="1024" t="s">
        <v>25</v>
      </c>
      <c r="E516" s="1024"/>
      <c r="F516" s="1132" t="s">
        <v>277</v>
      </c>
      <c r="G516" s="157"/>
      <c r="H516" s="157"/>
      <c r="I516" s="157"/>
      <c r="J516" s="157"/>
      <c r="K516" s="157"/>
      <c r="L516" s="1003"/>
      <c r="M516" s="1003"/>
      <c r="N516" s="1003"/>
      <c r="O516" s="1003"/>
      <c r="P516" s="1003"/>
      <c r="Q516" s="1006"/>
      <c r="R516" s="1007"/>
    </row>
    <row r="517" spans="1:19" s="1019" customFormat="1" ht="27" hidden="1" customHeight="1" x14ac:dyDescent="0.25">
      <c r="A517" s="227"/>
      <c r="B517" s="1788"/>
      <c r="C517" s="1023"/>
      <c r="D517" s="1024" t="s">
        <v>26</v>
      </c>
      <c r="E517" s="1024"/>
      <c r="F517" s="164" t="s">
        <v>228</v>
      </c>
      <c r="G517" s="157"/>
      <c r="H517" s="157"/>
      <c r="I517" s="157"/>
      <c r="J517" s="157"/>
      <c r="K517" s="157"/>
      <c r="L517" s="1003"/>
      <c r="M517" s="1003"/>
      <c r="N517" s="1003"/>
      <c r="O517" s="1003"/>
      <c r="P517" s="1003"/>
      <c r="Q517" s="1006"/>
      <c r="R517" s="1007"/>
    </row>
    <row r="518" spans="1:19" s="1019" customFormat="1" ht="27" hidden="1" customHeight="1" x14ac:dyDescent="0.25">
      <c r="A518" s="227"/>
      <c r="B518" s="1788"/>
      <c r="C518" s="1023"/>
      <c r="D518" s="1024" t="s">
        <v>27</v>
      </c>
      <c r="E518" s="1024"/>
      <c r="F518" s="1132" t="s">
        <v>278</v>
      </c>
      <c r="G518" s="157"/>
      <c r="H518" s="157"/>
      <c r="I518" s="157"/>
      <c r="J518" s="157"/>
      <c r="K518" s="157"/>
      <c r="L518" s="1003"/>
      <c r="M518" s="1003"/>
      <c r="N518" s="1003"/>
      <c r="O518" s="1003"/>
      <c r="P518" s="1003"/>
      <c r="Q518" s="1006"/>
      <c r="R518" s="1007"/>
    </row>
    <row r="519" spans="1:19" s="1019" customFormat="1" ht="27" hidden="1" customHeight="1" x14ac:dyDescent="0.25">
      <c r="A519" s="227"/>
      <c r="B519" s="1788"/>
      <c r="C519" s="1023" t="s">
        <v>115</v>
      </c>
      <c r="D519" s="1024"/>
      <c r="E519" s="1024"/>
      <c r="F519" s="165" t="s">
        <v>279</v>
      </c>
      <c r="G519" s="157"/>
      <c r="H519" s="157"/>
      <c r="I519" s="157">
        <f>I520+I521</f>
        <v>0</v>
      </c>
      <c r="J519" s="157">
        <f>J520+J521</f>
        <v>0</v>
      </c>
      <c r="K519" s="157">
        <f>K520+K521</f>
        <v>0</v>
      </c>
      <c r="L519" s="1003"/>
      <c r="M519" s="1003"/>
      <c r="N519" s="1003"/>
      <c r="O519" s="1003"/>
      <c r="P519" s="1003"/>
      <c r="Q519" s="1006"/>
      <c r="R519" s="1007"/>
    </row>
    <row r="520" spans="1:19" s="1019" customFormat="1" ht="27" hidden="1" customHeight="1" x14ac:dyDescent="0.25">
      <c r="A520" s="227"/>
      <c r="B520" s="1788"/>
      <c r="C520" s="1023"/>
      <c r="D520" s="1024" t="s">
        <v>10</v>
      </c>
      <c r="E520" s="1024"/>
      <c r="F520" s="1039" t="s">
        <v>280</v>
      </c>
      <c r="G520" s="157"/>
      <c r="H520" s="157"/>
      <c r="I520" s="157"/>
      <c r="J520" s="157"/>
      <c r="K520" s="157"/>
      <c r="L520" s="1003"/>
      <c r="M520" s="1003"/>
      <c r="N520" s="1003"/>
      <c r="O520" s="1003"/>
      <c r="P520" s="1003"/>
      <c r="Q520" s="1006"/>
      <c r="R520" s="1007"/>
    </row>
    <row r="521" spans="1:19" s="1019" customFormat="1" ht="27" hidden="1" customHeight="1" x14ac:dyDescent="0.25">
      <c r="A521" s="227"/>
      <c r="B521" s="1788"/>
      <c r="C521" s="1023"/>
      <c r="D521" s="1024" t="s">
        <v>13</v>
      </c>
      <c r="E521" s="1024"/>
      <c r="F521" s="166" t="s">
        <v>281</v>
      </c>
      <c r="G521" s="157"/>
      <c r="H521" s="157"/>
      <c r="I521" s="157"/>
      <c r="J521" s="157"/>
      <c r="K521" s="157"/>
      <c r="L521" s="1003"/>
      <c r="M521" s="1003"/>
      <c r="N521" s="1003"/>
      <c r="O521" s="1003"/>
      <c r="P521" s="1003"/>
      <c r="Q521" s="1006"/>
      <c r="R521" s="1007"/>
    </row>
    <row r="522" spans="1:19" s="1019" customFormat="1" ht="27" hidden="1" customHeight="1" x14ac:dyDescent="0.25">
      <c r="A522" s="227"/>
      <c r="B522" s="1788"/>
      <c r="C522" s="1023" t="s">
        <v>282</v>
      </c>
      <c r="D522" s="1024"/>
      <c r="E522" s="1024"/>
      <c r="F522" s="115" t="s">
        <v>283</v>
      </c>
      <c r="G522" s="157"/>
      <c r="H522" s="157"/>
      <c r="I522" s="157">
        <f>I523+I524</f>
        <v>0</v>
      </c>
      <c r="J522" s="157">
        <f>J523+J524</f>
        <v>0</v>
      </c>
      <c r="K522" s="157">
        <f>K523+K524</f>
        <v>0</v>
      </c>
      <c r="L522" s="1003"/>
      <c r="M522" s="1003"/>
      <c r="N522" s="1003"/>
      <c r="O522" s="1003"/>
      <c r="P522" s="1003"/>
      <c r="Q522" s="1006"/>
      <c r="R522" s="1007"/>
    </row>
    <row r="523" spans="1:19" s="1019" customFormat="1" ht="27" hidden="1" customHeight="1" x14ac:dyDescent="0.25">
      <c r="A523" s="227"/>
      <c r="B523" s="1788"/>
      <c r="C523" s="1023"/>
      <c r="D523" s="1024" t="s">
        <v>10</v>
      </c>
      <c r="E523" s="1024"/>
      <c r="F523" s="1132" t="s">
        <v>284</v>
      </c>
      <c r="G523" s="157"/>
      <c r="H523" s="157"/>
      <c r="I523" s="157"/>
      <c r="J523" s="157"/>
      <c r="K523" s="157"/>
      <c r="L523" s="1003"/>
      <c r="M523" s="1003"/>
      <c r="N523" s="1003"/>
      <c r="O523" s="1003"/>
      <c r="P523" s="1003"/>
      <c r="Q523" s="1006"/>
      <c r="R523" s="1007"/>
    </row>
    <row r="524" spans="1:19" s="1019" customFormat="1" ht="27" hidden="1" customHeight="1" x14ac:dyDescent="0.25">
      <c r="A524" s="227"/>
      <c r="B524" s="1789"/>
      <c r="C524" s="1023"/>
      <c r="D524" s="1024" t="s">
        <v>13</v>
      </c>
      <c r="E524" s="1024"/>
      <c r="F524" s="1147" t="s">
        <v>285</v>
      </c>
      <c r="G524" s="157"/>
      <c r="H524" s="157"/>
      <c r="I524" s="157"/>
      <c r="J524" s="157"/>
      <c r="K524" s="157"/>
      <c r="L524" s="1003"/>
      <c r="M524" s="1003"/>
      <c r="N524" s="1003"/>
      <c r="O524" s="1003"/>
      <c r="P524" s="1003"/>
      <c r="Q524" s="1006"/>
      <c r="R524" s="1007"/>
    </row>
    <row r="525" spans="1:19" s="1019" customFormat="1" ht="15" x14ac:dyDescent="0.25">
      <c r="A525" s="227"/>
      <c r="B525" s="1783" t="s">
        <v>223</v>
      </c>
      <c r="C525" s="1784"/>
      <c r="D525" s="1784"/>
      <c r="E525" s="1784"/>
      <c r="F525" s="1784"/>
      <c r="G525" s="1"/>
      <c r="H525" s="1"/>
      <c r="I525" s="1">
        <f>I488+I491+I503+I510+I519+I522</f>
        <v>263739.40000000002</v>
      </c>
      <c r="J525" s="1">
        <f>J488+J491+J503+J510+J519+J522</f>
        <v>236137.2</v>
      </c>
      <c r="K525" s="1">
        <f>K488+K491+K503+K510+K519+K522</f>
        <v>240959</v>
      </c>
      <c r="L525" s="3"/>
      <c r="M525" s="27"/>
      <c r="N525" s="27"/>
      <c r="O525" s="27"/>
      <c r="P525" s="27"/>
      <c r="Q525" s="27"/>
      <c r="R525" s="85"/>
    </row>
    <row r="526" spans="1:19" s="181" customFormat="1" ht="15" x14ac:dyDescent="0.25">
      <c r="A526" s="183"/>
      <c r="B526" s="1428" t="s">
        <v>1768</v>
      </c>
      <c r="C526" s="1429"/>
      <c r="D526" s="1429"/>
      <c r="E526" s="1429"/>
      <c r="F526" s="1429"/>
      <c r="G526" s="1429"/>
      <c r="H526" s="1429"/>
      <c r="I526" s="1429"/>
      <c r="J526" s="1429"/>
      <c r="K526" s="1429"/>
      <c r="L526" s="1429"/>
      <c r="M526" s="1429"/>
      <c r="N526" s="1429"/>
      <c r="O526" s="1429"/>
      <c r="P526" s="1429"/>
      <c r="Q526" s="1429"/>
      <c r="R526" s="1430"/>
      <c r="S526" s="188"/>
    </row>
    <row r="527" spans="1:19" s="181" customFormat="1" ht="59.25" x14ac:dyDescent="0.25">
      <c r="A527" s="183"/>
      <c r="B527" s="1312">
        <v>35</v>
      </c>
      <c r="C527" s="501">
        <v>1</v>
      </c>
      <c r="D527" s="502"/>
      <c r="E527" s="503"/>
      <c r="F527" s="504" t="s">
        <v>699</v>
      </c>
      <c r="G527" s="505">
        <f>G528</f>
        <v>62386.6</v>
      </c>
      <c r="H527" s="505">
        <f>H528</f>
        <v>77086.7</v>
      </c>
      <c r="I527" s="505">
        <f>I528</f>
        <v>65194.8</v>
      </c>
      <c r="J527" s="505">
        <f>J528</f>
        <v>66783.8</v>
      </c>
      <c r="K527" s="505">
        <f>K528</f>
        <v>67782.3</v>
      </c>
      <c r="L527" s="1059" t="s">
        <v>700</v>
      </c>
      <c r="M527" s="506" t="s">
        <v>4</v>
      </c>
      <c r="N527" s="251">
        <v>47.9</v>
      </c>
      <c r="O527" s="251">
        <v>56.1</v>
      </c>
      <c r="P527" s="251">
        <v>49.1</v>
      </c>
      <c r="Q527" s="251">
        <v>49.9</v>
      </c>
      <c r="R527" s="251">
        <v>50</v>
      </c>
      <c r="S527" s="188"/>
    </row>
    <row r="528" spans="1:19" s="181" customFormat="1" ht="15" customHeight="1" x14ac:dyDescent="0.25">
      <c r="A528" s="183"/>
      <c r="B528" s="1312"/>
      <c r="C528" s="1431"/>
      <c r="D528" s="1434" t="s">
        <v>10</v>
      </c>
      <c r="E528" s="1437"/>
      <c r="F528" s="1438" t="s">
        <v>701</v>
      </c>
      <c r="G528" s="1441">
        <v>62386.6</v>
      </c>
      <c r="H528" s="1441">
        <v>77086.7</v>
      </c>
      <c r="I528" s="1441">
        <v>65194.8</v>
      </c>
      <c r="J528" s="1441">
        <v>66783.8</v>
      </c>
      <c r="K528" s="1441">
        <v>67782.3</v>
      </c>
      <c r="L528" s="507" t="s">
        <v>586</v>
      </c>
      <c r="M528" s="506" t="s">
        <v>4</v>
      </c>
      <c r="N528" s="6">
        <v>66.3</v>
      </c>
      <c r="O528" s="6">
        <v>66.3</v>
      </c>
      <c r="P528" s="7">
        <v>64</v>
      </c>
      <c r="Q528" s="7">
        <v>65</v>
      </c>
      <c r="R528" s="251">
        <v>0</v>
      </c>
      <c r="S528" s="188"/>
    </row>
    <row r="529" spans="1:19" s="181" customFormat="1" ht="15" x14ac:dyDescent="0.25">
      <c r="A529" s="183"/>
      <c r="B529" s="1312"/>
      <c r="C529" s="1432"/>
      <c r="D529" s="1435"/>
      <c r="E529" s="1437"/>
      <c r="F529" s="1439"/>
      <c r="G529" s="1441"/>
      <c r="H529" s="1441"/>
      <c r="I529" s="1441"/>
      <c r="J529" s="1441"/>
      <c r="K529" s="1441"/>
      <c r="L529" s="507" t="s">
        <v>702</v>
      </c>
      <c r="M529" s="506" t="s">
        <v>4</v>
      </c>
      <c r="N529" s="6">
        <v>100</v>
      </c>
      <c r="O529" s="6">
        <v>100</v>
      </c>
      <c r="P529" s="6">
        <v>100</v>
      </c>
      <c r="Q529" s="6">
        <v>100</v>
      </c>
      <c r="R529" s="251">
        <v>0</v>
      </c>
      <c r="S529" s="188"/>
    </row>
    <row r="530" spans="1:19" s="181" customFormat="1" ht="15" x14ac:dyDescent="0.25">
      <c r="A530" s="183"/>
      <c r="B530" s="1312"/>
      <c r="C530" s="1432"/>
      <c r="D530" s="1435"/>
      <c r="E530" s="1437"/>
      <c r="F530" s="1439"/>
      <c r="G530" s="1441"/>
      <c r="H530" s="1441"/>
      <c r="I530" s="1441"/>
      <c r="J530" s="1441"/>
      <c r="K530" s="1441"/>
      <c r="L530" s="1059" t="s">
        <v>703</v>
      </c>
      <c r="M530" s="506" t="s">
        <v>4</v>
      </c>
      <c r="N530" s="6">
        <v>100</v>
      </c>
      <c r="O530" s="7">
        <v>100</v>
      </c>
      <c r="P530" s="7">
        <v>100</v>
      </c>
      <c r="Q530" s="7">
        <v>100</v>
      </c>
      <c r="R530" s="251">
        <v>0</v>
      </c>
      <c r="S530" s="188"/>
    </row>
    <row r="531" spans="1:19" s="181" customFormat="1" ht="30" x14ac:dyDescent="0.25">
      <c r="A531" s="183"/>
      <c r="B531" s="1312"/>
      <c r="C531" s="1432"/>
      <c r="D531" s="1435"/>
      <c r="E531" s="1437"/>
      <c r="F531" s="1439"/>
      <c r="G531" s="1441"/>
      <c r="H531" s="1441"/>
      <c r="I531" s="1441"/>
      <c r="J531" s="1441"/>
      <c r="K531" s="1441"/>
      <c r="L531" s="507" t="s">
        <v>704</v>
      </c>
      <c r="M531" s="989" t="s">
        <v>297</v>
      </c>
      <c r="N531" s="6">
        <v>25</v>
      </c>
      <c r="O531" s="6">
        <v>25</v>
      </c>
      <c r="P531" s="6">
        <v>25</v>
      </c>
      <c r="Q531" s="6">
        <v>25</v>
      </c>
      <c r="R531" s="251">
        <v>0</v>
      </c>
      <c r="S531" s="188"/>
    </row>
    <row r="532" spans="1:19" s="181" customFormat="1" ht="30" x14ac:dyDescent="0.25">
      <c r="A532" s="183"/>
      <c r="B532" s="1312"/>
      <c r="C532" s="1432"/>
      <c r="D532" s="1435"/>
      <c r="E532" s="1437"/>
      <c r="F532" s="1439"/>
      <c r="G532" s="1441"/>
      <c r="H532" s="1441"/>
      <c r="I532" s="1441"/>
      <c r="J532" s="1441"/>
      <c r="K532" s="1441"/>
      <c r="L532" s="507" t="s">
        <v>705</v>
      </c>
      <c r="M532" s="989" t="s">
        <v>297</v>
      </c>
      <c r="N532" s="6">
        <v>5</v>
      </c>
      <c r="O532" s="7">
        <v>5</v>
      </c>
      <c r="P532" s="7">
        <v>5</v>
      </c>
      <c r="Q532" s="7">
        <v>5</v>
      </c>
      <c r="R532" s="251">
        <v>0</v>
      </c>
      <c r="S532" s="188"/>
    </row>
    <row r="533" spans="1:19" s="181" customFormat="1" ht="45" x14ac:dyDescent="0.25">
      <c r="A533" s="183"/>
      <c r="B533" s="1312"/>
      <c r="C533" s="1432"/>
      <c r="D533" s="1435"/>
      <c r="E533" s="1437"/>
      <c r="F533" s="1439"/>
      <c r="G533" s="1441"/>
      <c r="H533" s="1441"/>
      <c r="I533" s="1441"/>
      <c r="J533" s="1441"/>
      <c r="K533" s="1441"/>
      <c r="L533" s="1080" t="s">
        <v>706</v>
      </c>
      <c r="M533" s="989" t="s">
        <v>297</v>
      </c>
      <c r="N533" s="6">
        <v>4</v>
      </c>
      <c r="O533" s="7">
        <v>4</v>
      </c>
      <c r="P533" s="7">
        <v>4</v>
      </c>
      <c r="Q533" s="7">
        <v>4</v>
      </c>
      <c r="R533" s="251">
        <v>0</v>
      </c>
      <c r="S533" s="188"/>
    </row>
    <row r="534" spans="1:19" s="181" customFormat="1" ht="45" x14ac:dyDescent="0.25">
      <c r="A534" s="183"/>
      <c r="B534" s="1312"/>
      <c r="C534" s="1432"/>
      <c r="D534" s="1435"/>
      <c r="E534" s="1437"/>
      <c r="F534" s="1439"/>
      <c r="G534" s="1441"/>
      <c r="H534" s="1441"/>
      <c r="I534" s="1441"/>
      <c r="J534" s="1441"/>
      <c r="K534" s="1441"/>
      <c r="L534" s="1059" t="s">
        <v>707</v>
      </c>
      <c r="M534" s="989" t="s">
        <v>297</v>
      </c>
      <c r="N534" s="251">
        <v>44</v>
      </c>
      <c r="O534" s="251">
        <v>2</v>
      </c>
      <c r="P534" s="251">
        <v>2</v>
      </c>
      <c r="Q534" s="251">
        <v>2</v>
      </c>
      <c r="R534" s="251">
        <v>0</v>
      </c>
      <c r="S534" s="188"/>
    </row>
    <row r="535" spans="1:19" s="181" customFormat="1" ht="45" x14ac:dyDescent="0.25">
      <c r="A535" s="183"/>
      <c r="B535" s="1312"/>
      <c r="C535" s="1432"/>
      <c r="D535" s="1435"/>
      <c r="E535" s="1437"/>
      <c r="F535" s="1439"/>
      <c r="G535" s="1441"/>
      <c r="H535" s="1441"/>
      <c r="I535" s="1441"/>
      <c r="J535" s="1441"/>
      <c r="K535" s="1441"/>
      <c r="L535" s="509" t="s">
        <v>708</v>
      </c>
      <c r="M535" s="989" t="s">
        <v>297</v>
      </c>
      <c r="N535" s="6">
        <v>250</v>
      </c>
      <c r="O535" s="6">
        <v>250</v>
      </c>
      <c r="P535" s="6">
        <v>250</v>
      </c>
      <c r="Q535" s="6">
        <v>250</v>
      </c>
      <c r="R535" s="251">
        <v>0</v>
      </c>
      <c r="S535" s="188"/>
    </row>
    <row r="536" spans="1:19" s="181" customFormat="1" ht="30" x14ac:dyDescent="0.25">
      <c r="A536" s="183"/>
      <c r="B536" s="1312"/>
      <c r="C536" s="1432"/>
      <c r="D536" s="1435"/>
      <c r="E536" s="1437"/>
      <c r="F536" s="1439"/>
      <c r="G536" s="1441"/>
      <c r="H536" s="1441"/>
      <c r="I536" s="1441"/>
      <c r="J536" s="1441"/>
      <c r="K536" s="1441"/>
      <c r="L536" s="509" t="s">
        <v>1580</v>
      </c>
      <c r="M536" s="989" t="s">
        <v>297</v>
      </c>
      <c r="N536" s="6">
        <v>2</v>
      </c>
      <c r="O536" s="6">
        <v>2</v>
      </c>
      <c r="P536" s="6">
        <v>2</v>
      </c>
      <c r="Q536" s="6">
        <v>2</v>
      </c>
      <c r="R536" s="251">
        <v>0</v>
      </c>
      <c r="S536" s="188"/>
    </row>
    <row r="537" spans="1:19" s="181" customFormat="1" ht="30" x14ac:dyDescent="0.25">
      <c r="A537" s="183"/>
      <c r="B537" s="1312"/>
      <c r="C537" s="1432"/>
      <c r="D537" s="1435"/>
      <c r="E537" s="1437"/>
      <c r="F537" s="1439"/>
      <c r="G537" s="1441"/>
      <c r="H537" s="1441"/>
      <c r="I537" s="1441"/>
      <c r="J537" s="1441"/>
      <c r="K537" s="1441"/>
      <c r="L537" s="507" t="s">
        <v>709</v>
      </c>
      <c r="M537" s="506" t="s">
        <v>4</v>
      </c>
      <c r="N537" s="6">
        <v>25</v>
      </c>
      <c r="O537" s="6">
        <v>25</v>
      </c>
      <c r="P537" s="6">
        <v>25</v>
      </c>
      <c r="Q537" s="6">
        <v>25</v>
      </c>
      <c r="R537" s="251">
        <v>0</v>
      </c>
      <c r="S537" s="188"/>
    </row>
    <row r="538" spans="1:19" s="181" customFormat="1" ht="15" x14ac:dyDescent="0.25">
      <c r="A538" s="183"/>
      <c r="B538" s="1312"/>
      <c r="C538" s="1433"/>
      <c r="D538" s="1436"/>
      <c r="E538" s="1437"/>
      <c r="F538" s="1440"/>
      <c r="G538" s="1441"/>
      <c r="H538" s="1441"/>
      <c r="I538" s="1441"/>
      <c r="J538" s="1441"/>
      <c r="K538" s="1441"/>
      <c r="L538" s="1059" t="s">
        <v>710</v>
      </c>
      <c r="M538" s="1074" t="s">
        <v>4</v>
      </c>
      <c r="N538" s="251">
        <v>93</v>
      </c>
      <c r="O538" s="251">
        <v>93</v>
      </c>
      <c r="P538" s="251">
        <v>93</v>
      </c>
      <c r="Q538" s="251">
        <v>93</v>
      </c>
      <c r="R538" s="251">
        <v>0</v>
      </c>
      <c r="S538" s="188"/>
    </row>
    <row r="539" spans="1:19" s="181" customFormat="1" ht="28.5" x14ac:dyDescent="0.25">
      <c r="A539" s="183"/>
      <c r="B539" s="1312"/>
      <c r="C539" s="1099">
        <v>352</v>
      </c>
      <c r="D539" s="510"/>
      <c r="E539" s="511"/>
      <c r="F539" s="512" t="s">
        <v>711</v>
      </c>
      <c r="G539" s="513">
        <f>G540+G542+G553</f>
        <v>64745.5</v>
      </c>
      <c r="H539" s="513">
        <f t="shared" ref="H539:K539" si="43">H540+H542+H553</f>
        <v>55667.6</v>
      </c>
      <c r="I539" s="513">
        <f t="shared" si="43"/>
        <v>62671.6</v>
      </c>
      <c r="J539" s="513">
        <f t="shared" si="43"/>
        <v>62203.299999999996</v>
      </c>
      <c r="K539" s="513">
        <f t="shared" si="43"/>
        <v>62655.1</v>
      </c>
      <c r="L539" s="514"/>
      <c r="M539" s="1107"/>
      <c r="N539" s="1107"/>
      <c r="O539" s="1107"/>
      <c r="P539" s="1107"/>
      <c r="Q539" s="1107"/>
      <c r="R539" s="515"/>
      <c r="S539" s="188"/>
    </row>
    <row r="540" spans="1:19" s="181" customFormat="1" ht="30" customHeight="1" x14ac:dyDescent="0.25">
      <c r="A540" s="183"/>
      <c r="B540" s="1312"/>
      <c r="C540" s="1444"/>
      <c r="D540" s="1455" t="s">
        <v>10</v>
      </c>
      <c r="E540" s="1450"/>
      <c r="F540" s="1456" t="s">
        <v>1579</v>
      </c>
      <c r="G540" s="1442">
        <v>26876.9</v>
      </c>
      <c r="H540" s="1442">
        <v>7187</v>
      </c>
      <c r="I540" s="1442">
        <v>7250</v>
      </c>
      <c r="J540" s="1442">
        <v>8178.7</v>
      </c>
      <c r="K540" s="1442">
        <v>8321.4</v>
      </c>
      <c r="L540" s="1076" t="s">
        <v>712</v>
      </c>
      <c r="M540" s="989" t="s">
        <v>297</v>
      </c>
      <c r="N540" s="989">
        <v>2</v>
      </c>
      <c r="O540" s="989">
        <v>2</v>
      </c>
      <c r="P540" s="989">
        <v>2</v>
      </c>
      <c r="Q540" s="989">
        <v>2</v>
      </c>
      <c r="R540" s="251">
        <v>0</v>
      </c>
      <c r="S540" s="188"/>
    </row>
    <row r="541" spans="1:19" s="181" customFormat="1" ht="15" x14ac:dyDescent="0.25">
      <c r="A541" s="183"/>
      <c r="B541" s="1312"/>
      <c r="C541" s="1446"/>
      <c r="D541" s="1455"/>
      <c r="E541" s="1450"/>
      <c r="F541" s="1457"/>
      <c r="G541" s="1443"/>
      <c r="H541" s="1443"/>
      <c r="I541" s="1443"/>
      <c r="J541" s="1443"/>
      <c r="K541" s="1443"/>
      <c r="L541" s="1066" t="s">
        <v>713</v>
      </c>
      <c r="M541" s="1069" t="s">
        <v>4</v>
      </c>
      <c r="N541" s="989">
        <v>4</v>
      </c>
      <c r="O541" s="989">
        <v>4</v>
      </c>
      <c r="P541" s="989">
        <v>4</v>
      </c>
      <c r="Q541" s="989">
        <v>4</v>
      </c>
      <c r="R541" s="251">
        <v>0</v>
      </c>
      <c r="S541" s="188"/>
    </row>
    <row r="542" spans="1:19" s="181" customFormat="1" ht="30" customHeight="1" x14ac:dyDescent="0.25">
      <c r="A542" s="183"/>
      <c r="B542" s="1312"/>
      <c r="C542" s="1444"/>
      <c r="D542" s="1447" t="s">
        <v>13</v>
      </c>
      <c r="E542" s="1450"/>
      <c r="F542" s="1451" t="s">
        <v>714</v>
      </c>
      <c r="G542" s="1442">
        <v>33458.1</v>
      </c>
      <c r="H542" s="1442">
        <v>29024.7</v>
      </c>
      <c r="I542" s="1442">
        <v>35899</v>
      </c>
      <c r="J542" s="1442">
        <v>35899.699999999997</v>
      </c>
      <c r="K542" s="1442">
        <v>35899.699999999997</v>
      </c>
      <c r="L542" s="516" t="s">
        <v>715</v>
      </c>
      <c r="M542" s="517" t="s">
        <v>297</v>
      </c>
      <c r="N542" s="989">
        <v>23</v>
      </c>
      <c r="O542" s="989">
        <v>2</v>
      </c>
      <c r="P542" s="989">
        <v>2</v>
      </c>
      <c r="Q542" s="989">
        <v>2</v>
      </c>
      <c r="R542" s="251">
        <v>0</v>
      </c>
      <c r="S542" s="188"/>
    </row>
    <row r="543" spans="1:19" s="181" customFormat="1" ht="45" x14ac:dyDescent="0.25">
      <c r="A543" s="183"/>
      <c r="B543" s="1312"/>
      <c r="C543" s="1445"/>
      <c r="D543" s="1448"/>
      <c r="E543" s="1450"/>
      <c r="F543" s="1452"/>
      <c r="G543" s="1454"/>
      <c r="H543" s="1454"/>
      <c r="I543" s="1454"/>
      <c r="J543" s="1454"/>
      <c r="K543" s="1454"/>
      <c r="L543" s="516" t="s">
        <v>716</v>
      </c>
      <c r="M543" s="517" t="s">
        <v>297</v>
      </c>
      <c r="N543" s="989">
        <v>12</v>
      </c>
      <c r="O543" s="989">
        <v>18</v>
      </c>
      <c r="P543" s="989">
        <v>10</v>
      </c>
      <c r="Q543" s="989">
        <v>10</v>
      </c>
      <c r="R543" s="251">
        <v>0</v>
      </c>
      <c r="S543" s="188"/>
    </row>
    <row r="544" spans="1:19" s="181" customFormat="1" ht="60" x14ac:dyDescent="0.25">
      <c r="A544" s="183"/>
      <c r="B544" s="1312"/>
      <c r="C544" s="1445"/>
      <c r="D544" s="1448"/>
      <c r="E544" s="1450"/>
      <c r="F544" s="1452"/>
      <c r="G544" s="1454"/>
      <c r="H544" s="1454"/>
      <c r="I544" s="1454"/>
      <c r="J544" s="1454"/>
      <c r="K544" s="1454"/>
      <c r="L544" s="518" t="s">
        <v>717</v>
      </c>
      <c r="M544" s="517" t="s">
        <v>297</v>
      </c>
      <c r="N544" s="989">
        <v>500</v>
      </c>
      <c r="O544" s="989">
        <v>500</v>
      </c>
      <c r="P544" s="989">
        <v>500</v>
      </c>
      <c r="Q544" s="989">
        <v>500</v>
      </c>
      <c r="R544" s="251">
        <v>0</v>
      </c>
      <c r="S544" s="188"/>
    </row>
    <row r="545" spans="1:19" s="181" customFormat="1" ht="30" x14ac:dyDescent="0.25">
      <c r="A545" s="183"/>
      <c r="B545" s="1312"/>
      <c r="C545" s="1445"/>
      <c r="D545" s="1448"/>
      <c r="E545" s="1450"/>
      <c r="F545" s="1452"/>
      <c r="G545" s="1454"/>
      <c r="H545" s="1454"/>
      <c r="I545" s="1454"/>
      <c r="J545" s="1454"/>
      <c r="K545" s="1454"/>
      <c r="L545" s="516" t="s">
        <v>718</v>
      </c>
      <c r="M545" s="517" t="s">
        <v>4</v>
      </c>
      <c r="N545" s="989">
        <v>49</v>
      </c>
      <c r="O545" s="989">
        <v>25</v>
      </c>
      <c r="P545" s="989">
        <v>26</v>
      </c>
      <c r="Q545" s="989">
        <v>100</v>
      </c>
      <c r="R545" s="251">
        <v>0</v>
      </c>
      <c r="S545" s="188"/>
    </row>
    <row r="546" spans="1:19" s="181" customFormat="1" ht="30" x14ac:dyDescent="0.25">
      <c r="A546" s="183"/>
      <c r="B546" s="1312"/>
      <c r="C546" s="1445"/>
      <c r="D546" s="1448"/>
      <c r="E546" s="1450"/>
      <c r="F546" s="1452"/>
      <c r="G546" s="1454"/>
      <c r="H546" s="1454"/>
      <c r="I546" s="1454"/>
      <c r="J546" s="1454"/>
      <c r="K546" s="1454"/>
      <c r="L546" s="516" t="s">
        <v>719</v>
      </c>
      <c r="M546" s="517" t="s">
        <v>297</v>
      </c>
      <c r="N546" s="989">
        <v>10</v>
      </c>
      <c r="O546" s="989">
        <v>10</v>
      </c>
      <c r="P546" s="989">
        <v>10</v>
      </c>
      <c r="Q546" s="989">
        <v>10</v>
      </c>
      <c r="R546" s="251">
        <v>0</v>
      </c>
      <c r="S546" s="188"/>
    </row>
    <row r="547" spans="1:19" s="181" customFormat="1" ht="45" x14ac:dyDescent="0.25">
      <c r="A547" s="183"/>
      <c r="B547" s="1312"/>
      <c r="C547" s="1445"/>
      <c r="D547" s="1448"/>
      <c r="E547" s="1450"/>
      <c r="F547" s="1452"/>
      <c r="G547" s="1454"/>
      <c r="H547" s="1454"/>
      <c r="I547" s="1454"/>
      <c r="J547" s="1454"/>
      <c r="K547" s="1454"/>
      <c r="L547" s="516" t="s">
        <v>720</v>
      </c>
      <c r="M547" s="517" t="s">
        <v>297</v>
      </c>
      <c r="N547" s="989">
        <v>2</v>
      </c>
      <c r="O547" s="989">
        <v>2</v>
      </c>
      <c r="P547" s="989">
        <v>2</v>
      </c>
      <c r="Q547" s="989">
        <v>2</v>
      </c>
      <c r="R547" s="251">
        <v>0</v>
      </c>
      <c r="S547" s="188"/>
    </row>
    <row r="548" spans="1:19" s="181" customFormat="1" ht="15" x14ac:dyDescent="0.25">
      <c r="A548" s="183"/>
      <c r="B548" s="1312"/>
      <c r="C548" s="1445"/>
      <c r="D548" s="1448"/>
      <c r="E548" s="1450"/>
      <c r="F548" s="1452"/>
      <c r="G548" s="1454"/>
      <c r="H548" s="1454"/>
      <c r="I548" s="1454"/>
      <c r="J548" s="1454"/>
      <c r="K548" s="1454"/>
      <c r="L548" s="516" t="s">
        <v>721</v>
      </c>
      <c r="M548" s="517" t="s">
        <v>297</v>
      </c>
      <c r="N548" s="989">
        <v>2</v>
      </c>
      <c r="O548" s="989">
        <v>2</v>
      </c>
      <c r="P548" s="989">
        <v>2</v>
      </c>
      <c r="Q548" s="989">
        <v>2</v>
      </c>
      <c r="R548" s="251">
        <v>0</v>
      </c>
      <c r="S548" s="188"/>
    </row>
    <row r="549" spans="1:19" s="181" customFormat="1" ht="130.5" customHeight="1" x14ac:dyDescent="0.25">
      <c r="A549" s="183"/>
      <c r="B549" s="1312"/>
      <c r="C549" s="1445"/>
      <c r="D549" s="1448"/>
      <c r="E549" s="1450"/>
      <c r="F549" s="1452"/>
      <c r="G549" s="1454"/>
      <c r="H549" s="1454"/>
      <c r="I549" s="1454"/>
      <c r="J549" s="1454"/>
      <c r="K549" s="1454"/>
      <c r="L549" s="516" t="s">
        <v>722</v>
      </c>
      <c r="M549" s="517" t="s">
        <v>297</v>
      </c>
      <c r="N549" s="1100" t="s">
        <v>66</v>
      </c>
      <c r="O549" s="1100" t="s">
        <v>66</v>
      </c>
      <c r="P549" s="1100" t="s">
        <v>66</v>
      </c>
      <c r="Q549" s="1100" t="s">
        <v>66</v>
      </c>
      <c r="R549" s="251">
        <v>0</v>
      </c>
      <c r="S549" s="188"/>
    </row>
    <row r="550" spans="1:19" s="181" customFormat="1" ht="30" x14ac:dyDescent="0.25">
      <c r="A550" s="183"/>
      <c r="B550" s="1312"/>
      <c r="C550" s="1445"/>
      <c r="D550" s="1448"/>
      <c r="E550" s="1450"/>
      <c r="F550" s="1452"/>
      <c r="G550" s="1454"/>
      <c r="H550" s="1454"/>
      <c r="I550" s="1454"/>
      <c r="J550" s="1454"/>
      <c r="K550" s="1454"/>
      <c r="L550" s="516" t="s">
        <v>723</v>
      </c>
      <c r="M550" s="517" t="s">
        <v>297</v>
      </c>
      <c r="N550" s="1089">
        <v>4</v>
      </c>
      <c r="O550" s="1089">
        <v>4</v>
      </c>
      <c r="P550" s="1089">
        <v>4</v>
      </c>
      <c r="Q550" s="1089">
        <v>4</v>
      </c>
      <c r="R550" s="515">
        <v>0</v>
      </c>
      <c r="S550" s="188"/>
    </row>
    <row r="551" spans="1:19" s="181" customFormat="1" ht="45" x14ac:dyDescent="0.25">
      <c r="A551" s="183"/>
      <c r="B551" s="1312"/>
      <c r="C551" s="1445"/>
      <c r="D551" s="1448"/>
      <c r="E551" s="1450"/>
      <c r="F551" s="1452"/>
      <c r="G551" s="1454"/>
      <c r="H551" s="1454"/>
      <c r="I551" s="1454"/>
      <c r="J551" s="1454"/>
      <c r="K551" s="1454"/>
      <c r="L551" s="516" t="s">
        <v>724</v>
      </c>
      <c r="M551" s="517" t="s">
        <v>297</v>
      </c>
      <c r="N551" s="989">
        <v>3</v>
      </c>
      <c r="O551" s="989">
        <v>3</v>
      </c>
      <c r="P551" s="989">
        <v>3</v>
      </c>
      <c r="Q551" s="989">
        <v>3</v>
      </c>
      <c r="R551" s="251">
        <v>0</v>
      </c>
      <c r="S551" s="188"/>
    </row>
    <row r="552" spans="1:19" s="181" customFormat="1" ht="30" x14ac:dyDescent="0.25">
      <c r="A552" s="183"/>
      <c r="B552" s="1312"/>
      <c r="C552" s="1446"/>
      <c r="D552" s="1449"/>
      <c r="E552" s="1450"/>
      <c r="F552" s="1453"/>
      <c r="G552" s="1443"/>
      <c r="H552" s="1443"/>
      <c r="I552" s="1443"/>
      <c r="J552" s="1443"/>
      <c r="K552" s="1443"/>
      <c r="L552" s="516" t="s">
        <v>725</v>
      </c>
      <c r="M552" s="1089" t="s">
        <v>4</v>
      </c>
      <c r="N552" s="1089">
        <v>50</v>
      </c>
      <c r="O552" s="1089">
        <v>100</v>
      </c>
      <c r="P552" s="1089">
        <v>100</v>
      </c>
      <c r="Q552" s="1089">
        <v>100</v>
      </c>
      <c r="R552" s="515">
        <v>0</v>
      </c>
      <c r="S552" s="188"/>
    </row>
    <row r="553" spans="1:19" s="181" customFormat="1" ht="30" x14ac:dyDescent="0.25">
      <c r="A553" s="183"/>
      <c r="B553" s="1312"/>
      <c r="C553" s="1444"/>
      <c r="D553" s="1472" t="s">
        <v>26</v>
      </c>
      <c r="E553" s="1474"/>
      <c r="F553" s="1451" t="s">
        <v>726</v>
      </c>
      <c r="G553" s="1442">
        <v>4410.5</v>
      </c>
      <c r="H553" s="1442">
        <v>19455.900000000001</v>
      </c>
      <c r="I553" s="1442">
        <v>19522.599999999999</v>
      </c>
      <c r="J553" s="1442">
        <v>18124.900000000001</v>
      </c>
      <c r="K553" s="1442">
        <v>18434</v>
      </c>
      <c r="L553" s="516" t="s">
        <v>725</v>
      </c>
      <c r="M553" s="989" t="s">
        <v>4</v>
      </c>
      <c r="N553" s="1069">
        <v>100</v>
      </c>
      <c r="O553" s="1069">
        <v>100</v>
      </c>
      <c r="P553" s="1069">
        <v>100</v>
      </c>
      <c r="Q553" s="1069">
        <v>100</v>
      </c>
      <c r="R553" s="519">
        <v>0</v>
      </c>
      <c r="S553" s="188"/>
    </row>
    <row r="554" spans="1:19" s="181" customFormat="1" ht="30" x14ac:dyDescent="0.25">
      <c r="A554" s="183"/>
      <c r="B554" s="1312"/>
      <c r="C554" s="1446"/>
      <c r="D554" s="1473"/>
      <c r="E554" s="1475"/>
      <c r="F554" s="1453"/>
      <c r="G554" s="1443"/>
      <c r="H554" s="1443"/>
      <c r="I554" s="1443"/>
      <c r="J554" s="1443"/>
      <c r="K554" s="1443"/>
      <c r="L554" s="516" t="s">
        <v>725</v>
      </c>
      <c r="M554" s="989" t="s">
        <v>4</v>
      </c>
      <c r="N554" s="989">
        <v>4</v>
      </c>
      <c r="O554" s="989">
        <v>6</v>
      </c>
      <c r="P554" s="989">
        <v>9.5</v>
      </c>
      <c r="Q554" s="989">
        <v>10</v>
      </c>
      <c r="R554" s="251">
        <v>0</v>
      </c>
      <c r="S554" s="188"/>
    </row>
    <row r="555" spans="1:19" s="181" customFormat="1" ht="87.75" x14ac:dyDescent="0.25">
      <c r="A555" s="183"/>
      <c r="B555" s="1312"/>
      <c r="C555" s="1099">
        <v>353</v>
      </c>
      <c r="D555" s="520"/>
      <c r="E555" s="521"/>
      <c r="F555" s="512" t="s">
        <v>727</v>
      </c>
      <c r="G555" s="522">
        <f>G556+G557</f>
        <v>3059.9</v>
      </c>
      <c r="H555" s="522">
        <f>H556+H557</f>
        <v>4590.3999999999996</v>
      </c>
      <c r="I555" s="522">
        <f>I556+I557</f>
        <v>4718.6000000000004</v>
      </c>
      <c r="J555" s="522">
        <f>J556+J557</f>
        <v>4697.2999999999993</v>
      </c>
      <c r="K555" s="522">
        <f>K556+K557</f>
        <v>4780.6000000000004</v>
      </c>
      <c r="L555" s="523"/>
      <c r="M555" s="308"/>
      <c r="N555" s="308"/>
      <c r="O555" s="308"/>
      <c r="P555" s="308"/>
      <c r="Q555" s="308"/>
      <c r="R555" s="308"/>
      <c r="S555" s="188"/>
    </row>
    <row r="556" spans="1:19" s="181" customFormat="1" ht="34.5" customHeight="1" x14ac:dyDescent="0.25">
      <c r="A556" s="183"/>
      <c r="B556" s="1312"/>
      <c r="C556" s="1098"/>
      <c r="D556" s="524" t="s">
        <v>10</v>
      </c>
      <c r="E556" s="525"/>
      <c r="F556" s="526" t="s">
        <v>728</v>
      </c>
      <c r="G556" s="527">
        <v>1863.5</v>
      </c>
      <c r="H556" s="527">
        <v>2822.2</v>
      </c>
      <c r="I556" s="527">
        <v>2886.6</v>
      </c>
      <c r="J556" s="527">
        <v>2729.7</v>
      </c>
      <c r="K556" s="527">
        <v>2777.3</v>
      </c>
      <c r="L556" s="526" t="s">
        <v>729</v>
      </c>
      <c r="M556" s="517" t="s">
        <v>297</v>
      </c>
      <c r="N556" s="528">
        <v>0</v>
      </c>
      <c r="O556" s="528">
        <v>1</v>
      </c>
      <c r="P556" s="528">
        <v>0</v>
      </c>
      <c r="Q556" s="529">
        <v>0</v>
      </c>
      <c r="R556" s="251">
        <v>0</v>
      </c>
      <c r="S556" s="188"/>
    </row>
    <row r="557" spans="1:19" s="181" customFormat="1" ht="45" x14ac:dyDescent="0.25">
      <c r="A557" s="183"/>
      <c r="B557" s="1312"/>
      <c r="C557" s="530"/>
      <c r="D557" s="524" t="s">
        <v>13</v>
      </c>
      <c r="E557" s="525"/>
      <c r="F557" s="526" t="s">
        <v>730</v>
      </c>
      <c r="G557" s="531">
        <v>1196.4000000000001</v>
      </c>
      <c r="H557" s="531">
        <v>1768.2</v>
      </c>
      <c r="I557" s="531">
        <v>1832</v>
      </c>
      <c r="J557" s="531">
        <v>1967.6</v>
      </c>
      <c r="K557" s="531">
        <v>2003.3</v>
      </c>
      <c r="L557" s="526" t="s">
        <v>731</v>
      </c>
      <c r="M557" s="517" t="s">
        <v>297</v>
      </c>
      <c r="N557" s="528">
        <v>4</v>
      </c>
      <c r="O557" s="528">
        <v>4</v>
      </c>
      <c r="P557" s="528">
        <v>4</v>
      </c>
      <c r="Q557" s="529">
        <v>4</v>
      </c>
      <c r="R557" s="251">
        <v>0</v>
      </c>
      <c r="S557" s="188"/>
    </row>
    <row r="558" spans="1:19" s="181" customFormat="1" ht="15" x14ac:dyDescent="0.25">
      <c r="A558" s="183"/>
      <c r="B558" s="1276" t="s">
        <v>299</v>
      </c>
      <c r="C558" s="1277"/>
      <c r="D558" s="1277"/>
      <c r="E558" s="1277"/>
      <c r="F558" s="1278"/>
      <c r="G558" s="532">
        <f>G527+G539+G555</f>
        <v>130192</v>
      </c>
      <c r="H558" s="532">
        <f>H527+H539+H555</f>
        <v>137344.69999999998</v>
      </c>
      <c r="I558" s="532">
        <f>I555+I539+I527</f>
        <v>132585</v>
      </c>
      <c r="J558" s="532">
        <f>J555+J539+J527</f>
        <v>133684.4</v>
      </c>
      <c r="K558" s="532">
        <f>K555+K539+K527</f>
        <v>135218</v>
      </c>
      <c r="L558" s="533"/>
      <c r="M558" s="193"/>
      <c r="N558" s="193"/>
      <c r="O558" s="193"/>
      <c r="P558" s="193"/>
      <c r="Q558" s="193"/>
      <c r="R558" s="193"/>
      <c r="S558" s="188"/>
    </row>
    <row r="559" spans="1:19" s="181" customFormat="1" ht="15" x14ac:dyDescent="0.25">
      <c r="A559" s="183"/>
      <c r="B559" s="1428" t="s">
        <v>732</v>
      </c>
      <c r="C559" s="1429"/>
      <c r="D559" s="1429"/>
      <c r="E559" s="1429"/>
      <c r="F559" s="1429"/>
      <c r="G559" s="1429"/>
      <c r="H559" s="1429"/>
      <c r="I559" s="1429"/>
      <c r="J559" s="1429"/>
      <c r="K559" s="1429"/>
      <c r="L559" s="1429"/>
      <c r="M559" s="1429"/>
      <c r="N559" s="1429"/>
      <c r="O559" s="1429"/>
      <c r="P559" s="1429"/>
      <c r="Q559" s="1429"/>
      <c r="R559" s="1430"/>
      <c r="S559" s="188"/>
    </row>
    <row r="560" spans="1:19" s="181" customFormat="1" ht="59.25" x14ac:dyDescent="0.25">
      <c r="A560" s="183"/>
      <c r="B560" s="1263">
        <v>39</v>
      </c>
      <c r="C560" s="534">
        <v>1</v>
      </c>
      <c r="D560" s="251"/>
      <c r="E560" s="251"/>
      <c r="F560" s="269" t="s">
        <v>733</v>
      </c>
      <c r="G560" s="40">
        <v>13052.6</v>
      </c>
      <c r="H560" s="40">
        <v>23242.1</v>
      </c>
      <c r="I560" s="40">
        <v>45894</v>
      </c>
      <c r="J560" s="40">
        <v>23520.2</v>
      </c>
      <c r="K560" s="40">
        <v>23958.2</v>
      </c>
      <c r="L560" s="493" t="s">
        <v>734</v>
      </c>
      <c r="M560" s="303"/>
      <c r="N560" s="535"/>
      <c r="O560" s="535"/>
      <c r="P560" s="535"/>
      <c r="Q560" s="535"/>
      <c r="R560" s="535"/>
      <c r="S560" s="188"/>
    </row>
    <row r="561" spans="1:19" s="181" customFormat="1" ht="61.5" customHeight="1" x14ac:dyDescent="0.25">
      <c r="A561" s="183"/>
      <c r="B561" s="1263"/>
      <c r="C561" s="225"/>
      <c r="D561" s="406" t="s">
        <v>10</v>
      </c>
      <c r="E561" s="270"/>
      <c r="F561" s="54" t="s">
        <v>735</v>
      </c>
      <c r="G561" s="994">
        <v>13052.6</v>
      </c>
      <c r="H561" s="994">
        <v>23242.1</v>
      </c>
      <c r="I561" s="994">
        <v>23241.9</v>
      </c>
      <c r="J561" s="994">
        <v>23520.2</v>
      </c>
      <c r="K561" s="994">
        <v>23958.2</v>
      </c>
      <c r="L561" s="204" t="s">
        <v>586</v>
      </c>
      <c r="M561" s="303" t="s">
        <v>4</v>
      </c>
      <c r="N561" s="535">
        <v>6.5000000000000002E-2</v>
      </c>
      <c r="O561" s="535">
        <v>6.5000000000000002E-2</v>
      </c>
      <c r="P561" s="535">
        <v>6.5000000000000002E-2</v>
      </c>
      <c r="Q561" s="535">
        <v>6.54E-2</v>
      </c>
      <c r="R561" s="535">
        <v>6.54E-2</v>
      </c>
      <c r="S561" s="188"/>
    </row>
    <row r="562" spans="1:19" s="181" customFormat="1" ht="30" x14ac:dyDescent="0.25">
      <c r="A562" s="183"/>
      <c r="B562" s="1263"/>
      <c r="C562" s="225"/>
      <c r="D562" s="406" t="s">
        <v>13</v>
      </c>
      <c r="E562" s="270"/>
      <c r="F562" s="54" t="s">
        <v>736</v>
      </c>
      <c r="G562" s="994"/>
      <c r="H562" s="994"/>
      <c r="I562" s="994">
        <v>22652.1</v>
      </c>
      <c r="J562" s="994"/>
      <c r="K562" s="42"/>
      <c r="L562" s="204"/>
      <c r="M562" s="303"/>
      <c r="N562" s="535"/>
      <c r="O562" s="535"/>
      <c r="P562" s="535"/>
      <c r="Q562" s="535"/>
      <c r="R562" s="535"/>
      <c r="S562" s="188"/>
    </row>
    <row r="563" spans="1:19" s="181" customFormat="1" ht="74.25" x14ac:dyDescent="0.25">
      <c r="A563" s="183"/>
      <c r="B563" s="1263"/>
      <c r="C563" s="225" t="s">
        <v>737</v>
      </c>
      <c r="D563" s="270"/>
      <c r="E563" s="270"/>
      <c r="F563" s="332" t="s">
        <v>738</v>
      </c>
      <c r="G563" s="1002">
        <v>21296.5</v>
      </c>
      <c r="H563" s="1002">
        <v>38036.600000000006</v>
      </c>
      <c r="I563" s="1002">
        <v>15384.5</v>
      </c>
      <c r="J563" s="1002">
        <v>38036.600000000006</v>
      </c>
      <c r="K563" s="1002">
        <v>38036.600000000006</v>
      </c>
      <c r="L563" s="269" t="s">
        <v>739</v>
      </c>
      <c r="M563" s="279" t="s">
        <v>4</v>
      </c>
      <c r="N563" s="274" t="s">
        <v>79</v>
      </c>
      <c r="O563" s="274" t="s">
        <v>79</v>
      </c>
      <c r="P563" s="274" t="s">
        <v>79</v>
      </c>
      <c r="Q563" s="274" t="s">
        <v>79</v>
      </c>
      <c r="R563" s="274" t="s">
        <v>79</v>
      </c>
      <c r="S563" s="188"/>
    </row>
    <row r="564" spans="1:19" s="181" customFormat="1" ht="15" x14ac:dyDescent="0.25">
      <c r="A564" s="183"/>
      <c r="B564" s="1263"/>
      <c r="C564" s="406"/>
      <c r="D564" s="270" t="s">
        <v>10</v>
      </c>
      <c r="E564" s="270"/>
      <c r="F564" s="210" t="s">
        <v>740</v>
      </c>
      <c r="G564" s="994">
        <v>5314.3</v>
      </c>
      <c r="H564" s="994">
        <v>25642.400000000001</v>
      </c>
      <c r="I564" s="994">
        <v>9491.5</v>
      </c>
      <c r="J564" s="994">
        <v>25642.400000000001</v>
      </c>
      <c r="K564" s="994">
        <v>25642.400000000001</v>
      </c>
      <c r="L564" s="210" t="s">
        <v>741</v>
      </c>
      <c r="M564" s="358" t="s">
        <v>321</v>
      </c>
      <c r="N564" s="536">
        <v>1227</v>
      </c>
      <c r="O564" s="536">
        <v>1227</v>
      </c>
      <c r="P564" s="536">
        <v>1227</v>
      </c>
      <c r="Q564" s="536">
        <v>1227</v>
      </c>
      <c r="R564" s="536">
        <v>1227</v>
      </c>
      <c r="S564" s="188"/>
    </row>
    <row r="565" spans="1:19" s="181" customFormat="1" ht="45" x14ac:dyDescent="0.25">
      <c r="A565" s="183"/>
      <c r="B565" s="1263"/>
      <c r="C565" s="406"/>
      <c r="D565" s="270" t="s">
        <v>13</v>
      </c>
      <c r="E565" s="270"/>
      <c r="F565" s="210" t="s">
        <v>742</v>
      </c>
      <c r="G565" s="994">
        <v>15982.2</v>
      </c>
      <c r="H565" s="994">
        <v>12394.2</v>
      </c>
      <c r="I565" s="994">
        <v>5893</v>
      </c>
      <c r="J565" s="994">
        <v>12394.2</v>
      </c>
      <c r="K565" s="994">
        <v>12394.2</v>
      </c>
      <c r="L565" s="210" t="s">
        <v>743</v>
      </c>
      <c r="M565" s="210" t="s">
        <v>4</v>
      </c>
      <c r="N565" s="494">
        <v>0</v>
      </c>
      <c r="O565" s="494">
        <v>0</v>
      </c>
      <c r="P565" s="494">
        <v>0</v>
      </c>
      <c r="Q565" s="494">
        <v>0</v>
      </c>
      <c r="R565" s="494">
        <v>0</v>
      </c>
      <c r="S565" s="188"/>
    </row>
    <row r="566" spans="1:19" s="181" customFormat="1" ht="88.5" x14ac:dyDescent="0.25">
      <c r="A566" s="183"/>
      <c r="B566" s="1263"/>
      <c r="C566" s="225" t="s">
        <v>744</v>
      </c>
      <c r="D566" s="270"/>
      <c r="E566" s="270"/>
      <c r="F566" s="332" t="s">
        <v>745</v>
      </c>
      <c r="G566" s="1002">
        <v>2273.6</v>
      </c>
      <c r="H566" s="1002">
        <v>3747.9</v>
      </c>
      <c r="I566" s="1002">
        <v>3747.9</v>
      </c>
      <c r="J566" s="1002">
        <v>3747.9</v>
      </c>
      <c r="K566" s="1002">
        <v>3747.9</v>
      </c>
      <c r="L566" s="493" t="s">
        <v>746</v>
      </c>
      <c r="M566" s="210" t="s">
        <v>4</v>
      </c>
      <c r="N566" s="349">
        <v>0.28000000000000003</v>
      </c>
      <c r="O566" s="537" t="s">
        <v>80</v>
      </c>
      <c r="P566" s="537" t="s">
        <v>80</v>
      </c>
      <c r="Q566" s="537" t="s">
        <v>80</v>
      </c>
      <c r="R566" s="537" t="s">
        <v>80</v>
      </c>
      <c r="S566" s="188"/>
    </row>
    <row r="567" spans="1:19" s="181" customFormat="1" ht="30" x14ac:dyDescent="0.25">
      <c r="A567" s="183"/>
      <c r="B567" s="1263"/>
      <c r="C567" s="406"/>
      <c r="D567" s="270" t="s">
        <v>10</v>
      </c>
      <c r="E567" s="270"/>
      <c r="F567" s="202" t="s">
        <v>747</v>
      </c>
      <c r="G567" s="994">
        <v>2273.6</v>
      </c>
      <c r="H567" s="994">
        <v>3747.9</v>
      </c>
      <c r="I567" s="994">
        <v>3747.9</v>
      </c>
      <c r="J567" s="994">
        <v>3747.9</v>
      </c>
      <c r="K567" s="994">
        <v>3747.9</v>
      </c>
      <c r="L567" s="210" t="s">
        <v>748</v>
      </c>
      <c r="M567" s="210" t="s">
        <v>321</v>
      </c>
      <c r="N567" s="536">
        <v>319</v>
      </c>
      <c r="O567" s="536">
        <v>319</v>
      </c>
      <c r="P567" s="536">
        <v>319</v>
      </c>
      <c r="Q567" s="536">
        <v>319</v>
      </c>
      <c r="R567" s="536">
        <v>319</v>
      </c>
      <c r="S567" s="188"/>
    </row>
    <row r="568" spans="1:19" s="181" customFormat="1" ht="74.25" x14ac:dyDescent="0.25">
      <c r="A568" s="183"/>
      <c r="B568" s="1263"/>
      <c r="C568" s="406"/>
      <c r="D568" s="270"/>
      <c r="E568" s="270"/>
      <c r="F568" s="332" t="s">
        <v>749</v>
      </c>
      <c r="G568" s="1002">
        <v>51478.7</v>
      </c>
      <c r="H568" s="1002">
        <v>59447.4</v>
      </c>
      <c r="I568" s="1002">
        <v>59447.200000000004</v>
      </c>
      <c r="J568" s="1002">
        <v>59447.3</v>
      </c>
      <c r="K568" s="1002">
        <v>59447.3</v>
      </c>
      <c r="L568" s="269" t="s">
        <v>750</v>
      </c>
      <c r="M568" s="349" t="s">
        <v>4</v>
      </c>
      <c r="N568" s="349">
        <v>0.28000000000000003</v>
      </c>
      <c r="O568" s="349">
        <v>0.28000000000000003</v>
      </c>
      <c r="P568" s="349">
        <v>0.28000000000000003</v>
      </c>
      <c r="Q568" s="349">
        <v>0.28000000000000003</v>
      </c>
      <c r="R568" s="349">
        <v>0.28000000000000003</v>
      </c>
      <c r="S568" s="188"/>
    </row>
    <row r="569" spans="1:19" s="181" customFormat="1" ht="30" x14ac:dyDescent="0.25">
      <c r="A569" s="183"/>
      <c r="B569" s="1263"/>
      <c r="C569" s="225" t="s">
        <v>751</v>
      </c>
      <c r="D569" s="270"/>
      <c r="E569" s="270"/>
      <c r="F569" s="210" t="s">
        <v>752</v>
      </c>
      <c r="G569" s="994">
        <v>51478.7</v>
      </c>
      <c r="H569" s="994">
        <v>59447.4</v>
      </c>
      <c r="I569" s="994">
        <v>59447.200000000004</v>
      </c>
      <c r="J569" s="994">
        <v>59447.3</v>
      </c>
      <c r="K569" s="994">
        <v>59447.3</v>
      </c>
      <c r="L569" s="210" t="s">
        <v>753</v>
      </c>
      <c r="M569" s="210" t="s">
        <v>4</v>
      </c>
      <c r="N569" s="494">
        <v>0</v>
      </c>
      <c r="O569" s="494">
        <v>0</v>
      </c>
      <c r="P569" s="494">
        <v>0</v>
      </c>
      <c r="Q569" s="494">
        <v>0</v>
      </c>
      <c r="R569" s="494">
        <v>0</v>
      </c>
      <c r="S569" s="188"/>
    </row>
    <row r="570" spans="1:19" s="181" customFormat="1" ht="15" x14ac:dyDescent="0.25">
      <c r="A570" s="183"/>
      <c r="B570" s="1276" t="s">
        <v>299</v>
      </c>
      <c r="C570" s="1277"/>
      <c r="D570" s="1277"/>
      <c r="E570" s="1277"/>
      <c r="F570" s="1278"/>
      <c r="G570" s="341">
        <f>G560+G563+G566+G568</f>
        <v>88101.4</v>
      </c>
      <c r="H570" s="341">
        <f t="shared" ref="H570:K570" si="44">H560+H563+H566+H568</f>
        <v>124474</v>
      </c>
      <c r="I570" s="341">
        <f t="shared" si="44"/>
        <v>124473.60000000001</v>
      </c>
      <c r="J570" s="341">
        <f t="shared" si="44"/>
        <v>124752</v>
      </c>
      <c r="K570" s="341">
        <f t="shared" si="44"/>
        <v>125190</v>
      </c>
      <c r="L570" s="193"/>
      <c r="M570" s="495"/>
      <c r="N570" s="495"/>
      <c r="O570" s="495"/>
      <c r="P570" s="495"/>
      <c r="Q570" s="495"/>
      <c r="R570" s="495"/>
      <c r="S570" s="188"/>
    </row>
    <row r="571" spans="1:19" s="181" customFormat="1" ht="15" x14ac:dyDescent="0.25">
      <c r="A571" s="183"/>
      <c r="B571" s="1428" t="s">
        <v>754</v>
      </c>
      <c r="C571" s="1429"/>
      <c r="D571" s="1429"/>
      <c r="E571" s="1429"/>
      <c r="F571" s="1429"/>
      <c r="G571" s="1429"/>
      <c r="H571" s="1429"/>
      <c r="I571" s="1429"/>
      <c r="J571" s="1429"/>
      <c r="K571" s="1429"/>
      <c r="L571" s="1429"/>
      <c r="M571" s="1429"/>
      <c r="N571" s="1429"/>
      <c r="O571" s="1429"/>
      <c r="P571" s="1429"/>
      <c r="Q571" s="1429"/>
      <c r="R571" s="1430"/>
      <c r="S571" s="188"/>
    </row>
    <row r="572" spans="1:19" s="181" customFormat="1" ht="42.75" x14ac:dyDescent="0.25">
      <c r="A572" s="1242"/>
      <c r="B572" s="1461">
        <v>40</v>
      </c>
      <c r="C572" s="538" t="s">
        <v>75</v>
      </c>
      <c r="D572" s="539"/>
      <c r="E572" s="540"/>
      <c r="F572" s="541" t="s">
        <v>755</v>
      </c>
      <c r="G572" s="77">
        <v>666.6</v>
      </c>
      <c r="H572" s="77">
        <v>739.4</v>
      </c>
      <c r="I572" s="77">
        <v>500</v>
      </c>
      <c r="J572" s="77">
        <v>509.69200000000001</v>
      </c>
      <c r="K572" s="77">
        <v>524.93799999999999</v>
      </c>
      <c r="L572" s="540"/>
      <c r="M572" s="539"/>
      <c r="N572" s="539"/>
      <c r="O572" s="539"/>
      <c r="P572" s="539"/>
      <c r="Q572" s="539"/>
      <c r="R572" s="542"/>
      <c r="S572" s="188"/>
    </row>
    <row r="573" spans="1:19" s="181" customFormat="1" ht="72.75" customHeight="1" x14ac:dyDescent="0.25">
      <c r="A573" s="1242"/>
      <c r="B573" s="1461"/>
      <c r="C573" s="539"/>
      <c r="D573" s="543" t="s">
        <v>10</v>
      </c>
      <c r="E573" s="540"/>
      <c r="F573" s="540" t="s">
        <v>756</v>
      </c>
      <c r="G573" s="41">
        <v>666.6</v>
      </c>
      <c r="H573" s="41">
        <v>739.4</v>
      </c>
      <c r="I573" s="41">
        <v>500</v>
      </c>
      <c r="J573" s="41">
        <v>509.69200000000001</v>
      </c>
      <c r="K573" s="41">
        <v>524.93799999999999</v>
      </c>
      <c r="L573" s="540" t="s">
        <v>757</v>
      </c>
      <c r="M573" s="539" t="s">
        <v>4</v>
      </c>
      <c r="N573" s="539">
        <v>100</v>
      </c>
      <c r="O573" s="539">
        <v>100</v>
      </c>
      <c r="P573" s="539">
        <v>100</v>
      </c>
      <c r="Q573" s="539">
        <v>100</v>
      </c>
      <c r="R573" s="542">
        <v>100</v>
      </c>
      <c r="S573" s="188"/>
    </row>
    <row r="574" spans="1:19" s="181" customFormat="1" ht="15" x14ac:dyDescent="0.25">
      <c r="A574" s="183"/>
      <c r="B574" s="1276" t="s">
        <v>299</v>
      </c>
      <c r="C574" s="1277"/>
      <c r="D574" s="1277"/>
      <c r="E574" s="1277"/>
      <c r="F574" s="1278"/>
      <c r="G574" s="544">
        <f>G572</f>
        <v>666.6</v>
      </c>
      <c r="H574" s="544">
        <f t="shared" ref="H574:K574" si="45">H572</f>
        <v>739.4</v>
      </c>
      <c r="I574" s="544">
        <f t="shared" si="45"/>
        <v>500</v>
      </c>
      <c r="J574" s="544">
        <f t="shared" si="45"/>
        <v>509.69200000000001</v>
      </c>
      <c r="K574" s="544">
        <f t="shared" si="45"/>
        <v>524.93799999999999</v>
      </c>
      <c r="L574" s="545"/>
      <c r="M574" s="546"/>
      <c r="N574" s="546"/>
      <c r="O574" s="546"/>
      <c r="P574" s="546"/>
      <c r="Q574" s="546"/>
      <c r="R574" s="546"/>
      <c r="S574" s="188"/>
    </row>
    <row r="575" spans="1:19" s="181" customFormat="1" ht="15" x14ac:dyDescent="0.25">
      <c r="A575" s="183"/>
      <c r="B575" s="1462" t="s">
        <v>758</v>
      </c>
      <c r="C575" s="1463"/>
      <c r="D575" s="1463"/>
      <c r="E575" s="1463"/>
      <c r="F575" s="1463"/>
      <c r="G575" s="1463"/>
      <c r="H575" s="1463"/>
      <c r="I575" s="1463"/>
      <c r="J575" s="1463"/>
      <c r="K575" s="1463"/>
      <c r="L575" s="1463"/>
      <c r="M575" s="1463"/>
      <c r="N575" s="1463"/>
      <c r="O575" s="1463"/>
      <c r="P575" s="1463"/>
      <c r="Q575" s="1463"/>
      <c r="R575" s="1464"/>
      <c r="S575" s="188"/>
    </row>
    <row r="576" spans="1:19" s="181" customFormat="1" ht="59.25" x14ac:dyDescent="0.25">
      <c r="A576" s="1242"/>
      <c r="B576" s="1476"/>
      <c r="C576" s="1095" t="s">
        <v>0</v>
      </c>
      <c r="D576" s="1073"/>
      <c r="E576" s="1073"/>
      <c r="F576" s="257" t="s">
        <v>1584</v>
      </c>
      <c r="G576" s="999">
        <f>G577+G578+G579</f>
        <v>455318.2</v>
      </c>
      <c r="H576" s="999">
        <f>H577+H578+H579</f>
        <v>879369.2</v>
      </c>
      <c r="I576" s="999">
        <f>I577+I578+I579</f>
        <v>706975.89999999991</v>
      </c>
      <c r="J576" s="999">
        <f>J577+J578+J579</f>
        <v>649564.5</v>
      </c>
      <c r="K576" s="999">
        <f>K577+K578+K579</f>
        <v>1189340.3999999999</v>
      </c>
      <c r="L576" s="344" t="s">
        <v>586</v>
      </c>
      <c r="M576" s="235"/>
      <c r="N576" s="235">
        <v>24.5</v>
      </c>
      <c r="O576" s="235">
        <v>28.8</v>
      </c>
      <c r="P576" s="235">
        <v>30.5</v>
      </c>
      <c r="Q576" s="235">
        <v>32.200000000000003</v>
      </c>
      <c r="R576" s="235">
        <v>35.5</v>
      </c>
      <c r="S576" s="188"/>
    </row>
    <row r="577" spans="1:19" s="181" customFormat="1" ht="33.75" customHeight="1" x14ac:dyDescent="0.25">
      <c r="A577" s="1242"/>
      <c r="B577" s="1476"/>
      <c r="C577" s="551"/>
      <c r="D577" s="551" t="s">
        <v>10</v>
      </c>
      <c r="E577" s="551"/>
      <c r="F577" s="54" t="s">
        <v>1585</v>
      </c>
      <c r="G577" s="14">
        <f>45916.9</f>
        <v>45916.9</v>
      </c>
      <c r="H577" s="996">
        <f>57972.5</f>
        <v>57972.5</v>
      </c>
      <c r="I577" s="996">
        <v>169983.3</v>
      </c>
      <c r="J577" s="996">
        <v>169983.3</v>
      </c>
      <c r="K577" s="996">
        <v>169983.3</v>
      </c>
      <c r="L577" s="344" t="s">
        <v>22</v>
      </c>
      <c r="M577" s="257"/>
      <c r="N577" s="553"/>
      <c r="O577" s="553"/>
      <c r="P577" s="553"/>
      <c r="Q577" s="553"/>
      <c r="R577" s="553"/>
      <c r="S577" s="188"/>
    </row>
    <row r="578" spans="1:19" s="181" customFormat="1" ht="24.75" customHeight="1" x14ac:dyDescent="0.25">
      <c r="A578" s="1242"/>
      <c r="B578" s="1476"/>
      <c r="C578" s="551"/>
      <c r="D578" s="551" t="s">
        <v>13</v>
      </c>
      <c r="E578" s="551"/>
      <c r="F578" s="54" t="s">
        <v>1749</v>
      </c>
      <c r="G578" s="14">
        <v>74391.600000000006</v>
      </c>
      <c r="H578" s="996">
        <v>86007.6</v>
      </c>
      <c r="I578" s="996">
        <f>136700.5-116758.3+88955.1</f>
        <v>108897.3</v>
      </c>
      <c r="J578" s="996">
        <f>136700.5-116758.3+88955.1</f>
        <v>108897.3</v>
      </c>
      <c r="K578" s="996">
        <f>136700.5-116758.3+88955.1</f>
        <v>108897.3</v>
      </c>
      <c r="L578" s="344"/>
      <c r="M578" s="257"/>
      <c r="N578" s="553"/>
      <c r="O578" s="553"/>
      <c r="P578" s="553"/>
      <c r="Q578" s="553"/>
      <c r="R578" s="553"/>
      <c r="S578" s="188"/>
    </row>
    <row r="579" spans="1:19" s="181" customFormat="1" ht="15" x14ac:dyDescent="0.25">
      <c r="A579" s="1242"/>
      <c r="B579" s="1476"/>
      <c r="C579" s="1465" t="s">
        <v>82</v>
      </c>
      <c r="D579" s="1465"/>
      <c r="E579" s="1467"/>
      <c r="F579" s="1469" t="s">
        <v>759</v>
      </c>
      <c r="G579" s="1470">
        <f>G585+G589+G594+G595+G600+G601+G602</f>
        <v>335009.7</v>
      </c>
      <c r="H579" s="1470">
        <f>H585+H589+H594+H595+H600+H601+H602</f>
        <v>735389.1</v>
      </c>
      <c r="I579" s="1470">
        <f>I585+I589+I594+I595+I600+I601+I602</f>
        <v>428095.3</v>
      </c>
      <c r="J579" s="1470">
        <f>J585+J589+J594+J595+J600+J601+J602</f>
        <v>370683.89999999997</v>
      </c>
      <c r="K579" s="1470">
        <f>K585+K589+K594+K595+K600+K601+K602</f>
        <v>910459.8</v>
      </c>
      <c r="L579" s="19" t="s">
        <v>1586</v>
      </c>
      <c r="M579" s="1043" t="s">
        <v>216</v>
      </c>
      <c r="N579" s="1119">
        <v>116717.2</v>
      </c>
      <c r="O579" s="1119">
        <v>124086.39999999999</v>
      </c>
      <c r="P579" s="1119">
        <v>130335.2</v>
      </c>
      <c r="Q579" s="1119">
        <v>138027.5</v>
      </c>
      <c r="R579" s="1120">
        <v>147041.60000000001</v>
      </c>
      <c r="S579" s="188"/>
    </row>
    <row r="580" spans="1:19" s="181" customFormat="1" ht="30" x14ac:dyDescent="0.25">
      <c r="A580" s="1242"/>
      <c r="B580" s="1476"/>
      <c r="C580" s="1466"/>
      <c r="D580" s="1466"/>
      <c r="E580" s="1468"/>
      <c r="F580" s="1469"/>
      <c r="G580" s="1471"/>
      <c r="H580" s="1471"/>
      <c r="I580" s="1471"/>
      <c r="J580" s="1471"/>
      <c r="K580" s="1471"/>
      <c r="L580" s="1145" t="s">
        <v>1587</v>
      </c>
      <c r="M580" s="1043" t="s">
        <v>4</v>
      </c>
      <c r="N580" s="1043">
        <v>102</v>
      </c>
      <c r="O580" s="1119">
        <v>102.2</v>
      </c>
      <c r="P580" s="1119">
        <v>102.3</v>
      </c>
      <c r="Q580" s="1119">
        <v>102.4</v>
      </c>
      <c r="R580" s="1120">
        <v>102.5</v>
      </c>
      <c r="S580" s="188"/>
    </row>
    <row r="581" spans="1:19" s="181" customFormat="1" ht="15" x14ac:dyDescent="0.25">
      <c r="A581" s="1242"/>
      <c r="B581" s="1476"/>
      <c r="C581" s="1466"/>
      <c r="D581" s="1466"/>
      <c r="E581" s="1468"/>
      <c r="F581" s="1469"/>
      <c r="G581" s="1471"/>
      <c r="H581" s="1471"/>
      <c r="I581" s="1471"/>
      <c r="J581" s="1471"/>
      <c r="K581" s="1471"/>
      <c r="L581" s="1145" t="s">
        <v>1588</v>
      </c>
      <c r="M581" s="1043" t="s">
        <v>765</v>
      </c>
      <c r="N581" s="1043">
        <v>1715776</v>
      </c>
      <c r="O581" s="1119"/>
      <c r="P581" s="1119"/>
      <c r="Q581" s="1119"/>
      <c r="R581" s="1120"/>
      <c r="S581" s="188"/>
    </row>
    <row r="582" spans="1:19" s="181" customFormat="1" ht="15" x14ac:dyDescent="0.25">
      <c r="A582" s="1242"/>
      <c r="B582" s="1476"/>
      <c r="C582" s="1466"/>
      <c r="D582" s="1466"/>
      <c r="E582" s="1468"/>
      <c r="F582" s="1469"/>
      <c r="G582" s="1471"/>
      <c r="H582" s="1471"/>
      <c r="I582" s="1471"/>
      <c r="J582" s="1471"/>
      <c r="K582" s="1471"/>
      <c r="L582" s="1025" t="s">
        <v>1589</v>
      </c>
      <c r="M582" s="1043" t="s">
        <v>216</v>
      </c>
      <c r="N582" s="1043">
        <v>853.5</v>
      </c>
      <c r="O582" s="1119">
        <v>870.6</v>
      </c>
      <c r="P582" s="1119">
        <v>896.7</v>
      </c>
      <c r="Q582" s="1119">
        <v>932.6</v>
      </c>
      <c r="R582" s="1120">
        <v>979.2</v>
      </c>
      <c r="S582" s="188"/>
    </row>
    <row r="583" spans="1:19" s="181" customFormat="1" ht="30" x14ac:dyDescent="0.25">
      <c r="A583" s="1242"/>
      <c r="B583" s="1476"/>
      <c r="C583" s="1466"/>
      <c r="D583" s="1466"/>
      <c r="E583" s="1468"/>
      <c r="F583" s="1469"/>
      <c r="G583" s="1471"/>
      <c r="H583" s="1471"/>
      <c r="I583" s="1471"/>
      <c r="J583" s="1471"/>
      <c r="K583" s="1471"/>
      <c r="L583" s="1145" t="s">
        <v>1587</v>
      </c>
      <c r="M583" s="1043" t="s">
        <v>4</v>
      </c>
      <c r="N583" s="2">
        <v>112.1</v>
      </c>
      <c r="O583" s="8">
        <v>102</v>
      </c>
      <c r="P583" s="8">
        <v>103</v>
      </c>
      <c r="Q583" s="8">
        <v>104</v>
      </c>
      <c r="R583" s="89">
        <v>105</v>
      </c>
      <c r="S583" s="188"/>
    </row>
    <row r="584" spans="1:19" s="181" customFormat="1" ht="15" x14ac:dyDescent="0.25">
      <c r="A584" s="1242"/>
      <c r="B584" s="1476"/>
      <c r="C584" s="1466"/>
      <c r="D584" s="1466"/>
      <c r="E584" s="1468"/>
      <c r="F584" s="1469"/>
      <c r="G584" s="1471"/>
      <c r="H584" s="1471"/>
      <c r="I584" s="1471"/>
      <c r="J584" s="1471"/>
      <c r="K584" s="1471"/>
      <c r="L584" s="1025" t="s">
        <v>760</v>
      </c>
      <c r="M584" s="1043" t="s">
        <v>761</v>
      </c>
      <c r="N584" s="20">
        <v>9147</v>
      </c>
      <c r="O584" s="21">
        <v>9147</v>
      </c>
      <c r="P584" s="21">
        <v>9147</v>
      </c>
      <c r="Q584" s="21">
        <v>9147</v>
      </c>
      <c r="R584" s="90">
        <v>9147</v>
      </c>
      <c r="S584" s="188"/>
    </row>
    <row r="585" spans="1:19" s="181" customFormat="1" ht="30" x14ac:dyDescent="0.25">
      <c r="A585" s="1242"/>
      <c r="B585" s="1476"/>
      <c r="C585" s="1472"/>
      <c r="D585" s="1472" t="s">
        <v>10</v>
      </c>
      <c r="E585" s="1472"/>
      <c r="F585" s="1456" t="s">
        <v>762</v>
      </c>
      <c r="G585" s="1797">
        <v>6038.5</v>
      </c>
      <c r="H585" s="1797">
        <v>4539.5</v>
      </c>
      <c r="I585" s="1797">
        <v>4851.3</v>
      </c>
      <c r="J585" s="1797">
        <v>4851.3</v>
      </c>
      <c r="K585" s="1797">
        <v>4851.3</v>
      </c>
      <c r="L585" s="1059" t="s">
        <v>763</v>
      </c>
      <c r="M585" s="1074" t="s">
        <v>4</v>
      </c>
      <c r="N585" s="1074">
        <v>102.4</v>
      </c>
      <c r="O585" s="1075">
        <v>102.6</v>
      </c>
      <c r="P585" s="1075">
        <v>102.6</v>
      </c>
      <c r="Q585" s="1075">
        <v>102.6</v>
      </c>
      <c r="R585" s="1075">
        <v>102.6</v>
      </c>
      <c r="S585" s="188"/>
    </row>
    <row r="586" spans="1:19" s="181" customFormat="1" ht="51" customHeight="1" x14ac:dyDescent="0.25">
      <c r="A586" s="1242"/>
      <c r="B586" s="1476"/>
      <c r="C586" s="1485"/>
      <c r="D586" s="1485"/>
      <c r="E586" s="1485"/>
      <c r="F586" s="1491"/>
      <c r="G586" s="1798"/>
      <c r="H586" s="1798"/>
      <c r="I586" s="1798"/>
      <c r="J586" s="1798"/>
      <c r="K586" s="1798"/>
      <c r="L586" s="1059" t="s">
        <v>764</v>
      </c>
      <c r="M586" s="1074" t="s">
        <v>765</v>
      </c>
      <c r="N586" s="1074">
        <v>85000</v>
      </c>
      <c r="O586" s="1075">
        <v>82000</v>
      </c>
      <c r="P586" s="1075">
        <v>90000</v>
      </c>
      <c r="Q586" s="1075">
        <v>90000</v>
      </c>
      <c r="R586" s="1075">
        <v>90000</v>
      </c>
      <c r="S586" s="188"/>
    </row>
    <row r="587" spans="1:19" s="181" customFormat="1" ht="36.75" customHeight="1" x14ac:dyDescent="0.25">
      <c r="A587" s="1242"/>
      <c r="B587" s="1476"/>
      <c r="C587" s="1485"/>
      <c r="D587" s="1485"/>
      <c r="E587" s="1485"/>
      <c r="F587" s="1491"/>
      <c r="G587" s="1798"/>
      <c r="H587" s="1798"/>
      <c r="I587" s="1798"/>
      <c r="J587" s="1798"/>
      <c r="K587" s="1798"/>
      <c r="L587" s="1059" t="s">
        <v>766</v>
      </c>
      <c r="M587" s="1074" t="s">
        <v>765</v>
      </c>
      <c r="N587" s="1074">
        <v>22000</v>
      </c>
      <c r="O587" s="1075">
        <v>21000</v>
      </c>
      <c r="P587" s="1075">
        <v>30000</v>
      </c>
      <c r="Q587" s="1075">
        <v>30000</v>
      </c>
      <c r="R587" s="1075">
        <v>30000</v>
      </c>
      <c r="S587" s="188"/>
    </row>
    <row r="588" spans="1:19" s="181" customFormat="1" ht="36.75" customHeight="1" x14ac:dyDescent="0.25">
      <c r="A588" s="1242"/>
      <c r="B588" s="1476"/>
      <c r="C588" s="1096"/>
      <c r="D588" s="1096"/>
      <c r="E588" s="1485"/>
      <c r="F588" s="1491"/>
      <c r="G588" s="1799"/>
      <c r="H588" s="1799"/>
      <c r="I588" s="1799"/>
      <c r="J588" s="1799"/>
      <c r="K588" s="1799"/>
      <c r="L588" s="1117" t="s">
        <v>1590</v>
      </c>
      <c r="M588" s="1126" t="s">
        <v>765</v>
      </c>
      <c r="N588" s="1126">
        <v>300</v>
      </c>
      <c r="O588" s="1126">
        <v>300</v>
      </c>
      <c r="P588" s="1126">
        <v>300</v>
      </c>
      <c r="Q588" s="1126">
        <v>300</v>
      </c>
      <c r="R588" s="100">
        <v>300</v>
      </c>
      <c r="S588" s="188"/>
    </row>
    <row r="589" spans="1:19" s="181" customFormat="1" ht="36.75" customHeight="1" x14ac:dyDescent="0.25">
      <c r="A589" s="1242"/>
      <c r="B589" s="1476"/>
      <c r="C589" s="1472"/>
      <c r="D589" s="1472" t="s">
        <v>13</v>
      </c>
      <c r="E589" s="1472"/>
      <c r="F589" s="1635" t="s">
        <v>767</v>
      </c>
      <c r="G589" s="1797">
        <v>5574.1</v>
      </c>
      <c r="H589" s="1797">
        <v>4025.6</v>
      </c>
      <c r="I589" s="1797">
        <v>4337.5</v>
      </c>
      <c r="J589" s="1797">
        <v>4337.5</v>
      </c>
      <c r="K589" s="1797">
        <v>4337.5</v>
      </c>
      <c r="L589" s="43" t="s">
        <v>1591</v>
      </c>
      <c r="M589" s="1126" t="s">
        <v>761</v>
      </c>
      <c r="N589" s="1126">
        <v>9005.4</v>
      </c>
      <c r="O589" s="1126">
        <v>9005.4</v>
      </c>
      <c r="P589" s="1126">
        <v>9005.4</v>
      </c>
      <c r="Q589" s="1126">
        <v>9005.4</v>
      </c>
      <c r="R589" s="100">
        <v>9005.4</v>
      </c>
      <c r="S589" s="188"/>
    </row>
    <row r="590" spans="1:19" s="181" customFormat="1" ht="36.75" customHeight="1" x14ac:dyDescent="0.25">
      <c r="A590" s="1242"/>
      <c r="B590" s="1476"/>
      <c r="C590" s="1485"/>
      <c r="D590" s="1485"/>
      <c r="E590" s="1485"/>
      <c r="F590" s="1635"/>
      <c r="G590" s="1798"/>
      <c r="H590" s="1798"/>
      <c r="I590" s="1798"/>
      <c r="J590" s="1798"/>
      <c r="K590" s="1798"/>
      <c r="L590" s="43" t="s">
        <v>1591</v>
      </c>
      <c r="M590" s="1126" t="s">
        <v>761</v>
      </c>
      <c r="N590" s="1126">
        <v>13720.2</v>
      </c>
      <c r="O590" s="1126">
        <v>12982.1</v>
      </c>
      <c r="P590" s="1126">
        <v>14332.1</v>
      </c>
      <c r="Q590" s="1126">
        <v>14682.1</v>
      </c>
      <c r="R590" s="100">
        <v>15382.1</v>
      </c>
      <c r="S590" s="188"/>
    </row>
    <row r="591" spans="1:19" s="181" customFormat="1" ht="15" customHeight="1" x14ac:dyDescent="0.25">
      <c r="A591" s="1242"/>
      <c r="B591" s="1476"/>
      <c r="C591" s="1473"/>
      <c r="D591" s="1473"/>
      <c r="E591" s="1473"/>
      <c r="F591" s="1635"/>
      <c r="G591" s="1798"/>
      <c r="H591" s="1798"/>
      <c r="I591" s="1798"/>
      <c r="J591" s="1798"/>
      <c r="K591" s="1798"/>
      <c r="L591" s="43" t="s">
        <v>1591</v>
      </c>
      <c r="M591" s="1126" t="s">
        <v>761</v>
      </c>
      <c r="N591" s="1126">
        <v>454</v>
      </c>
      <c r="O591" s="1126">
        <v>454</v>
      </c>
      <c r="P591" s="1126">
        <v>454</v>
      </c>
      <c r="Q591" s="1126">
        <v>454</v>
      </c>
      <c r="R591" s="100">
        <v>454</v>
      </c>
      <c r="S591" s="188"/>
    </row>
    <row r="592" spans="1:19" s="181" customFormat="1" ht="15" hidden="1" customHeight="1" x14ac:dyDescent="0.25">
      <c r="A592" s="1242"/>
      <c r="B592" s="1476"/>
      <c r="C592" s="987"/>
      <c r="D592" s="987"/>
      <c r="E592" s="1020"/>
      <c r="F592" s="986"/>
      <c r="G592" s="1798"/>
      <c r="H592" s="1798"/>
      <c r="I592" s="1798"/>
      <c r="J592" s="1798"/>
      <c r="K592" s="1798"/>
      <c r="L592" s="43" t="s">
        <v>1592</v>
      </c>
      <c r="M592" s="1126" t="s">
        <v>1187</v>
      </c>
      <c r="N592" s="1126">
        <v>13720.2</v>
      </c>
      <c r="O592" s="1129">
        <v>12982.1</v>
      </c>
      <c r="P592" s="1129">
        <v>14332.1</v>
      </c>
      <c r="Q592" s="1129">
        <v>14682.1</v>
      </c>
      <c r="R592" s="83">
        <v>15382.1</v>
      </c>
      <c r="S592" s="188"/>
    </row>
    <row r="593" spans="1:19" s="181" customFormat="1" ht="15" hidden="1" customHeight="1" x14ac:dyDescent="0.25">
      <c r="A593" s="1242"/>
      <c r="B593" s="1476"/>
      <c r="C593" s="987"/>
      <c r="D593" s="987"/>
      <c r="E593" s="1020"/>
      <c r="F593" s="986"/>
      <c r="G593" s="1799"/>
      <c r="H593" s="1799"/>
      <c r="I593" s="1799"/>
      <c r="J593" s="1799"/>
      <c r="K593" s="1799"/>
      <c r="L593" s="43" t="s">
        <v>1593</v>
      </c>
      <c r="M593" s="1126" t="s">
        <v>297</v>
      </c>
      <c r="N593" s="1126">
        <v>454</v>
      </c>
      <c r="O593" s="1126">
        <v>454</v>
      </c>
      <c r="P593" s="1126">
        <v>454</v>
      </c>
      <c r="Q593" s="1126">
        <v>454</v>
      </c>
      <c r="R593" s="100">
        <v>454</v>
      </c>
      <c r="S593" s="188"/>
    </row>
    <row r="594" spans="1:19" s="181" customFormat="1" ht="45" x14ac:dyDescent="0.25">
      <c r="A594" s="1242"/>
      <c r="B594" s="1476"/>
      <c r="C594" s="551"/>
      <c r="D594" s="551" t="s">
        <v>9</v>
      </c>
      <c r="E594" s="551"/>
      <c r="F594" s="374" t="s">
        <v>768</v>
      </c>
      <c r="G594" s="995">
        <v>4599.8</v>
      </c>
      <c r="H594" s="995">
        <v>5870.8</v>
      </c>
      <c r="I594" s="995">
        <v>6118.7</v>
      </c>
      <c r="J594" s="995">
        <v>6118.7</v>
      </c>
      <c r="K594" s="995">
        <v>6118.7</v>
      </c>
      <c r="L594" s="344" t="s">
        <v>769</v>
      </c>
      <c r="M594" s="391" t="s">
        <v>83</v>
      </c>
      <c r="N594" s="235">
        <v>19</v>
      </c>
      <c r="O594" s="554">
        <v>20</v>
      </c>
      <c r="P594" s="554">
        <v>21</v>
      </c>
      <c r="Q594" s="554">
        <v>22</v>
      </c>
      <c r="R594" s="554">
        <v>23</v>
      </c>
      <c r="S594" s="188"/>
    </row>
    <row r="595" spans="1:19" s="181" customFormat="1" ht="30" x14ac:dyDescent="0.25">
      <c r="A595" s="1242"/>
      <c r="B595" s="1476"/>
      <c r="C595" s="1472"/>
      <c r="D595" s="1472" t="s">
        <v>23</v>
      </c>
      <c r="E595" s="1472"/>
      <c r="F595" s="1486" t="s">
        <v>770</v>
      </c>
      <c r="G595" s="1261">
        <v>5562.4</v>
      </c>
      <c r="H595" s="1261">
        <v>12335.8</v>
      </c>
      <c r="I595" s="1261">
        <v>12335.8</v>
      </c>
      <c r="J595" s="1261">
        <v>12335.8</v>
      </c>
      <c r="K595" s="1261">
        <v>12335.8</v>
      </c>
      <c r="L595" s="1117" t="s">
        <v>1594</v>
      </c>
      <c r="M595" s="1126" t="s">
        <v>84</v>
      </c>
      <c r="N595" s="1126">
        <v>5139.7</v>
      </c>
      <c r="O595" s="1129">
        <v>6000</v>
      </c>
      <c r="P595" s="1129">
        <v>7000</v>
      </c>
      <c r="Q595" s="1129">
        <v>8000</v>
      </c>
      <c r="R595" s="83">
        <v>9000</v>
      </c>
      <c r="S595" s="188"/>
    </row>
    <row r="596" spans="1:19" s="181" customFormat="1" ht="54.75" customHeight="1" x14ac:dyDescent="0.25">
      <c r="A596" s="1242"/>
      <c r="B596" s="1476"/>
      <c r="C596" s="1485"/>
      <c r="D596" s="1485"/>
      <c r="E596" s="1485"/>
      <c r="F596" s="1487"/>
      <c r="G596" s="1261"/>
      <c r="H596" s="1261"/>
      <c r="I596" s="1261"/>
      <c r="J596" s="1261"/>
      <c r="K596" s="1261"/>
      <c r="L596" s="1117" t="s">
        <v>1595</v>
      </c>
      <c r="M596" s="1126" t="s">
        <v>84</v>
      </c>
      <c r="N596" s="1126">
        <v>6.8</v>
      </c>
      <c r="O596" s="1129">
        <v>7</v>
      </c>
      <c r="P596" s="1129">
        <v>7.2</v>
      </c>
      <c r="Q596" s="1129">
        <v>7.4</v>
      </c>
      <c r="R596" s="83">
        <v>7.6</v>
      </c>
      <c r="S596" s="188"/>
    </row>
    <row r="597" spans="1:19" s="181" customFormat="1" ht="30" x14ac:dyDescent="0.25">
      <c r="A597" s="1242"/>
      <c r="B597" s="1476"/>
      <c r="C597" s="1473"/>
      <c r="D597" s="1485"/>
      <c r="E597" s="1473"/>
      <c r="F597" s="1487"/>
      <c r="G597" s="1261"/>
      <c r="H597" s="1261"/>
      <c r="I597" s="1261"/>
      <c r="J597" s="1261"/>
      <c r="K597" s="1261"/>
      <c r="L597" s="1117" t="s">
        <v>1596</v>
      </c>
      <c r="M597" s="1126" t="s">
        <v>217</v>
      </c>
      <c r="N597" s="1126">
        <v>11.04</v>
      </c>
      <c r="O597" s="1129">
        <v>16.728999999999999</v>
      </c>
      <c r="P597" s="1129">
        <v>17</v>
      </c>
      <c r="Q597" s="1129">
        <v>18</v>
      </c>
      <c r="R597" s="83">
        <v>19</v>
      </c>
      <c r="S597" s="188"/>
    </row>
    <row r="598" spans="1:19" s="181" customFormat="1" ht="30" x14ac:dyDescent="0.25">
      <c r="A598" s="1242"/>
      <c r="B598" s="1476"/>
      <c r="C598" s="988"/>
      <c r="D598" s="1485"/>
      <c r="E598" s="988"/>
      <c r="F598" s="1487"/>
      <c r="G598" s="1261"/>
      <c r="H598" s="1261"/>
      <c r="I598" s="1261"/>
      <c r="J598" s="1261"/>
      <c r="K598" s="1261"/>
      <c r="L598" s="1117" t="s">
        <v>1597</v>
      </c>
      <c r="M598" s="1126" t="s">
        <v>1598</v>
      </c>
      <c r="N598" s="1126">
        <v>47</v>
      </c>
      <c r="O598" s="1129">
        <v>50</v>
      </c>
      <c r="P598" s="1129">
        <v>60</v>
      </c>
      <c r="Q598" s="1129">
        <v>70</v>
      </c>
      <c r="R598" s="83">
        <v>80</v>
      </c>
      <c r="S598" s="188"/>
    </row>
    <row r="599" spans="1:19" s="181" customFormat="1" ht="15" x14ac:dyDescent="0.25">
      <c r="A599" s="1242"/>
      <c r="B599" s="1476"/>
      <c r="C599" s="988"/>
      <c r="D599" s="1473"/>
      <c r="E599" s="988"/>
      <c r="F599" s="1488"/>
      <c r="G599" s="1261"/>
      <c r="H599" s="1261"/>
      <c r="I599" s="1261"/>
      <c r="J599" s="1261"/>
      <c r="K599" s="1261"/>
      <c r="L599" s="1117" t="s">
        <v>1599</v>
      </c>
      <c r="M599" s="1126" t="s">
        <v>1598</v>
      </c>
      <c r="N599" s="1126">
        <v>2181</v>
      </c>
      <c r="O599" s="1129">
        <v>2200</v>
      </c>
      <c r="P599" s="1129">
        <v>2300</v>
      </c>
      <c r="Q599" s="1129">
        <v>2400</v>
      </c>
      <c r="R599" s="83">
        <v>2500</v>
      </c>
      <c r="S599" s="188"/>
    </row>
    <row r="600" spans="1:19" s="181" customFormat="1" ht="30" x14ac:dyDescent="0.25">
      <c r="A600" s="1242"/>
      <c r="B600" s="1476"/>
      <c r="C600" s="551"/>
      <c r="D600" s="551" t="s">
        <v>24</v>
      </c>
      <c r="E600" s="551"/>
      <c r="F600" s="374" t="s">
        <v>771</v>
      </c>
      <c r="G600" s="985">
        <v>31029.7</v>
      </c>
      <c r="H600" s="985">
        <v>224338.4</v>
      </c>
      <c r="I600" s="985">
        <v>0</v>
      </c>
      <c r="J600" s="985">
        <v>0</v>
      </c>
      <c r="K600" s="985">
        <v>0</v>
      </c>
      <c r="L600" s="344"/>
      <c r="M600" s="257"/>
      <c r="N600" s="553"/>
      <c r="O600" s="553"/>
      <c r="P600" s="553"/>
      <c r="Q600" s="553"/>
      <c r="R600" s="553"/>
      <c r="S600" s="188"/>
    </row>
    <row r="601" spans="1:19" s="181" customFormat="1" ht="15" x14ac:dyDescent="0.25">
      <c r="A601" s="1242"/>
      <c r="B601" s="1476"/>
      <c r="C601" s="551"/>
      <c r="D601" s="551" t="s">
        <v>25</v>
      </c>
      <c r="E601" s="556"/>
      <c r="F601" s="374" t="s">
        <v>772</v>
      </c>
      <c r="G601" s="985">
        <v>174040</v>
      </c>
      <c r="H601" s="985">
        <v>436670.5</v>
      </c>
      <c r="I601" s="985">
        <v>400452</v>
      </c>
      <c r="J601" s="985">
        <v>343040.6</v>
      </c>
      <c r="K601" s="985">
        <v>882816.5</v>
      </c>
      <c r="L601" s="344"/>
      <c r="M601" s="391"/>
      <c r="N601" s="235"/>
      <c r="O601" s="554"/>
      <c r="P601" s="554"/>
      <c r="Q601" s="554"/>
      <c r="R601" s="554"/>
      <c r="S601" s="188"/>
    </row>
    <row r="602" spans="1:19" s="181" customFormat="1" ht="30" x14ac:dyDescent="0.25">
      <c r="A602" s="1242"/>
      <c r="B602" s="1476"/>
      <c r="C602" s="551"/>
      <c r="D602" s="551" t="s">
        <v>26</v>
      </c>
      <c r="E602" s="551"/>
      <c r="F602" s="374" t="s">
        <v>773</v>
      </c>
      <c r="G602" s="985">
        <v>108165.2</v>
      </c>
      <c r="H602" s="985">
        <v>47608.5</v>
      </c>
      <c r="I602" s="985">
        <v>0</v>
      </c>
      <c r="J602" s="985">
        <v>0</v>
      </c>
      <c r="K602" s="985">
        <v>0</v>
      </c>
      <c r="L602" s="1117" t="s">
        <v>1600</v>
      </c>
      <c r="M602" s="1126" t="s">
        <v>1601</v>
      </c>
      <c r="N602" s="1126">
        <v>661.8</v>
      </c>
      <c r="O602" s="553"/>
      <c r="P602" s="553"/>
      <c r="Q602" s="553"/>
      <c r="R602" s="553"/>
      <c r="S602" s="188"/>
    </row>
    <row r="603" spans="1:19" s="181" customFormat="1" ht="15" customHeight="1" x14ac:dyDescent="0.25">
      <c r="A603" s="1242"/>
      <c r="B603" s="1476"/>
      <c r="C603" s="1465" t="s">
        <v>86</v>
      </c>
      <c r="D603" s="1479"/>
      <c r="E603" s="1479"/>
      <c r="F603" s="1482" t="s">
        <v>1634</v>
      </c>
      <c r="G603" s="1470">
        <f>G610+G619+G622+G628+G633+G635+G638+G639</f>
        <v>186328.1</v>
      </c>
      <c r="H603" s="1470">
        <f>H610+H619+H622+H628+H633+H635+H638+H639</f>
        <v>213861.29999999996</v>
      </c>
      <c r="I603" s="1470">
        <f>I610+I619+I622+I628+I633+I635+I638+I639</f>
        <v>214489.9</v>
      </c>
      <c r="J603" s="1470">
        <f>J610+J619+J622+J628+J633+J635+J638+J639</f>
        <v>262875.2</v>
      </c>
      <c r="K603" s="1470">
        <f>K610+K619+K622+K628+K633+K635+K638+K639</f>
        <v>338993.99999999988</v>
      </c>
      <c r="L603" s="19" t="s">
        <v>1602</v>
      </c>
      <c r="M603" s="1043" t="s">
        <v>216</v>
      </c>
      <c r="N603" s="1034">
        <v>124040.7</v>
      </c>
      <c r="O603" s="22">
        <v>133546.20000000001</v>
      </c>
      <c r="P603" s="22" t="s">
        <v>87</v>
      </c>
      <c r="Q603" s="22">
        <v>154417</v>
      </c>
      <c r="R603" s="91">
        <v>166271.1</v>
      </c>
      <c r="S603" s="188"/>
    </row>
    <row r="604" spans="1:19" s="181" customFormat="1" ht="30" x14ac:dyDescent="0.25">
      <c r="A604" s="1242"/>
      <c r="B604" s="1476"/>
      <c r="C604" s="1466"/>
      <c r="D604" s="1480"/>
      <c r="E604" s="1480"/>
      <c r="F604" s="1483"/>
      <c r="G604" s="1471"/>
      <c r="H604" s="1471"/>
      <c r="I604" s="1471"/>
      <c r="J604" s="1471"/>
      <c r="K604" s="1471"/>
      <c r="L604" s="1145" t="s">
        <v>1587</v>
      </c>
      <c r="M604" s="1043" t="s">
        <v>4</v>
      </c>
      <c r="N604" s="1044">
        <v>100.2</v>
      </c>
      <c r="O604" s="1045">
        <v>102</v>
      </c>
      <c r="P604" s="1045">
        <v>102.4</v>
      </c>
      <c r="Q604" s="1045">
        <v>102.7</v>
      </c>
      <c r="R604" s="1029">
        <v>102.6</v>
      </c>
      <c r="S604" s="188"/>
    </row>
    <row r="605" spans="1:19" s="181" customFormat="1" ht="15" x14ac:dyDescent="0.25">
      <c r="A605" s="1242"/>
      <c r="B605" s="1476"/>
      <c r="C605" s="1466"/>
      <c r="D605" s="1480"/>
      <c r="E605" s="1480"/>
      <c r="F605" s="1483"/>
      <c r="G605" s="1471"/>
      <c r="H605" s="1471"/>
      <c r="I605" s="1471"/>
      <c r="J605" s="1471"/>
      <c r="K605" s="1471"/>
      <c r="L605" s="1121" t="s">
        <v>1603</v>
      </c>
      <c r="M605" s="1043" t="s">
        <v>761</v>
      </c>
      <c r="N605" s="1043">
        <v>1223.5999999999999</v>
      </c>
      <c r="O605" s="1119"/>
      <c r="P605" s="1119"/>
      <c r="Q605" s="1119"/>
      <c r="R605" s="1120"/>
      <c r="S605" s="188"/>
    </row>
    <row r="606" spans="1:19" s="181" customFormat="1" ht="30" x14ac:dyDescent="0.25">
      <c r="A606" s="1242"/>
      <c r="B606" s="1476"/>
      <c r="C606" s="1466"/>
      <c r="D606" s="1480"/>
      <c r="E606" s="1480"/>
      <c r="F606" s="1483"/>
      <c r="G606" s="1471"/>
      <c r="H606" s="1471"/>
      <c r="I606" s="1471"/>
      <c r="J606" s="1471"/>
      <c r="K606" s="1471"/>
      <c r="L606" s="1121" t="s">
        <v>1604</v>
      </c>
      <c r="M606" s="1043"/>
      <c r="N606" s="1043"/>
      <c r="O606" s="1119"/>
      <c r="P606" s="1119"/>
      <c r="Q606" s="1119"/>
      <c r="R606" s="1120"/>
      <c r="S606" s="188"/>
    </row>
    <row r="607" spans="1:19" s="181" customFormat="1" ht="15" x14ac:dyDescent="0.25">
      <c r="A607" s="1242"/>
      <c r="B607" s="1476"/>
      <c r="C607" s="1466"/>
      <c r="D607" s="1480"/>
      <c r="E607" s="1480"/>
      <c r="F607" s="1483"/>
      <c r="G607" s="1471"/>
      <c r="H607" s="1471"/>
      <c r="I607" s="1471"/>
      <c r="J607" s="1471"/>
      <c r="K607" s="1471"/>
      <c r="L607" s="1121" t="s">
        <v>1605</v>
      </c>
      <c r="M607" s="1043" t="s">
        <v>761</v>
      </c>
      <c r="N607" s="1043">
        <v>10607.7</v>
      </c>
      <c r="O607" s="1119"/>
      <c r="P607" s="1119"/>
      <c r="Q607" s="1119"/>
      <c r="R607" s="1120"/>
      <c r="S607" s="188"/>
    </row>
    <row r="608" spans="1:19" s="181" customFormat="1" ht="15" hidden="1" customHeight="1" x14ac:dyDescent="0.25">
      <c r="A608" s="1242"/>
      <c r="B608" s="1476"/>
      <c r="C608" s="1466"/>
      <c r="D608" s="1480"/>
      <c r="E608" s="1480"/>
      <c r="F608" s="1483"/>
      <c r="G608" s="1471"/>
      <c r="H608" s="1471"/>
      <c r="I608" s="1471"/>
      <c r="J608" s="1471"/>
      <c r="K608" s="1471"/>
      <c r="L608" s="1072"/>
      <c r="M608" s="1072"/>
      <c r="N608" s="1072"/>
      <c r="O608" s="558"/>
      <c r="P608" s="558"/>
      <c r="Q608" s="558"/>
      <c r="R608" s="558"/>
      <c r="S608" s="188"/>
    </row>
    <row r="609" spans="1:19" s="181" customFormat="1" ht="45" x14ac:dyDescent="0.25">
      <c r="A609" s="1242"/>
      <c r="B609" s="1476"/>
      <c r="C609" s="1478"/>
      <c r="D609" s="1481"/>
      <c r="E609" s="1481"/>
      <c r="F609" s="1484"/>
      <c r="G609" s="1477"/>
      <c r="H609" s="1477"/>
      <c r="I609" s="1477"/>
      <c r="J609" s="1477"/>
      <c r="K609" s="1477"/>
      <c r="L609" s="391" t="s">
        <v>774</v>
      </c>
      <c r="M609" s="1043" t="s">
        <v>216</v>
      </c>
      <c r="N609" s="2">
        <v>8.1</v>
      </c>
      <c r="O609" s="8">
        <v>60</v>
      </c>
      <c r="P609" s="8">
        <v>51</v>
      </c>
      <c r="Q609" s="8">
        <v>51</v>
      </c>
      <c r="R609" s="89">
        <v>51</v>
      </c>
      <c r="S609" s="188"/>
    </row>
    <row r="610" spans="1:19" s="181" customFormat="1" ht="30" x14ac:dyDescent="0.25">
      <c r="A610" s="1242"/>
      <c r="B610" s="1476"/>
      <c r="C610" s="1472"/>
      <c r="D610" s="1472" t="s">
        <v>10</v>
      </c>
      <c r="E610" s="1472"/>
      <c r="F610" s="1456" t="s">
        <v>775</v>
      </c>
      <c r="G610" s="1489">
        <v>101553.60000000001</v>
      </c>
      <c r="H610" s="1489">
        <v>126182.39999999999</v>
      </c>
      <c r="I610" s="1489">
        <v>120810.2</v>
      </c>
      <c r="J610" s="1489">
        <v>120810.2</v>
      </c>
      <c r="K610" s="1489">
        <v>159062.29999999999</v>
      </c>
      <c r="L610" s="1117" t="s">
        <v>1606</v>
      </c>
      <c r="M610" s="1126" t="s">
        <v>761</v>
      </c>
      <c r="N610" s="9">
        <v>0.1</v>
      </c>
      <c r="O610" s="28">
        <v>2</v>
      </c>
      <c r="P610" s="28">
        <v>2</v>
      </c>
      <c r="Q610" s="28">
        <v>2</v>
      </c>
      <c r="R610" s="92">
        <v>2</v>
      </c>
      <c r="S610" s="188"/>
    </row>
    <row r="611" spans="1:19" s="181" customFormat="1" ht="30" x14ac:dyDescent="0.25">
      <c r="A611" s="1242"/>
      <c r="B611" s="1476"/>
      <c r="C611" s="1485"/>
      <c r="D611" s="1485"/>
      <c r="E611" s="1485"/>
      <c r="F611" s="1491"/>
      <c r="G611" s="1490"/>
      <c r="H611" s="1490"/>
      <c r="I611" s="1490"/>
      <c r="J611" s="1490"/>
      <c r="K611" s="1490"/>
      <c r="L611" s="1117" t="s">
        <v>1607</v>
      </c>
      <c r="M611" s="1126" t="s">
        <v>1608</v>
      </c>
      <c r="N611" s="1143" t="s">
        <v>88</v>
      </c>
      <c r="O611" s="28">
        <v>267</v>
      </c>
      <c r="P611" s="28">
        <v>267</v>
      </c>
      <c r="Q611" s="28">
        <v>267</v>
      </c>
      <c r="R611" s="92">
        <v>267</v>
      </c>
      <c r="S611" s="188"/>
    </row>
    <row r="612" spans="1:19" s="181" customFormat="1" ht="51" customHeight="1" x14ac:dyDescent="0.25">
      <c r="A612" s="1242"/>
      <c r="B612" s="1476"/>
      <c r="C612" s="1485"/>
      <c r="D612" s="1485"/>
      <c r="E612" s="1485"/>
      <c r="F612" s="1491"/>
      <c r="G612" s="1490"/>
      <c r="H612" s="1490"/>
      <c r="I612" s="1490"/>
      <c r="J612" s="1490"/>
      <c r="K612" s="1490"/>
      <c r="L612" s="1117" t="s">
        <v>1609</v>
      </c>
      <c r="M612" s="1126" t="s">
        <v>761</v>
      </c>
      <c r="N612" s="1143" t="s">
        <v>89</v>
      </c>
      <c r="O612" s="28">
        <v>160</v>
      </c>
      <c r="P612" s="28">
        <v>160</v>
      </c>
      <c r="Q612" s="28">
        <v>160</v>
      </c>
      <c r="R612" s="92">
        <v>160</v>
      </c>
      <c r="S612" s="188"/>
    </row>
    <row r="613" spans="1:19" s="181" customFormat="1" ht="30" x14ac:dyDescent="0.25">
      <c r="A613" s="1242"/>
      <c r="B613" s="1476"/>
      <c r="C613" s="1485"/>
      <c r="D613" s="1485"/>
      <c r="E613" s="1485"/>
      <c r="F613" s="1491"/>
      <c r="G613" s="1490"/>
      <c r="H613" s="1490"/>
      <c r="I613" s="1490"/>
      <c r="J613" s="1490"/>
      <c r="K613" s="1490"/>
      <c r="L613" s="1117" t="s">
        <v>1610</v>
      </c>
      <c r="M613" s="1126" t="s">
        <v>761</v>
      </c>
      <c r="N613" s="9">
        <v>0.3</v>
      </c>
      <c r="O613" s="28">
        <v>3</v>
      </c>
      <c r="P613" s="28">
        <v>3</v>
      </c>
      <c r="Q613" s="28">
        <v>3</v>
      </c>
      <c r="R613" s="92">
        <v>3</v>
      </c>
      <c r="S613" s="188"/>
    </row>
    <row r="614" spans="1:19" s="181" customFormat="1" ht="15" x14ac:dyDescent="0.25">
      <c r="A614" s="1242"/>
      <c r="B614" s="1476"/>
      <c r="C614" s="1485"/>
      <c r="D614" s="1485"/>
      <c r="E614" s="1485"/>
      <c r="F614" s="1491"/>
      <c r="G614" s="1490"/>
      <c r="H614" s="1490"/>
      <c r="I614" s="1490"/>
      <c r="J614" s="1490"/>
      <c r="K614" s="1490"/>
      <c r="L614" s="1117" t="s">
        <v>1611</v>
      </c>
      <c r="M614" s="1126" t="s">
        <v>1612</v>
      </c>
      <c r="N614" s="9" t="s">
        <v>90</v>
      </c>
      <c r="O614" s="28">
        <v>608</v>
      </c>
      <c r="P614" s="28">
        <v>620</v>
      </c>
      <c r="Q614" s="28">
        <v>620</v>
      </c>
      <c r="R614" s="92">
        <v>620</v>
      </c>
      <c r="S614" s="188"/>
    </row>
    <row r="615" spans="1:19" s="181" customFormat="1" ht="30" x14ac:dyDescent="0.25">
      <c r="A615" s="1242"/>
      <c r="B615" s="1476"/>
      <c r="C615" s="1485"/>
      <c r="D615" s="1485"/>
      <c r="E615" s="1485"/>
      <c r="F615" s="1491"/>
      <c r="G615" s="1490"/>
      <c r="H615" s="1490"/>
      <c r="I615" s="1490"/>
      <c r="J615" s="1490"/>
      <c r="K615" s="1490"/>
      <c r="L615" s="1117" t="s">
        <v>1613</v>
      </c>
      <c r="M615" s="1126" t="s">
        <v>761</v>
      </c>
      <c r="N615" s="9">
        <v>72.599999999999994</v>
      </c>
      <c r="O615" s="28">
        <v>86.4</v>
      </c>
      <c r="P615" s="28">
        <v>86.4</v>
      </c>
      <c r="Q615" s="28">
        <v>86.4</v>
      </c>
      <c r="R615" s="92">
        <v>86.4</v>
      </c>
      <c r="S615" s="188"/>
    </row>
    <row r="616" spans="1:19" s="181" customFormat="1" ht="15" x14ac:dyDescent="0.25">
      <c r="A616" s="1242"/>
      <c r="B616" s="1476"/>
      <c r="C616" s="1485"/>
      <c r="D616" s="1485"/>
      <c r="E616" s="1485"/>
      <c r="F616" s="1491"/>
      <c r="G616" s="1490"/>
      <c r="H616" s="1490"/>
      <c r="I616" s="1490"/>
      <c r="J616" s="1490"/>
      <c r="K616" s="1490"/>
      <c r="L616" s="1117" t="s">
        <v>1614</v>
      </c>
      <c r="M616" s="1126" t="s">
        <v>297</v>
      </c>
      <c r="N616" s="1127">
        <v>32</v>
      </c>
      <c r="O616" s="1127">
        <v>32</v>
      </c>
      <c r="P616" s="1127">
        <v>32</v>
      </c>
      <c r="Q616" s="1127">
        <v>32</v>
      </c>
      <c r="R616" s="1128">
        <v>32</v>
      </c>
      <c r="S616" s="188"/>
    </row>
    <row r="617" spans="1:19" s="181" customFormat="1" ht="30" x14ac:dyDescent="0.25">
      <c r="A617" s="1242"/>
      <c r="B617" s="1476"/>
      <c r="C617" s="1485"/>
      <c r="D617" s="1485"/>
      <c r="E617" s="1485"/>
      <c r="F617" s="1491"/>
      <c r="G617" s="1490"/>
      <c r="H617" s="1490"/>
      <c r="I617" s="1490"/>
      <c r="J617" s="1490"/>
      <c r="K617" s="1490"/>
      <c r="L617" s="1117" t="s">
        <v>1615</v>
      </c>
      <c r="M617" s="1126" t="s">
        <v>297</v>
      </c>
      <c r="N617" s="1127">
        <v>49599</v>
      </c>
      <c r="O617" s="29">
        <v>50000</v>
      </c>
      <c r="P617" s="29">
        <v>50000</v>
      </c>
      <c r="Q617" s="29">
        <v>50000</v>
      </c>
      <c r="R617" s="93">
        <v>50000</v>
      </c>
      <c r="S617" s="188"/>
    </row>
    <row r="618" spans="1:19" s="181" customFormat="1" ht="30" hidden="1" customHeight="1" x14ac:dyDescent="0.25">
      <c r="A618" s="1242"/>
      <c r="B618" s="1476"/>
      <c r="C618" s="1485"/>
      <c r="D618" s="1485"/>
      <c r="E618" s="1473"/>
      <c r="F618" s="1491"/>
      <c r="G618" s="1490"/>
      <c r="H618" s="1490"/>
      <c r="I618" s="1490"/>
      <c r="J618" s="1490"/>
      <c r="K618" s="1490"/>
      <c r="L618" s="344" t="s">
        <v>777</v>
      </c>
      <c r="M618" s="344" t="s">
        <v>776</v>
      </c>
      <c r="N618" s="559">
        <v>72.599999999999994</v>
      </c>
      <c r="O618" s="560">
        <v>86.4</v>
      </c>
      <c r="P618" s="560">
        <v>86.4</v>
      </c>
      <c r="Q618" s="560">
        <v>86.4</v>
      </c>
      <c r="R618" s="560">
        <v>86.4</v>
      </c>
      <c r="S618" s="188"/>
    </row>
    <row r="619" spans="1:19" s="181" customFormat="1" ht="45" customHeight="1" x14ac:dyDescent="0.25">
      <c r="A619" s="1242"/>
      <c r="B619" s="1476"/>
      <c r="C619" s="1472"/>
      <c r="D619" s="1472" t="s">
        <v>13</v>
      </c>
      <c r="E619" s="1472"/>
      <c r="F619" s="1456" t="s">
        <v>778</v>
      </c>
      <c r="G619" s="1489">
        <v>15174.7</v>
      </c>
      <c r="H619" s="1489">
        <v>17435.3</v>
      </c>
      <c r="I619" s="1489">
        <v>22326.799999999999</v>
      </c>
      <c r="J619" s="1489">
        <v>22326.799999999999</v>
      </c>
      <c r="K619" s="1489">
        <v>58578.8</v>
      </c>
      <c r="L619" s="344" t="s">
        <v>779</v>
      </c>
      <c r="M619" s="344" t="s">
        <v>297</v>
      </c>
      <c r="N619" s="344">
        <v>12427</v>
      </c>
      <c r="O619" s="562">
        <v>10000</v>
      </c>
      <c r="P619" s="562">
        <v>10000</v>
      </c>
      <c r="Q619" s="562">
        <v>10000</v>
      </c>
      <c r="R619" s="562">
        <v>10000</v>
      </c>
      <c r="S619" s="188"/>
    </row>
    <row r="620" spans="1:19" s="181" customFormat="1" ht="15" x14ac:dyDescent="0.25">
      <c r="A620" s="1242"/>
      <c r="B620" s="1476"/>
      <c r="C620" s="1485"/>
      <c r="D620" s="1485"/>
      <c r="E620" s="1485"/>
      <c r="F620" s="1491"/>
      <c r="G620" s="1490"/>
      <c r="H620" s="1490"/>
      <c r="I620" s="1490"/>
      <c r="J620" s="1490"/>
      <c r="K620" s="1490"/>
      <c r="L620" s="344" t="s">
        <v>780</v>
      </c>
      <c r="M620" s="344" t="s">
        <v>297</v>
      </c>
      <c r="N620" s="344">
        <v>27279</v>
      </c>
      <c r="O620" s="562">
        <v>25000</v>
      </c>
      <c r="P620" s="562">
        <v>25000</v>
      </c>
      <c r="Q620" s="562">
        <v>25000</v>
      </c>
      <c r="R620" s="562">
        <v>25000</v>
      </c>
      <c r="S620" s="188"/>
    </row>
    <row r="621" spans="1:19" s="181" customFormat="1" ht="15" x14ac:dyDescent="0.25">
      <c r="A621" s="1242"/>
      <c r="B621" s="1476"/>
      <c r="C621" s="1473"/>
      <c r="D621" s="1473"/>
      <c r="E621" s="1473"/>
      <c r="F621" s="1457"/>
      <c r="G621" s="1492"/>
      <c r="H621" s="1492"/>
      <c r="I621" s="1492"/>
      <c r="J621" s="1492"/>
      <c r="K621" s="1492"/>
      <c r="L621" s="344" t="s">
        <v>781</v>
      </c>
      <c r="M621" s="344" t="s">
        <v>297</v>
      </c>
      <c r="N621" s="562">
        <v>8192</v>
      </c>
      <c r="O621" s="562">
        <v>8000</v>
      </c>
      <c r="P621" s="562">
        <v>8000</v>
      </c>
      <c r="Q621" s="562">
        <v>8000</v>
      </c>
      <c r="R621" s="562">
        <v>8000</v>
      </c>
      <c r="S621" s="188"/>
    </row>
    <row r="622" spans="1:19" s="181" customFormat="1" ht="30" x14ac:dyDescent="0.25">
      <c r="A622" s="1242"/>
      <c r="B622" s="1476"/>
      <c r="C622" s="1496"/>
      <c r="D622" s="1496" t="s">
        <v>9</v>
      </c>
      <c r="E622" s="1493"/>
      <c r="F622" s="1499" t="s">
        <v>782</v>
      </c>
      <c r="G622" s="1493" t="s">
        <v>91</v>
      </c>
      <c r="H622" s="1493" t="s">
        <v>92</v>
      </c>
      <c r="I622" s="1493" t="s">
        <v>92</v>
      </c>
      <c r="J622" s="1493" t="s">
        <v>92</v>
      </c>
      <c r="K622" s="1493" t="s">
        <v>92</v>
      </c>
      <c r="L622" s="344" t="s">
        <v>783</v>
      </c>
      <c r="M622" s="344" t="s">
        <v>776</v>
      </c>
      <c r="N622" s="344">
        <v>138.30000000000001</v>
      </c>
      <c r="O622" s="344">
        <v>73.5</v>
      </c>
      <c r="P622" s="344">
        <v>140</v>
      </c>
      <c r="Q622" s="344">
        <v>142</v>
      </c>
      <c r="R622" s="344">
        <v>145</v>
      </c>
      <c r="S622" s="188"/>
    </row>
    <row r="623" spans="1:19" s="181" customFormat="1" ht="15" x14ac:dyDescent="0.25">
      <c r="A623" s="1242"/>
      <c r="B623" s="1476"/>
      <c r="C623" s="1496"/>
      <c r="D623" s="1496"/>
      <c r="E623" s="1497"/>
      <c r="F623" s="1499"/>
      <c r="G623" s="1497"/>
      <c r="H623" s="1494"/>
      <c r="I623" s="1494"/>
      <c r="J623" s="1494"/>
      <c r="K623" s="1494"/>
      <c r="L623" s="344" t="s">
        <v>784</v>
      </c>
      <c r="M623" s="559"/>
      <c r="N623" s="559"/>
      <c r="O623" s="559"/>
      <c r="P623" s="344"/>
      <c r="Q623" s="344"/>
      <c r="R623" s="344"/>
      <c r="S623" s="188"/>
    </row>
    <row r="624" spans="1:19" s="181" customFormat="1" ht="15" x14ac:dyDescent="0.25">
      <c r="A624" s="1242"/>
      <c r="B624" s="1476"/>
      <c r="C624" s="1496"/>
      <c r="D624" s="1496"/>
      <c r="E624" s="1497"/>
      <c r="F624" s="1499"/>
      <c r="G624" s="1497"/>
      <c r="H624" s="1494"/>
      <c r="I624" s="1494"/>
      <c r="J624" s="1494"/>
      <c r="K624" s="1494"/>
      <c r="L624" s="344" t="s">
        <v>93</v>
      </c>
      <c r="M624" s="344" t="s">
        <v>785</v>
      </c>
      <c r="N624" s="562">
        <v>42.5</v>
      </c>
      <c r="O624" s="344">
        <v>41.2</v>
      </c>
      <c r="P624" s="559">
        <v>44</v>
      </c>
      <c r="Q624" s="344">
        <v>45</v>
      </c>
      <c r="R624" s="559">
        <v>45</v>
      </c>
      <c r="S624" s="188"/>
    </row>
    <row r="625" spans="1:19" s="181" customFormat="1" ht="15" x14ac:dyDescent="0.25">
      <c r="A625" s="1242"/>
      <c r="B625" s="1476"/>
      <c r="C625" s="1496"/>
      <c r="D625" s="1496"/>
      <c r="E625" s="1497"/>
      <c r="F625" s="1499"/>
      <c r="G625" s="1497"/>
      <c r="H625" s="1494"/>
      <c r="I625" s="1494"/>
      <c r="J625" s="1494"/>
      <c r="K625" s="1494"/>
      <c r="L625" s="344" t="s">
        <v>94</v>
      </c>
      <c r="M625" s="344" t="s">
        <v>84</v>
      </c>
      <c r="N625" s="562">
        <v>10347</v>
      </c>
      <c r="O625" s="563">
        <v>20400</v>
      </c>
      <c r="P625" s="564">
        <v>9200</v>
      </c>
      <c r="Q625" s="564">
        <v>9200</v>
      </c>
      <c r="R625" s="564">
        <v>9200</v>
      </c>
      <c r="S625" s="188"/>
    </row>
    <row r="626" spans="1:19" s="181" customFormat="1" ht="15" x14ac:dyDescent="0.25">
      <c r="A626" s="1242"/>
      <c r="B626" s="1476"/>
      <c r="C626" s="1496"/>
      <c r="D626" s="1496"/>
      <c r="E626" s="1497"/>
      <c r="F626" s="1499"/>
      <c r="G626" s="1497"/>
      <c r="H626" s="1494"/>
      <c r="I626" s="1494"/>
      <c r="J626" s="1494"/>
      <c r="K626" s="1494"/>
      <c r="L626" s="344" t="s">
        <v>95</v>
      </c>
      <c r="M626" s="344" t="s">
        <v>786</v>
      </c>
      <c r="N626" s="562">
        <v>204.1</v>
      </c>
      <c r="O626" s="564">
        <v>176.5</v>
      </c>
      <c r="P626" s="564">
        <v>202</v>
      </c>
      <c r="Q626" s="564">
        <v>202</v>
      </c>
      <c r="R626" s="564">
        <v>202</v>
      </c>
      <c r="S626" s="188"/>
    </row>
    <row r="627" spans="1:19" s="181" customFormat="1" ht="15" x14ac:dyDescent="0.25">
      <c r="A627" s="1242"/>
      <c r="B627" s="1476"/>
      <c r="C627" s="1496"/>
      <c r="D627" s="1496"/>
      <c r="E627" s="1498"/>
      <c r="F627" s="1499"/>
      <c r="G627" s="1498"/>
      <c r="H627" s="1495"/>
      <c r="I627" s="1495"/>
      <c r="J627" s="1495"/>
      <c r="K627" s="1495"/>
      <c r="L627" s="344" t="s">
        <v>96</v>
      </c>
      <c r="M627" s="344" t="s">
        <v>85</v>
      </c>
      <c r="N627" s="562">
        <v>48.3</v>
      </c>
      <c r="O627" s="564">
        <v>28</v>
      </c>
      <c r="P627" s="564">
        <v>49</v>
      </c>
      <c r="Q627" s="564">
        <v>49</v>
      </c>
      <c r="R627" s="564">
        <v>49</v>
      </c>
      <c r="S627" s="188"/>
    </row>
    <row r="628" spans="1:19" s="181" customFormat="1" ht="15" x14ac:dyDescent="0.25">
      <c r="A628" s="1242"/>
      <c r="B628" s="1476"/>
      <c r="C628" s="1472"/>
      <c r="D628" s="1472" t="s">
        <v>23</v>
      </c>
      <c r="E628" s="1472"/>
      <c r="F628" s="1456" t="s">
        <v>787</v>
      </c>
      <c r="G628" s="1486">
        <f>26164.6+38.5</f>
        <v>26203.1</v>
      </c>
      <c r="H628" s="1489">
        <v>22272</v>
      </c>
      <c r="I628" s="1489">
        <v>22442.400000000001</v>
      </c>
      <c r="J628" s="1489">
        <f>22442.4+48385.3</f>
        <v>70827.700000000012</v>
      </c>
      <c r="K628" s="1489">
        <f>22442.4+50000</f>
        <v>72442.399999999994</v>
      </c>
      <c r="L628" s="1027" t="s">
        <v>1616</v>
      </c>
      <c r="M628" s="1126" t="s">
        <v>1617</v>
      </c>
      <c r="N628" s="32">
        <v>1214.9000000000001</v>
      </c>
      <c r="O628" s="32">
        <v>1214.9000000000001</v>
      </c>
      <c r="P628" s="32">
        <v>1214.9000000000001</v>
      </c>
      <c r="Q628" s="32">
        <v>1214.9000000000001</v>
      </c>
      <c r="R628" s="94">
        <v>1214.9000000000001</v>
      </c>
      <c r="S628" s="188"/>
    </row>
    <row r="629" spans="1:19" s="181" customFormat="1" ht="15" x14ac:dyDescent="0.25">
      <c r="A629" s="1242"/>
      <c r="B629" s="1476"/>
      <c r="C629" s="1485"/>
      <c r="D629" s="1485"/>
      <c r="E629" s="1485"/>
      <c r="F629" s="1491"/>
      <c r="G629" s="1487"/>
      <c r="H629" s="1490"/>
      <c r="I629" s="1490"/>
      <c r="J629" s="1490"/>
      <c r="K629" s="1490"/>
      <c r="L629" s="1117" t="s">
        <v>1618</v>
      </c>
      <c r="M629" s="1126" t="s">
        <v>1617</v>
      </c>
      <c r="N629" s="1126">
        <v>10</v>
      </c>
      <c r="O629" s="1131">
        <v>10.5</v>
      </c>
      <c r="P629" s="1131">
        <v>11</v>
      </c>
      <c r="Q629" s="1131">
        <v>11.5</v>
      </c>
      <c r="R629" s="1133">
        <v>12.5</v>
      </c>
      <c r="S629" s="188"/>
    </row>
    <row r="630" spans="1:19" s="181" customFormat="1" ht="30" x14ac:dyDescent="0.25">
      <c r="A630" s="1242"/>
      <c r="B630" s="1476"/>
      <c r="C630" s="1485"/>
      <c r="D630" s="1485"/>
      <c r="E630" s="1485"/>
      <c r="F630" s="1491"/>
      <c r="G630" s="1487"/>
      <c r="H630" s="1490"/>
      <c r="I630" s="1490"/>
      <c r="J630" s="1490"/>
      <c r="K630" s="1490"/>
      <c r="L630" s="1117" t="s">
        <v>1619</v>
      </c>
      <c r="M630" s="1126" t="s">
        <v>1617</v>
      </c>
      <c r="N630" s="9">
        <v>1.7</v>
      </c>
      <c r="O630" s="1131">
        <v>2</v>
      </c>
      <c r="P630" s="1131">
        <v>2</v>
      </c>
      <c r="Q630" s="1131">
        <v>2.5</v>
      </c>
      <c r="R630" s="1133">
        <v>3</v>
      </c>
      <c r="S630" s="188"/>
    </row>
    <row r="631" spans="1:19" s="181" customFormat="1" ht="15" x14ac:dyDescent="0.25">
      <c r="A631" s="1242"/>
      <c r="B631" s="1476"/>
      <c r="C631" s="1485"/>
      <c r="D631" s="1485"/>
      <c r="E631" s="1485"/>
      <c r="F631" s="1491"/>
      <c r="G631" s="1487"/>
      <c r="H631" s="1490"/>
      <c r="I631" s="1490"/>
      <c r="J631" s="1490"/>
      <c r="K631" s="1490"/>
      <c r="L631" s="1117" t="s">
        <v>1620</v>
      </c>
      <c r="M631" s="1126" t="s">
        <v>1621</v>
      </c>
      <c r="N631" s="9">
        <v>50</v>
      </c>
      <c r="O631" s="1131">
        <v>51</v>
      </c>
      <c r="P631" s="1131">
        <v>53</v>
      </c>
      <c r="Q631" s="1131">
        <v>60</v>
      </c>
      <c r="R631" s="1133">
        <v>69</v>
      </c>
      <c r="S631" s="188"/>
    </row>
    <row r="632" spans="1:19" s="181" customFormat="1" ht="15" customHeight="1" x14ac:dyDescent="0.25">
      <c r="A632" s="1242"/>
      <c r="B632" s="1476"/>
      <c r="C632" s="1485"/>
      <c r="D632" s="1485"/>
      <c r="E632" s="1473"/>
      <c r="F632" s="1491"/>
      <c r="G632" s="1487"/>
      <c r="H632" s="1490"/>
      <c r="I632" s="1490"/>
      <c r="J632" s="1490"/>
      <c r="K632" s="1490"/>
      <c r="L632" s="1027" t="s">
        <v>1622</v>
      </c>
      <c r="M632" s="1126" t="s">
        <v>1621</v>
      </c>
      <c r="N632" s="9">
        <v>80.5</v>
      </c>
      <c r="O632" s="1126">
        <v>80.099999999999994</v>
      </c>
      <c r="P632" s="1126">
        <v>81</v>
      </c>
      <c r="Q632" s="1126">
        <v>85</v>
      </c>
      <c r="R632" s="100">
        <v>87</v>
      </c>
      <c r="S632" s="462"/>
    </row>
    <row r="633" spans="1:19" s="181" customFormat="1" ht="74.25" customHeight="1" x14ac:dyDescent="0.25">
      <c r="A633" s="1243">
        <v>43</v>
      </c>
      <c r="B633" s="1476"/>
      <c r="C633" s="1472"/>
      <c r="D633" s="1472" t="s">
        <v>24</v>
      </c>
      <c r="E633" s="1472"/>
      <c r="F633" s="1456" t="s">
        <v>788</v>
      </c>
      <c r="G633" s="1486">
        <v>4855.3</v>
      </c>
      <c r="H633" s="1489">
        <v>4128.8999999999996</v>
      </c>
      <c r="I633" s="1489">
        <v>4921.2</v>
      </c>
      <c r="J633" s="1489">
        <v>4921.2</v>
      </c>
      <c r="K633" s="1489">
        <v>4921.2</v>
      </c>
      <c r="L633" s="344" t="s">
        <v>789</v>
      </c>
      <c r="M633" s="344" t="s">
        <v>776</v>
      </c>
      <c r="N633" s="559">
        <v>3.3</v>
      </c>
      <c r="O633" s="559">
        <v>3.4</v>
      </c>
      <c r="P633" s="559">
        <v>3.5</v>
      </c>
      <c r="Q633" s="559">
        <v>3.6</v>
      </c>
      <c r="R633" s="559">
        <v>3.7</v>
      </c>
    </row>
    <row r="634" spans="1:19" s="181" customFormat="1" ht="30" x14ac:dyDescent="0.25">
      <c r="A634" s="565"/>
      <c r="B634" s="1476"/>
      <c r="C634" s="1473"/>
      <c r="D634" s="1473"/>
      <c r="E634" s="1473"/>
      <c r="F634" s="1457"/>
      <c r="G634" s="1488"/>
      <c r="H634" s="1492"/>
      <c r="I634" s="1492"/>
      <c r="J634" s="1492"/>
      <c r="K634" s="1492"/>
      <c r="L634" s="566" t="s">
        <v>790</v>
      </c>
      <c r="M634" s="566" t="s">
        <v>84</v>
      </c>
      <c r="N634" s="567">
        <v>330</v>
      </c>
      <c r="O634" s="567">
        <v>350</v>
      </c>
      <c r="P634" s="567">
        <v>370</v>
      </c>
      <c r="Q634" s="567">
        <v>390</v>
      </c>
      <c r="R634" s="567">
        <v>410</v>
      </c>
    </row>
    <row r="635" spans="1:19" s="181" customFormat="1" ht="30" x14ac:dyDescent="0.25">
      <c r="A635" s="565"/>
      <c r="B635" s="1476"/>
      <c r="C635" s="1472"/>
      <c r="D635" s="1472" t="s">
        <v>25</v>
      </c>
      <c r="E635" s="1472"/>
      <c r="F635" s="1456" t="s">
        <v>791</v>
      </c>
      <c r="G635" s="1486">
        <v>7475.6</v>
      </c>
      <c r="H635" s="1489">
        <v>6394.3</v>
      </c>
      <c r="I635" s="1489">
        <v>6431.6</v>
      </c>
      <c r="J635" s="1489">
        <v>6431.6</v>
      </c>
      <c r="K635" s="1489">
        <v>6431.6</v>
      </c>
      <c r="L635" s="344" t="s">
        <v>1635</v>
      </c>
      <c r="M635" s="344" t="s">
        <v>97</v>
      </c>
      <c r="N635" s="344">
        <v>1411</v>
      </c>
      <c r="O635" s="568">
        <v>1314</v>
      </c>
      <c r="P635" s="568">
        <v>1390</v>
      </c>
      <c r="Q635" s="568">
        <v>1400</v>
      </c>
      <c r="R635" s="568">
        <v>1420</v>
      </c>
    </row>
    <row r="636" spans="1:19" s="181" customFormat="1" ht="63.75" customHeight="1" x14ac:dyDescent="0.25">
      <c r="A636" s="565"/>
      <c r="B636" s="1476"/>
      <c r="C636" s="1485"/>
      <c r="D636" s="1485"/>
      <c r="E636" s="1485"/>
      <c r="F636" s="1491"/>
      <c r="G636" s="1487"/>
      <c r="H636" s="1490"/>
      <c r="I636" s="1490"/>
      <c r="J636" s="1490"/>
      <c r="K636" s="1490"/>
      <c r="L636" s="344" t="s">
        <v>792</v>
      </c>
      <c r="M636" s="569" t="s">
        <v>98</v>
      </c>
      <c r="N636" s="344">
        <v>5750</v>
      </c>
      <c r="O636" s="568">
        <v>4500</v>
      </c>
      <c r="P636" s="568">
        <v>4500</v>
      </c>
      <c r="Q636" s="568">
        <v>4500</v>
      </c>
      <c r="R636" s="568">
        <v>4500</v>
      </c>
    </row>
    <row r="637" spans="1:19" s="181" customFormat="1" ht="15" x14ac:dyDescent="0.25">
      <c r="A637" s="565"/>
      <c r="B637" s="1476"/>
      <c r="C637" s="1485"/>
      <c r="D637" s="1485"/>
      <c r="E637" s="1473"/>
      <c r="F637" s="1491"/>
      <c r="G637" s="1487"/>
      <c r="H637" s="1490"/>
      <c r="I637" s="1490"/>
      <c r="J637" s="1490"/>
      <c r="K637" s="1490"/>
      <c r="L637" s="374" t="s">
        <v>793</v>
      </c>
      <c r="M637" s="374" t="s">
        <v>794</v>
      </c>
      <c r="N637" s="570">
        <v>2222</v>
      </c>
      <c r="O637" s="571">
        <v>2250</v>
      </c>
      <c r="P637" s="572">
        <v>2300</v>
      </c>
      <c r="Q637" s="571">
        <v>2400</v>
      </c>
      <c r="R637" s="571">
        <v>2500</v>
      </c>
    </row>
    <row r="638" spans="1:19" s="181" customFormat="1" ht="45" x14ac:dyDescent="0.25">
      <c r="A638" s="565"/>
      <c r="B638" s="1476"/>
      <c r="C638" s="573"/>
      <c r="D638" s="573" t="s">
        <v>26</v>
      </c>
      <c r="E638" s="573"/>
      <c r="F638" s="344" t="s">
        <v>795</v>
      </c>
      <c r="G638" s="235">
        <v>2499.6999999999998</v>
      </c>
      <c r="H638" s="277">
        <v>3643.5</v>
      </c>
      <c r="I638" s="277">
        <v>3752.8</v>
      </c>
      <c r="J638" s="277">
        <v>3752.8</v>
      </c>
      <c r="K638" s="277">
        <v>3752.8</v>
      </c>
      <c r="L638" s="344" t="s">
        <v>796</v>
      </c>
      <c r="M638" s="344" t="s">
        <v>83</v>
      </c>
      <c r="N638" s="344">
        <v>13</v>
      </c>
      <c r="O638" s="574">
        <v>13</v>
      </c>
      <c r="P638" s="574">
        <v>15</v>
      </c>
      <c r="Q638" s="574">
        <v>15</v>
      </c>
      <c r="R638" s="574">
        <v>15</v>
      </c>
    </row>
    <row r="639" spans="1:19" s="181" customFormat="1" ht="30" x14ac:dyDescent="0.25">
      <c r="A639" s="565"/>
      <c r="B639" s="1476"/>
      <c r="C639" s="1472"/>
      <c r="D639" s="1472" t="s">
        <v>27</v>
      </c>
      <c r="E639" s="1472"/>
      <c r="F639" s="1456" t="s">
        <v>797</v>
      </c>
      <c r="G639" s="1486">
        <v>10522.1</v>
      </c>
      <c r="H639" s="1489">
        <v>12830.6</v>
      </c>
      <c r="I639" s="1489">
        <v>12830.6</v>
      </c>
      <c r="J639" s="1489">
        <v>12830.6</v>
      </c>
      <c r="K639" s="1489">
        <v>12830.6</v>
      </c>
      <c r="L639" s="344" t="s">
        <v>798</v>
      </c>
      <c r="M639" s="344" t="s">
        <v>297</v>
      </c>
      <c r="N639" s="344">
        <v>343</v>
      </c>
      <c r="O639" s="574">
        <v>345</v>
      </c>
      <c r="P639" s="574">
        <v>350</v>
      </c>
      <c r="Q639" s="574">
        <v>350</v>
      </c>
      <c r="R639" s="574">
        <v>350</v>
      </c>
    </row>
    <row r="640" spans="1:19" s="181" customFormat="1" ht="30" x14ac:dyDescent="0.25">
      <c r="A640" s="565"/>
      <c r="B640" s="1476"/>
      <c r="C640" s="1473"/>
      <c r="D640" s="1473"/>
      <c r="E640" s="1473"/>
      <c r="F640" s="1457"/>
      <c r="G640" s="1488"/>
      <c r="H640" s="1492"/>
      <c r="I640" s="1492"/>
      <c r="J640" s="1492"/>
      <c r="K640" s="1492"/>
      <c r="L640" s="344" t="s">
        <v>799</v>
      </c>
      <c r="M640" s="344" t="s">
        <v>297</v>
      </c>
      <c r="N640" s="344">
        <v>17</v>
      </c>
      <c r="O640" s="574">
        <v>17</v>
      </c>
      <c r="P640" s="574">
        <v>18</v>
      </c>
      <c r="Q640" s="574">
        <v>18</v>
      </c>
      <c r="R640" s="574">
        <v>18</v>
      </c>
    </row>
    <row r="641" spans="1:18" s="181" customFormat="1" ht="104.25" x14ac:dyDescent="0.25">
      <c r="A641" s="565"/>
      <c r="B641" s="1476"/>
      <c r="C641" s="548" t="s">
        <v>99</v>
      </c>
      <c r="D641" s="575"/>
      <c r="E641" s="575"/>
      <c r="F641" s="375" t="s">
        <v>800</v>
      </c>
      <c r="G641" s="576">
        <f>G642+G644+G646+G651</f>
        <v>9876.7000000000007</v>
      </c>
      <c r="H641" s="576">
        <f t="shared" ref="H641:K641" si="46">H642+H644+H646+H651</f>
        <v>12276.3</v>
      </c>
      <c r="I641" s="576">
        <f t="shared" si="46"/>
        <v>553883.6</v>
      </c>
      <c r="J641" s="576">
        <f t="shared" si="46"/>
        <v>523883.6</v>
      </c>
      <c r="K641" s="576">
        <f t="shared" si="46"/>
        <v>524998.1</v>
      </c>
      <c r="L641" s="577" t="s">
        <v>1636</v>
      </c>
      <c r="M641" s="577" t="s">
        <v>4</v>
      </c>
      <c r="N641" s="577">
        <v>0</v>
      </c>
      <c r="O641" s="578">
        <v>80</v>
      </c>
      <c r="P641" s="578">
        <v>85</v>
      </c>
      <c r="Q641" s="578">
        <v>87</v>
      </c>
      <c r="R641" s="578">
        <v>87</v>
      </c>
    </row>
    <row r="642" spans="1:18" s="181" customFormat="1" ht="30" x14ac:dyDescent="0.25">
      <c r="A642" s="565"/>
      <c r="B642" s="1476"/>
      <c r="C642" s="1455"/>
      <c r="D642" s="1455" t="s">
        <v>10</v>
      </c>
      <c r="E642" s="1472"/>
      <c r="F642" s="1500" t="s">
        <v>801</v>
      </c>
      <c r="G642" s="1501">
        <v>9876.7000000000007</v>
      </c>
      <c r="H642" s="1501">
        <v>12276.3</v>
      </c>
      <c r="I642" s="1501">
        <v>12276.3</v>
      </c>
      <c r="J642" s="1501">
        <v>12276.3</v>
      </c>
      <c r="K642" s="1501">
        <v>12276.3</v>
      </c>
      <c r="L642" s="344" t="s">
        <v>802</v>
      </c>
      <c r="M642" s="391" t="s">
        <v>395</v>
      </c>
      <c r="N642" s="235">
        <v>0</v>
      </c>
      <c r="O642" s="554">
        <v>350</v>
      </c>
      <c r="P642" s="554">
        <v>350</v>
      </c>
      <c r="Q642" s="554">
        <v>350</v>
      </c>
      <c r="R642" s="554">
        <v>350</v>
      </c>
    </row>
    <row r="643" spans="1:18" s="181" customFormat="1" ht="30" x14ac:dyDescent="0.25">
      <c r="A643" s="565"/>
      <c r="B643" s="1476"/>
      <c r="C643" s="1455"/>
      <c r="D643" s="1455"/>
      <c r="E643" s="1473"/>
      <c r="F643" s="1500"/>
      <c r="G643" s="1501"/>
      <c r="H643" s="1501"/>
      <c r="I643" s="1501"/>
      <c r="J643" s="1501"/>
      <c r="K643" s="1501"/>
      <c r="L643" s="344" t="s">
        <v>803</v>
      </c>
      <c r="M643" s="391" t="s">
        <v>395</v>
      </c>
      <c r="N643" s="235">
        <v>0</v>
      </c>
      <c r="O643" s="554">
        <v>125</v>
      </c>
      <c r="P643" s="554">
        <v>125</v>
      </c>
      <c r="Q643" s="554">
        <v>125</v>
      </c>
      <c r="R643" s="554">
        <v>125</v>
      </c>
    </row>
    <row r="644" spans="1:18" s="181" customFormat="1" ht="45" x14ac:dyDescent="0.25">
      <c r="A644" s="565"/>
      <c r="B644" s="1476"/>
      <c r="C644" s="1485"/>
      <c r="D644" s="1485" t="s">
        <v>13</v>
      </c>
      <c r="E644" s="1472"/>
      <c r="F644" s="1491" t="s">
        <v>804</v>
      </c>
      <c r="G644" s="1490">
        <v>0</v>
      </c>
      <c r="H644" s="1490">
        <v>0</v>
      </c>
      <c r="I644" s="1490">
        <f>38231.2+176525.5</f>
        <v>214756.7</v>
      </c>
      <c r="J644" s="1490">
        <f t="shared" ref="J644:K644" si="47">38231.2+176525.5</f>
        <v>214756.7</v>
      </c>
      <c r="K644" s="1490">
        <f t="shared" si="47"/>
        <v>214756.7</v>
      </c>
      <c r="L644" s="579" t="s">
        <v>805</v>
      </c>
      <c r="M644" s="235" t="s">
        <v>4</v>
      </c>
      <c r="N644" s="235">
        <v>0</v>
      </c>
      <c r="O644" s="344">
        <v>20</v>
      </c>
      <c r="P644" s="562">
        <v>20</v>
      </c>
      <c r="Q644" s="562">
        <v>20</v>
      </c>
      <c r="R644" s="562">
        <v>20</v>
      </c>
    </row>
    <row r="645" spans="1:18" s="181" customFormat="1" ht="45" x14ac:dyDescent="0.25">
      <c r="A645" s="565"/>
      <c r="B645" s="1476"/>
      <c r="C645" s="1473"/>
      <c r="D645" s="1473"/>
      <c r="E645" s="1473"/>
      <c r="F645" s="1457"/>
      <c r="G645" s="1492"/>
      <c r="H645" s="1492"/>
      <c r="I645" s="1492"/>
      <c r="J645" s="1492"/>
      <c r="K645" s="1492"/>
      <c r="L645" s="391" t="s">
        <v>1637</v>
      </c>
      <c r="M645" s="235" t="s">
        <v>395</v>
      </c>
      <c r="N645" s="235">
        <v>0</v>
      </c>
      <c r="O645" s="344">
        <v>240</v>
      </c>
      <c r="P645" s="562">
        <v>260</v>
      </c>
      <c r="Q645" s="562">
        <v>270</v>
      </c>
      <c r="R645" s="562">
        <v>280</v>
      </c>
    </row>
    <row r="646" spans="1:18" s="181" customFormat="1" ht="40.5" customHeight="1" x14ac:dyDescent="0.25">
      <c r="A646" s="565"/>
      <c r="B646" s="1476"/>
      <c r="C646" s="1472"/>
      <c r="D646" s="551" t="s">
        <v>9</v>
      </c>
      <c r="E646" s="1472"/>
      <c r="F646" s="1456" t="s">
        <v>806</v>
      </c>
      <c r="G646" s="1489">
        <v>0</v>
      </c>
      <c r="H646" s="1489">
        <v>0</v>
      </c>
      <c r="I646" s="1489">
        <f>291850.6+5000</f>
        <v>296850.59999999998</v>
      </c>
      <c r="J646" s="1489">
        <f t="shared" ref="J646" si="48">291850.6+5000</f>
        <v>296850.59999999998</v>
      </c>
      <c r="K646" s="1489">
        <f>291850.6+6114.5</f>
        <v>297965.09999999998</v>
      </c>
      <c r="L646" s="374" t="s">
        <v>807</v>
      </c>
      <c r="M646" s="580" t="s">
        <v>395</v>
      </c>
      <c r="N646" s="580">
        <v>0</v>
      </c>
      <c r="O646" s="566">
        <v>150</v>
      </c>
      <c r="P646" s="562">
        <v>150</v>
      </c>
      <c r="Q646" s="562">
        <v>120</v>
      </c>
      <c r="R646" s="562">
        <v>120</v>
      </c>
    </row>
    <row r="647" spans="1:18" s="181" customFormat="1" ht="57" customHeight="1" x14ac:dyDescent="0.25">
      <c r="A647" s="565"/>
      <c r="B647" s="1476"/>
      <c r="C647" s="1485"/>
      <c r="D647" s="1472" t="s">
        <v>23</v>
      </c>
      <c r="E647" s="1485"/>
      <c r="F647" s="1491"/>
      <c r="G647" s="1490"/>
      <c r="H647" s="1487"/>
      <c r="I647" s="1487"/>
      <c r="J647" s="1487"/>
      <c r="K647" s="1487"/>
      <c r="L647" s="581" t="s">
        <v>808</v>
      </c>
      <c r="M647" s="235" t="s">
        <v>809</v>
      </c>
      <c r="N647" s="344">
        <v>0</v>
      </c>
      <c r="O647" s="344">
        <v>22.5</v>
      </c>
      <c r="P647" s="344">
        <v>22.5</v>
      </c>
      <c r="Q647" s="562">
        <v>22.9</v>
      </c>
      <c r="R647" s="562">
        <v>23.1</v>
      </c>
    </row>
    <row r="648" spans="1:18" s="181" customFormat="1" ht="30" x14ac:dyDescent="0.25">
      <c r="A648" s="565"/>
      <c r="B648" s="1476"/>
      <c r="C648" s="1485"/>
      <c r="D648" s="1485"/>
      <c r="E648" s="1485"/>
      <c r="F648" s="1491"/>
      <c r="G648" s="1490"/>
      <c r="H648" s="1487"/>
      <c r="I648" s="1487"/>
      <c r="J648" s="1487"/>
      <c r="K648" s="1487"/>
      <c r="L648" s="581" t="s">
        <v>810</v>
      </c>
      <c r="M648" s="235" t="s">
        <v>811</v>
      </c>
      <c r="N648" s="344">
        <v>0</v>
      </c>
      <c r="O648" s="344">
        <v>3700</v>
      </c>
      <c r="P648" s="344">
        <v>3800</v>
      </c>
      <c r="Q648" s="562">
        <v>3900</v>
      </c>
      <c r="R648" s="562">
        <v>3900</v>
      </c>
    </row>
    <row r="649" spans="1:18" s="181" customFormat="1" ht="45" x14ac:dyDescent="0.25">
      <c r="A649" s="565"/>
      <c r="B649" s="1476"/>
      <c r="C649" s="1485"/>
      <c r="D649" s="582"/>
      <c r="E649" s="1485"/>
      <c r="F649" s="1491"/>
      <c r="G649" s="1490"/>
      <c r="H649" s="1487"/>
      <c r="I649" s="1487"/>
      <c r="J649" s="1487"/>
      <c r="K649" s="1487"/>
      <c r="L649" s="581" t="s">
        <v>812</v>
      </c>
      <c r="M649" s="235" t="s">
        <v>395</v>
      </c>
      <c r="N649" s="344">
        <v>0</v>
      </c>
      <c r="O649" s="344">
        <v>19.600000000000001</v>
      </c>
      <c r="P649" s="344">
        <v>19.600000000000001</v>
      </c>
      <c r="Q649" s="562">
        <v>19.600000000000001</v>
      </c>
      <c r="R649" s="562">
        <v>19.600000000000001</v>
      </c>
    </row>
    <row r="650" spans="1:18" s="181" customFormat="1" ht="30" x14ac:dyDescent="0.25">
      <c r="A650" s="565"/>
      <c r="B650" s="1476"/>
      <c r="C650" s="1473"/>
      <c r="D650" s="582"/>
      <c r="E650" s="1473"/>
      <c r="F650" s="1457"/>
      <c r="G650" s="1492"/>
      <c r="H650" s="1488"/>
      <c r="I650" s="1488"/>
      <c r="J650" s="1488"/>
      <c r="K650" s="1488"/>
      <c r="L650" s="581" t="s">
        <v>813</v>
      </c>
      <c r="M650" s="235" t="s">
        <v>814</v>
      </c>
      <c r="N650" s="344">
        <v>0</v>
      </c>
      <c r="O650" s="344">
        <v>177950</v>
      </c>
      <c r="P650" s="344">
        <v>177950</v>
      </c>
      <c r="Q650" s="562">
        <v>178000</v>
      </c>
      <c r="R650" s="562">
        <v>178000</v>
      </c>
    </row>
    <row r="651" spans="1:18" s="181" customFormat="1" ht="30" x14ac:dyDescent="0.25">
      <c r="A651" s="565"/>
      <c r="B651" s="1476"/>
      <c r="C651" s="551"/>
      <c r="D651" s="551" t="s">
        <v>24</v>
      </c>
      <c r="E651" s="551"/>
      <c r="F651" s="374" t="s">
        <v>815</v>
      </c>
      <c r="G651" s="557">
        <v>0</v>
      </c>
      <c r="H651" s="557">
        <v>0</v>
      </c>
      <c r="I651" s="557">
        <v>30000</v>
      </c>
      <c r="J651" s="557">
        <v>0</v>
      </c>
      <c r="K651" s="557">
        <v>0</v>
      </c>
      <c r="L651" s="581" t="s">
        <v>816</v>
      </c>
      <c r="M651" s="235" t="s">
        <v>809</v>
      </c>
      <c r="N651" s="344">
        <v>0</v>
      </c>
      <c r="O651" s="344">
        <v>1098.0999999999999</v>
      </c>
      <c r="P651" s="344">
        <v>732</v>
      </c>
      <c r="Q651" s="562">
        <v>6266.7</v>
      </c>
      <c r="R651" s="583">
        <v>0.9</v>
      </c>
    </row>
    <row r="652" spans="1:18" s="181" customFormat="1" ht="60.75" customHeight="1" x14ac:dyDescent="0.25">
      <c r="A652" s="565"/>
      <c r="B652" s="1476"/>
      <c r="C652" s="1465" t="s">
        <v>100</v>
      </c>
      <c r="D652" s="1465"/>
      <c r="E652" s="1465"/>
      <c r="F652" s="1512" t="s">
        <v>817</v>
      </c>
      <c r="G652" s="1470">
        <f>G655+G667+G670+G671+G675+G677+G683</f>
        <v>0</v>
      </c>
      <c r="H652" s="1470">
        <f>H655+H667+H670+H671+H675+H677+H683</f>
        <v>0</v>
      </c>
      <c r="I652" s="1470">
        <f>I655+I667+I670+I671+I675+I677+I683+I661</f>
        <v>3610064.3000000003</v>
      </c>
      <c r="J652" s="1470">
        <f t="shared" ref="J652:K652" si="49">J655+J667+J670+J671+J675+J677+J683+J661</f>
        <v>3824352.6</v>
      </c>
      <c r="K652" s="1470">
        <f t="shared" si="49"/>
        <v>3080189</v>
      </c>
      <c r="L652" s="1025" t="s">
        <v>1623</v>
      </c>
      <c r="M652" s="1043" t="s">
        <v>761</v>
      </c>
      <c r="N652" s="1043">
        <v>0</v>
      </c>
      <c r="O652" s="2">
        <v>1024</v>
      </c>
      <c r="P652" s="2">
        <v>1024</v>
      </c>
      <c r="Q652" s="2">
        <v>1024</v>
      </c>
      <c r="R652" s="84">
        <v>1024</v>
      </c>
    </row>
    <row r="653" spans="1:18" s="181" customFormat="1" ht="60.75" customHeight="1" x14ac:dyDescent="0.25">
      <c r="A653" s="565"/>
      <c r="B653" s="1476"/>
      <c r="C653" s="1466"/>
      <c r="D653" s="1466"/>
      <c r="E653" s="1466"/>
      <c r="F653" s="1513"/>
      <c r="G653" s="1471"/>
      <c r="H653" s="1471"/>
      <c r="I653" s="1471"/>
      <c r="J653" s="1471"/>
      <c r="K653" s="1471"/>
      <c r="L653" s="1025" t="s">
        <v>1624</v>
      </c>
      <c r="M653" s="1140" t="s">
        <v>101</v>
      </c>
      <c r="N653" s="1140">
        <v>0</v>
      </c>
      <c r="O653" s="1140" t="s">
        <v>102</v>
      </c>
      <c r="P653" s="1140"/>
      <c r="Q653" s="1140"/>
      <c r="R653" s="87"/>
    </row>
    <row r="654" spans="1:18" s="181" customFormat="1" ht="60.75" customHeight="1" x14ac:dyDescent="0.25">
      <c r="A654" s="565"/>
      <c r="B654" s="1476"/>
      <c r="C654" s="1466"/>
      <c r="D654" s="1466"/>
      <c r="E654" s="1466"/>
      <c r="F654" s="1513"/>
      <c r="G654" s="1471"/>
      <c r="H654" s="1471"/>
      <c r="I654" s="1471"/>
      <c r="J654" s="1471"/>
      <c r="K654" s="1471"/>
      <c r="L654" s="1025" t="s">
        <v>1625</v>
      </c>
      <c r="M654" s="1140" t="s">
        <v>218</v>
      </c>
      <c r="N654" s="1140">
        <v>0</v>
      </c>
      <c r="O654" s="30">
        <v>4931.8999999999996</v>
      </c>
      <c r="P654" s="30">
        <v>4900</v>
      </c>
      <c r="Q654" s="30">
        <v>4900</v>
      </c>
      <c r="R654" s="88">
        <v>4900</v>
      </c>
    </row>
    <row r="655" spans="1:18" s="181" customFormat="1" ht="15.75" customHeight="1" x14ac:dyDescent="0.25">
      <c r="A655" s="565"/>
      <c r="B655" s="1476"/>
      <c r="C655" s="1472"/>
      <c r="D655" s="1472" t="s">
        <v>10</v>
      </c>
      <c r="E655" s="1472"/>
      <c r="F655" s="1500" t="s">
        <v>819</v>
      </c>
      <c r="G655" s="1501">
        <v>0</v>
      </c>
      <c r="H655" s="1501">
        <v>0</v>
      </c>
      <c r="I655" s="1501">
        <v>23720.5</v>
      </c>
      <c r="J655" s="1501">
        <v>23720.5</v>
      </c>
      <c r="K655" s="1501">
        <v>23720.5</v>
      </c>
      <c r="L655" s="344" t="s">
        <v>820</v>
      </c>
      <c r="M655" s="344" t="s">
        <v>103</v>
      </c>
      <c r="N655" s="344">
        <v>0</v>
      </c>
      <c r="O655" s="344">
        <v>1574</v>
      </c>
      <c r="P655" s="344">
        <v>1574</v>
      </c>
      <c r="Q655" s="344">
        <v>1574</v>
      </c>
      <c r="R655" s="344">
        <v>1574</v>
      </c>
    </row>
    <row r="656" spans="1:18" s="181" customFormat="1" ht="15.75" customHeight="1" x14ac:dyDescent="0.25">
      <c r="A656" s="565"/>
      <c r="B656" s="1476"/>
      <c r="C656" s="1485"/>
      <c r="D656" s="1494"/>
      <c r="E656" s="1485"/>
      <c r="F656" s="1511"/>
      <c r="G656" s="1502"/>
      <c r="H656" s="1502"/>
      <c r="I656" s="1502"/>
      <c r="J656" s="1502"/>
      <c r="K656" s="1502"/>
      <c r="L656" s="344" t="s">
        <v>821</v>
      </c>
      <c r="M656" s="344" t="s">
        <v>104</v>
      </c>
      <c r="N656" s="344">
        <v>0</v>
      </c>
      <c r="O656" s="344">
        <v>420</v>
      </c>
      <c r="P656" s="344">
        <v>423</v>
      </c>
      <c r="Q656" s="344">
        <v>424</v>
      </c>
      <c r="R656" s="344">
        <v>425</v>
      </c>
    </row>
    <row r="657" spans="1:18" s="181" customFormat="1" ht="30" x14ac:dyDescent="0.25">
      <c r="A657" s="565"/>
      <c r="B657" s="1476"/>
      <c r="C657" s="1485"/>
      <c r="D657" s="1494"/>
      <c r="E657" s="1485"/>
      <c r="F657" s="1511"/>
      <c r="G657" s="1502"/>
      <c r="H657" s="1502"/>
      <c r="I657" s="1502"/>
      <c r="J657" s="1502"/>
      <c r="K657" s="1502"/>
      <c r="L657" s="344" t="s">
        <v>822</v>
      </c>
      <c r="M657" s="344" t="s">
        <v>318</v>
      </c>
      <c r="N657" s="344">
        <v>0</v>
      </c>
      <c r="O657" s="344">
        <v>680</v>
      </c>
      <c r="P657" s="344">
        <v>854</v>
      </c>
      <c r="Q657" s="344">
        <v>854</v>
      </c>
      <c r="R657" s="344">
        <v>854</v>
      </c>
    </row>
    <row r="658" spans="1:18" s="181" customFormat="1" ht="30" x14ac:dyDescent="0.25">
      <c r="A658" s="565"/>
      <c r="B658" s="1476"/>
      <c r="C658" s="1485"/>
      <c r="D658" s="1494"/>
      <c r="E658" s="1485"/>
      <c r="F658" s="1511"/>
      <c r="G658" s="1502"/>
      <c r="H658" s="1502"/>
      <c r="I658" s="1502"/>
      <c r="J658" s="1502"/>
      <c r="K658" s="1502"/>
      <c r="L658" s="344" t="s">
        <v>823</v>
      </c>
      <c r="M658" s="344" t="s">
        <v>318</v>
      </c>
      <c r="N658" s="344">
        <v>0</v>
      </c>
      <c r="O658" s="344">
        <v>475</v>
      </c>
      <c r="P658" s="344">
        <v>648</v>
      </c>
      <c r="Q658" s="344">
        <v>648</v>
      </c>
      <c r="R658" s="344">
        <v>650</v>
      </c>
    </row>
    <row r="659" spans="1:18" s="181" customFormat="1" ht="30" x14ac:dyDescent="0.25">
      <c r="A659" s="565"/>
      <c r="B659" s="1476"/>
      <c r="C659" s="1485"/>
      <c r="D659" s="1494"/>
      <c r="E659" s="1485"/>
      <c r="F659" s="1511"/>
      <c r="G659" s="1502"/>
      <c r="H659" s="1502"/>
      <c r="I659" s="1502"/>
      <c r="J659" s="1502"/>
      <c r="K659" s="1502"/>
      <c r="L659" s="344" t="s">
        <v>824</v>
      </c>
      <c r="M659" s="344" t="s">
        <v>318</v>
      </c>
      <c r="N659" s="344">
        <v>0</v>
      </c>
      <c r="O659" s="344">
        <v>82</v>
      </c>
      <c r="P659" s="344">
        <v>83</v>
      </c>
      <c r="Q659" s="344">
        <v>84</v>
      </c>
      <c r="R659" s="344">
        <v>85</v>
      </c>
    </row>
    <row r="660" spans="1:18" s="181" customFormat="1" ht="32.25" customHeight="1" x14ac:dyDescent="0.25">
      <c r="A660" s="565"/>
      <c r="B660" s="1476"/>
      <c r="C660" s="1473"/>
      <c r="D660" s="1494"/>
      <c r="E660" s="1473"/>
      <c r="F660" s="1511"/>
      <c r="G660" s="1502"/>
      <c r="H660" s="1502"/>
      <c r="I660" s="1502"/>
      <c r="J660" s="1502"/>
      <c r="K660" s="1502"/>
      <c r="L660" s="344" t="s">
        <v>825</v>
      </c>
      <c r="M660" s="344" t="s">
        <v>818</v>
      </c>
      <c r="N660" s="344">
        <v>0</v>
      </c>
      <c r="O660" s="344">
        <v>4931.8999999999996</v>
      </c>
      <c r="P660" s="344">
        <v>4900</v>
      </c>
      <c r="Q660" s="344">
        <v>4900</v>
      </c>
      <c r="R660" s="344">
        <v>4900</v>
      </c>
    </row>
    <row r="661" spans="1:18" s="181" customFormat="1" ht="15" x14ac:dyDescent="0.25">
      <c r="A661" s="565"/>
      <c r="B661" s="1476"/>
      <c r="C661" s="582"/>
      <c r="D661" s="1503" t="s">
        <v>13</v>
      </c>
      <c r="E661" s="1503"/>
      <c r="F661" s="1507" t="s">
        <v>819</v>
      </c>
      <c r="G661" s="1509">
        <v>0</v>
      </c>
      <c r="H661" s="1509">
        <v>0</v>
      </c>
      <c r="I661" s="1509">
        <v>1165271.1000000001</v>
      </c>
      <c r="J661" s="1509">
        <v>1165271.1000000001</v>
      </c>
      <c r="K661" s="1509">
        <v>1165271.1000000001</v>
      </c>
      <c r="L661" s="1076" t="s">
        <v>820</v>
      </c>
      <c r="M661" s="584" t="s">
        <v>103</v>
      </c>
      <c r="N661" s="584">
        <v>0</v>
      </c>
      <c r="O661" s="584">
        <v>1574</v>
      </c>
      <c r="P661" s="584">
        <v>1574</v>
      </c>
      <c r="Q661" s="584">
        <v>1574</v>
      </c>
      <c r="R661" s="584">
        <v>1574</v>
      </c>
    </row>
    <row r="662" spans="1:18" s="181" customFormat="1" ht="15" x14ac:dyDescent="0.25">
      <c r="A662" s="565"/>
      <c r="B662" s="1476"/>
      <c r="C662" s="582"/>
      <c r="D662" s="1504"/>
      <c r="E662" s="1505"/>
      <c r="F662" s="1508"/>
      <c r="G662" s="1508"/>
      <c r="H662" s="1510"/>
      <c r="I662" s="1508"/>
      <c r="J662" s="1508"/>
      <c r="K662" s="1508"/>
      <c r="L662" s="291" t="s">
        <v>821</v>
      </c>
      <c r="M662" s="585" t="s">
        <v>104</v>
      </c>
      <c r="N662" s="585">
        <v>0</v>
      </c>
      <c r="O662" s="585">
        <v>420</v>
      </c>
      <c r="P662" s="585">
        <v>423</v>
      </c>
      <c r="Q662" s="585">
        <v>424</v>
      </c>
      <c r="R662" s="585">
        <v>425</v>
      </c>
    </row>
    <row r="663" spans="1:18" s="181" customFormat="1" ht="30" x14ac:dyDescent="0.25">
      <c r="A663" s="565"/>
      <c r="B663" s="1476"/>
      <c r="C663" s="582"/>
      <c r="D663" s="1504"/>
      <c r="E663" s="1505"/>
      <c r="F663" s="1508"/>
      <c r="G663" s="1508"/>
      <c r="H663" s="1510"/>
      <c r="I663" s="1508"/>
      <c r="J663" s="1508"/>
      <c r="K663" s="1508"/>
      <c r="L663" s="291" t="s">
        <v>822</v>
      </c>
      <c r="M663" s="585" t="s">
        <v>318</v>
      </c>
      <c r="N663" s="585">
        <v>0</v>
      </c>
      <c r="O663" s="585">
        <v>680</v>
      </c>
      <c r="P663" s="585">
        <v>854</v>
      </c>
      <c r="Q663" s="585">
        <v>854</v>
      </c>
      <c r="R663" s="585">
        <v>854</v>
      </c>
    </row>
    <row r="664" spans="1:18" s="181" customFormat="1" ht="46.5" customHeight="1" x14ac:dyDescent="0.25">
      <c r="A664" s="565"/>
      <c r="B664" s="1476"/>
      <c r="C664" s="582"/>
      <c r="D664" s="1504"/>
      <c r="E664" s="1505"/>
      <c r="F664" s="1508"/>
      <c r="G664" s="1508"/>
      <c r="H664" s="1510"/>
      <c r="I664" s="1508"/>
      <c r="J664" s="1508"/>
      <c r="K664" s="1508"/>
      <c r="L664" s="291" t="s">
        <v>823</v>
      </c>
      <c r="M664" s="585" t="s">
        <v>318</v>
      </c>
      <c r="N664" s="585">
        <v>0</v>
      </c>
      <c r="O664" s="585">
        <v>475</v>
      </c>
      <c r="P664" s="585">
        <v>648</v>
      </c>
      <c r="Q664" s="585">
        <v>648</v>
      </c>
      <c r="R664" s="585">
        <v>650</v>
      </c>
    </row>
    <row r="665" spans="1:18" s="181" customFormat="1" ht="33" customHeight="1" x14ac:dyDescent="0.25">
      <c r="A665" s="565"/>
      <c r="B665" s="1476"/>
      <c r="C665" s="582"/>
      <c r="D665" s="1504"/>
      <c r="E665" s="1505"/>
      <c r="F665" s="1508"/>
      <c r="G665" s="1508"/>
      <c r="H665" s="1510"/>
      <c r="I665" s="1508"/>
      <c r="J665" s="1508"/>
      <c r="K665" s="1508"/>
      <c r="L665" s="291" t="s">
        <v>824</v>
      </c>
      <c r="M665" s="585" t="s">
        <v>318</v>
      </c>
      <c r="N665" s="585">
        <v>0</v>
      </c>
      <c r="O665" s="585">
        <v>82</v>
      </c>
      <c r="P665" s="585">
        <v>83</v>
      </c>
      <c r="Q665" s="585">
        <v>84</v>
      </c>
      <c r="R665" s="585">
        <v>85</v>
      </c>
    </row>
    <row r="666" spans="1:18" s="181" customFormat="1" ht="15" x14ac:dyDescent="0.25">
      <c r="A666" s="565"/>
      <c r="B666" s="1476"/>
      <c r="C666" s="582"/>
      <c r="D666" s="1504"/>
      <c r="E666" s="1506"/>
      <c r="F666" s="1508"/>
      <c r="G666" s="1508"/>
      <c r="H666" s="1510"/>
      <c r="I666" s="1508"/>
      <c r="J666" s="1508"/>
      <c r="K666" s="1508"/>
      <c r="L666" s="291" t="s">
        <v>825</v>
      </c>
      <c r="M666" s="585" t="s">
        <v>818</v>
      </c>
      <c r="N666" s="585">
        <v>0</v>
      </c>
      <c r="O666" s="585">
        <v>4931.8999999999996</v>
      </c>
      <c r="P666" s="585">
        <v>4900</v>
      </c>
      <c r="Q666" s="585">
        <v>4900</v>
      </c>
      <c r="R666" s="585">
        <v>4900</v>
      </c>
    </row>
    <row r="667" spans="1:18" s="181" customFormat="1" ht="30" x14ac:dyDescent="0.25">
      <c r="A667" s="565"/>
      <c r="B667" s="1476"/>
      <c r="C667" s="1472"/>
      <c r="D667" s="1472" t="s">
        <v>9</v>
      </c>
      <c r="E667" s="1472"/>
      <c r="F667" s="1456" t="s">
        <v>826</v>
      </c>
      <c r="G667" s="1467">
        <v>0</v>
      </c>
      <c r="H667" s="1486">
        <v>0</v>
      </c>
      <c r="I667" s="1489">
        <v>0</v>
      </c>
      <c r="J667" s="1489">
        <v>0</v>
      </c>
      <c r="K667" s="1489">
        <v>0</v>
      </c>
      <c r="L667" s="586" t="s">
        <v>827</v>
      </c>
      <c r="M667" s="587" t="s">
        <v>297</v>
      </c>
      <c r="N667" s="1059">
        <v>0</v>
      </c>
      <c r="O667" s="588">
        <v>460</v>
      </c>
      <c r="P667" s="574">
        <v>460</v>
      </c>
      <c r="Q667" s="574">
        <v>460</v>
      </c>
      <c r="R667" s="574">
        <v>460</v>
      </c>
    </row>
    <row r="668" spans="1:18" s="181" customFormat="1" ht="45" x14ac:dyDescent="0.25">
      <c r="A668" s="565"/>
      <c r="B668" s="1476"/>
      <c r="C668" s="1485"/>
      <c r="D668" s="1485"/>
      <c r="E668" s="1485"/>
      <c r="F668" s="1491"/>
      <c r="G668" s="1468"/>
      <c r="H668" s="1487"/>
      <c r="I668" s="1490"/>
      <c r="J668" s="1490"/>
      <c r="K668" s="1490"/>
      <c r="L668" s="586" t="s">
        <v>828</v>
      </c>
      <c r="M668" s="587" t="s">
        <v>297</v>
      </c>
      <c r="N668" s="1059">
        <v>0</v>
      </c>
      <c r="O668" s="588">
        <v>1665</v>
      </c>
      <c r="P668" s="574">
        <v>1665</v>
      </c>
      <c r="Q668" s="574">
        <v>1665</v>
      </c>
      <c r="R668" s="574">
        <v>1665</v>
      </c>
    </row>
    <row r="669" spans="1:18" s="181" customFormat="1" ht="45" x14ac:dyDescent="0.25">
      <c r="A669" s="565"/>
      <c r="B669" s="1476"/>
      <c r="C669" s="1473"/>
      <c r="D669" s="1473"/>
      <c r="E669" s="1473"/>
      <c r="F669" s="1457"/>
      <c r="G669" s="1514"/>
      <c r="H669" s="1488"/>
      <c r="I669" s="1492"/>
      <c r="J669" s="1492"/>
      <c r="K669" s="1492"/>
      <c r="L669" s="586" t="s">
        <v>1638</v>
      </c>
      <c r="M669" s="587" t="s">
        <v>297</v>
      </c>
      <c r="N669" s="1059">
        <v>0</v>
      </c>
      <c r="O669" s="589">
        <v>78</v>
      </c>
      <c r="P669" s="574">
        <v>78</v>
      </c>
      <c r="Q669" s="590">
        <v>78</v>
      </c>
      <c r="R669" s="590">
        <v>78</v>
      </c>
    </row>
    <row r="670" spans="1:18" s="181" customFormat="1" ht="30" x14ac:dyDescent="0.25">
      <c r="A670" s="565"/>
      <c r="B670" s="1476"/>
      <c r="C670" s="573"/>
      <c r="D670" s="573" t="s">
        <v>23</v>
      </c>
      <c r="E670" s="573"/>
      <c r="F670" s="391" t="s">
        <v>829</v>
      </c>
      <c r="G670" s="553">
        <v>0</v>
      </c>
      <c r="H670" s="235">
        <v>0</v>
      </c>
      <c r="I670" s="277">
        <v>279520.8</v>
      </c>
      <c r="J670" s="277">
        <v>0</v>
      </c>
      <c r="K670" s="277">
        <v>0</v>
      </c>
      <c r="L670" s="591" t="s">
        <v>1626</v>
      </c>
      <c r="M670" s="577" t="s">
        <v>105</v>
      </c>
      <c r="N670" s="592">
        <v>0</v>
      </c>
      <c r="O670" s="592">
        <v>2</v>
      </c>
      <c r="P670" s="592">
        <v>3</v>
      </c>
      <c r="Q670" s="559">
        <v>0</v>
      </c>
      <c r="R670" s="590">
        <v>0</v>
      </c>
    </row>
    <row r="671" spans="1:18" s="181" customFormat="1" ht="30" x14ac:dyDescent="0.25">
      <c r="A671" s="565"/>
      <c r="B671" s="1476"/>
      <c r="C671" s="1485"/>
      <c r="D671" s="1485"/>
      <c r="E671" s="1472"/>
      <c r="F671" s="1456" t="s">
        <v>830</v>
      </c>
      <c r="G671" s="1467">
        <v>0</v>
      </c>
      <c r="H671" s="1486">
        <v>0</v>
      </c>
      <c r="I671" s="1489">
        <v>817876.8</v>
      </c>
      <c r="J671" s="1489">
        <v>0</v>
      </c>
      <c r="K671" s="1489">
        <v>0</v>
      </c>
      <c r="L671" s="18" t="s">
        <v>1627</v>
      </c>
      <c r="M671" s="17" t="s">
        <v>4</v>
      </c>
      <c r="N671" s="31">
        <v>0</v>
      </c>
      <c r="O671" s="17">
        <v>10</v>
      </c>
      <c r="P671" s="17">
        <v>10</v>
      </c>
      <c r="Q671" s="31"/>
      <c r="R671" s="95"/>
    </row>
    <row r="672" spans="1:18" s="181" customFormat="1" ht="15" x14ac:dyDescent="0.25">
      <c r="A672" s="565"/>
      <c r="B672" s="1476"/>
      <c r="C672" s="1485"/>
      <c r="D672" s="1485"/>
      <c r="E672" s="1485"/>
      <c r="F672" s="1491"/>
      <c r="G672" s="1468"/>
      <c r="H672" s="1487"/>
      <c r="I672" s="1490"/>
      <c r="J672" s="1490"/>
      <c r="K672" s="1490"/>
      <c r="L672" s="1456" t="s">
        <v>831</v>
      </c>
      <c r="M672" s="1081" t="s">
        <v>832</v>
      </c>
      <c r="N672" s="592">
        <v>0</v>
      </c>
      <c r="O672" s="593">
        <v>26000</v>
      </c>
      <c r="P672" s="593">
        <v>26000</v>
      </c>
      <c r="Q672" s="594">
        <v>0</v>
      </c>
      <c r="R672" s="1075">
        <v>0</v>
      </c>
    </row>
    <row r="673" spans="1:19" s="181" customFormat="1" ht="15" x14ac:dyDescent="0.25">
      <c r="A673" s="565"/>
      <c r="B673" s="1476"/>
      <c r="C673" s="1485"/>
      <c r="D673" s="1485"/>
      <c r="E673" s="1485"/>
      <c r="F673" s="1491"/>
      <c r="G673" s="1468"/>
      <c r="H673" s="1487"/>
      <c r="I673" s="1490"/>
      <c r="J673" s="1490"/>
      <c r="K673" s="1490"/>
      <c r="L673" s="1457"/>
      <c r="M673" s="1081" t="s">
        <v>833</v>
      </c>
      <c r="N673" s="594">
        <v>0</v>
      </c>
      <c r="O673" s="593">
        <v>2600</v>
      </c>
      <c r="P673" s="593">
        <v>2600</v>
      </c>
      <c r="Q673" s="594">
        <v>0</v>
      </c>
      <c r="R673" s="1075">
        <v>0</v>
      </c>
    </row>
    <row r="674" spans="1:19" s="181" customFormat="1" ht="30" x14ac:dyDescent="0.25">
      <c r="A674" s="565"/>
      <c r="B674" s="1476"/>
      <c r="C674" s="1473"/>
      <c r="D674" s="1473"/>
      <c r="E674" s="1473"/>
      <c r="F674" s="1457"/>
      <c r="G674" s="1514"/>
      <c r="H674" s="1488"/>
      <c r="I674" s="1492"/>
      <c r="J674" s="1492"/>
      <c r="K674" s="1492"/>
      <c r="L674" s="1072" t="s">
        <v>834</v>
      </c>
      <c r="M674" s="1081" t="s">
        <v>4</v>
      </c>
      <c r="N674" s="594">
        <v>0</v>
      </c>
      <c r="O674" s="1081">
        <v>75</v>
      </c>
      <c r="P674" s="1081">
        <v>75</v>
      </c>
      <c r="Q674" s="592">
        <v>0</v>
      </c>
      <c r="R674" s="1075">
        <v>0</v>
      </c>
    </row>
    <row r="675" spans="1:19" s="181" customFormat="1" ht="15.75" customHeight="1" x14ac:dyDescent="0.25">
      <c r="A675" s="565"/>
      <c r="B675" s="1476"/>
      <c r="C675" s="1472"/>
      <c r="D675" s="1472" t="s">
        <v>25</v>
      </c>
      <c r="E675" s="1472"/>
      <c r="F675" s="1456" t="s">
        <v>835</v>
      </c>
      <c r="G675" s="1467">
        <v>0</v>
      </c>
      <c r="H675" s="1486">
        <v>0</v>
      </c>
      <c r="I675" s="1489">
        <v>511836</v>
      </c>
      <c r="J675" s="1489">
        <v>0</v>
      </c>
      <c r="K675" s="1489">
        <v>0</v>
      </c>
      <c r="L675" s="344" t="s">
        <v>836</v>
      </c>
      <c r="M675" s="344" t="s">
        <v>104</v>
      </c>
      <c r="N675" s="562">
        <v>0</v>
      </c>
      <c r="O675" s="562">
        <v>0</v>
      </c>
      <c r="P675" s="562">
        <v>9.1</v>
      </c>
      <c r="Q675" s="590">
        <v>0</v>
      </c>
      <c r="R675" s="590">
        <v>0</v>
      </c>
    </row>
    <row r="676" spans="1:19" s="181" customFormat="1" ht="15.75" customHeight="1" x14ac:dyDescent="0.25">
      <c r="A676" s="565"/>
      <c r="B676" s="1476"/>
      <c r="C676" s="1473"/>
      <c r="D676" s="1473"/>
      <c r="E676" s="1473"/>
      <c r="F676" s="1457"/>
      <c r="G676" s="1514"/>
      <c r="H676" s="1488"/>
      <c r="I676" s="1492"/>
      <c r="J676" s="1492"/>
      <c r="K676" s="1492"/>
      <c r="L676" s="344" t="s">
        <v>837</v>
      </c>
      <c r="M676" s="344" t="s">
        <v>104</v>
      </c>
      <c r="N676" s="562">
        <v>0</v>
      </c>
      <c r="O676" s="562">
        <v>0</v>
      </c>
      <c r="P676" s="560">
        <v>5</v>
      </c>
      <c r="Q676" s="590">
        <v>0</v>
      </c>
      <c r="R676" s="590">
        <v>0</v>
      </c>
    </row>
    <row r="677" spans="1:19" s="181" customFormat="1" ht="45" x14ac:dyDescent="0.25">
      <c r="A677" s="565"/>
      <c r="B677" s="1476"/>
      <c r="C677" s="1472"/>
      <c r="D677" s="1472" t="s">
        <v>26</v>
      </c>
      <c r="E677" s="1472"/>
      <c r="F677" s="1456" t="s">
        <v>838</v>
      </c>
      <c r="G677" s="1467">
        <v>0</v>
      </c>
      <c r="H677" s="1486">
        <v>0</v>
      </c>
      <c r="I677" s="1489">
        <v>369750.7</v>
      </c>
      <c r="J677" s="1489">
        <v>830366</v>
      </c>
      <c r="K677" s="1489">
        <v>237285.4</v>
      </c>
      <c r="L677" s="1117" t="s">
        <v>1628</v>
      </c>
      <c r="M677" s="1131" t="s">
        <v>297</v>
      </c>
      <c r="N677" s="9">
        <v>0</v>
      </c>
      <c r="O677" s="9">
        <v>0</v>
      </c>
      <c r="P677" s="9">
        <v>1</v>
      </c>
      <c r="Q677" s="9">
        <v>1</v>
      </c>
      <c r="R677" s="82">
        <v>2</v>
      </c>
    </row>
    <row r="678" spans="1:19" s="181" customFormat="1" ht="45" x14ac:dyDescent="0.25">
      <c r="A678" s="565"/>
      <c r="B678" s="1476"/>
      <c r="C678" s="1485"/>
      <c r="D678" s="1485"/>
      <c r="E678" s="1485"/>
      <c r="F678" s="1491"/>
      <c r="G678" s="1468"/>
      <c r="H678" s="1487"/>
      <c r="I678" s="1490"/>
      <c r="J678" s="1490"/>
      <c r="K678" s="1490"/>
      <c r="L678" s="1117" t="s">
        <v>1629</v>
      </c>
      <c r="M678" s="1131" t="s">
        <v>297</v>
      </c>
      <c r="N678" s="9">
        <v>0</v>
      </c>
      <c r="O678" s="9">
        <v>0</v>
      </c>
      <c r="P678" s="9">
        <v>1</v>
      </c>
      <c r="Q678" s="9">
        <v>1</v>
      </c>
      <c r="R678" s="82">
        <v>2</v>
      </c>
    </row>
    <row r="679" spans="1:19" s="181" customFormat="1" ht="60" x14ac:dyDescent="0.25">
      <c r="A679" s="565"/>
      <c r="B679" s="1476"/>
      <c r="C679" s="1485"/>
      <c r="D679" s="1485"/>
      <c r="E679" s="1485"/>
      <c r="F679" s="1491"/>
      <c r="G679" s="1468"/>
      <c r="H679" s="1487"/>
      <c r="I679" s="1490"/>
      <c r="J679" s="1490"/>
      <c r="K679" s="1490"/>
      <c r="L679" s="1117" t="s">
        <v>1630</v>
      </c>
      <c r="M679" s="1131" t="s">
        <v>297</v>
      </c>
      <c r="N679" s="9">
        <v>0</v>
      </c>
      <c r="O679" s="9">
        <v>1</v>
      </c>
      <c r="P679" s="9">
        <v>5</v>
      </c>
      <c r="Q679" s="9">
        <v>5</v>
      </c>
      <c r="R679" s="82">
        <v>4</v>
      </c>
    </row>
    <row r="680" spans="1:19" s="181" customFormat="1" ht="75" x14ac:dyDescent="0.25">
      <c r="A680" s="565"/>
      <c r="B680" s="1476"/>
      <c r="C680" s="1485"/>
      <c r="D680" s="1485"/>
      <c r="E680" s="1485"/>
      <c r="F680" s="1491"/>
      <c r="G680" s="1468"/>
      <c r="H680" s="1487"/>
      <c r="I680" s="1490"/>
      <c r="J680" s="1490"/>
      <c r="K680" s="1490"/>
      <c r="L680" s="1117" t="s">
        <v>1631</v>
      </c>
      <c r="M680" s="1131" t="s">
        <v>3</v>
      </c>
      <c r="N680" s="9">
        <v>0</v>
      </c>
      <c r="O680" s="9">
        <v>0</v>
      </c>
      <c r="P680" s="9">
        <v>0</v>
      </c>
      <c r="Q680" s="9">
        <v>2</v>
      </c>
      <c r="R680" s="82">
        <v>2</v>
      </c>
    </row>
    <row r="681" spans="1:19" s="181" customFormat="1" ht="75" x14ac:dyDescent="0.25">
      <c r="A681" s="565"/>
      <c r="B681" s="1476"/>
      <c r="C681" s="1485"/>
      <c r="D681" s="1485"/>
      <c r="E681" s="1485"/>
      <c r="F681" s="1491"/>
      <c r="G681" s="1468"/>
      <c r="H681" s="1487"/>
      <c r="I681" s="1490"/>
      <c r="J681" s="1490"/>
      <c r="K681" s="1490"/>
      <c r="L681" s="1117" t="s">
        <v>1632</v>
      </c>
      <c r="M681" s="1131" t="s">
        <v>77</v>
      </c>
      <c r="N681" s="9">
        <v>0</v>
      </c>
      <c r="O681" s="9">
        <v>4</v>
      </c>
      <c r="P681" s="9">
        <v>0</v>
      </c>
      <c r="Q681" s="9">
        <v>0</v>
      </c>
      <c r="R681" s="82">
        <v>0</v>
      </c>
    </row>
    <row r="682" spans="1:19" s="181" customFormat="1" ht="30.75" customHeight="1" x14ac:dyDescent="0.25">
      <c r="A682" s="565"/>
      <c r="B682" s="1476"/>
      <c r="C682" s="1485"/>
      <c r="D682" s="1485"/>
      <c r="E682" s="1473"/>
      <c r="F682" s="1491"/>
      <c r="G682" s="1468"/>
      <c r="H682" s="1487"/>
      <c r="I682" s="1490"/>
      <c r="J682" s="1490"/>
      <c r="K682" s="1490"/>
      <c r="L682" s="1117" t="s">
        <v>1633</v>
      </c>
      <c r="M682" s="1131" t="s">
        <v>321</v>
      </c>
      <c r="N682" s="9">
        <v>0</v>
      </c>
      <c r="O682" s="9">
        <v>1500</v>
      </c>
      <c r="P682" s="9">
        <v>1500</v>
      </c>
      <c r="Q682" s="9">
        <v>1500</v>
      </c>
      <c r="R682" s="82">
        <v>1500</v>
      </c>
    </row>
    <row r="683" spans="1:19" s="181" customFormat="1" ht="21.75" customHeight="1" x14ac:dyDescent="0.25">
      <c r="A683" s="565"/>
      <c r="B683" s="1476"/>
      <c r="C683" s="1472"/>
      <c r="D683" s="1472" t="s">
        <v>27</v>
      </c>
      <c r="E683" s="1472"/>
      <c r="F683" s="1456" t="s">
        <v>839</v>
      </c>
      <c r="G683" s="1467">
        <v>0</v>
      </c>
      <c r="H683" s="1486">
        <v>0</v>
      </c>
      <c r="I683" s="1489">
        <v>442088.4</v>
      </c>
      <c r="J683" s="1489">
        <v>1804995</v>
      </c>
      <c r="K683" s="1489">
        <v>1653912</v>
      </c>
      <c r="L683" s="344" t="s">
        <v>840</v>
      </c>
      <c r="M683" s="344" t="s">
        <v>297</v>
      </c>
      <c r="N683" s="595">
        <v>0</v>
      </c>
      <c r="O683" s="596">
        <v>0</v>
      </c>
      <c r="P683" s="597">
        <v>2</v>
      </c>
      <c r="Q683" s="597">
        <v>3</v>
      </c>
      <c r="R683" s="597">
        <v>4</v>
      </c>
    </row>
    <row r="684" spans="1:19" s="181" customFormat="1" ht="15" x14ac:dyDescent="0.25">
      <c r="A684" s="565"/>
      <c r="B684" s="1476"/>
      <c r="C684" s="1485"/>
      <c r="D684" s="1485"/>
      <c r="E684" s="1485"/>
      <c r="F684" s="1491"/>
      <c r="G684" s="1468"/>
      <c r="H684" s="1487"/>
      <c r="I684" s="1490"/>
      <c r="J684" s="1490"/>
      <c r="K684" s="1490"/>
      <c r="L684" s="344" t="s">
        <v>841</v>
      </c>
      <c r="M684" s="344" t="s">
        <v>104</v>
      </c>
      <c r="N684" s="595">
        <v>0</v>
      </c>
      <c r="O684" s="595">
        <v>0</v>
      </c>
      <c r="P684" s="598">
        <v>15</v>
      </c>
      <c r="Q684" s="599">
        <v>23</v>
      </c>
      <c r="R684" s="599">
        <v>36</v>
      </c>
    </row>
    <row r="685" spans="1:19" s="181" customFormat="1" ht="30" x14ac:dyDescent="0.25">
      <c r="A685" s="600"/>
      <c r="B685" s="1476"/>
      <c r="C685" s="1473"/>
      <c r="D685" s="1473"/>
      <c r="E685" s="1473"/>
      <c r="F685" s="1457"/>
      <c r="G685" s="1514"/>
      <c r="H685" s="1488"/>
      <c r="I685" s="1492"/>
      <c r="J685" s="1492"/>
      <c r="K685" s="1492"/>
      <c r="L685" s="344" t="s">
        <v>842</v>
      </c>
      <c r="M685" s="344" t="s">
        <v>297</v>
      </c>
      <c r="N685" s="595">
        <v>0</v>
      </c>
      <c r="O685" s="598">
        <v>9</v>
      </c>
      <c r="P685" s="598">
        <v>10</v>
      </c>
      <c r="Q685" s="598">
        <v>11</v>
      </c>
      <c r="R685" s="598">
        <v>12</v>
      </c>
      <c r="S685" s="601"/>
    </row>
    <row r="686" spans="1:19" s="181" customFormat="1" ht="30" x14ac:dyDescent="0.25">
      <c r="A686" s="1242"/>
      <c r="B686" s="1476"/>
      <c r="C686" s="1517" t="s">
        <v>106</v>
      </c>
      <c r="D686" s="1517"/>
      <c r="E686" s="1517"/>
      <c r="F686" s="1469" t="s">
        <v>843</v>
      </c>
      <c r="G686" s="1515">
        <f>G688+G689+G692+G695+G696</f>
        <v>0</v>
      </c>
      <c r="H686" s="1515">
        <f>H688+H689+H692+H695+H696</f>
        <v>0</v>
      </c>
      <c r="I686" s="1515">
        <f>I688+I689+I692+I695+I696</f>
        <v>833332.3</v>
      </c>
      <c r="J686" s="1515">
        <f>J688+J689+J692+J695+J696</f>
        <v>833332.3</v>
      </c>
      <c r="K686" s="1515">
        <f>K688+K689+K692+K695+K696</f>
        <v>833332.3</v>
      </c>
      <c r="L686" s="344" t="s">
        <v>844</v>
      </c>
      <c r="M686" s="391" t="s">
        <v>761</v>
      </c>
      <c r="N686" s="235"/>
      <c r="O686" s="235"/>
      <c r="P686" s="235"/>
      <c r="Q686" s="235"/>
      <c r="R686" s="235"/>
    </row>
    <row r="687" spans="1:19" s="181" customFormat="1" ht="97.5" customHeight="1" x14ac:dyDescent="0.25">
      <c r="A687" s="1242"/>
      <c r="B687" s="1476"/>
      <c r="C687" s="1517"/>
      <c r="D687" s="1517"/>
      <c r="E687" s="1517"/>
      <c r="F687" s="1469"/>
      <c r="G687" s="1515"/>
      <c r="H687" s="1515"/>
      <c r="I687" s="1515"/>
      <c r="J687" s="1515"/>
      <c r="K687" s="1515"/>
      <c r="L687" s="344" t="s">
        <v>845</v>
      </c>
      <c r="M687" s="391" t="s">
        <v>4</v>
      </c>
      <c r="N687" s="235"/>
      <c r="O687" s="235"/>
      <c r="P687" s="235"/>
      <c r="Q687" s="235"/>
      <c r="R687" s="235"/>
      <c r="S687" s="462"/>
    </row>
    <row r="688" spans="1:19" s="181" customFormat="1" ht="69.75" customHeight="1" x14ac:dyDescent="0.25">
      <c r="A688" s="1242"/>
      <c r="B688" s="1476"/>
      <c r="C688" s="602"/>
      <c r="D688" s="582" t="s">
        <v>10</v>
      </c>
      <c r="E688" s="603"/>
      <c r="F688" s="604" t="s">
        <v>1639</v>
      </c>
      <c r="G688" s="605">
        <v>0</v>
      </c>
      <c r="H688" s="605">
        <v>0</v>
      </c>
      <c r="I688" s="605">
        <v>0</v>
      </c>
      <c r="J688" s="605">
        <v>0</v>
      </c>
      <c r="K688" s="605">
        <v>0</v>
      </c>
      <c r="L688" s="344"/>
      <c r="M688" s="257">
        <v>0</v>
      </c>
      <c r="N688" s="553">
        <v>0</v>
      </c>
      <c r="O688" s="553">
        <v>0</v>
      </c>
      <c r="P688" s="553">
        <v>0</v>
      </c>
      <c r="Q688" s="553">
        <v>0</v>
      </c>
      <c r="R688" s="553">
        <v>0</v>
      </c>
    </row>
    <row r="689" spans="1:18" s="181" customFormat="1" ht="45" x14ac:dyDescent="0.25">
      <c r="A689" s="1242"/>
      <c r="B689" s="1476"/>
      <c r="C689" s="1472"/>
      <c r="D689" s="1472" t="s">
        <v>13</v>
      </c>
      <c r="E689" s="1472"/>
      <c r="F689" s="1456" t="s">
        <v>846</v>
      </c>
      <c r="G689" s="1486">
        <v>0</v>
      </c>
      <c r="H689" s="1486">
        <v>0</v>
      </c>
      <c r="I689" s="1489">
        <f>5420.8+28112.2+758422</f>
        <v>791955</v>
      </c>
      <c r="J689" s="1489">
        <f>5420.8+28112.2+758422</f>
        <v>791955</v>
      </c>
      <c r="K689" s="1489">
        <f>5420.8+28112.2+758422</f>
        <v>791955</v>
      </c>
      <c r="L689" s="606" t="s">
        <v>847</v>
      </c>
      <c r="M689" s="606" t="s">
        <v>107</v>
      </c>
      <c r="N689" s="607">
        <v>0</v>
      </c>
      <c r="O689" s="607">
        <v>71</v>
      </c>
      <c r="P689" s="607">
        <v>71</v>
      </c>
      <c r="Q689" s="607">
        <v>71</v>
      </c>
      <c r="R689" s="607">
        <v>71</v>
      </c>
    </row>
    <row r="690" spans="1:18" s="181" customFormat="1" ht="45" x14ac:dyDescent="0.25">
      <c r="A690" s="1242"/>
      <c r="B690" s="1476"/>
      <c r="C690" s="1485"/>
      <c r="D690" s="1485"/>
      <c r="E690" s="1485"/>
      <c r="F690" s="1491"/>
      <c r="G690" s="1487"/>
      <c r="H690" s="1487"/>
      <c r="I690" s="1490"/>
      <c r="J690" s="1490"/>
      <c r="K690" s="1490"/>
      <c r="L690" s="606" t="s">
        <v>848</v>
      </c>
      <c r="M690" s="606" t="s">
        <v>108</v>
      </c>
      <c r="N690" s="607">
        <v>0</v>
      </c>
      <c r="O690" s="607">
        <v>8</v>
      </c>
      <c r="P690" s="607">
        <v>8</v>
      </c>
      <c r="Q690" s="607">
        <v>8</v>
      </c>
      <c r="R690" s="607">
        <v>8</v>
      </c>
    </row>
    <row r="691" spans="1:18" s="181" customFormat="1" ht="30" x14ac:dyDescent="0.25">
      <c r="A691" s="1242"/>
      <c r="B691" s="1476"/>
      <c r="C691" s="1516"/>
      <c r="D691" s="1516"/>
      <c r="E691" s="1473"/>
      <c r="F691" s="1516"/>
      <c r="G691" s="1495"/>
      <c r="H691" s="1495"/>
      <c r="I691" s="1495"/>
      <c r="J691" s="1495"/>
      <c r="K691" s="1495"/>
      <c r="L691" s="606" t="s">
        <v>849</v>
      </c>
      <c r="M691" s="606" t="s">
        <v>109</v>
      </c>
      <c r="N691" s="607">
        <v>0</v>
      </c>
      <c r="O691" s="607">
        <v>126</v>
      </c>
      <c r="P691" s="607">
        <v>126</v>
      </c>
      <c r="Q691" s="607">
        <v>126</v>
      </c>
      <c r="R691" s="607">
        <v>126</v>
      </c>
    </row>
    <row r="692" spans="1:18" s="181" customFormat="1" ht="30" x14ac:dyDescent="0.25">
      <c r="A692" s="1242"/>
      <c r="B692" s="1476"/>
      <c r="C692" s="1472"/>
      <c r="D692" s="1472" t="s">
        <v>9</v>
      </c>
      <c r="E692" s="1472"/>
      <c r="F692" s="1456" t="s">
        <v>850</v>
      </c>
      <c r="G692" s="1486">
        <v>0</v>
      </c>
      <c r="H692" s="1486">
        <v>0</v>
      </c>
      <c r="I692" s="1489">
        <v>41377.300000000003</v>
      </c>
      <c r="J692" s="1489">
        <v>41377.300000000003</v>
      </c>
      <c r="K692" s="1489">
        <v>41377.300000000003</v>
      </c>
      <c r="L692" s="608" t="s">
        <v>851</v>
      </c>
      <c r="M692" s="609" t="s">
        <v>110</v>
      </c>
      <c r="N692" s="563">
        <v>0</v>
      </c>
      <c r="O692" s="563">
        <v>31</v>
      </c>
      <c r="P692" s="563">
        <v>31</v>
      </c>
      <c r="Q692" s="563">
        <v>31</v>
      </c>
      <c r="R692" s="563">
        <v>31</v>
      </c>
    </row>
    <row r="693" spans="1:18" s="181" customFormat="1" ht="30" x14ac:dyDescent="0.25">
      <c r="A693" s="1242"/>
      <c r="B693" s="1476"/>
      <c r="C693" s="1485"/>
      <c r="D693" s="1485"/>
      <c r="E693" s="1485"/>
      <c r="F693" s="1491"/>
      <c r="G693" s="1487"/>
      <c r="H693" s="1487"/>
      <c r="I693" s="1490"/>
      <c r="J693" s="1490"/>
      <c r="K693" s="1490"/>
      <c r="L693" s="606" t="s">
        <v>852</v>
      </c>
      <c r="M693" s="606" t="s">
        <v>111</v>
      </c>
      <c r="N693" s="607">
        <v>0</v>
      </c>
      <c r="O693" s="607">
        <v>970</v>
      </c>
      <c r="P693" s="607">
        <v>970</v>
      </c>
      <c r="Q693" s="607">
        <v>970</v>
      </c>
      <c r="R693" s="607">
        <v>970</v>
      </c>
    </row>
    <row r="694" spans="1:18" s="181" customFormat="1" ht="45" x14ac:dyDescent="0.25">
      <c r="A694" s="1242"/>
      <c r="B694" s="1476"/>
      <c r="C694" s="1516"/>
      <c r="D694" s="1516"/>
      <c r="E694" s="1473"/>
      <c r="F694" s="1516"/>
      <c r="G694" s="1495"/>
      <c r="H694" s="1495"/>
      <c r="I694" s="1495"/>
      <c r="J694" s="1495"/>
      <c r="K694" s="1495"/>
      <c r="L694" s="606" t="s">
        <v>853</v>
      </c>
      <c r="M694" s="606" t="s">
        <v>109</v>
      </c>
      <c r="N694" s="607">
        <v>0</v>
      </c>
      <c r="O694" s="607">
        <v>107</v>
      </c>
      <c r="P694" s="607">
        <v>107</v>
      </c>
      <c r="Q694" s="607">
        <v>107</v>
      </c>
      <c r="R694" s="607">
        <v>107</v>
      </c>
    </row>
    <row r="695" spans="1:18" s="181" customFormat="1" ht="90" x14ac:dyDescent="0.25">
      <c r="A695" s="1242"/>
      <c r="B695" s="1476"/>
      <c r="C695" s="551"/>
      <c r="D695" s="551" t="s">
        <v>23</v>
      </c>
      <c r="E695" s="556"/>
      <c r="F695" s="374" t="s">
        <v>854</v>
      </c>
      <c r="G695" s="552">
        <v>0</v>
      </c>
      <c r="H695" s="552">
        <v>0</v>
      </c>
      <c r="I695" s="557">
        <v>0</v>
      </c>
      <c r="J695" s="557">
        <v>0</v>
      </c>
      <c r="K695" s="557">
        <v>0</v>
      </c>
      <c r="L695" s="606" t="s">
        <v>855</v>
      </c>
      <c r="M695" s="606" t="s">
        <v>856</v>
      </c>
      <c r="N695" s="610">
        <v>0</v>
      </c>
      <c r="O695" s="611">
        <v>0</v>
      </c>
      <c r="P695" s="568" t="s">
        <v>857</v>
      </c>
      <c r="Q695" s="568" t="s">
        <v>858</v>
      </c>
      <c r="R695" s="568" t="s">
        <v>859</v>
      </c>
    </row>
    <row r="696" spans="1:18" s="181" customFormat="1" ht="30" x14ac:dyDescent="0.25">
      <c r="A696" s="1242"/>
      <c r="B696" s="1476"/>
      <c r="C696" s="551"/>
      <c r="D696" s="551" t="s">
        <v>24</v>
      </c>
      <c r="E696" s="551"/>
      <c r="F696" s="374" t="s">
        <v>1640</v>
      </c>
      <c r="G696" s="554">
        <v>0</v>
      </c>
      <c r="H696" s="554">
        <v>0</v>
      </c>
      <c r="I696" s="554">
        <v>0</v>
      </c>
      <c r="J696" s="554">
        <v>0</v>
      </c>
      <c r="K696" s="554">
        <v>0</v>
      </c>
      <c r="L696" s="612" t="s">
        <v>860</v>
      </c>
      <c r="M696" s="588" t="s">
        <v>4</v>
      </c>
      <c r="N696" s="344">
        <v>0</v>
      </c>
      <c r="O696" s="568">
        <v>0</v>
      </c>
      <c r="P696" s="568">
        <v>32</v>
      </c>
      <c r="Q696" s="568">
        <v>33</v>
      </c>
      <c r="R696" s="568">
        <v>33</v>
      </c>
    </row>
    <row r="697" spans="1:18" s="181" customFormat="1" ht="15" x14ac:dyDescent="0.25">
      <c r="A697" s="1242"/>
      <c r="B697" s="1476"/>
      <c r="C697" s="1465" t="s">
        <v>112</v>
      </c>
      <c r="D697" s="1518"/>
      <c r="E697" s="1518"/>
      <c r="F697" s="1512" t="s">
        <v>1641</v>
      </c>
      <c r="G697" s="1470">
        <f>G702+G703+G707+G711</f>
        <v>0</v>
      </c>
      <c r="H697" s="1470">
        <f t="shared" ref="H697:K697" si="50">H702+H703+H707+H711</f>
        <v>0</v>
      </c>
      <c r="I697" s="1470">
        <f t="shared" si="50"/>
        <v>642722.9</v>
      </c>
      <c r="J697" s="1470">
        <f t="shared" si="50"/>
        <v>375271.4</v>
      </c>
      <c r="K697" s="1470">
        <f t="shared" si="50"/>
        <v>376071.3</v>
      </c>
      <c r="L697" s="344" t="s">
        <v>861</v>
      </c>
      <c r="M697" s="391" t="s">
        <v>103</v>
      </c>
      <c r="N697" s="235">
        <v>768637</v>
      </c>
      <c r="O697" s="235">
        <v>768637</v>
      </c>
      <c r="P697" s="235">
        <v>768637</v>
      </c>
      <c r="Q697" s="235">
        <v>768637</v>
      </c>
      <c r="R697" s="235">
        <v>768637</v>
      </c>
    </row>
    <row r="698" spans="1:18" s="181" customFormat="1" ht="30" x14ac:dyDescent="0.25">
      <c r="A698" s="1242"/>
      <c r="B698" s="1476"/>
      <c r="C698" s="1466"/>
      <c r="D698" s="1519"/>
      <c r="E698" s="1519"/>
      <c r="F698" s="1513"/>
      <c r="G698" s="1471"/>
      <c r="H698" s="1471"/>
      <c r="I698" s="1471"/>
      <c r="J698" s="1471"/>
      <c r="K698" s="1471"/>
      <c r="L698" s="344" t="s">
        <v>862</v>
      </c>
      <c r="M698" s="391" t="s">
        <v>103</v>
      </c>
      <c r="N698" s="235">
        <v>2546323</v>
      </c>
      <c r="O698" s="235">
        <v>2546323</v>
      </c>
      <c r="P698" s="235">
        <v>2546323</v>
      </c>
      <c r="Q698" s="235">
        <v>2546323</v>
      </c>
      <c r="R698" s="235">
        <v>2546323</v>
      </c>
    </row>
    <row r="699" spans="1:18" s="181" customFormat="1" ht="15" x14ac:dyDescent="0.25">
      <c r="A699" s="1242"/>
      <c r="B699" s="1476"/>
      <c r="C699" s="1466"/>
      <c r="D699" s="1519"/>
      <c r="E699" s="1519"/>
      <c r="F699" s="1513"/>
      <c r="G699" s="1471"/>
      <c r="H699" s="1471"/>
      <c r="I699" s="1471"/>
      <c r="J699" s="1471"/>
      <c r="K699" s="1471"/>
      <c r="L699" s="344" t="s">
        <v>863</v>
      </c>
      <c r="M699" s="391" t="s">
        <v>103</v>
      </c>
      <c r="N699" s="235">
        <v>1120</v>
      </c>
      <c r="O699" s="235">
        <v>1130</v>
      </c>
      <c r="P699" s="235">
        <v>1130</v>
      </c>
      <c r="Q699" s="235">
        <v>1130</v>
      </c>
      <c r="R699" s="235">
        <v>1130</v>
      </c>
    </row>
    <row r="700" spans="1:18" s="181" customFormat="1" ht="15" x14ac:dyDescent="0.25">
      <c r="A700" s="1242"/>
      <c r="B700" s="1476"/>
      <c r="C700" s="1466"/>
      <c r="D700" s="1519"/>
      <c r="E700" s="1519"/>
      <c r="F700" s="1513"/>
      <c r="G700" s="1471"/>
      <c r="H700" s="1471"/>
      <c r="I700" s="1471"/>
      <c r="J700" s="1471"/>
      <c r="K700" s="1471"/>
      <c r="L700" s="344" t="s">
        <v>864</v>
      </c>
      <c r="M700" s="391" t="s">
        <v>103</v>
      </c>
      <c r="N700" s="235">
        <v>754</v>
      </c>
      <c r="O700" s="235">
        <v>754</v>
      </c>
      <c r="P700" s="235">
        <v>760</v>
      </c>
      <c r="Q700" s="235">
        <v>760</v>
      </c>
      <c r="R700" s="235">
        <v>760</v>
      </c>
    </row>
    <row r="701" spans="1:18" s="181" customFormat="1" ht="43.5" customHeight="1" x14ac:dyDescent="0.25">
      <c r="A701" s="1242"/>
      <c r="B701" s="1476"/>
      <c r="C701" s="1495"/>
      <c r="D701" s="1520"/>
      <c r="E701" s="1520"/>
      <c r="F701" s="1520"/>
      <c r="G701" s="1495"/>
      <c r="H701" s="1495"/>
      <c r="I701" s="1495"/>
      <c r="J701" s="1495"/>
      <c r="K701" s="1495"/>
      <c r="L701" s="344" t="s">
        <v>865</v>
      </c>
      <c r="M701" s="391" t="s">
        <v>866</v>
      </c>
      <c r="N701" s="235">
        <v>5</v>
      </c>
      <c r="O701" s="235">
        <v>10</v>
      </c>
      <c r="P701" s="235">
        <v>15</v>
      </c>
      <c r="Q701" s="235">
        <v>15</v>
      </c>
      <c r="R701" s="235">
        <v>15</v>
      </c>
    </row>
    <row r="702" spans="1:18" s="181" customFormat="1" ht="30" x14ac:dyDescent="0.25">
      <c r="A702" s="1242"/>
      <c r="B702" s="1476"/>
      <c r="C702" s="613"/>
      <c r="D702" s="573" t="s">
        <v>10</v>
      </c>
      <c r="E702" s="613"/>
      <c r="F702" s="344" t="s">
        <v>867</v>
      </c>
      <c r="G702" s="550">
        <v>0</v>
      </c>
      <c r="H702" s="277">
        <v>0</v>
      </c>
      <c r="I702" s="277">
        <v>12447.2</v>
      </c>
      <c r="J702" s="277">
        <v>12447.2</v>
      </c>
      <c r="K702" s="277">
        <v>12447.2</v>
      </c>
      <c r="L702" s="344"/>
      <c r="M702" s="257">
        <v>0</v>
      </c>
      <c r="N702" s="553">
        <v>0</v>
      </c>
      <c r="O702" s="553">
        <v>0</v>
      </c>
      <c r="P702" s="553">
        <v>0</v>
      </c>
      <c r="Q702" s="553">
        <v>0</v>
      </c>
      <c r="R702" s="553">
        <v>0</v>
      </c>
    </row>
    <row r="703" spans="1:18" s="181" customFormat="1" ht="30" x14ac:dyDescent="0.25">
      <c r="A703" s="1242"/>
      <c r="B703" s="1476"/>
      <c r="C703" s="1518"/>
      <c r="D703" s="1472" t="s">
        <v>13</v>
      </c>
      <c r="E703" s="1465"/>
      <c r="F703" s="1456" t="s">
        <v>1642</v>
      </c>
      <c r="G703" s="1470">
        <v>0</v>
      </c>
      <c r="H703" s="1489">
        <v>0</v>
      </c>
      <c r="I703" s="1489">
        <f>295187+37836.7</f>
        <v>333023.7</v>
      </c>
      <c r="J703" s="1489">
        <f>295187+38882.5</f>
        <v>334069.5</v>
      </c>
      <c r="K703" s="1489">
        <f>295187+39682.5</f>
        <v>334869.5</v>
      </c>
      <c r="L703" s="344" t="s">
        <v>868</v>
      </c>
      <c r="M703" s="391" t="s">
        <v>869</v>
      </c>
      <c r="N703" s="235">
        <v>13</v>
      </c>
      <c r="O703" s="235">
        <v>13</v>
      </c>
      <c r="P703" s="235">
        <v>13</v>
      </c>
      <c r="Q703" s="235">
        <v>13</v>
      </c>
      <c r="R703" s="235">
        <v>13</v>
      </c>
    </row>
    <row r="704" spans="1:18" s="181" customFormat="1" ht="30" x14ac:dyDescent="0.25">
      <c r="A704" s="1242"/>
      <c r="B704" s="1476"/>
      <c r="C704" s="1522"/>
      <c r="D704" s="1494"/>
      <c r="E704" s="1466"/>
      <c r="F704" s="1522"/>
      <c r="G704" s="1494"/>
      <c r="H704" s="1494"/>
      <c r="I704" s="1494"/>
      <c r="J704" s="1494"/>
      <c r="K704" s="1494"/>
      <c r="L704" s="344" t="s">
        <v>870</v>
      </c>
      <c r="M704" s="391" t="s">
        <v>4</v>
      </c>
      <c r="N704" s="235">
        <v>100</v>
      </c>
      <c r="O704" s="235">
        <v>100</v>
      </c>
      <c r="P704" s="235">
        <v>100</v>
      </c>
      <c r="Q704" s="235">
        <v>100</v>
      </c>
      <c r="R704" s="235">
        <v>100</v>
      </c>
    </row>
    <row r="705" spans="1:19" s="181" customFormat="1" ht="30" x14ac:dyDescent="0.25">
      <c r="A705" s="1242"/>
      <c r="B705" s="1476"/>
      <c r="C705" s="1522"/>
      <c r="D705" s="1494"/>
      <c r="E705" s="1466"/>
      <c r="F705" s="1522"/>
      <c r="G705" s="1494"/>
      <c r="H705" s="1494"/>
      <c r="I705" s="1494"/>
      <c r="J705" s="1494"/>
      <c r="K705" s="1494"/>
      <c r="L705" s="344" t="s">
        <v>871</v>
      </c>
      <c r="M705" s="391" t="s">
        <v>4</v>
      </c>
      <c r="N705" s="235">
        <v>100</v>
      </c>
      <c r="O705" s="235">
        <v>100</v>
      </c>
      <c r="P705" s="235">
        <v>100</v>
      </c>
      <c r="Q705" s="235">
        <v>100</v>
      </c>
      <c r="R705" s="235">
        <v>100</v>
      </c>
    </row>
    <row r="706" spans="1:19" s="181" customFormat="1" ht="15" x14ac:dyDescent="0.25">
      <c r="A706" s="1242"/>
      <c r="B706" s="1476"/>
      <c r="C706" s="1520"/>
      <c r="D706" s="1495"/>
      <c r="E706" s="1478"/>
      <c r="F706" s="1520"/>
      <c r="G706" s="1495"/>
      <c r="H706" s="1495"/>
      <c r="I706" s="1495"/>
      <c r="J706" s="1495"/>
      <c r="K706" s="1495"/>
      <c r="L706" s="344" t="s">
        <v>872</v>
      </c>
      <c r="M706" s="391" t="s">
        <v>4</v>
      </c>
      <c r="N706" s="235">
        <v>61</v>
      </c>
      <c r="O706" s="235">
        <v>62</v>
      </c>
      <c r="P706" s="235">
        <v>62</v>
      </c>
      <c r="Q706" s="235">
        <v>62</v>
      </c>
      <c r="R706" s="235">
        <v>62</v>
      </c>
    </row>
    <row r="707" spans="1:19" s="181" customFormat="1" ht="15" x14ac:dyDescent="0.25">
      <c r="A707" s="1242"/>
      <c r="B707" s="1476"/>
      <c r="C707" s="1465"/>
      <c r="D707" s="1472" t="s">
        <v>9</v>
      </c>
      <c r="E707" s="1465"/>
      <c r="F707" s="1456" t="s">
        <v>1643</v>
      </c>
      <c r="G707" s="1470">
        <v>0</v>
      </c>
      <c r="H707" s="1489">
        <v>0</v>
      </c>
      <c r="I707" s="1489">
        <f>23137.2+5617.5</f>
        <v>28754.7</v>
      </c>
      <c r="J707" s="1489">
        <f>23137.2+5617.5</f>
        <v>28754.7</v>
      </c>
      <c r="K707" s="1489">
        <f>23137.2+5617.4</f>
        <v>28754.6</v>
      </c>
      <c r="L707" s="1635"/>
      <c r="M707" s="1635"/>
      <c r="N707" s="1635"/>
      <c r="O707" s="1635"/>
      <c r="P707" s="1635"/>
      <c r="Q707" s="1635"/>
      <c r="R707" s="1635"/>
    </row>
    <row r="708" spans="1:19" s="181" customFormat="1" ht="15" x14ac:dyDescent="0.25">
      <c r="A708" s="1242"/>
      <c r="B708" s="1476"/>
      <c r="C708" s="1466"/>
      <c r="D708" s="1485"/>
      <c r="E708" s="1466"/>
      <c r="F708" s="1491"/>
      <c r="G708" s="1471"/>
      <c r="H708" s="1490"/>
      <c r="I708" s="1490"/>
      <c r="J708" s="1490"/>
      <c r="K708" s="1490"/>
      <c r="L708" s="1635"/>
      <c r="M708" s="1635"/>
      <c r="N708" s="1635"/>
      <c r="O708" s="1635"/>
      <c r="P708" s="1635"/>
      <c r="Q708" s="1635"/>
      <c r="R708" s="1635"/>
    </row>
    <row r="709" spans="1:19" s="181" customFormat="1" ht="15" x14ac:dyDescent="0.25">
      <c r="A709" s="1242"/>
      <c r="B709" s="1476"/>
      <c r="C709" s="1466"/>
      <c r="D709" s="1485"/>
      <c r="E709" s="1466"/>
      <c r="F709" s="1491"/>
      <c r="G709" s="1471"/>
      <c r="H709" s="1490"/>
      <c r="I709" s="1490"/>
      <c r="J709" s="1490"/>
      <c r="K709" s="1490"/>
      <c r="L709" s="1635"/>
      <c r="M709" s="1635"/>
      <c r="N709" s="1635"/>
      <c r="O709" s="1635"/>
      <c r="P709" s="1635"/>
      <c r="Q709" s="1635"/>
      <c r="R709" s="1635"/>
    </row>
    <row r="710" spans="1:19" s="181" customFormat="1" ht="15" x14ac:dyDescent="0.25">
      <c r="A710" s="1242"/>
      <c r="B710" s="1476"/>
      <c r="C710" s="1478"/>
      <c r="D710" s="1473"/>
      <c r="E710" s="1478"/>
      <c r="F710" s="1457"/>
      <c r="G710" s="1477"/>
      <c r="H710" s="1492"/>
      <c r="I710" s="1492"/>
      <c r="J710" s="1492"/>
      <c r="K710" s="1492"/>
      <c r="L710" s="1635"/>
      <c r="M710" s="1635"/>
      <c r="N710" s="1635"/>
      <c r="O710" s="1635"/>
      <c r="P710" s="1635"/>
      <c r="Q710" s="1635"/>
      <c r="R710" s="1635"/>
    </row>
    <row r="711" spans="1:19" s="181" customFormat="1" ht="30" x14ac:dyDescent="0.25">
      <c r="A711" s="1242"/>
      <c r="B711" s="1476"/>
      <c r="C711" s="613"/>
      <c r="D711" s="573" t="s">
        <v>23</v>
      </c>
      <c r="E711" s="613"/>
      <c r="F711" s="344" t="s">
        <v>873</v>
      </c>
      <c r="G711" s="550">
        <v>0</v>
      </c>
      <c r="H711" s="277">
        <v>0</v>
      </c>
      <c r="I711" s="277">
        <v>268497.3</v>
      </c>
      <c r="J711" s="277">
        <v>0</v>
      </c>
      <c r="K711" s="277">
        <v>0</v>
      </c>
      <c r="L711" s="344"/>
      <c r="M711" s="257"/>
      <c r="N711" s="553"/>
      <c r="O711" s="553"/>
      <c r="P711" s="553"/>
      <c r="Q711" s="553"/>
      <c r="R711" s="553"/>
    </row>
    <row r="712" spans="1:19" s="181" customFormat="1" ht="15" x14ac:dyDescent="0.25">
      <c r="A712" s="183"/>
      <c r="B712" s="1276" t="s">
        <v>299</v>
      </c>
      <c r="C712" s="1277"/>
      <c r="D712" s="1277"/>
      <c r="E712" s="1277"/>
      <c r="F712" s="1278"/>
      <c r="G712" s="614">
        <f>G697+G686+G652+G641+G603+G579+G576</f>
        <v>986532.7</v>
      </c>
      <c r="H712" s="614">
        <f>H697+H686+H652+H641+H603+H579+H576</f>
        <v>1840895.9</v>
      </c>
      <c r="I712" s="614">
        <f>I697+I686+I652+I641+I603+I579+I576</f>
        <v>6989564.1999999993</v>
      </c>
      <c r="J712" s="614">
        <f>J697+J686+J652+J641+J603+J579+J576</f>
        <v>6839963.5000000009</v>
      </c>
      <c r="K712" s="614">
        <f>K697+K686+K652+K641+K603+K579+K576</f>
        <v>7253384.8999999985</v>
      </c>
      <c r="L712" s="615"/>
      <c r="M712" s="1521"/>
      <c r="N712" s="1521"/>
      <c r="O712" s="1521"/>
      <c r="P712" s="1521"/>
      <c r="Q712" s="1521"/>
      <c r="R712" s="1521"/>
    </row>
    <row r="713" spans="1:19" s="181" customFormat="1" ht="29.25" customHeight="1" x14ac:dyDescent="0.25">
      <c r="A713" s="183"/>
      <c r="B713" s="1428" t="s">
        <v>1769</v>
      </c>
      <c r="C713" s="1429"/>
      <c r="D713" s="1429"/>
      <c r="E713" s="1429"/>
      <c r="F713" s="1429"/>
      <c r="G713" s="1429"/>
      <c r="H713" s="1429"/>
      <c r="I713" s="1429"/>
      <c r="J713" s="1429"/>
      <c r="K713" s="1429"/>
      <c r="L713" s="1429"/>
      <c r="M713" s="1429"/>
      <c r="N713" s="1429"/>
      <c r="O713" s="1429"/>
      <c r="P713" s="1429"/>
      <c r="Q713" s="1429"/>
      <c r="R713" s="1430"/>
    </row>
    <row r="714" spans="1:19" s="181" customFormat="1" ht="29.25" customHeight="1" x14ac:dyDescent="0.25">
      <c r="A714" s="183"/>
      <c r="B714" s="1304" t="s">
        <v>117</v>
      </c>
      <c r="C714" s="1316" t="s">
        <v>0</v>
      </c>
      <c r="D714" s="1376"/>
      <c r="E714" s="1376"/>
      <c r="F714" s="1345" t="s">
        <v>874</v>
      </c>
      <c r="G714" s="1526">
        <f>G716+G717</f>
        <v>71028</v>
      </c>
      <c r="H714" s="1526">
        <f t="shared" ref="H714:K714" si="51">H716+H717</f>
        <v>67816.700000000012</v>
      </c>
      <c r="I714" s="1526">
        <f t="shared" si="51"/>
        <v>163799.1</v>
      </c>
      <c r="J714" s="1526">
        <f t="shared" si="51"/>
        <v>167224.90600000002</v>
      </c>
      <c r="K714" s="1526">
        <f t="shared" si="51"/>
        <v>171112.80817999999</v>
      </c>
      <c r="L714" s="1528" t="s">
        <v>1644</v>
      </c>
      <c r="M714" s="1361" t="s">
        <v>4</v>
      </c>
      <c r="N714" s="1361">
        <v>20</v>
      </c>
      <c r="O714" s="1372">
        <v>25</v>
      </c>
      <c r="P714" s="1372">
        <v>27</v>
      </c>
      <c r="Q714" s="1372">
        <v>29</v>
      </c>
      <c r="R714" s="1372">
        <v>30</v>
      </c>
    </row>
    <row r="715" spans="1:19" s="181" customFormat="1" ht="29.25" customHeight="1" x14ac:dyDescent="0.25">
      <c r="A715" s="183"/>
      <c r="B715" s="1305"/>
      <c r="C715" s="1316"/>
      <c r="D715" s="1376"/>
      <c r="E715" s="1376"/>
      <c r="F715" s="1345"/>
      <c r="G715" s="1527"/>
      <c r="H715" s="1527"/>
      <c r="I715" s="1527"/>
      <c r="J715" s="1527"/>
      <c r="K715" s="1527"/>
      <c r="L715" s="1529"/>
      <c r="M715" s="1362"/>
      <c r="N715" s="1362"/>
      <c r="O715" s="1373"/>
      <c r="P715" s="1373"/>
      <c r="Q715" s="1373"/>
      <c r="R715" s="1373"/>
    </row>
    <row r="716" spans="1:19" s="181" customFormat="1" ht="15" x14ac:dyDescent="0.25">
      <c r="A716" s="183"/>
      <c r="B716" s="1305"/>
      <c r="C716" s="201"/>
      <c r="D716" s="201"/>
      <c r="E716" s="201"/>
      <c r="F716" s="241" t="s">
        <v>875</v>
      </c>
      <c r="G716" s="290">
        <v>30272.5</v>
      </c>
      <c r="H716" s="290">
        <v>28186.9</v>
      </c>
      <c r="I716" s="290">
        <v>50598.8</v>
      </c>
      <c r="J716" s="290">
        <v>51579.606</v>
      </c>
      <c r="K716" s="290">
        <v>53122.508180000004</v>
      </c>
      <c r="L716" s="1523"/>
      <c r="M716" s="1524"/>
      <c r="N716" s="1524"/>
      <c r="O716" s="1524"/>
      <c r="P716" s="1524"/>
      <c r="Q716" s="1524"/>
      <c r="R716" s="1525"/>
    </row>
    <row r="717" spans="1:19" s="181" customFormat="1" ht="15" customHeight="1" x14ac:dyDescent="0.25">
      <c r="A717" s="183"/>
      <c r="B717" s="1305"/>
      <c r="C717" s="201"/>
      <c r="D717" s="201"/>
      <c r="E717" s="201"/>
      <c r="F717" s="241" t="s">
        <v>876</v>
      </c>
      <c r="G717" s="290">
        <v>40755.5</v>
      </c>
      <c r="H717" s="290">
        <v>39629.800000000003</v>
      </c>
      <c r="I717" s="290">
        <v>113200.3</v>
      </c>
      <c r="J717" s="290">
        <v>115645.3</v>
      </c>
      <c r="K717" s="290">
        <v>117990.3</v>
      </c>
      <c r="L717" s="1523"/>
      <c r="M717" s="1524"/>
      <c r="N717" s="1524"/>
      <c r="O717" s="1524"/>
      <c r="P717" s="1524"/>
      <c r="Q717" s="1524"/>
      <c r="R717" s="1525"/>
      <c r="S717" s="462"/>
    </row>
    <row r="718" spans="1:19" s="181" customFormat="1" ht="73.5" x14ac:dyDescent="0.25">
      <c r="A718" s="183"/>
      <c r="B718" s="1305"/>
      <c r="C718" s="446" t="s">
        <v>69</v>
      </c>
      <c r="D718" s="443"/>
      <c r="E718" s="443"/>
      <c r="F718" s="447" t="s">
        <v>877</v>
      </c>
      <c r="G718" s="448">
        <f>G719+G722+G725+G728</f>
        <v>1316325.1000000001</v>
      </c>
      <c r="H718" s="448">
        <f t="shared" ref="H718:K718" si="52">H719+H722+H725+H728</f>
        <v>1290084.8999999999</v>
      </c>
      <c r="I718" s="448">
        <f t="shared" si="52"/>
        <v>1611876.5999999999</v>
      </c>
      <c r="J718" s="448">
        <f t="shared" si="52"/>
        <v>1567100.7039999999</v>
      </c>
      <c r="K718" s="448">
        <f t="shared" si="52"/>
        <v>1611321.4668399999</v>
      </c>
      <c r="L718" s="202" t="s">
        <v>878</v>
      </c>
      <c r="M718" s="237" t="s">
        <v>4</v>
      </c>
      <c r="N718" s="237">
        <v>20</v>
      </c>
      <c r="O718" s="208">
        <v>30</v>
      </c>
      <c r="P718" s="208">
        <v>35</v>
      </c>
      <c r="Q718" s="208">
        <v>37</v>
      </c>
      <c r="R718" s="208">
        <v>40</v>
      </c>
    </row>
    <row r="719" spans="1:19" s="181" customFormat="1" ht="45" x14ac:dyDescent="0.25">
      <c r="A719" s="183"/>
      <c r="B719" s="1305"/>
      <c r="C719" s="1341"/>
      <c r="D719" s="1341" t="s">
        <v>10</v>
      </c>
      <c r="E719" s="1341"/>
      <c r="F719" s="1307" t="s">
        <v>879</v>
      </c>
      <c r="G719" s="1530">
        <v>883950.7</v>
      </c>
      <c r="H719" s="1530">
        <v>878087.2</v>
      </c>
      <c r="I719" s="1530">
        <v>1160515.7</v>
      </c>
      <c r="J719" s="1530">
        <v>1107144.3999999999</v>
      </c>
      <c r="K719" s="1530">
        <v>1137386.6000000001</v>
      </c>
      <c r="L719" s="616" t="s">
        <v>880</v>
      </c>
      <c r="M719" s="237" t="s">
        <v>4</v>
      </c>
      <c r="N719" s="317">
        <v>25</v>
      </c>
      <c r="O719" s="451">
        <v>27</v>
      </c>
      <c r="P719" s="451">
        <v>29</v>
      </c>
      <c r="Q719" s="451">
        <v>32</v>
      </c>
      <c r="R719" s="451">
        <v>35</v>
      </c>
    </row>
    <row r="720" spans="1:19" s="181" customFormat="1" ht="82.5" customHeight="1" x14ac:dyDescent="0.25">
      <c r="A720" s="183"/>
      <c r="B720" s="1305"/>
      <c r="C720" s="1359"/>
      <c r="D720" s="1359"/>
      <c r="E720" s="1359"/>
      <c r="F720" s="1308"/>
      <c r="G720" s="1531"/>
      <c r="H720" s="1531"/>
      <c r="I720" s="1531"/>
      <c r="J720" s="1531"/>
      <c r="K720" s="1531"/>
      <c r="L720" s="616" t="s">
        <v>881</v>
      </c>
      <c r="M720" s="237" t="s">
        <v>4</v>
      </c>
      <c r="N720" s="317">
        <v>12</v>
      </c>
      <c r="O720" s="451">
        <v>14</v>
      </c>
      <c r="P720" s="451">
        <v>16</v>
      </c>
      <c r="Q720" s="451">
        <v>18</v>
      </c>
      <c r="R720" s="451">
        <v>20</v>
      </c>
    </row>
    <row r="721" spans="1:19" s="181" customFormat="1" ht="63" customHeight="1" x14ac:dyDescent="0.25">
      <c r="A721" s="183"/>
      <c r="B721" s="1305"/>
      <c r="C721" s="1342"/>
      <c r="D721" s="1342"/>
      <c r="E721" s="1342"/>
      <c r="F721" s="1309"/>
      <c r="G721" s="1532"/>
      <c r="H721" s="1532"/>
      <c r="I721" s="1532"/>
      <c r="J721" s="1532"/>
      <c r="K721" s="1532"/>
      <c r="L721" s="616" t="s">
        <v>882</v>
      </c>
      <c r="M721" s="237" t="s">
        <v>4</v>
      </c>
      <c r="N721" s="237">
        <v>30</v>
      </c>
      <c r="O721" s="208">
        <v>35</v>
      </c>
      <c r="P721" s="208">
        <v>38</v>
      </c>
      <c r="Q721" s="208">
        <v>40</v>
      </c>
      <c r="R721" s="208">
        <v>45</v>
      </c>
    </row>
    <row r="722" spans="1:19" s="181" customFormat="1" ht="45" x14ac:dyDescent="0.25">
      <c r="A722" s="183"/>
      <c r="B722" s="1305"/>
      <c r="C722" s="1341"/>
      <c r="D722" s="1341" t="s">
        <v>13</v>
      </c>
      <c r="E722" s="1341"/>
      <c r="F722" s="1307" t="s">
        <v>883</v>
      </c>
      <c r="G722" s="1530">
        <v>1563</v>
      </c>
      <c r="H722" s="1530">
        <v>1063</v>
      </c>
      <c r="I722" s="1530">
        <v>1998.5</v>
      </c>
      <c r="J722" s="1530">
        <v>2033.5</v>
      </c>
      <c r="K722" s="1530">
        <v>2545</v>
      </c>
      <c r="L722" s="210" t="s">
        <v>884</v>
      </c>
      <c r="M722" s="237" t="s">
        <v>4</v>
      </c>
      <c r="N722" s="237">
        <v>5</v>
      </c>
      <c r="O722" s="208">
        <v>10</v>
      </c>
      <c r="P722" s="208">
        <v>15</v>
      </c>
      <c r="Q722" s="208">
        <v>20</v>
      </c>
      <c r="R722" s="208">
        <v>25</v>
      </c>
    </row>
    <row r="723" spans="1:19" s="181" customFormat="1" ht="45" x14ac:dyDescent="0.25">
      <c r="A723" s="183"/>
      <c r="B723" s="1305"/>
      <c r="C723" s="1359"/>
      <c r="D723" s="1359"/>
      <c r="E723" s="1359"/>
      <c r="F723" s="1308"/>
      <c r="G723" s="1531"/>
      <c r="H723" s="1531"/>
      <c r="I723" s="1531"/>
      <c r="J723" s="1531"/>
      <c r="K723" s="1531"/>
      <c r="L723" s="210" t="s">
        <v>885</v>
      </c>
      <c r="M723" s="237" t="s">
        <v>318</v>
      </c>
      <c r="N723" s="237">
        <v>5</v>
      </c>
      <c r="O723" s="208">
        <v>10</v>
      </c>
      <c r="P723" s="208">
        <v>15</v>
      </c>
      <c r="Q723" s="208">
        <v>20</v>
      </c>
      <c r="R723" s="208">
        <v>25</v>
      </c>
    </row>
    <row r="724" spans="1:19" s="181" customFormat="1" ht="45" x14ac:dyDescent="0.25">
      <c r="A724" s="183"/>
      <c r="B724" s="1305"/>
      <c r="C724" s="1342"/>
      <c r="D724" s="1342"/>
      <c r="E724" s="1342"/>
      <c r="F724" s="1309"/>
      <c r="G724" s="1532"/>
      <c r="H724" s="1532"/>
      <c r="I724" s="1532"/>
      <c r="J724" s="1532"/>
      <c r="K724" s="1532"/>
      <c r="L724" s="210" t="s">
        <v>1645</v>
      </c>
      <c r="M724" s="237" t="s">
        <v>318</v>
      </c>
      <c r="N724" s="237">
        <v>4</v>
      </c>
      <c r="O724" s="208">
        <v>6</v>
      </c>
      <c r="P724" s="208">
        <v>8</v>
      </c>
      <c r="Q724" s="208">
        <v>10</v>
      </c>
      <c r="R724" s="208">
        <v>14</v>
      </c>
    </row>
    <row r="725" spans="1:19" s="181" customFormat="1" ht="30" x14ac:dyDescent="0.25">
      <c r="A725" s="183"/>
      <c r="B725" s="1305"/>
      <c r="C725" s="1341"/>
      <c r="D725" s="1341" t="s">
        <v>9</v>
      </c>
      <c r="E725" s="1341"/>
      <c r="F725" s="1307" t="s">
        <v>886</v>
      </c>
      <c r="G725" s="1530">
        <v>88981.8</v>
      </c>
      <c r="H725" s="1530">
        <v>96493.7</v>
      </c>
      <c r="I725" s="1530">
        <v>85156.2</v>
      </c>
      <c r="J725" s="1530">
        <v>86657.103999999992</v>
      </c>
      <c r="K725" s="1530">
        <v>89018.167119999998</v>
      </c>
      <c r="L725" s="617" t="s">
        <v>887</v>
      </c>
      <c r="M725" s="189" t="s">
        <v>4</v>
      </c>
      <c r="N725" s="189">
        <v>30</v>
      </c>
      <c r="O725" s="251">
        <v>32</v>
      </c>
      <c r="P725" s="251">
        <v>34</v>
      </c>
      <c r="Q725" s="251">
        <v>36</v>
      </c>
      <c r="R725" s="251">
        <v>38</v>
      </c>
    </row>
    <row r="726" spans="1:19" s="181" customFormat="1" ht="45" x14ac:dyDescent="0.25">
      <c r="A726" s="183"/>
      <c r="B726" s="1305"/>
      <c r="C726" s="1359"/>
      <c r="D726" s="1359"/>
      <c r="E726" s="1359"/>
      <c r="F726" s="1308"/>
      <c r="G726" s="1531"/>
      <c r="H726" s="1531"/>
      <c r="I726" s="1531"/>
      <c r="J726" s="1531"/>
      <c r="K726" s="1531"/>
      <c r="L726" s="617" t="s">
        <v>1646</v>
      </c>
      <c r="M726" s="189" t="s">
        <v>318</v>
      </c>
      <c r="N726" s="189">
        <v>5</v>
      </c>
      <c r="O726" s="251">
        <v>7</v>
      </c>
      <c r="P726" s="251">
        <v>6</v>
      </c>
      <c r="Q726" s="251">
        <v>6</v>
      </c>
      <c r="R726" s="251">
        <v>6</v>
      </c>
    </row>
    <row r="727" spans="1:19" s="181" customFormat="1" ht="45" x14ac:dyDescent="0.25">
      <c r="A727" s="183"/>
      <c r="B727" s="1305"/>
      <c r="C727" s="1342"/>
      <c r="D727" s="1342"/>
      <c r="E727" s="1342"/>
      <c r="F727" s="1309"/>
      <c r="G727" s="1532"/>
      <c r="H727" s="1532"/>
      <c r="I727" s="1532"/>
      <c r="J727" s="1532"/>
      <c r="K727" s="1532"/>
      <c r="L727" s="617" t="s">
        <v>888</v>
      </c>
      <c r="M727" s="189" t="s">
        <v>4</v>
      </c>
      <c r="N727" s="189">
        <v>8</v>
      </c>
      <c r="O727" s="251">
        <v>10</v>
      </c>
      <c r="P727" s="251">
        <v>12</v>
      </c>
      <c r="Q727" s="251">
        <v>13</v>
      </c>
      <c r="R727" s="251">
        <v>15</v>
      </c>
    </row>
    <row r="728" spans="1:19" s="181" customFormat="1" ht="45" x14ac:dyDescent="0.25">
      <c r="A728" s="183"/>
      <c r="B728" s="1305"/>
      <c r="C728" s="1341"/>
      <c r="D728" s="1341" t="s">
        <v>23</v>
      </c>
      <c r="E728" s="1341"/>
      <c r="F728" s="1307" t="s">
        <v>889</v>
      </c>
      <c r="G728" s="1530">
        <v>341829.6</v>
      </c>
      <c r="H728" s="1530">
        <v>314441</v>
      </c>
      <c r="I728" s="1530">
        <v>364206.19999999995</v>
      </c>
      <c r="J728" s="1530">
        <v>371265.69999999995</v>
      </c>
      <c r="K728" s="1530">
        <v>382371.69972000003</v>
      </c>
      <c r="L728" s="202" t="s">
        <v>890</v>
      </c>
      <c r="M728" s="237" t="s">
        <v>4</v>
      </c>
      <c r="N728" s="317">
        <v>1</v>
      </c>
      <c r="O728" s="451">
        <v>2</v>
      </c>
      <c r="P728" s="451">
        <v>3</v>
      </c>
      <c r="Q728" s="451">
        <v>4</v>
      </c>
      <c r="R728" s="451">
        <v>5</v>
      </c>
    </row>
    <row r="729" spans="1:19" s="181" customFormat="1" ht="45" x14ac:dyDescent="0.25">
      <c r="A729" s="183"/>
      <c r="B729" s="1305"/>
      <c r="C729" s="1342"/>
      <c r="D729" s="1342"/>
      <c r="E729" s="1342"/>
      <c r="F729" s="1309"/>
      <c r="G729" s="1532"/>
      <c r="H729" s="1532"/>
      <c r="I729" s="1532"/>
      <c r="J729" s="1532"/>
      <c r="K729" s="1532"/>
      <c r="L729" s="202" t="s">
        <v>891</v>
      </c>
      <c r="M729" s="237" t="s">
        <v>321</v>
      </c>
      <c r="N729" s="237">
        <v>20</v>
      </c>
      <c r="O729" s="208">
        <v>22</v>
      </c>
      <c r="P729" s="208">
        <v>25</v>
      </c>
      <c r="Q729" s="208">
        <v>30</v>
      </c>
      <c r="R729" s="208">
        <v>35</v>
      </c>
    </row>
    <row r="730" spans="1:19" s="181" customFormat="1" ht="59.25" x14ac:dyDescent="0.25">
      <c r="A730" s="183"/>
      <c r="B730" s="1305"/>
      <c r="C730" s="196" t="s">
        <v>70</v>
      </c>
      <c r="D730" s="443"/>
      <c r="E730" s="201"/>
      <c r="F730" s="493" t="s">
        <v>892</v>
      </c>
      <c r="G730" s="618">
        <f>G731+G733</f>
        <v>724845.89999999991</v>
      </c>
      <c r="H730" s="618">
        <f t="shared" ref="H730:K730" si="53">H731+H733</f>
        <v>760226.1</v>
      </c>
      <c r="I730" s="618">
        <f t="shared" si="53"/>
        <v>804154.6</v>
      </c>
      <c r="J730" s="618">
        <f t="shared" si="53"/>
        <v>818133</v>
      </c>
      <c r="K730" s="618">
        <f t="shared" si="53"/>
        <v>840123.7</v>
      </c>
      <c r="L730" s="210" t="s">
        <v>893</v>
      </c>
      <c r="M730" s="189" t="s">
        <v>4</v>
      </c>
      <c r="N730" s="189">
        <v>5.2</v>
      </c>
      <c r="O730" s="251">
        <v>5.4</v>
      </c>
      <c r="P730" s="251">
        <v>5.5</v>
      </c>
      <c r="Q730" s="251">
        <v>5.6</v>
      </c>
      <c r="R730" s="251">
        <v>5.8</v>
      </c>
    </row>
    <row r="731" spans="1:19" s="181" customFormat="1" ht="45" x14ac:dyDescent="0.25">
      <c r="A731" s="183"/>
      <c r="B731" s="1305"/>
      <c r="C731" s="1341"/>
      <c r="D731" s="1341"/>
      <c r="E731" s="1341"/>
      <c r="F731" s="1451" t="s">
        <v>894</v>
      </c>
      <c r="G731" s="1533">
        <v>711413.29999999993</v>
      </c>
      <c r="H731" s="1533">
        <v>744663.5</v>
      </c>
      <c r="I731" s="1533">
        <v>789547.9</v>
      </c>
      <c r="J731" s="1533">
        <v>803332.1</v>
      </c>
      <c r="K731" s="1533">
        <v>825025.6</v>
      </c>
      <c r="L731" s="210" t="s">
        <v>895</v>
      </c>
      <c r="M731" s="189" t="s">
        <v>4</v>
      </c>
      <c r="N731" s="189">
        <v>1.5</v>
      </c>
      <c r="O731" s="251">
        <v>1.5</v>
      </c>
      <c r="P731" s="251">
        <v>2</v>
      </c>
      <c r="Q731" s="251">
        <v>2</v>
      </c>
      <c r="R731" s="251">
        <v>3</v>
      </c>
      <c r="S731" s="462"/>
    </row>
    <row r="732" spans="1:19" s="181" customFormat="1" ht="45" x14ac:dyDescent="0.25">
      <c r="A732" s="183"/>
      <c r="B732" s="1305"/>
      <c r="C732" s="1342"/>
      <c r="D732" s="1342"/>
      <c r="E732" s="1342"/>
      <c r="F732" s="1453"/>
      <c r="G732" s="1534"/>
      <c r="H732" s="1534"/>
      <c r="I732" s="1534"/>
      <c r="J732" s="1534"/>
      <c r="K732" s="1534"/>
      <c r="L732" s="210" t="s">
        <v>896</v>
      </c>
      <c r="M732" s="189" t="s">
        <v>4</v>
      </c>
      <c r="N732" s="189">
        <v>3</v>
      </c>
      <c r="O732" s="251">
        <v>5</v>
      </c>
      <c r="P732" s="251">
        <v>6</v>
      </c>
      <c r="Q732" s="251">
        <v>7</v>
      </c>
      <c r="R732" s="251">
        <v>8</v>
      </c>
    </row>
    <row r="733" spans="1:19" s="181" customFormat="1" ht="30" x14ac:dyDescent="0.25">
      <c r="A733" s="183"/>
      <c r="B733" s="1305"/>
      <c r="C733" s="201"/>
      <c r="D733" s="201"/>
      <c r="E733" s="201"/>
      <c r="F733" s="204" t="s">
        <v>897</v>
      </c>
      <c r="G733" s="203">
        <v>13432.6</v>
      </c>
      <c r="H733" s="203">
        <v>15562.6</v>
      </c>
      <c r="I733" s="203">
        <v>14606.7</v>
      </c>
      <c r="J733" s="203">
        <v>14800.9</v>
      </c>
      <c r="K733" s="203">
        <v>15098.1</v>
      </c>
      <c r="L733" s="1535"/>
      <c r="M733" s="1536"/>
      <c r="N733" s="1536"/>
      <c r="O733" s="1536"/>
      <c r="P733" s="1536"/>
      <c r="Q733" s="1536"/>
      <c r="R733" s="1537"/>
    </row>
    <row r="734" spans="1:19" s="181" customFormat="1" ht="73.5" customHeight="1" x14ac:dyDescent="0.25">
      <c r="A734" s="183"/>
      <c r="B734" s="1305"/>
      <c r="C734" s="196" t="s">
        <v>71</v>
      </c>
      <c r="D734" s="443"/>
      <c r="E734" s="201"/>
      <c r="F734" s="332" t="s">
        <v>898</v>
      </c>
      <c r="G734" s="448">
        <f>G735+G737</f>
        <v>802108.7</v>
      </c>
      <c r="H734" s="448">
        <f t="shared" ref="H734:K734" si="54">H735+H737</f>
        <v>923489.1</v>
      </c>
      <c r="I734" s="448">
        <f t="shared" si="54"/>
        <v>939900.2</v>
      </c>
      <c r="J734" s="448">
        <f t="shared" si="54"/>
        <v>961084.6</v>
      </c>
      <c r="K734" s="448">
        <f t="shared" si="54"/>
        <v>988829.8</v>
      </c>
      <c r="L734" s="202" t="s">
        <v>899</v>
      </c>
      <c r="M734" s="237" t="s">
        <v>4</v>
      </c>
      <c r="N734" s="237">
        <v>10</v>
      </c>
      <c r="O734" s="208">
        <v>12</v>
      </c>
      <c r="P734" s="208">
        <v>14</v>
      </c>
      <c r="Q734" s="208">
        <v>16</v>
      </c>
      <c r="R734" s="208">
        <v>18</v>
      </c>
    </row>
    <row r="735" spans="1:19" s="181" customFormat="1" ht="52.5" customHeight="1" x14ac:dyDescent="0.25">
      <c r="A735" s="183"/>
      <c r="B735" s="1305"/>
      <c r="C735" s="1341"/>
      <c r="D735" s="1341" t="s">
        <v>10</v>
      </c>
      <c r="E735" s="1341"/>
      <c r="F735" s="1538" t="s">
        <v>900</v>
      </c>
      <c r="G735" s="1530">
        <v>798108.7</v>
      </c>
      <c r="H735" s="1530">
        <v>919489.1</v>
      </c>
      <c r="I735" s="1530">
        <v>935900.2</v>
      </c>
      <c r="J735" s="1530">
        <v>957084.6</v>
      </c>
      <c r="K735" s="1530">
        <v>984829.8</v>
      </c>
      <c r="L735" s="265" t="s">
        <v>901</v>
      </c>
      <c r="M735" s="189" t="s">
        <v>318</v>
      </c>
      <c r="N735" s="238">
        <v>1400</v>
      </c>
      <c r="O735" s="238">
        <v>1420</v>
      </c>
      <c r="P735" s="238">
        <v>1450</v>
      </c>
      <c r="Q735" s="238">
        <v>1470</v>
      </c>
      <c r="R735" s="239">
        <v>1500</v>
      </c>
    </row>
    <row r="736" spans="1:19" s="181" customFormat="1" ht="30" x14ac:dyDescent="0.25">
      <c r="A736" s="183"/>
      <c r="B736" s="1305"/>
      <c r="C736" s="1342"/>
      <c r="D736" s="1342"/>
      <c r="E736" s="1342"/>
      <c r="F736" s="1539"/>
      <c r="G736" s="1532"/>
      <c r="H736" s="1532"/>
      <c r="I736" s="1532"/>
      <c r="J736" s="1532"/>
      <c r="K736" s="1532"/>
      <c r="L736" s="202" t="s">
        <v>902</v>
      </c>
      <c r="M736" s="189" t="s">
        <v>318</v>
      </c>
      <c r="N736" s="208">
        <v>290</v>
      </c>
      <c r="O736" s="208">
        <v>320</v>
      </c>
      <c r="P736" s="208">
        <v>340</v>
      </c>
      <c r="Q736" s="208">
        <v>360</v>
      </c>
      <c r="R736" s="619">
        <v>400</v>
      </c>
    </row>
    <row r="737" spans="1:19" s="181" customFormat="1" ht="30.75" thickBot="1" x14ac:dyDescent="0.3">
      <c r="A737" s="183"/>
      <c r="B737" s="1306"/>
      <c r="C737" s="443"/>
      <c r="D737" s="443" t="s">
        <v>13</v>
      </c>
      <c r="E737" s="201"/>
      <c r="F737" s="439" t="s">
        <v>903</v>
      </c>
      <c r="G737" s="445">
        <v>4000</v>
      </c>
      <c r="H737" s="445">
        <v>4000</v>
      </c>
      <c r="I737" s="445">
        <v>4000</v>
      </c>
      <c r="J737" s="445">
        <v>4000</v>
      </c>
      <c r="K737" s="445">
        <v>4000</v>
      </c>
      <c r="L737" s="202" t="s">
        <v>904</v>
      </c>
      <c r="M737" s="189" t="s">
        <v>318</v>
      </c>
      <c r="N737" s="620">
        <v>10</v>
      </c>
      <c r="O737" s="620">
        <v>12</v>
      </c>
      <c r="P737" s="620">
        <v>13</v>
      </c>
      <c r="Q737" s="620">
        <v>14</v>
      </c>
      <c r="R737" s="621">
        <v>15</v>
      </c>
    </row>
    <row r="738" spans="1:19" s="181" customFormat="1" ht="15" x14ac:dyDescent="0.25">
      <c r="A738" s="183"/>
      <c r="B738" s="1276" t="s">
        <v>299</v>
      </c>
      <c r="C738" s="1277"/>
      <c r="D738" s="1277"/>
      <c r="E738" s="1277"/>
      <c r="F738" s="1278"/>
      <c r="G738" s="622">
        <f>G714+G718+G730+G734</f>
        <v>2914307.7</v>
      </c>
      <c r="H738" s="622">
        <f t="shared" ref="H738:K738" si="55">H714+H718+H730+H734</f>
        <v>3041616.8</v>
      </c>
      <c r="I738" s="622">
        <f t="shared" si="55"/>
        <v>3519730.5</v>
      </c>
      <c r="J738" s="622">
        <f t="shared" si="55"/>
        <v>3513543.21</v>
      </c>
      <c r="K738" s="622">
        <f t="shared" si="55"/>
        <v>3611387.7750199996</v>
      </c>
      <c r="L738" s="623"/>
      <c r="M738" s="624"/>
      <c r="N738" s="624"/>
      <c r="O738" s="625"/>
      <c r="P738" s="625"/>
      <c r="Q738" s="625"/>
      <c r="R738" s="625"/>
    </row>
    <row r="739" spans="1:19" s="181" customFormat="1" ht="15" x14ac:dyDescent="0.25">
      <c r="A739" s="183"/>
      <c r="B739" s="1428" t="s">
        <v>905</v>
      </c>
      <c r="C739" s="1429"/>
      <c r="D739" s="1429"/>
      <c r="E739" s="1429"/>
      <c r="F739" s="1429"/>
      <c r="G739" s="1429"/>
      <c r="H739" s="1429"/>
      <c r="I739" s="1429"/>
      <c r="J739" s="1429"/>
      <c r="K739" s="1429"/>
      <c r="L739" s="1429"/>
      <c r="M739" s="1429"/>
      <c r="N739" s="1429"/>
      <c r="O739" s="1429"/>
      <c r="P739" s="1429"/>
      <c r="Q739" s="1429"/>
      <c r="R739" s="1430"/>
    </row>
    <row r="740" spans="1:19" s="181" customFormat="1" ht="28.5" x14ac:dyDescent="0.25">
      <c r="A740" s="183"/>
      <c r="B740" s="1291">
        <v>44</v>
      </c>
      <c r="C740" s="223">
        <v>445</v>
      </c>
      <c r="D740" s="626"/>
      <c r="E740" s="626"/>
      <c r="F740" s="257" t="s">
        <v>906</v>
      </c>
      <c r="G740" s="292">
        <f t="shared" ref="G740:H740" si="56">G741+G742</f>
        <v>793.8</v>
      </c>
      <c r="H740" s="292">
        <f t="shared" si="56"/>
        <v>1025.0999999999999</v>
      </c>
      <c r="I740" s="292">
        <f>I741+I742</f>
        <v>1025.0999999999999</v>
      </c>
      <c r="J740" s="292">
        <f t="shared" ref="J740:K740" si="57">J741+J742</f>
        <v>1045</v>
      </c>
      <c r="K740" s="292">
        <f t="shared" si="57"/>
        <v>1076.2</v>
      </c>
      <c r="L740" s="1076" t="s">
        <v>908</v>
      </c>
      <c r="M740" s="237" t="s">
        <v>4</v>
      </c>
      <c r="N740" s="237">
        <v>100</v>
      </c>
      <c r="O740" s="237">
        <v>100</v>
      </c>
      <c r="P740" s="237">
        <v>100</v>
      </c>
      <c r="Q740" s="237">
        <v>100</v>
      </c>
      <c r="R740" s="627">
        <v>100</v>
      </c>
      <c r="S740" s="462"/>
    </row>
    <row r="741" spans="1:19" s="181" customFormat="1" ht="45" x14ac:dyDescent="0.25">
      <c r="A741" s="183"/>
      <c r="B741" s="1292"/>
      <c r="C741" s="626"/>
      <c r="D741" s="628">
        <v>1</v>
      </c>
      <c r="E741" s="626"/>
      <c r="F741" s="114" t="s">
        <v>907</v>
      </c>
      <c r="G741" s="237">
        <v>793.8</v>
      </c>
      <c r="H741" s="237">
        <v>1025.0999999999999</v>
      </c>
      <c r="I741" s="237">
        <v>848.4</v>
      </c>
      <c r="J741" s="237">
        <v>847.9</v>
      </c>
      <c r="K741" s="237">
        <v>847.9</v>
      </c>
      <c r="L741" s="1059" t="s">
        <v>700</v>
      </c>
      <c r="M741" s="237" t="s">
        <v>4</v>
      </c>
      <c r="N741" s="237">
        <v>100</v>
      </c>
      <c r="O741" s="237">
        <v>100</v>
      </c>
      <c r="P741" s="237">
        <v>100</v>
      </c>
      <c r="Q741" s="237">
        <v>100</v>
      </c>
      <c r="R741" s="627">
        <v>100</v>
      </c>
    </row>
    <row r="742" spans="1:19" s="181" customFormat="1" ht="41.25" customHeight="1" x14ac:dyDescent="0.25">
      <c r="A742" s="183"/>
      <c r="B742" s="1293"/>
      <c r="C742" s="626"/>
      <c r="D742" s="628">
        <v>2</v>
      </c>
      <c r="E742" s="626"/>
      <c r="F742" s="113" t="s">
        <v>909</v>
      </c>
      <c r="G742" s="407"/>
      <c r="H742" s="407"/>
      <c r="I742" s="237">
        <v>176.7</v>
      </c>
      <c r="J742" s="237">
        <v>197.1</v>
      </c>
      <c r="K742" s="237">
        <v>228.3</v>
      </c>
      <c r="L742" s="1059" t="s">
        <v>1647</v>
      </c>
      <c r="M742" s="237"/>
      <c r="N742" s="237"/>
      <c r="O742" s="237"/>
      <c r="P742" s="237"/>
      <c r="Q742" s="237"/>
      <c r="R742" s="627"/>
    </row>
    <row r="743" spans="1:19" s="181" customFormat="1" ht="15" x14ac:dyDescent="0.25">
      <c r="A743" s="183"/>
      <c r="B743" s="1276" t="s">
        <v>299</v>
      </c>
      <c r="C743" s="1277"/>
      <c r="D743" s="1277"/>
      <c r="E743" s="1277"/>
      <c r="F743" s="1278"/>
      <c r="G743" s="629">
        <f>G740</f>
        <v>793.8</v>
      </c>
      <c r="H743" s="629">
        <f>H740</f>
        <v>1025.0999999999999</v>
      </c>
      <c r="I743" s="629">
        <f>I740</f>
        <v>1025.0999999999999</v>
      </c>
      <c r="J743" s="629">
        <f>J740</f>
        <v>1045</v>
      </c>
      <c r="K743" s="629">
        <f>K740</f>
        <v>1076.2</v>
      </c>
      <c r="L743" s="630"/>
      <c r="M743" s="631"/>
      <c r="N743" s="632"/>
      <c r="O743" s="632"/>
      <c r="P743" s="632"/>
      <c r="Q743" s="632"/>
      <c r="R743" s="632"/>
    </row>
    <row r="744" spans="1:19" s="181" customFormat="1" ht="15" x14ac:dyDescent="0.25">
      <c r="A744" s="183"/>
      <c r="B744" s="1428" t="s">
        <v>910</v>
      </c>
      <c r="C744" s="1429"/>
      <c r="D744" s="1429"/>
      <c r="E744" s="1429"/>
      <c r="F744" s="1429"/>
      <c r="G744" s="1429"/>
      <c r="H744" s="1429"/>
      <c r="I744" s="1429"/>
      <c r="J744" s="1429"/>
      <c r="K744" s="1429"/>
      <c r="L744" s="1429"/>
      <c r="M744" s="1429"/>
      <c r="N744" s="1429"/>
      <c r="O744" s="1429"/>
      <c r="P744" s="1429"/>
      <c r="Q744" s="1429"/>
      <c r="R744" s="1430"/>
    </row>
    <row r="745" spans="1:19" s="181" customFormat="1" ht="59.25" x14ac:dyDescent="0.25">
      <c r="A745" s="183"/>
      <c r="B745" s="1380" t="s">
        <v>117</v>
      </c>
      <c r="C745" s="196" t="s">
        <v>118</v>
      </c>
      <c r="D745" s="201"/>
      <c r="E745" s="335"/>
      <c r="F745" s="332" t="s">
        <v>1648</v>
      </c>
      <c r="G745" s="292">
        <f>G746+G747</f>
        <v>21260.7</v>
      </c>
      <c r="H745" s="292">
        <f>H746+H747</f>
        <v>20200.7</v>
      </c>
      <c r="I745" s="292">
        <f>I746+I747</f>
        <v>20200.699999999997</v>
      </c>
      <c r="J745" s="292">
        <f>J746+J747</f>
        <v>20592.3</v>
      </c>
      <c r="K745" s="292">
        <f>K746+K747</f>
        <v>21208.2</v>
      </c>
      <c r="L745" s="633" t="s">
        <v>911</v>
      </c>
      <c r="M745" s="388" t="s">
        <v>318</v>
      </c>
      <c r="N745" s="388">
        <v>36000</v>
      </c>
      <c r="O745" s="381">
        <v>36500</v>
      </c>
      <c r="P745" s="381">
        <v>40000</v>
      </c>
      <c r="Q745" s="381">
        <v>40500</v>
      </c>
      <c r="R745" s="634">
        <v>41000</v>
      </c>
    </row>
    <row r="746" spans="1:19" s="181" customFormat="1" ht="45" x14ac:dyDescent="0.25">
      <c r="A746" s="183"/>
      <c r="B746" s="1380"/>
      <c r="C746" s="443"/>
      <c r="D746" s="443" t="s">
        <v>10</v>
      </c>
      <c r="E746" s="635"/>
      <c r="F746" s="444" t="s">
        <v>912</v>
      </c>
      <c r="G746" s="410">
        <f>4557.5+9133.9+3611.9</f>
        <v>17303.3</v>
      </c>
      <c r="H746" s="410">
        <f>4383.6+8490.8+3536.6</f>
        <v>16411</v>
      </c>
      <c r="I746" s="410">
        <f>3540.8+9639.1+610.8+1662.7+11+35+75+35+80.3+25+45+200+360.8</f>
        <v>16320.5</v>
      </c>
      <c r="J746" s="410">
        <f>3946+680.7+50+20.2+28.5+70.9+25+137.6+8027.4+3768.3</f>
        <v>16754.599999999999</v>
      </c>
      <c r="K746" s="410">
        <f>3946+680.7+50+70.7+28.5+104.9+25+187.6+8276.5+3871.8</f>
        <v>17241.7</v>
      </c>
      <c r="L746" s="636" t="s">
        <v>913</v>
      </c>
      <c r="M746" s="388" t="s">
        <v>318</v>
      </c>
      <c r="N746" s="388">
        <v>11</v>
      </c>
      <c r="O746" s="381">
        <v>12</v>
      </c>
      <c r="P746" s="381">
        <v>12</v>
      </c>
      <c r="Q746" s="381">
        <v>12</v>
      </c>
      <c r="R746" s="634">
        <v>12</v>
      </c>
    </row>
    <row r="747" spans="1:19" s="181" customFormat="1" ht="30" x14ac:dyDescent="0.25">
      <c r="A747" s="183"/>
      <c r="B747" s="1380"/>
      <c r="C747" s="201"/>
      <c r="D747" s="201" t="s">
        <v>13</v>
      </c>
      <c r="E747" s="335"/>
      <c r="F747" s="241" t="s">
        <v>914</v>
      </c>
      <c r="G747" s="237">
        <f>2571.9+992.9+392.6</f>
        <v>3957.4</v>
      </c>
      <c r="H747" s="237">
        <f>2482.4+922.9+384.4</f>
        <v>3789.7000000000003</v>
      </c>
      <c r="I747" s="237">
        <f>2050.2+1047.7+353.7+180.7+35+35+8.7+25+5+100+39.2</f>
        <v>3880.1999999999989</v>
      </c>
      <c r="J747" s="237">
        <f>2028.1+349.8+25+10+14.2+35+25+68.5+872.5+409.6</f>
        <v>3837.7</v>
      </c>
      <c r="K747" s="237">
        <f>2028.1+349.8+25+35+14.2+50.5+25+118.5+899.6+420.8</f>
        <v>3966.5</v>
      </c>
      <c r="L747" s="633" t="s">
        <v>915</v>
      </c>
      <c r="M747" s="388" t="s">
        <v>318</v>
      </c>
      <c r="N747" s="388">
        <v>5000</v>
      </c>
      <c r="O747" s="388">
        <v>5100</v>
      </c>
      <c r="P747" s="429">
        <v>5200</v>
      </c>
      <c r="Q747" s="429">
        <v>5300</v>
      </c>
      <c r="R747" s="637">
        <v>5400</v>
      </c>
    </row>
    <row r="748" spans="1:19" s="181" customFormat="1" ht="15" x14ac:dyDescent="0.25">
      <c r="A748" s="183"/>
      <c r="B748" s="1276" t="s">
        <v>299</v>
      </c>
      <c r="C748" s="1277"/>
      <c r="D748" s="1277"/>
      <c r="E748" s="1277"/>
      <c r="F748" s="1278"/>
      <c r="G748" s="629">
        <f>G745</f>
        <v>21260.7</v>
      </c>
      <c r="H748" s="629">
        <f t="shared" ref="H748:K748" si="58">H745</f>
        <v>20200.7</v>
      </c>
      <c r="I748" s="629">
        <f t="shared" si="58"/>
        <v>20200.699999999997</v>
      </c>
      <c r="J748" s="629">
        <f t="shared" si="58"/>
        <v>20592.3</v>
      </c>
      <c r="K748" s="629">
        <f t="shared" si="58"/>
        <v>21208.2</v>
      </c>
      <c r="L748" s="630"/>
      <c r="M748" s="631"/>
      <c r="N748" s="632"/>
      <c r="O748" s="632"/>
      <c r="P748" s="632"/>
      <c r="Q748" s="632"/>
      <c r="R748" s="632"/>
    </row>
    <row r="749" spans="1:19" s="181" customFormat="1" ht="15" x14ac:dyDescent="0.25">
      <c r="A749" s="183"/>
      <c r="B749" s="1276" t="s">
        <v>584</v>
      </c>
      <c r="C749" s="1277"/>
      <c r="D749" s="1277"/>
      <c r="E749" s="1277"/>
      <c r="F749" s="1278"/>
      <c r="G749" s="629">
        <f>G738+G743+G748</f>
        <v>2936362.2</v>
      </c>
      <c r="H749" s="629">
        <f t="shared" ref="H749:K749" si="59">H738+H743+H748</f>
        <v>3062842.6</v>
      </c>
      <c r="I749" s="629">
        <f t="shared" si="59"/>
        <v>3540956.3000000003</v>
      </c>
      <c r="J749" s="629">
        <f t="shared" si="59"/>
        <v>3535180.51</v>
      </c>
      <c r="K749" s="629">
        <f t="shared" si="59"/>
        <v>3633672.17502</v>
      </c>
      <c r="L749" s="630"/>
      <c r="M749" s="631"/>
      <c r="N749" s="632"/>
      <c r="O749" s="632"/>
      <c r="P749" s="632"/>
      <c r="Q749" s="632"/>
      <c r="R749" s="632"/>
    </row>
    <row r="750" spans="1:19" s="181" customFormat="1" ht="15" x14ac:dyDescent="0.25">
      <c r="A750" s="183"/>
      <c r="B750" s="1428" t="s">
        <v>916</v>
      </c>
      <c r="C750" s="1429"/>
      <c r="D750" s="1429"/>
      <c r="E750" s="1429"/>
      <c r="F750" s="1429"/>
      <c r="G750" s="1429"/>
      <c r="H750" s="1429"/>
      <c r="I750" s="1429"/>
      <c r="J750" s="1429"/>
      <c r="K750" s="1429"/>
      <c r="L750" s="1429"/>
      <c r="M750" s="1429"/>
      <c r="N750" s="1429"/>
      <c r="O750" s="1429"/>
      <c r="P750" s="1429"/>
      <c r="Q750" s="1429"/>
      <c r="R750" s="1430"/>
    </row>
    <row r="751" spans="1:19" s="181" customFormat="1" ht="44.25" x14ac:dyDescent="0.25">
      <c r="A751" s="183"/>
      <c r="B751" s="1546" t="s">
        <v>917</v>
      </c>
      <c r="C751" s="394" t="s">
        <v>0</v>
      </c>
      <c r="D751" s="394"/>
      <c r="E751" s="394"/>
      <c r="F751" s="313" t="s">
        <v>1649</v>
      </c>
      <c r="G751" s="638">
        <v>103966</v>
      </c>
      <c r="H751" s="638">
        <v>129171.6</v>
      </c>
      <c r="I751" s="550">
        <v>129171.63</v>
      </c>
      <c r="J751" s="550">
        <f>J752</f>
        <v>131625.89097000001</v>
      </c>
      <c r="K751" s="550">
        <f>K752</f>
        <v>135574.66769910001</v>
      </c>
      <c r="L751" s="370" t="s">
        <v>586</v>
      </c>
      <c r="M751" s="639" t="s">
        <v>918</v>
      </c>
      <c r="N751" s="44">
        <v>44.62</v>
      </c>
      <c r="O751" s="333">
        <v>50</v>
      </c>
      <c r="P751" s="333">
        <v>50</v>
      </c>
      <c r="Q751" s="333">
        <v>50</v>
      </c>
      <c r="R751" s="333">
        <v>50</v>
      </c>
    </row>
    <row r="752" spans="1:19" s="181" customFormat="1" ht="30" x14ac:dyDescent="0.25">
      <c r="A752" s="183"/>
      <c r="B752" s="1546"/>
      <c r="C752" s="393"/>
      <c r="D752" s="393" t="s">
        <v>10</v>
      </c>
      <c r="E752" s="394"/>
      <c r="F752" s="204" t="s">
        <v>1650</v>
      </c>
      <c r="G752" s="640">
        <v>103966</v>
      </c>
      <c r="H752" s="640">
        <v>129171.63</v>
      </c>
      <c r="I752" s="203">
        <v>129171.63</v>
      </c>
      <c r="J752" s="203">
        <f>I752*101.9%</f>
        <v>131625.89097000001</v>
      </c>
      <c r="K752" s="203">
        <f>J752*103%</f>
        <v>135574.66769910001</v>
      </c>
      <c r="L752" s="370" t="s">
        <v>586</v>
      </c>
      <c r="M752" s="639" t="s">
        <v>918</v>
      </c>
      <c r="N752" s="44">
        <v>44.62</v>
      </c>
      <c r="O752" s="390">
        <v>50</v>
      </c>
      <c r="P752" s="390">
        <v>50</v>
      </c>
      <c r="Q752" s="390">
        <v>50</v>
      </c>
      <c r="R752" s="390">
        <v>50</v>
      </c>
    </row>
    <row r="753" spans="1:18" s="181" customFormat="1" ht="73.5" x14ac:dyDescent="0.25">
      <c r="A753" s="183"/>
      <c r="B753" s="1546"/>
      <c r="C753" s="394" t="s">
        <v>137</v>
      </c>
      <c r="D753" s="393"/>
      <c r="E753" s="393"/>
      <c r="F753" s="313" t="s">
        <v>1651</v>
      </c>
      <c r="G753" s="641">
        <f>G754+G756</f>
        <v>306602.90000000002</v>
      </c>
      <c r="H753" s="638">
        <f>H754+H756</f>
        <v>1358466.4</v>
      </c>
      <c r="I753" s="258">
        <f>I754+I756</f>
        <v>743655.7</v>
      </c>
      <c r="J753" s="258">
        <f>J754+J756</f>
        <v>1632912.0463</v>
      </c>
      <c r="K753" s="258">
        <f>K754+K756</f>
        <v>1581584.6596889999</v>
      </c>
      <c r="L753" s="370" t="s">
        <v>1770</v>
      </c>
      <c r="M753" s="390" t="s">
        <v>4</v>
      </c>
      <c r="N753" s="642">
        <v>80</v>
      </c>
      <c r="O753" s="418">
        <v>90</v>
      </c>
      <c r="P753" s="418">
        <v>90</v>
      </c>
      <c r="Q753" s="418">
        <v>90</v>
      </c>
      <c r="R753" s="418">
        <v>90</v>
      </c>
    </row>
    <row r="754" spans="1:18" s="181" customFormat="1" ht="30" x14ac:dyDescent="0.25">
      <c r="A754" s="183"/>
      <c r="B754" s="1546"/>
      <c r="C754" s="1542"/>
      <c r="D754" s="1542" t="s">
        <v>10</v>
      </c>
      <c r="E754" s="1542"/>
      <c r="F754" s="1456" t="s">
        <v>1652</v>
      </c>
      <c r="G754" s="1540">
        <v>14070.4</v>
      </c>
      <c r="H754" s="1540">
        <v>15211.4</v>
      </c>
      <c r="I754" s="1533">
        <v>15407.7</v>
      </c>
      <c r="J754" s="1489">
        <f>I754*101.9%</f>
        <v>15700.446300000003</v>
      </c>
      <c r="K754" s="1489">
        <f>J754*103%</f>
        <v>16171.459689000003</v>
      </c>
      <c r="L754" s="449" t="s">
        <v>919</v>
      </c>
      <c r="M754" s="390" t="s">
        <v>395</v>
      </c>
      <c r="N754" s="642">
        <v>1532</v>
      </c>
      <c r="O754" s="418">
        <v>2500</v>
      </c>
      <c r="P754" s="418">
        <v>2500</v>
      </c>
      <c r="Q754" s="418">
        <v>2500</v>
      </c>
      <c r="R754" s="418">
        <v>2500</v>
      </c>
    </row>
    <row r="755" spans="1:18" s="181" customFormat="1" ht="30" x14ac:dyDescent="0.25">
      <c r="A755" s="183"/>
      <c r="B755" s="1546"/>
      <c r="C755" s="1543"/>
      <c r="D755" s="1543"/>
      <c r="E755" s="1543"/>
      <c r="F755" s="1457"/>
      <c r="G755" s="1541"/>
      <c r="H755" s="1541"/>
      <c r="I755" s="1534"/>
      <c r="J755" s="1492"/>
      <c r="K755" s="1492"/>
      <c r="L755" s="370" t="s">
        <v>920</v>
      </c>
      <c r="M755" s="390" t="s">
        <v>4</v>
      </c>
      <c r="N755" s="46" t="s">
        <v>138</v>
      </c>
      <c r="O755" s="406" t="s">
        <v>139</v>
      </c>
      <c r="P755" s="406" t="s">
        <v>140</v>
      </c>
      <c r="Q755" s="406" t="s">
        <v>141</v>
      </c>
      <c r="R755" s="406" t="s">
        <v>141</v>
      </c>
    </row>
    <row r="756" spans="1:18" s="181" customFormat="1" ht="45" x14ac:dyDescent="0.25">
      <c r="A756" s="183"/>
      <c r="B756" s="1546"/>
      <c r="C756" s="393"/>
      <c r="D756" s="393" t="s">
        <v>13</v>
      </c>
      <c r="E756" s="394"/>
      <c r="F756" s="344" t="s">
        <v>1653</v>
      </c>
      <c r="G756" s="643">
        <v>292532.5</v>
      </c>
      <c r="H756" s="643">
        <v>1343255</v>
      </c>
      <c r="I756" s="203">
        <v>728248</v>
      </c>
      <c r="J756" s="277">
        <v>1617211.6</v>
      </c>
      <c r="K756" s="277">
        <v>1565413.2</v>
      </c>
      <c r="L756" s="315" t="s">
        <v>921</v>
      </c>
      <c r="M756" s="390" t="s">
        <v>4</v>
      </c>
      <c r="N756" s="390">
        <v>79.5</v>
      </c>
      <c r="O756" s="644">
        <v>100</v>
      </c>
      <c r="P756" s="644">
        <v>100</v>
      </c>
      <c r="Q756" s="644">
        <v>100</v>
      </c>
      <c r="R756" s="644">
        <v>100</v>
      </c>
    </row>
    <row r="757" spans="1:18" s="181" customFormat="1" ht="89.25" x14ac:dyDescent="0.25">
      <c r="A757" s="183"/>
      <c r="B757" s="1546"/>
      <c r="C757" s="394" t="s">
        <v>142</v>
      </c>
      <c r="D757" s="393"/>
      <c r="E757" s="393"/>
      <c r="F757" s="313" t="s">
        <v>922</v>
      </c>
      <c r="G757" s="638">
        <f>G758+G760+G762+G763</f>
        <v>1619570.5000000002</v>
      </c>
      <c r="H757" s="638">
        <f t="shared" ref="H757:K757" si="60">H758+H760+H762+H763</f>
        <v>1612773</v>
      </c>
      <c r="I757" s="638">
        <f>I758+I760+I762+I763</f>
        <v>1530063.0999999999</v>
      </c>
      <c r="J757" s="638">
        <f>J758+J760+J762+J763</f>
        <v>1559819.0489000001</v>
      </c>
      <c r="K757" s="638">
        <f t="shared" si="60"/>
        <v>1606317.4203670002</v>
      </c>
      <c r="L757" s="370" t="s">
        <v>923</v>
      </c>
      <c r="M757" s="390" t="s">
        <v>395</v>
      </c>
      <c r="N757" s="645" t="s">
        <v>143</v>
      </c>
      <c r="O757" s="646" t="s">
        <v>144</v>
      </c>
      <c r="P757" s="646" t="s">
        <v>144</v>
      </c>
      <c r="Q757" s="646" t="s">
        <v>144</v>
      </c>
      <c r="R757" s="646" t="s">
        <v>144</v>
      </c>
    </row>
    <row r="758" spans="1:18" s="181" customFormat="1" ht="30" x14ac:dyDescent="0.25">
      <c r="A758" s="183"/>
      <c r="B758" s="1546"/>
      <c r="C758" s="1472"/>
      <c r="D758" s="1472" t="s">
        <v>10</v>
      </c>
      <c r="E758" s="1542"/>
      <c r="F758" s="1456" t="s">
        <v>924</v>
      </c>
      <c r="G758" s="1544">
        <f>61275.4+32610.8+45899.5+94147.4</f>
        <v>233933.1</v>
      </c>
      <c r="H758" s="1544">
        <f>70332.2+108780.2+134823.2+100000</f>
        <v>413935.6</v>
      </c>
      <c r="I758" s="1489">
        <f>57332.9+110306.5+134823.2</f>
        <v>302462.59999999998</v>
      </c>
      <c r="J758" s="1489">
        <f>I758*101.9%</f>
        <v>308209.38940000004</v>
      </c>
      <c r="K758" s="1489">
        <f>J758*103%</f>
        <v>317455.67108200007</v>
      </c>
      <c r="L758" s="370" t="s">
        <v>925</v>
      </c>
      <c r="M758" s="390" t="s">
        <v>395</v>
      </c>
      <c r="N758" s="645" t="s">
        <v>145</v>
      </c>
      <c r="O758" s="646" t="s">
        <v>146</v>
      </c>
      <c r="P758" s="646" t="s">
        <v>146</v>
      </c>
      <c r="Q758" s="646" t="s">
        <v>146</v>
      </c>
      <c r="R758" s="646" t="s">
        <v>146</v>
      </c>
    </row>
    <row r="759" spans="1:18" s="181" customFormat="1" ht="15" x14ac:dyDescent="0.25">
      <c r="A759" s="183"/>
      <c r="B759" s="1546"/>
      <c r="C759" s="1473"/>
      <c r="D759" s="1473"/>
      <c r="E759" s="1543"/>
      <c r="F759" s="1457"/>
      <c r="G759" s="1545"/>
      <c r="H759" s="1545"/>
      <c r="I759" s="1492"/>
      <c r="J759" s="1492"/>
      <c r="K759" s="1492"/>
      <c r="L759" s="370" t="s">
        <v>1771</v>
      </c>
      <c r="M759" s="390" t="s">
        <v>395</v>
      </c>
      <c r="N759" s="645" t="s">
        <v>147</v>
      </c>
      <c r="O759" s="646" t="s">
        <v>148</v>
      </c>
      <c r="P759" s="646" t="s">
        <v>148</v>
      </c>
      <c r="Q759" s="646" t="s">
        <v>148</v>
      </c>
      <c r="R759" s="646" t="s">
        <v>148</v>
      </c>
    </row>
    <row r="760" spans="1:18" s="181" customFormat="1" ht="15" x14ac:dyDescent="0.25">
      <c r="A760" s="183"/>
      <c r="B760" s="1546"/>
      <c r="C760" s="1542"/>
      <c r="D760" s="1542" t="s">
        <v>13</v>
      </c>
      <c r="E760" s="1542"/>
      <c r="F760" s="1456" t="s">
        <v>926</v>
      </c>
      <c r="G760" s="1540">
        <v>9637.2000000000007</v>
      </c>
      <c r="H760" s="1540">
        <v>30115.599999999999</v>
      </c>
      <c r="I760" s="1547">
        <v>31389.9</v>
      </c>
      <c r="J760" s="1489">
        <f>I760*101.9%</f>
        <v>31986.308100000006</v>
      </c>
      <c r="K760" s="1489">
        <f>J760*103%</f>
        <v>32945.897343000004</v>
      </c>
      <c r="L760" s="1244" t="s">
        <v>927</v>
      </c>
      <c r="M760" s="390" t="s">
        <v>4</v>
      </c>
      <c r="N760" s="645" t="s">
        <v>149</v>
      </c>
      <c r="O760" s="646" t="s">
        <v>150</v>
      </c>
      <c r="P760" s="646" t="s">
        <v>151</v>
      </c>
      <c r="Q760" s="646" t="s">
        <v>151</v>
      </c>
      <c r="R760" s="646" t="s">
        <v>151</v>
      </c>
    </row>
    <row r="761" spans="1:18" s="181" customFormat="1" ht="30" x14ac:dyDescent="0.25">
      <c r="A761" s="183"/>
      <c r="B761" s="1546"/>
      <c r="C761" s="1543"/>
      <c r="D761" s="1543"/>
      <c r="E761" s="1543"/>
      <c r="F761" s="1457"/>
      <c r="G761" s="1541"/>
      <c r="H761" s="1541"/>
      <c r="I761" s="1548"/>
      <c r="J761" s="1492"/>
      <c r="K761" s="1492"/>
      <c r="L761" s="647" t="s">
        <v>928</v>
      </c>
      <c r="M761" s="648" t="s">
        <v>395</v>
      </c>
      <c r="N761" s="648" t="s">
        <v>149</v>
      </c>
      <c r="O761" s="406" t="s">
        <v>152</v>
      </c>
      <c r="P761" s="406" t="s">
        <v>153</v>
      </c>
      <c r="Q761" s="406" t="s">
        <v>154</v>
      </c>
      <c r="R761" s="406" t="s">
        <v>41</v>
      </c>
    </row>
    <row r="762" spans="1:18" s="181" customFormat="1" ht="15" x14ac:dyDescent="0.25">
      <c r="A762" s="183"/>
      <c r="B762" s="1546"/>
      <c r="C762" s="1542"/>
      <c r="D762" s="1542" t="s">
        <v>9</v>
      </c>
      <c r="E762" s="1542"/>
      <c r="F762" s="1500" t="s">
        <v>929</v>
      </c>
      <c r="G762" s="643">
        <v>1374333.1</v>
      </c>
      <c r="H762" s="643">
        <v>1164671.8</v>
      </c>
      <c r="I762" s="203">
        <f>101932.9+173303+77228.5+58250+36960.7+12881.8+14211.8+33881.2+155584.9+130334.9+63729.7+90739.8+111157.8+43715.7+38169.4+16478.5+33600</f>
        <v>1192160.5999999999</v>
      </c>
      <c r="J762" s="277">
        <f>(I762*101.9%)+761.7</f>
        <v>1215573.3514</v>
      </c>
      <c r="K762" s="277">
        <f>(J762*103%)+609.9-784.6</f>
        <v>1251865.851942</v>
      </c>
      <c r="L762" s="344" t="s">
        <v>930</v>
      </c>
      <c r="M762" s="333" t="s">
        <v>4</v>
      </c>
      <c r="N762" s="406" t="s">
        <v>155</v>
      </c>
      <c r="O762" s="406" t="s">
        <v>138</v>
      </c>
      <c r="P762" s="406" t="s">
        <v>140</v>
      </c>
      <c r="Q762" s="406" t="s">
        <v>140</v>
      </c>
      <c r="R762" s="406" t="s">
        <v>140</v>
      </c>
    </row>
    <row r="763" spans="1:18" s="181" customFormat="1" ht="28.5" customHeight="1" x14ac:dyDescent="0.25">
      <c r="A763" s="183"/>
      <c r="B763" s="1546"/>
      <c r="C763" s="1543"/>
      <c r="D763" s="1543"/>
      <c r="E763" s="1543"/>
      <c r="F763" s="1500"/>
      <c r="G763" s="643">
        <f>1933.2-85.2-180.9</f>
        <v>1667.1</v>
      </c>
      <c r="H763" s="643">
        <v>4050</v>
      </c>
      <c r="I763" s="203">
        <f>5500-620-830</f>
        <v>4050</v>
      </c>
      <c r="J763" s="277">
        <v>4050</v>
      </c>
      <c r="K763" s="277">
        <v>4050</v>
      </c>
      <c r="L763" s="344"/>
      <c r="M763" s="333"/>
      <c r="N763" s="406"/>
      <c r="O763" s="406"/>
      <c r="P763" s="406"/>
      <c r="Q763" s="406"/>
      <c r="R763" s="406"/>
    </row>
    <row r="764" spans="1:18" s="181" customFormat="1" ht="132.75" x14ac:dyDescent="0.25">
      <c r="A764" s="183"/>
      <c r="B764" s="1546"/>
      <c r="C764" s="394" t="s">
        <v>156</v>
      </c>
      <c r="D764" s="393"/>
      <c r="E764" s="649"/>
      <c r="F764" s="313" t="s">
        <v>1654</v>
      </c>
      <c r="G764" s="638">
        <f>G765+G767+G766+G768</f>
        <v>25991.800000000003</v>
      </c>
      <c r="H764" s="638">
        <f t="shared" ref="H764:K764" si="61">H765+H767+H766+H768</f>
        <v>28417.1</v>
      </c>
      <c r="I764" s="638">
        <f>I765+I767+I766+I768</f>
        <v>27409.199999999997</v>
      </c>
      <c r="J764" s="638">
        <f>J765+J767+J766+J768</f>
        <v>27902.424800000001</v>
      </c>
      <c r="K764" s="638">
        <f t="shared" si="61"/>
        <v>28695.997544000005</v>
      </c>
      <c r="L764" s="449" t="s">
        <v>931</v>
      </c>
      <c r="M764" s="650" t="s">
        <v>395</v>
      </c>
      <c r="N764" s="651">
        <f>N765+N767</f>
        <v>12373</v>
      </c>
      <c r="O764" s="651">
        <f>O765+O767</f>
        <v>12150</v>
      </c>
      <c r="P764" s="651">
        <f t="shared" ref="P764:R764" si="62">P765+P767</f>
        <v>20200</v>
      </c>
      <c r="Q764" s="651">
        <f t="shared" si="62"/>
        <v>23200</v>
      </c>
      <c r="R764" s="651">
        <f t="shared" si="62"/>
        <v>27200</v>
      </c>
    </row>
    <row r="765" spans="1:18" s="181" customFormat="1" ht="30" x14ac:dyDescent="0.25">
      <c r="A765" s="183"/>
      <c r="B765" s="1546"/>
      <c r="C765" s="1542"/>
      <c r="D765" s="1542" t="s">
        <v>10</v>
      </c>
      <c r="E765" s="1542"/>
      <c r="F765" s="1456" t="s">
        <v>1656</v>
      </c>
      <c r="G765" s="643">
        <v>16641.5</v>
      </c>
      <c r="H765" s="643">
        <v>17559.599999999999</v>
      </c>
      <c r="I765" s="369">
        <v>17564.599999999999</v>
      </c>
      <c r="J765" s="277">
        <f t="shared" ref="J765:J770" si="63">I765*101.9%</f>
        <v>17898.327400000002</v>
      </c>
      <c r="K765" s="277">
        <f t="shared" ref="K765:K770" si="64">J765*103%</f>
        <v>18435.277222000004</v>
      </c>
      <c r="L765" s="561" t="s">
        <v>1655</v>
      </c>
      <c r="M765" s="650" t="s">
        <v>395</v>
      </c>
      <c r="N765" s="393" t="s">
        <v>157</v>
      </c>
      <c r="O765" s="406" t="s">
        <v>158</v>
      </c>
      <c r="P765" s="406" t="s">
        <v>159</v>
      </c>
      <c r="Q765" s="406" t="s">
        <v>160</v>
      </c>
      <c r="R765" s="406" t="s">
        <v>161</v>
      </c>
    </row>
    <row r="766" spans="1:18" s="181" customFormat="1" ht="41.25" customHeight="1" x14ac:dyDescent="0.25">
      <c r="A766" s="183"/>
      <c r="B766" s="1546"/>
      <c r="C766" s="1543"/>
      <c r="D766" s="1543"/>
      <c r="E766" s="1543"/>
      <c r="F766" s="1457"/>
      <c r="G766" s="643">
        <v>85.2</v>
      </c>
      <c r="H766" s="643">
        <v>620</v>
      </c>
      <c r="I766" s="369">
        <v>620</v>
      </c>
      <c r="J766" s="277">
        <v>620</v>
      </c>
      <c r="K766" s="277">
        <v>620</v>
      </c>
      <c r="L766" s="561"/>
      <c r="M766" s="650"/>
      <c r="N766" s="393"/>
      <c r="O766" s="406"/>
      <c r="P766" s="406"/>
      <c r="Q766" s="406"/>
      <c r="R766" s="406"/>
    </row>
    <row r="767" spans="1:18" s="181" customFormat="1" ht="15" x14ac:dyDescent="0.25">
      <c r="A767" s="183"/>
      <c r="B767" s="1546"/>
      <c r="C767" s="1542"/>
      <c r="D767" s="1542" t="s">
        <v>13</v>
      </c>
      <c r="E767" s="1542"/>
      <c r="F767" s="1456" t="s">
        <v>932</v>
      </c>
      <c r="G767" s="640">
        <v>9084.2000000000007</v>
      </c>
      <c r="H767" s="640">
        <v>9407.5</v>
      </c>
      <c r="I767" s="369">
        <v>8394.6</v>
      </c>
      <c r="J767" s="277">
        <f t="shared" si="63"/>
        <v>8554.0974000000006</v>
      </c>
      <c r="K767" s="277">
        <f t="shared" si="64"/>
        <v>8810.720322000001</v>
      </c>
      <c r="L767" s="561" t="s">
        <v>933</v>
      </c>
      <c r="M767" s="333" t="s">
        <v>395</v>
      </c>
      <c r="N767" s="406" t="s">
        <v>162</v>
      </c>
      <c r="O767" s="406" t="s">
        <v>163</v>
      </c>
      <c r="P767" s="406" t="s">
        <v>164</v>
      </c>
      <c r="Q767" s="406" t="s">
        <v>164</v>
      </c>
      <c r="R767" s="406" t="s">
        <v>164</v>
      </c>
    </row>
    <row r="768" spans="1:18" s="181" customFormat="1" ht="15" x14ac:dyDescent="0.25">
      <c r="A768" s="183"/>
      <c r="B768" s="1546"/>
      <c r="C768" s="1543"/>
      <c r="D768" s="1543"/>
      <c r="E768" s="1543"/>
      <c r="F768" s="1457"/>
      <c r="G768" s="640">
        <v>180.9</v>
      </c>
      <c r="H768" s="640">
        <v>830</v>
      </c>
      <c r="I768" s="369">
        <v>830</v>
      </c>
      <c r="J768" s="277">
        <v>830</v>
      </c>
      <c r="K768" s="277">
        <v>830</v>
      </c>
      <c r="L768" s="561"/>
      <c r="M768" s="333"/>
      <c r="N768" s="406"/>
      <c r="O768" s="406"/>
      <c r="P768" s="406"/>
      <c r="Q768" s="406"/>
      <c r="R768" s="406"/>
    </row>
    <row r="769" spans="1:18" s="181" customFormat="1" ht="30" x14ac:dyDescent="0.25">
      <c r="A769" s="183"/>
      <c r="B769" s="1546"/>
      <c r="C769" s="652" t="s">
        <v>215</v>
      </c>
      <c r="D769" s="652"/>
      <c r="E769" s="652"/>
      <c r="F769" s="383" t="s">
        <v>934</v>
      </c>
      <c r="G769" s="653">
        <v>0</v>
      </c>
      <c r="H769" s="653">
        <v>0</v>
      </c>
      <c r="I769" s="654">
        <f>SUM(I770:I771)</f>
        <v>290314.09999999998</v>
      </c>
      <c r="J769" s="654">
        <f>I769*101.9%-0.1</f>
        <v>295829.96790000005</v>
      </c>
      <c r="K769" s="654">
        <f>J769*103%+0.1</f>
        <v>304704.96693700005</v>
      </c>
      <c r="L769" s="370" t="s">
        <v>935</v>
      </c>
      <c r="M769" s="333" t="s">
        <v>395</v>
      </c>
      <c r="N769" s="655">
        <f>(N771+N772)/2</f>
        <v>47.08</v>
      </c>
      <c r="O769" s="333">
        <f t="shared" ref="O769:R769" si="65">(O771+O772)/2</f>
        <v>33</v>
      </c>
      <c r="P769" s="333">
        <f t="shared" si="65"/>
        <v>33</v>
      </c>
      <c r="Q769" s="333">
        <f t="shared" si="65"/>
        <v>33</v>
      </c>
      <c r="R769" s="333">
        <f t="shared" si="65"/>
        <v>33</v>
      </c>
    </row>
    <row r="770" spans="1:18" s="181" customFormat="1" ht="30" x14ac:dyDescent="0.25">
      <c r="A770" s="183"/>
      <c r="B770" s="1546"/>
      <c r="C770" s="648"/>
      <c r="D770" s="648" t="s">
        <v>10</v>
      </c>
      <c r="E770" s="648"/>
      <c r="F770" s="370" t="s">
        <v>1657</v>
      </c>
      <c r="G770" s="656">
        <v>0</v>
      </c>
      <c r="H770" s="656">
        <v>0</v>
      </c>
      <c r="I770" s="657">
        <v>44229.2</v>
      </c>
      <c r="J770" s="657">
        <f t="shared" si="63"/>
        <v>45069.554800000005</v>
      </c>
      <c r="K770" s="369">
        <f t="shared" si="64"/>
        <v>46421.641444000008</v>
      </c>
      <c r="L770" s="370" t="s">
        <v>935</v>
      </c>
      <c r="M770" s="392" t="s">
        <v>395</v>
      </c>
      <c r="N770" s="403">
        <v>47.1</v>
      </c>
      <c r="O770" s="403">
        <v>33</v>
      </c>
      <c r="P770" s="403">
        <v>33</v>
      </c>
      <c r="Q770" s="403">
        <v>33</v>
      </c>
      <c r="R770" s="403">
        <v>33</v>
      </c>
    </row>
    <row r="771" spans="1:18" s="181" customFormat="1" ht="30" x14ac:dyDescent="0.25">
      <c r="A771" s="183"/>
      <c r="B771" s="1546"/>
      <c r="C771" s="1496"/>
      <c r="D771" s="1493" t="s">
        <v>13</v>
      </c>
      <c r="E771" s="1496"/>
      <c r="F771" s="1562" t="s">
        <v>1658</v>
      </c>
      <c r="G771" s="1563">
        <v>0</v>
      </c>
      <c r="H771" s="1563">
        <v>0</v>
      </c>
      <c r="I771" s="1559">
        <f>246084.8+0.1</f>
        <v>246084.9</v>
      </c>
      <c r="J771" s="1559">
        <f>I771*101.9%-0.1</f>
        <v>250760.41310000001</v>
      </c>
      <c r="K771" s="1559">
        <f>J771*103%</f>
        <v>258283.22549300001</v>
      </c>
      <c r="L771" s="561" t="s">
        <v>936</v>
      </c>
      <c r="M771" s="392" t="s">
        <v>4</v>
      </c>
      <c r="N771" s="392">
        <v>22.8</v>
      </c>
      <c r="O771" s="392">
        <v>23</v>
      </c>
      <c r="P771" s="392">
        <v>23</v>
      </c>
      <c r="Q771" s="392">
        <v>23</v>
      </c>
      <c r="R771" s="392">
        <v>23</v>
      </c>
    </row>
    <row r="772" spans="1:18" s="181" customFormat="1" ht="15" x14ac:dyDescent="0.25">
      <c r="A772" s="183"/>
      <c r="B772" s="1546"/>
      <c r="C772" s="1496"/>
      <c r="D772" s="1498"/>
      <c r="E772" s="1496"/>
      <c r="F772" s="1562"/>
      <c r="G772" s="1564"/>
      <c r="H772" s="1564"/>
      <c r="I772" s="1559"/>
      <c r="J772" s="1559"/>
      <c r="K772" s="1559"/>
      <c r="L772" s="561" t="s">
        <v>937</v>
      </c>
      <c r="M772" s="392" t="s">
        <v>4</v>
      </c>
      <c r="N772" s="392">
        <v>71.36</v>
      </c>
      <c r="O772" s="392">
        <v>43</v>
      </c>
      <c r="P772" s="392">
        <v>43</v>
      </c>
      <c r="Q772" s="392">
        <v>43</v>
      </c>
      <c r="R772" s="392">
        <v>43</v>
      </c>
    </row>
    <row r="773" spans="1:18" s="181" customFormat="1" ht="15" x14ac:dyDescent="0.25">
      <c r="A773" s="183"/>
      <c r="B773" s="1276" t="s">
        <v>299</v>
      </c>
      <c r="C773" s="1277"/>
      <c r="D773" s="1277"/>
      <c r="E773" s="1277"/>
      <c r="F773" s="1278"/>
      <c r="G773" s="658">
        <f>G751+G753+G757+G764</f>
        <v>2056131.2000000004</v>
      </c>
      <c r="H773" s="658">
        <f>H751+H753+H757+H764</f>
        <v>3128828.1</v>
      </c>
      <c r="I773" s="659">
        <f>I751+I753+I757+I764+I769</f>
        <v>2720613.73</v>
      </c>
      <c r="J773" s="659">
        <f>J751+J753+J757+J764+J769</f>
        <v>3648089.3788700006</v>
      </c>
      <c r="K773" s="659">
        <f>K751+K753+K757+K764+K769</f>
        <v>3656877.7122360999</v>
      </c>
      <c r="L773" s="397"/>
      <c r="M773" s="533"/>
      <c r="N773" s="533"/>
      <c r="O773" s="533"/>
      <c r="P773" s="533"/>
      <c r="Q773" s="533"/>
      <c r="R773" s="533"/>
    </row>
    <row r="774" spans="1:18" s="181" customFormat="1" ht="15" x14ac:dyDescent="0.25">
      <c r="A774" s="183"/>
      <c r="B774" s="1428" t="s">
        <v>938</v>
      </c>
      <c r="C774" s="1429"/>
      <c r="D774" s="1429"/>
      <c r="E774" s="1429"/>
      <c r="F774" s="1429"/>
      <c r="G774" s="1429"/>
      <c r="H774" s="1429"/>
      <c r="I774" s="1429"/>
      <c r="J774" s="1429"/>
      <c r="K774" s="1429"/>
      <c r="L774" s="1429"/>
      <c r="M774" s="1429"/>
      <c r="N774" s="1429"/>
      <c r="O774" s="1429"/>
      <c r="P774" s="1429"/>
      <c r="Q774" s="1429"/>
      <c r="R774" s="1430"/>
    </row>
    <row r="775" spans="1:18" s="181" customFormat="1" ht="42.75" x14ac:dyDescent="0.25">
      <c r="A775" s="183"/>
      <c r="B775" s="1560" t="s">
        <v>939</v>
      </c>
      <c r="C775" s="660" t="s">
        <v>0</v>
      </c>
      <c r="D775" s="661"/>
      <c r="E775" s="662"/>
      <c r="F775" s="663" t="s">
        <v>1659</v>
      </c>
      <c r="G775" s="664">
        <f>SUM(G776:G780)</f>
        <v>3170.9</v>
      </c>
      <c r="H775" s="664">
        <f>SUM(H776:H779)</f>
        <v>3062.1</v>
      </c>
      <c r="I775" s="665">
        <f>2339.6+403.6+162.3+105</f>
        <v>3010.5</v>
      </c>
      <c r="J775" s="665">
        <f>2360.82+407.245+163.091+137.7</f>
        <v>3068.8559999999998</v>
      </c>
      <c r="K775" s="665">
        <f>2545.2+439.047+176.361</f>
        <v>3160.6079999999997</v>
      </c>
      <c r="L775" s="663" t="s">
        <v>940</v>
      </c>
      <c r="M775" s="186" t="s">
        <v>4</v>
      </c>
      <c r="N775" s="666">
        <v>21.671667719519899</v>
      </c>
      <c r="O775" s="666">
        <v>21.4</v>
      </c>
      <c r="P775" s="666">
        <v>21.4</v>
      </c>
      <c r="Q775" s="667">
        <v>21.4</v>
      </c>
      <c r="R775" s="667">
        <v>21.4</v>
      </c>
    </row>
    <row r="776" spans="1:18" s="181" customFormat="1" ht="15" x14ac:dyDescent="0.25">
      <c r="A776" s="183"/>
      <c r="B776" s="1560"/>
      <c r="C776" s="668"/>
      <c r="D776" s="669">
        <v>1</v>
      </c>
      <c r="E776" s="519"/>
      <c r="F776" s="670" t="s">
        <v>941</v>
      </c>
      <c r="G776" s="248">
        <v>487.8</v>
      </c>
      <c r="H776" s="248">
        <v>471.1</v>
      </c>
      <c r="I776" s="671"/>
      <c r="J776" s="672"/>
      <c r="K776" s="672"/>
      <c r="L776" s="204" t="s">
        <v>586</v>
      </c>
      <c r="M776" s="189" t="s">
        <v>21</v>
      </c>
      <c r="N776" s="237">
        <v>1</v>
      </c>
      <c r="O776" s="237">
        <v>1</v>
      </c>
      <c r="P776" s="237">
        <v>1</v>
      </c>
      <c r="Q776" s="189">
        <v>1</v>
      </c>
      <c r="R776" s="189">
        <v>1</v>
      </c>
    </row>
    <row r="777" spans="1:18" s="181" customFormat="1" ht="30" x14ac:dyDescent="0.25">
      <c r="A777" s="183"/>
      <c r="B777" s="1560"/>
      <c r="C777" s="668"/>
      <c r="D777" s="673">
        <v>2</v>
      </c>
      <c r="E777" s="519"/>
      <c r="F777" s="674" t="s">
        <v>942</v>
      </c>
      <c r="G777" s="248">
        <v>975.7</v>
      </c>
      <c r="H777" s="248">
        <v>942.4</v>
      </c>
      <c r="I777" s="672"/>
      <c r="J777" s="672"/>
      <c r="K777" s="672"/>
      <c r="L777" s="204" t="s">
        <v>908</v>
      </c>
      <c r="M777" s="189" t="s">
        <v>4</v>
      </c>
      <c r="N777" s="189">
        <v>100</v>
      </c>
      <c r="O777" s="189">
        <v>100</v>
      </c>
      <c r="P777" s="189">
        <v>100</v>
      </c>
      <c r="Q777" s="189">
        <v>100</v>
      </c>
      <c r="R777" s="189">
        <v>100</v>
      </c>
    </row>
    <row r="778" spans="1:18" s="181" customFormat="1" ht="15" x14ac:dyDescent="0.25">
      <c r="A778" s="183"/>
      <c r="B778" s="1560"/>
      <c r="C778" s="668"/>
      <c r="D778" s="673">
        <v>3</v>
      </c>
      <c r="E778" s="519"/>
      <c r="F778" s="674" t="s">
        <v>521</v>
      </c>
      <c r="G778" s="248">
        <v>243.9</v>
      </c>
      <c r="H778" s="248">
        <v>235.5</v>
      </c>
      <c r="I778" s="672"/>
      <c r="J778" s="672"/>
      <c r="K778" s="672"/>
      <c r="L778" s="675" t="s">
        <v>943</v>
      </c>
      <c r="M778" s="189" t="s">
        <v>4</v>
      </c>
      <c r="N778" s="189">
        <v>5</v>
      </c>
      <c r="O778" s="189">
        <v>5</v>
      </c>
      <c r="P778" s="189">
        <v>5</v>
      </c>
      <c r="Q778" s="189">
        <v>5</v>
      </c>
      <c r="R778" s="189">
        <v>5</v>
      </c>
    </row>
    <row r="779" spans="1:18" s="181" customFormat="1" ht="30" x14ac:dyDescent="0.25">
      <c r="A779" s="183"/>
      <c r="B779" s="1560"/>
      <c r="C779" s="668"/>
      <c r="D779" s="676">
        <v>4</v>
      </c>
      <c r="E779" s="519"/>
      <c r="F779" s="210" t="s">
        <v>1660</v>
      </c>
      <c r="G779" s="248">
        <v>1463.5</v>
      </c>
      <c r="H779" s="248">
        <v>1413.1</v>
      </c>
      <c r="I779" s="677"/>
      <c r="J779" s="672"/>
      <c r="K779" s="672"/>
      <c r="L779" s="204" t="s">
        <v>944</v>
      </c>
      <c r="M779" s="189" t="s">
        <v>4</v>
      </c>
      <c r="N779" s="237">
        <v>11</v>
      </c>
      <c r="O779" s="237">
        <v>20</v>
      </c>
      <c r="P779" s="237">
        <v>20</v>
      </c>
      <c r="Q779" s="189">
        <v>20</v>
      </c>
      <c r="R779" s="189">
        <v>20</v>
      </c>
    </row>
    <row r="780" spans="1:18" s="181" customFormat="1" ht="15" x14ac:dyDescent="0.25">
      <c r="A780" s="183"/>
      <c r="B780" s="1560"/>
      <c r="C780" s="668"/>
      <c r="D780" s="676">
        <v>5</v>
      </c>
      <c r="E780" s="519"/>
      <c r="F780" s="210" t="s">
        <v>945</v>
      </c>
      <c r="G780" s="248"/>
      <c r="H780" s="248"/>
      <c r="I780" s="248"/>
      <c r="J780" s="248"/>
      <c r="K780" s="672"/>
      <c r="L780" s="204"/>
      <c r="M780" s="189"/>
      <c r="N780" s="303"/>
      <c r="O780" s="303"/>
      <c r="P780" s="303"/>
      <c r="Q780" s="303"/>
      <c r="R780" s="303"/>
    </row>
    <row r="781" spans="1:18" s="181" customFormat="1" ht="42.75" x14ac:dyDescent="0.25">
      <c r="A781" s="183"/>
      <c r="B781" s="1560"/>
      <c r="C781" s="678" t="s">
        <v>165</v>
      </c>
      <c r="D781" s="679"/>
      <c r="E781" s="679"/>
      <c r="F781" s="269" t="s">
        <v>946</v>
      </c>
      <c r="G781" s="680">
        <f>SUM(G782:G789)</f>
        <v>11753.1</v>
      </c>
      <c r="H781" s="680">
        <f>SUM(H782:H789)</f>
        <v>11273.4</v>
      </c>
      <c r="I781" s="254">
        <f>8801.4+1518.1+610.5+395</f>
        <v>11325</v>
      </c>
      <c r="J781" s="254">
        <f>8881.18+1532+613.535+517.8</f>
        <v>11544.514999999999</v>
      </c>
      <c r="K781" s="254">
        <f>9574.8+1651.653+663.45</f>
        <v>11889.903</v>
      </c>
      <c r="L781" s="269"/>
      <c r="M781" s="210"/>
      <c r="N781" s="308"/>
      <c r="O781" s="308"/>
      <c r="P781" s="308"/>
      <c r="Q781" s="308"/>
      <c r="R781" s="308"/>
    </row>
    <row r="782" spans="1:18" s="181" customFormat="1" ht="15" x14ac:dyDescent="0.25">
      <c r="A782" s="183"/>
      <c r="B782" s="1560"/>
      <c r="C782" s="1551"/>
      <c r="D782" s="1553" t="s">
        <v>10</v>
      </c>
      <c r="E782" s="1553"/>
      <c r="F782" s="1555" t="s">
        <v>947</v>
      </c>
      <c r="G782" s="681">
        <v>3000.5</v>
      </c>
      <c r="H782" s="681">
        <v>2878.03</v>
      </c>
      <c r="I782" s="682"/>
      <c r="J782" s="682"/>
      <c r="K782" s="1549"/>
      <c r="L782" s="210" t="s">
        <v>948</v>
      </c>
      <c r="M782" s="210" t="s">
        <v>949</v>
      </c>
      <c r="N782" s="210">
        <v>30</v>
      </c>
      <c r="O782" s="210">
        <v>30</v>
      </c>
      <c r="P782" s="210">
        <v>30</v>
      </c>
      <c r="Q782" s="210">
        <v>30</v>
      </c>
      <c r="R782" s="210">
        <v>30</v>
      </c>
    </row>
    <row r="783" spans="1:18" s="181" customFormat="1" ht="46.5" customHeight="1" x14ac:dyDescent="0.25">
      <c r="A783" s="183"/>
      <c r="B783" s="1560"/>
      <c r="C783" s="1552"/>
      <c r="D783" s="1554"/>
      <c r="E783" s="1554"/>
      <c r="F783" s="1556"/>
      <c r="G783" s="683"/>
      <c r="H783" s="683"/>
      <c r="I783" s="684"/>
      <c r="J783" s="684"/>
      <c r="K783" s="1550"/>
      <c r="L783" s="210" t="s">
        <v>950</v>
      </c>
      <c r="M783" s="210" t="s">
        <v>951</v>
      </c>
      <c r="N783" s="358">
        <v>9</v>
      </c>
      <c r="O783" s="358">
        <v>13</v>
      </c>
      <c r="P783" s="358">
        <v>13</v>
      </c>
      <c r="Q783" s="358">
        <v>13</v>
      </c>
      <c r="R783" s="358">
        <v>13</v>
      </c>
    </row>
    <row r="784" spans="1:18" s="181" customFormat="1" ht="15" x14ac:dyDescent="0.25">
      <c r="A784" s="183"/>
      <c r="B784" s="1560"/>
      <c r="C784" s="1551"/>
      <c r="D784" s="1553" t="s">
        <v>13</v>
      </c>
      <c r="E784" s="1553"/>
      <c r="F784" s="1555" t="s">
        <v>952</v>
      </c>
      <c r="G784" s="1557">
        <v>3000.5</v>
      </c>
      <c r="H784" s="1557">
        <v>2878.03</v>
      </c>
      <c r="I784" s="1549"/>
      <c r="J784" s="1549"/>
      <c r="K784" s="1549"/>
      <c r="L784" s="210" t="s">
        <v>953</v>
      </c>
      <c r="M784" s="210" t="s">
        <v>166</v>
      </c>
      <c r="N784" s="210">
        <v>13</v>
      </c>
      <c r="O784" s="210">
        <v>13</v>
      </c>
      <c r="P784" s="210">
        <v>13</v>
      </c>
      <c r="Q784" s="210">
        <v>13</v>
      </c>
      <c r="R784" s="210">
        <v>13</v>
      </c>
    </row>
    <row r="785" spans="1:19" s="181" customFormat="1" ht="30" x14ac:dyDescent="0.25">
      <c r="A785" s="183"/>
      <c r="B785" s="1560"/>
      <c r="C785" s="1552"/>
      <c r="D785" s="1554"/>
      <c r="E785" s="1554"/>
      <c r="F785" s="1556"/>
      <c r="G785" s="1558"/>
      <c r="H785" s="1558"/>
      <c r="I785" s="1550"/>
      <c r="J785" s="1550"/>
      <c r="K785" s="1550"/>
      <c r="L785" s="210" t="s">
        <v>954</v>
      </c>
      <c r="M785" s="210" t="s">
        <v>167</v>
      </c>
      <c r="N785" s="685">
        <v>3</v>
      </c>
      <c r="O785" s="685">
        <v>3</v>
      </c>
      <c r="P785" s="685">
        <v>3</v>
      </c>
      <c r="Q785" s="685">
        <v>3</v>
      </c>
      <c r="R785" s="685">
        <v>3</v>
      </c>
    </row>
    <row r="786" spans="1:19" s="181" customFormat="1" ht="15" x14ac:dyDescent="0.25">
      <c r="A786" s="183"/>
      <c r="B786" s="1560"/>
      <c r="C786" s="1551"/>
      <c r="D786" s="1553" t="s">
        <v>9</v>
      </c>
      <c r="E786" s="1553"/>
      <c r="F786" s="1555" t="s">
        <v>955</v>
      </c>
      <c r="G786" s="1557">
        <v>4250.7</v>
      </c>
      <c r="H786" s="1557">
        <v>4077.18</v>
      </c>
      <c r="I786" s="1549"/>
      <c r="J786" s="1549"/>
      <c r="K786" s="1549"/>
      <c r="L786" s="1451" t="s">
        <v>956</v>
      </c>
      <c r="M786" s="1567" t="s">
        <v>957</v>
      </c>
      <c r="N786" s="1565">
        <v>30</v>
      </c>
      <c r="O786" s="1565">
        <v>30</v>
      </c>
      <c r="P786" s="1565">
        <v>30</v>
      </c>
      <c r="Q786" s="1565">
        <v>30</v>
      </c>
      <c r="R786" s="1565">
        <v>30</v>
      </c>
    </row>
    <row r="787" spans="1:19" s="181" customFormat="1" ht="15" x14ac:dyDescent="0.25">
      <c r="A787" s="183"/>
      <c r="B787" s="1560"/>
      <c r="C787" s="1552"/>
      <c r="D787" s="1554"/>
      <c r="E787" s="1554"/>
      <c r="F787" s="1556"/>
      <c r="G787" s="1558"/>
      <c r="H787" s="1558"/>
      <c r="I787" s="1550"/>
      <c r="J787" s="1550"/>
      <c r="K787" s="1550"/>
      <c r="L787" s="1453"/>
      <c r="M787" s="1568"/>
      <c r="N787" s="1566"/>
      <c r="O787" s="1566"/>
      <c r="P787" s="1566"/>
      <c r="Q787" s="1566"/>
      <c r="R787" s="1566"/>
    </row>
    <row r="788" spans="1:19" s="181" customFormat="1" ht="15" x14ac:dyDescent="0.25">
      <c r="A788" s="183"/>
      <c r="B788" s="1560"/>
      <c r="C788" s="1551"/>
      <c r="D788" s="1553" t="s">
        <v>23</v>
      </c>
      <c r="E788" s="1553"/>
      <c r="F788" s="1451" t="s">
        <v>958</v>
      </c>
      <c r="G788" s="1557">
        <v>1501.4</v>
      </c>
      <c r="H788" s="1557">
        <v>1440.16</v>
      </c>
      <c r="I788" s="1549"/>
      <c r="J788" s="1549"/>
      <c r="K788" s="1549"/>
      <c r="L788" s="1567"/>
      <c r="M788" s="1567"/>
      <c r="N788" s="1567"/>
      <c r="O788" s="1567"/>
      <c r="P788" s="1567"/>
      <c r="Q788" s="1567"/>
      <c r="R788" s="1567"/>
    </row>
    <row r="789" spans="1:19" s="181" customFormat="1" ht="33.75" customHeight="1" x14ac:dyDescent="0.25">
      <c r="A789" s="183"/>
      <c r="B789" s="1560"/>
      <c r="C789" s="1552"/>
      <c r="D789" s="1554"/>
      <c r="E789" s="1554"/>
      <c r="F789" s="1453"/>
      <c r="G789" s="1558"/>
      <c r="H789" s="1558"/>
      <c r="I789" s="1550"/>
      <c r="J789" s="1550"/>
      <c r="K789" s="1550"/>
      <c r="L789" s="1568"/>
      <c r="M789" s="1568"/>
      <c r="N789" s="1568"/>
      <c r="O789" s="1568"/>
      <c r="P789" s="1568"/>
      <c r="Q789" s="1568"/>
      <c r="R789" s="1568"/>
    </row>
    <row r="790" spans="1:19" s="181" customFormat="1" ht="15" hidden="1" x14ac:dyDescent="0.25">
      <c r="A790" s="183"/>
      <c r="B790" s="1561"/>
      <c r="C790" s="686"/>
      <c r="D790" s="270" t="s">
        <v>24</v>
      </c>
      <c r="E790" s="270"/>
      <c r="F790" s="204" t="s">
        <v>945</v>
      </c>
      <c r="G790" s="248"/>
      <c r="H790" s="248"/>
      <c r="I790" s="672"/>
      <c r="J790" s="672"/>
      <c r="K790" s="672"/>
      <c r="L790" s="210"/>
      <c r="M790" s="210"/>
      <c r="N790" s="210"/>
      <c r="O790" s="210"/>
      <c r="P790" s="210"/>
      <c r="Q790" s="210"/>
      <c r="R790" s="210"/>
    </row>
    <row r="791" spans="1:19" s="181" customFormat="1" ht="15" x14ac:dyDescent="0.25">
      <c r="A791" s="183"/>
      <c r="B791" s="1276" t="s">
        <v>299</v>
      </c>
      <c r="C791" s="1277"/>
      <c r="D791" s="1277"/>
      <c r="E791" s="1277"/>
      <c r="F791" s="1278"/>
      <c r="G791" s="341">
        <f>G775+G781</f>
        <v>14924</v>
      </c>
      <c r="H791" s="341">
        <f t="shared" ref="H791:K791" si="66">H775+H781</f>
        <v>14335.5</v>
      </c>
      <c r="I791" s="341">
        <f t="shared" si="66"/>
        <v>14335.5</v>
      </c>
      <c r="J791" s="341">
        <f t="shared" si="66"/>
        <v>14613.370999999999</v>
      </c>
      <c r="K791" s="341">
        <f t="shared" si="66"/>
        <v>15050.511</v>
      </c>
      <c r="L791" s="452"/>
      <c r="M791" s="1576"/>
      <c r="N791" s="1576"/>
      <c r="O791" s="1576"/>
      <c r="P791" s="1576"/>
      <c r="Q791" s="1576"/>
      <c r="R791" s="1576"/>
    </row>
    <row r="792" spans="1:19" s="181" customFormat="1" ht="15" x14ac:dyDescent="0.25">
      <c r="A792" s="183"/>
      <c r="B792" s="1428" t="s">
        <v>959</v>
      </c>
      <c r="C792" s="1429"/>
      <c r="D792" s="1429"/>
      <c r="E792" s="1429"/>
      <c r="F792" s="1429"/>
      <c r="G792" s="1429"/>
      <c r="H792" s="1429"/>
      <c r="I792" s="1429"/>
      <c r="J792" s="1429"/>
      <c r="K792" s="1429"/>
      <c r="L792" s="1429"/>
      <c r="M792" s="1429"/>
      <c r="N792" s="1429"/>
      <c r="O792" s="1429"/>
      <c r="P792" s="1429"/>
      <c r="Q792" s="1429"/>
      <c r="R792" s="1430"/>
    </row>
    <row r="793" spans="1:19" s="181" customFormat="1" ht="45" x14ac:dyDescent="0.25">
      <c r="A793" s="183"/>
      <c r="B793" s="1325">
        <v>49</v>
      </c>
      <c r="C793" s="1569" t="s">
        <v>0</v>
      </c>
      <c r="D793" s="1571"/>
      <c r="E793" s="1571"/>
      <c r="F793" s="1572" t="s">
        <v>1661</v>
      </c>
      <c r="G793" s="1574">
        <f>G795+G797+G796</f>
        <v>11692.6</v>
      </c>
      <c r="H793" s="1574">
        <f t="shared" ref="H793:K793" si="67">H795+H797+H796</f>
        <v>11692.6</v>
      </c>
      <c r="I793" s="1574">
        <f t="shared" si="67"/>
        <v>12371.599999999999</v>
      </c>
      <c r="J793" s="1574">
        <f t="shared" si="67"/>
        <v>12611.400000000001</v>
      </c>
      <c r="K793" s="1574">
        <f t="shared" si="67"/>
        <v>12988.7</v>
      </c>
      <c r="L793" s="210" t="s">
        <v>1663</v>
      </c>
      <c r="M793" s="189" t="s">
        <v>583</v>
      </c>
      <c r="N793" s="189">
        <v>433</v>
      </c>
      <c r="O793" s="251">
        <v>450</v>
      </c>
      <c r="P793" s="251">
        <v>450</v>
      </c>
      <c r="Q793" s="251">
        <v>450</v>
      </c>
      <c r="R793" s="251">
        <v>450</v>
      </c>
    </row>
    <row r="794" spans="1:19" s="181" customFormat="1" ht="45" x14ac:dyDescent="0.25">
      <c r="A794" s="183"/>
      <c r="B794" s="1326"/>
      <c r="C794" s="1570"/>
      <c r="D794" s="1570"/>
      <c r="E794" s="1570"/>
      <c r="F794" s="1573"/>
      <c r="G794" s="1575"/>
      <c r="H794" s="1575"/>
      <c r="I794" s="1575"/>
      <c r="J794" s="1575"/>
      <c r="K794" s="1575"/>
      <c r="L794" s="210" t="s">
        <v>1664</v>
      </c>
      <c r="M794" s="189" t="s">
        <v>318</v>
      </c>
      <c r="N794" s="189" t="s">
        <v>168</v>
      </c>
      <c r="O794" s="203" t="s">
        <v>169</v>
      </c>
      <c r="P794" s="203" t="s">
        <v>170</v>
      </c>
      <c r="Q794" s="203" t="s">
        <v>171</v>
      </c>
      <c r="R794" s="203" t="s">
        <v>172</v>
      </c>
    </row>
    <row r="795" spans="1:19" s="181" customFormat="1" ht="30" x14ac:dyDescent="0.25">
      <c r="A795" s="183"/>
      <c r="B795" s="1326"/>
      <c r="C795" s="1569"/>
      <c r="D795" s="1553" t="s">
        <v>10</v>
      </c>
      <c r="E795" s="1571"/>
      <c r="F795" s="210" t="s">
        <v>960</v>
      </c>
      <c r="G795" s="687">
        <f>1610</f>
        <v>1610</v>
      </c>
      <c r="H795" s="687">
        <f>1373.2+236.8</f>
        <v>1610</v>
      </c>
      <c r="I795" s="687">
        <f>1373.2+236.8+678.8</f>
        <v>2288.8000000000002</v>
      </c>
      <c r="J795" s="687">
        <f>1373.2+236.8+678.8</f>
        <v>2288.8000000000002</v>
      </c>
      <c r="K795" s="687">
        <f>1373.2+236.8+678.8</f>
        <v>2288.8000000000002</v>
      </c>
      <c r="L795" s="688" t="s">
        <v>961</v>
      </c>
      <c r="M795" s="191" t="s">
        <v>962</v>
      </c>
      <c r="N795" s="191">
        <v>6</v>
      </c>
      <c r="O795" s="689">
        <v>9</v>
      </c>
      <c r="P795" s="689">
        <v>9</v>
      </c>
      <c r="Q795" s="689">
        <v>10</v>
      </c>
      <c r="R795" s="689">
        <v>10</v>
      </c>
    </row>
    <row r="796" spans="1:19" s="181" customFormat="1" ht="15" x14ac:dyDescent="0.25">
      <c r="A796" s="183"/>
      <c r="B796" s="1326"/>
      <c r="C796" s="1570"/>
      <c r="D796" s="1554"/>
      <c r="E796" s="1570"/>
      <c r="F796" s="275" t="s">
        <v>963</v>
      </c>
      <c r="G796" s="690">
        <v>106</v>
      </c>
      <c r="H796" s="690">
        <v>106</v>
      </c>
      <c r="I796" s="690">
        <v>106</v>
      </c>
      <c r="J796" s="690">
        <v>106</v>
      </c>
      <c r="K796" s="690">
        <v>106</v>
      </c>
      <c r="L796" s="210" t="s">
        <v>964</v>
      </c>
      <c r="M796" s="189" t="s">
        <v>583</v>
      </c>
      <c r="N796" s="189">
        <v>278</v>
      </c>
      <c r="O796" s="536">
        <v>2100</v>
      </c>
      <c r="P796" s="536">
        <v>2150</v>
      </c>
      <c r="Q796" s="536">
        <v>2200</v>
      </c>
      <c r="R796" s="691">
        <v>2200</v>
      </c>
    </row>
    <row r="797" spans="1:19" s="181" customFormat="1" ht="30" x14ac:dyDescent="0.25">
      <c r="A797" s="183"/>
      <c r="B797" s="1326"/>
      <c r="C797" s="1569"/>
      <c r="D797" s="1571" t="s">
        <v>13</v>
      </c>
      <c r="E797" s="1571"/>
      <c r="F797" s="1555" t="s">
        <v>1662</v>
      </c>
      <c r="G797" s="1533">
        <f>9976.6</f>
        <v>9976.6</v>
      </c>
      <c r="H797" s="1533">
        <f>9976.6</f>
        <v>9976.6</v>
      </c>
      <c r="I797" s="1533">
        <v>9976.7999999999993</v>
      </c>
      <c r="J797" s="1533">
        <v>10216.6</v>
      </c>
      <c r="K797" s="1533">
        <v>10593.9</v>
      </c>
      <c r="L797" s="692" t="s">
        <v>1668</v>
      </c>
      <c r="M797" s="187" t="s">
        <v>965</v>
      </c>
      <c r="N797" s="187">
        <v>162</v>
      </c>
      <c r="O797" s="519">
        <v>165</v>
      </c>
      <c r="P797" s="519">
        <v>165</v>
      </c>
      <c r="Q797" s="519">
        <v>170</v>
      </c>
      <c r="R797" s="519">
        <v>175</v>
      </c>
    </row>
    <row r="798" spans="1:19" s="181" customFormat="1" ht="45" x14ac:dyDescent="0.25">
      <c r="A798" s="183"/>
      <c r="B798" s="1326"/>
      <c r="C798" s="1570"/>
      <c r="D798" s="1570"/>
      <c r="E798" s="1570"/>
      <c r="F798" s="1578"/>
      <c r="G798" s="1577"/>
      <c r="H798" s="1577"/>
      <c r="I798" s="1577"/>
      <c r="J798" s="1577"/>
      <c r="K798" s="1577"/>
      <c r="L798" s="210" t="s">
        <v>966</v>
      </c>
      <c r="M798" s="189" t="s">
        <v>318</v>
      </c>
      <c r="N798" s="189">
        <v>6806</v>
      </c>
      <c r="O798" s="536">
        <v>6850</v>
      </c>
      <c r="P798" s="536">
        <v>6850</v>
      </c>
      <c r="Q798" s="536">
        <v>6850</v>
      </c>
      <c r="R798" s="536">
        <v>6900</v>
      </c>
      <c r="S798" s="462"/>
    </row>
    <row r="799" spans="1:19" s="181" customFormat="1" ht="30" x14ac:dyDescent="0.25">
      <c r="A799" s="183"/>
      <c r="B799" s="1326"/>
      <c r="C799" s="1570"/>
      <c r="D799" s="1570"/>
      <c r="E799" s="1570"/>
      <c r="F799" s="1573"/>
      <c r="G799" s="1575"/>
      <c r="H799" s="1575"/>
      <c r="I799" s="1575"/>
      <c r="J799" s="1575"/>
      <c r="K799" s="1575"/>
      <c r="L799" s="508" t="s">
        <v>1665</v>
      </c>
      <c r="M799" s="189" t="s">
        <v>4</v>
      </c>
      <c r="N799" s="189">
        <v>37</v>
      </c>
      <c r="O799" s="536">
        <v>50</v>
      </c>
      <c r="P799" s="536">
        <v>55</v>
      </c>
      <c r="Q799" s="536">
        <v>60</v>
      </c>
      <c r="R799" s="536">
        <v>65</v>
      </c>
      <c r="S799" s="693"/>
    </row>
    <row r="800" spans="1:19" s="181" customFormat="1" ht="29.25" customHeight="1" x14ac:dyDescent="0.25">
      <c r="A800" s="183"/>
      <c r="B800" s="1326"/>
      <c r="C800" s="1569" t="s">
        <v>173</v>
      </c>
      <c r="D800" s="1553"/>
      <c r="E800" s="1571"/>
      <c r="F800" s="1555" t="s">
        <v>967</v>
      </c>
      <c r="G800" s="1574">
        <f>G802+G804</f>
        <v>30191.9</v>
      </c>
      <c r="H800" s="1574">
        <f>H802+H804</f>
        <v>28008.7</v>
      </c>
      <c r="I800" s="1574">
        <f t="shared" ref="I800:K800" si="68">I802+I804</f>
        <v>38008.699999999997</v>
      </c>
      <c r="J800" s="1574">
        <f t="shared" si="68"/>
        <v>38745.399999999994</v>
      </c>
      <c r="K800" s="1574">
        <f t="shared" si="68"/>
        <v>39904.400000000001</v>
      </c>
      <c r="L800" s="315" t="s">
        <v>968</v>
      </c>
      <c r="M800" s="276" t="s">
        <v>583</v>
      </c>
      <c r="N800" s="189">
        <v>205</v>
      </c>
      <c r="O800" s="189">
        <v>361</v>
      </c>
      <c r="P800" s="189">
        <v>368</v>
      </c>
      <c r="Q800" s="189">
        <v>370</v>
      </c>
      <c r="R800" s="189">
        <v>370</v>
      </c>
      <c r="S800" s="693"/>
    </row>
    <row r="801" spans="1:19" s="181" customFormat="1" ht="45" x14ac:dyDescent="0.25">
      <c r="A801" s="183"/>
      <c r="B801" s="1326"/>
      <c r="C801" s="1570"/>
      <c r="D801" s="1554"/>
      <c r="E801" s="1570"/>
      <c r="F801" s="1578"/>
      <c r="G801" s="1575"/>
      <c r="H801" s="1575"/>
      <c r="I801" s="1575"/>
      <c r="J801" s="1575"/>
      <c r="K801" s="1575"/>
      <c r="L801" s="315" t="s">
        <v>1666</v>
      </c>
      <c r="M801" s="694" t="s">
        <v>969</v>
      </c>
      <c r="N801" s="273">
        <v>163524</v>
      </c>
      <c r="O801" s="695">
        <v>160273</v>
      </c>
      <c r="P801" s="695">
        <v>207500</v>
      </c>
      <c r="Q801" s="695">
        <v>213988</v>
      </c>
      <c r="R801" s="695">
        <v>220271</v>
      </c>
      <c r="S801" s="693"/>
    </row>
    <row r="802" spans="1:19" s="181" customFormat="1" ht="29.25" customHeight="1" x14ac:dyDescent="0.25">
      <c r="A802" s="183"/>
      <c r="B802" s="1326"/>
      <c r="C802" s="1569"/>
      <c r="D802" s="1571" t="s">
        <v>10</v>
      </c>
      <c r="E802" s="1571"/>
      <c r="F802" s="1579" t="s">
        <v>970</v>
      </c>
      <c r="G802" s="1533">
        <v>20214.2</v>
      </c>
      <c r="H802" s="1533">
        <v>19232.7</v>
      </c>
      <c r="I802" s="1533">
        <v>24900</v>
      </c>
      <c r="J802" s="1533">
        <v>25678.6</v>
      </c>
      <c r="K802" s="1533">
        <v>26432.5</v>
      </c>
      <c r="L802" s="210" t="s">
        <v>1667</v>
      </c>
      <c r="M802" s="189" t="s">
        <v>114</v>
      </c>
      <c r="N802" s="189">
        <v>12419</v>
      </c>
      <c r="O802" s="536">
        <v>7677</v>
      </c>
      <c r="P802" s="536">
        <v>10638</v>
      </c>
      <c r="Q802" s="536">
        <v>10871</v>
      </c>
      <c r="R802" s="536">
        <v>11208</v>
      </c>
      <c r="S802" s="693"/>
    </row>
    <row r="803" spans="1:19" s="181" customFormat="1" ht="30" x14ac:dyDescent="0.25">
      <c r="A803" s="183"/>
      <c r="B803" s="1326"/>
      <c r="C803" s="1570"/>
      <c r="D803" s="1570"/>
      <c r="E803" s="1570"/>
      <c r="F803" s="1573"/>
      <c r="G803" s="1575"/>
      <c r="H803" s="1575"/>
      <c r="I803" s="1575"/>
      <c r="J803" s="1575"/>
      <c r="K803" s="1575"/>
      <c r="L803" s="210" t="s">
        <v>971</v>
      </c>
      <c r="M803" s="210" t="s">
        <v>972</v>
      </c>
      <c r="N803" s="191">
        <v>9396</v>
      </c>
      <c r="O803" s="689">
        <v>8014</v>
      </c>
      <c r="P803" s="689">
        <v>10468</v>
      </c>
      <c r="Q803" s="689">
        <v>10932</v>
      </c>
      <c r="R803" s="689">
        <v>11443</v>
      </c>
      <c r="S803" s="693"/>
    </row>
    <row r="804" spans="1:19" s="181" customFormat="1" ht="29.25" customHeight="1" x14ac:dyDescent="0.25">
      <c r="A804" s="183"/>
      <c r="B804" s="1327"/>
      <c r="C804" s="268"/>
      <c r="D804" s="270" t="s">
        <v>13</v>
      </c>
      <c r="E804" s="270"/>
      <c r="F804" s="696" t="s">
        <v>973</v>
      </c>
      <c r="G804" s="697">
        <v>9977.7000000000007</v>
      </c>
      <c r="H804" s="697">
        <v>8776</v>
      </c>
      <c r="I804" s="203">
        <v>13108.7</v>
      </c>
      <c r="J804" s="203">
        <v>13066.8</v>
      </c>
      <c r="K804" s="203">
        <v>13471.9</v>
      </c>
      <c r="L804" s="694"/>
      <c r="M804" s="694"/>
      <c r="N804" s="191"/>
      <c r="O804" s="689"/>
      <c r="P804" s="689"/>
      <c r="Q804" s="689"/>
      <c r="R804" s="689"/>
      <c r="S804" s="693"/>
    </row>
    <row r="805" spans="1:19" s="181" customFormat="1" ht="29.25" customHeight="1" x14ac:dyDescent="0.25">
      <c r="A805" s="183"/>
      <c r="B805" s="1276" t="s">
        <v>299</v>
      </c>
      <c r="C805" s="1277"/>
      <c r="D805" s="1277"/>
      <c r="E805" s="1277"/>
      <c r="F805" s="1278"/>
      <c r="G805" s="544">
        <f>G793+G800</f>
        <v>41884.5</v>
      </c>
      <c r="H805" s="544">
        <f>H793+H800</f>
        <v>39701.300000000003</v>
      </c>
      <c r="I805" s="698">
        <f>I793+I802+I804</f>
        <v>50380.3</v>
      </c>
      <c r="J805" s="698">
        <f>J793+J802+J804</f>
        <v>51356.800000000003</v>
      </c>
      <c r="K805" s="698">
        <f>K793+K802+K804</f>
        <v>52893.1</v>
      </c>
      <c r="L805" s="193"/>
      <c r="M805" s="1279"/>
      <c r="N805" s="1279"/>
      <c r="O805" s="1279"/>
      <c r="P805" s="1279"/>
      <c r="Q805" s="1279"/>
      <c r="R805" s="1279"/>
      <c r="S805" s="693"/>
    </row>
    <row r="806" spans="1:19" s="181" customFormat="1" ht="29.25" customHeight="1" x14ac:dyDescent="0.25">
      <c r="A806" s="183"/>
      <c r="B806" s="1428" t="s">
        <v>974</v>
      </c>
      <c r="C806" s="1429"/>
      <c r="D806" s="1429"/>
      <c r="E806" s="1429"/>
      <c r="F806" s="1429"/>
      <c r="G806" s="1429"/>
      <c r="H806" s="1429"/>
      <c r="I806" s="1429"/>
      <c r="J806" s="1429"/>
      <c r="K806" s="1429"/>
      <c r="L806" s="1429"/>
      <c r="M806" s="1429"/>
      <c r="N806" s="1429"/>
      <c r="O806" s="1429"/>
      <c r="P806" s="1429"/>
      <c r="Q806" s="1429"/>
      <c r="R806" s="1430"/>
      <c r="S806" s="693"/>
    </row>
    <row r="807" spans="1:19" s="181" customFormat="1" ht="29.25" customHeight="1" x14ac:dyDescent="0.25">
      <c r="A807" s="183"/>
      <c r="B807" s="1304" t="s">
        <v>150</v>
      </c>
      <c r="C807" s="1316" t="s">
        <v>0</v>
      </c>
      <c r="D807" s="1376"/>
      <c r="E807" s="1376"/>
      <c r="F807" s="1368" t="s">
        <v>1669</v>
      </c>
      <c r="G807" s="1526">
        <f>G809</f>
        <v>3185</v>
      </c>
      <c r="H807" s="1526">
        <f>H809</f>
        <v>3185</v>
      </c>
      <c r="I807" s="1320">
        <f>I809</f>
        <v>14101.6</v>
      </c>
      <c r="J807" s="1320">
        <v>14374.9</v>
      </c>
      <c r="K807" s="1320">
        <f>K809</f>
        <v>14804.9</v>
      </c>
      <c r="L807" s="1387" t="s">
        <v>586</v>
      </c>
      <c r="M807" s="1315" t="s">
        <v>57</v>
      </c>
      <c r="N807" s="1584">
        <v>1</v>
      </c>
      <c r="O807" s="1384"/>
      <c r="P807" s="1384"/>
      <c r="Q807" s="1384"/>
      <c r="R807" s="1384"/>
      <c r="S807" s="693"/>
    </row>
    <row r="808" spans="1:19" s="181" customFormat="1" ht="29.25" customHeight="1" x14ac:dyDescent="0.25">
      <c r="A808" s="183"/>
      <c r="B808" s="1305"/>
      <c r="C808" s="1316"/>
      <c r="D808" s="1376"/>
      <c r="E808" s="1376"/>
      <c r="F808" s="1368"/>
      <c r="G808" s="1527"/>
      <c r="H808" s="1527"/>
      <c r="I808" s="1320"/>
      <c r="J808" s="1320"/>
      <c r="K808" s="1320"/>
      <c r="L808" s="1387"/>
      <c r="M808" s="1315"/>
      <c r="N808" s="1387"/>
      <c r="O808" s="1384"/>
      <c r="P808" s="1384"/>
      <c r="Q808" s="1384"/>
      <c r="R808" s="1384"/>
      <c r="S808" s="693"/>
    </row>
    <row r="809" spans="1:19" s="181" customFormat="1" ht="30" x14ac:dyDescent="0.25">
      <c r="A809" s="183"/>
      <c r="B809" s="1305"/>
      <c r="C809" s="201"/>
      <c r="D809" s="201" t="s">
        <v>10</v>
      </c>
      <c r="E809" s="201"/>
      <c r="F809" s="202" t="s">
        <v>1229</v>
      </c>
      <c r="G809" s="290">
        <v>3185</v>
      </c>
      <c r="H809" s="290">
        <v>3185</v>
      </c>
      <c r="I809" s="290">
        <v>14101.6</v>
      </c>
      <c r="J809" s="290">
        <v>14374.9</v>
      </c>
      <c r="K809" s="290">
        <v>14804.9</v>
      </c>
      <c r="L809" s="1523"/>
      <c r="M809" s="1524"/>
      <c r="N809" s="1524"/>
      <c r="O809" s="1524"/>
      <c r="P809" s="1524"/>
      <c r="Q809" s="1524"/>
      <c r="R809" s="1525"/>
      <c r="S809" s="693"/>
    </row>
    <row r="810" spans="1:19" s="181" customFormat="1" ht="42.75" x14ac:dyDescent="0.25">
      <c r="A810" s="183"/>
      <c r="B810" s="1305"/>
      <c r="C810" s="196" t="s">
        <v>174</v>
      </c>
      <c r="D810" s="443"/>
      <c r="E810" s="201"/>
      <c r="F810" s="437" t="s">
        <v>1670</v>
      </c>
      <c r="G810" s="448">
        <f>G811+G812+G813</f>
        <v>10916.6</v>
      </c>
      <c r="H810" s="448">
        <f>H811+H812+H813</f>
        <v>10916.6</v>
      </c>
      <c r="I810" s="292"/>
      <c r="J810" s="292"/>
      <c r="K810" s="292"/>
      <c r="L810" s="202" t="s">
        <v>1671</v>
      </c>
      <c r="M810" s="202"/>
      <c r="N810" s="699">
        <v>1</v>
      </c>
      <c r="O810" s="700">
        <v>0.5</v>
      </c>
      <c r="P810" s="294"/>
      <c r="Q810" s="294"/>
      <c r="R810" s="294"/>
      <c r="S810" s="693"/>
    </row>
    <row r="811" spans="1:19" s="181" customFormat="1" ht="79.5" customHeight="1" x14ac:dyDescent="0.25">
      <c r="A811" s="183"/>
      <c r="B811" s="1305"/>
      <c r="C811" s="443"/>
      <c r="D811" s="443" t="s">
        <v>10</v>
      </c>
      <c r="E811" s="443"/>
      <c r="F811" s="411" t="s">
        <v>975</v>
      </c>
      <c r="G811" s="445">
        <v>3708</v>
      </c>
      <c r="H811" s="445">
        <v>3708</v>
      </c>
      <c r="I811" s="445"/>
      <c r="J811" s="445"/>
      <c r="K811" s="445"/>
      <c r="L811" s="202" t="s">
        <v>175</v>
      </c>
      <c r="M811" s="202"/>
      <c r="N811" s="699">
        <v>1</v>
      </c>
      <c r="O811" s="700">
        <v>0.5</v>
      </c>
      <c r="P811" s="294"/>
      <c r="Q811" s="294"/>
      <c r="R811" s="294"/>
      <c r="S811" s="693"/>
    </row>
    <row r="812" spans="1:19" s="181" customFormat="1" ht="58.5" customHeight="1" x14ac:dyDescent="0.25">
      <c r="A812" s="183"/>
      <c r="B812" s="1305"/>
      <c r="C812" s="443"/>
      <c r="D812" s="443" t="s">
        <v>13</v>
      </c>
      <c r="E812" s="443"/>
      <c r="F812" s="411" t="s">
        <v>976</v>
      </c>
      <c r="G812" s="445">
        <v>500</v>
      </c>
      <c r="H812" s="445">
        <v>500</v>
      </c>
      <c r="I812" s="445"/>
      <c r="J812" s="445"/>
      <c r="K812" s="445"/>
      <c r="L812" s="202" t="s">
        <v>176</v>
      </c>
      <c r="M812" s="202"/>
      <c r="N812" s="202"/>
      <c r="O812" s="294"/>
      <c r="P812" s="294"/>
      <c r="Q812" s="294"/>
      <c r="R812" s="294"/>
      <c r="S812" s="693"/>
    </row>
    <row r="813" spans="1:19" s="181" customFormat="1" ht="82.5" customHeight="1" x14ac:dyDescent="0.25">
      <c r="A813" s="183"/>
      <c r="B813" s="1306"/>
      <c r="C813" s="443"/>
      <c r="D813" s="443" t="s">
        <v>9</v>
      </c>
      <c r="E813" s="443"/>
      <c r="F813" s="411" t="s">
        <v>977</v>
      </c>
      <c r="G813" s="445">
        <v>6708.6</v>
      </c>
      <c r="H813" s="445">
        <v>6708.6</v>
      </c>
      <c r="I813" s="445"/>
      <c r="J813" s="445"/>
      <c r="K813" s="445"/>
      <c r="L813" s="202"/>
      <c r="M813" s="202"/>
      <c r="N813" s="202"/>
      <c r="O813" s="294"/>
      <c r="P813" s="294"/>
      <c r="Q813" s="294"/>
      <c r="R813" s="294"/>
      <c r="S813" s="693"/>
    </row>
    <row r="814" spans="1:19" s="181" customFormat="1" ht="28.5" customHeight="1" x14ac:dyDescent="0.25">
      <c r="A814" s="183"/>
      <c r="B814" s="1276" t="s">
        <v>299</v>
      </c>
      <c r="C814" s="1277"/>
      <c r="D814" s="1277"/>
      <c r="E814" s="1277"/>
      <c r="F814" s="1278"/>
      <c r="G814" s="341">
        <f>G807+G810</f>
        <v>14101.6</v>
      </c>
      <c r="H814" s="341">
        <f>H807+H810</f>
        <v>14101.6</v>
      </c>
      <c r="I814" s="341">
        <f>I807+I810</f>
        <v>14101.6</v>
      </c>
      <c r="J814" s="341">
        <f>J807+J810</f>
        <v>14374.9</v>
      </c>
      <c r="K814" s="341">
        <f>K807+K810</f>
        <v>14804.9</v>
      </c>
      <c r="L814" s="701"/>
      <c r="M814" s="1580"/>
      <c r="N814" s="1580"/>
      <c r="O814" s="1580"/>
      <c r="P814" s="1580"/>
      <c r="Q814" s="1580"/>
      <c r="R814" s="1580"/>
      <c r="S814" s="693"/>
    </row>
    <row r="815" spans="1:19" s="693" customFormat="1" ht="14.25" x14ac:dyDescent="0.2">
      <c r="A815" s="702"/>
      <c r="B815" s="1428" t="s">
        <v>978</v>
      </c>
      <c r="C815" s="1429"/>
      <c r="D815" s="1429"/>
      <c r="E815" s="1429"/>
      <c r="F815" s="1429"/>
      <c r="G815" s="1429"/>
      <c r="H815" s="1429"/>
      <c r="I815" s="1429"/>
      <c r="J815" s="1429"/>
      <c r="K815" s="1429"/>
      <c r="L815" s="1429"/>
      <c r="M815" s="1429"/>
      <c r="N815" s="1430"/>
      <c r="O815" s="462"/>
      <c r="P815" s="462"/>
      <c r="Q815" s="462"/>
      <c r="R815" s="462"/>
      <c r="S815" s="703"/>
    </row>
    <row r="816" spans="1:19" s="693" customFormat="1" ht="15" x14ac:dyDescent="0.25">
      <c r="A816" s="702"/>
      <c r="B816" s="1304" t="s">
        <v>979</v>
      </c>
      <c r="C816" s="196" t="s">
        <v>0</v>
      </c>
      <c r="D816" s="201"/>
      <c r="E816" s="335"/>
      <c r="F816" s="313" t="s">
        <v>1672</v>
      </c>
      <c r="G816" s="576">
        <f>G817</f>
        <v>20146.599999999999</v>
      </c>
      <c r="H816" s="576">
        <f>H817</f>
        <v>16400.400000000001</v>
      </c>
      <c r="I816" s="550">
        <f>I817</f>
        <v>38880.400000000001</v>
      </c>
      <c r="J816" s="550">
        <f>J817</f>
        <v>47293</v>
      </c>
      <c r="K816" s="550">
        <f>K817</f>
        <v>49298.3</v>
      </c>
      <c r="L816" s="391" t="s">
        <v>586</v>
      </c>
      <c r="M816" s="235" t="s">
        <v>57</v>
      </c>
      <c r="N816" s="391"/>
      <c r="O816" s="609"/>
      <c r="P816" s="609"/>
      <c r="Q816" s="609"/>
      <c r="R816" s="609"/>
      <c r="S816" s="703"/>
    </row>
    <row r="817" spans="1:19" s="693" customFormat="1" ht="48" customHeight="1" x14ac:dyDescent="0.2">
      <c r="A817" s="702"/>
      <c r="B817" s="1305"/>
      <c r="C817" s="201"/>
      <c r="D817" s="201" t="s">
        <v>10</v>
      </c>
      <c r="E817" s="335"/>
      <c r="F817" s="344" t="s">
        <v>1673</v>
      </c>
      <c r="G817" s="704">
        <v>20146.599999999999</v>
      </c>
      <c r="H817" s="704">
        <v>16400.400000000001</v>
      </c>
      <c r="I817" s="277">
        <v>38880.400000000001</v>
      </c>
      <c r="J817" s="277">
        <v>47293</v>
      </c>
      <c r="K817" s="277">
        <v>49298.3</v>
      </c>
      <c r="L817" s="1581"/>
      <c r="M817" s="1582"/>
      <c r="N817" s="1582"/>
      <c r="O817" s="1582"/>
      <c r="P817" s="1582"/>
      <c r="Q817" s="1582"/>
      <c r="R817" s="1583"/>
      <c r="S817" s="703"/>
    </row>
    <row r="818" spans="1:19" s="693" customFormat="1" ht="74.25" x14ac:dyDescent="0.2">
      <c r="A818" s="702"/>
      <c r="B818" s="1305"/>
      <c r="C818" s="196" t="s">
        <v>177</v>
      </c>
      <c r="D818" s="443"/>
      <c r="E818" s="335"/>
      <c r="F818" s="313" t="s">
        <v>1674</v>
      </c>
      <c r="G818" s="576">
        <f>G819+G821+G823+G825</f>
        <v>20555.7</v>
      </c>
      <c r="H818" s="576">
        <f>H819+H821+H823+H825</f>
        <v>17033.7</v>
      </c>
      <c r="I818" s="550">
        <f>I819+I821+I823+I825</f>
        <v>45518.600000000006</v>
      </c>
      <c r="J818" s="550">
        <f>J819+J821+J823+J825</f>
        <v>47979.3</v>
      </c>
      <c r="K818" s="550">
        <f>K819+K821+K823+K825</f>
        <v>48997.700000000004</v>
      </c>
      <c r="L818" s="391" t="s">
        <v>1676</v>
      </c>
      <c r="M818" s="235" t="s">
        <v>1677</v>
      </c>
      <c r="N818" s="391">
        <v>537.6</v>
      </c>
      <c r="O818" s="558">
        <v>660</v>
      </c>
      <c r="P818" s="558">
        <v>750</v>
      </c>
      <c r="Q818" s="558">
        <v>850</v>
      </c>
      <c r="R818" s="558">
        <v>900</v>
      </c>
      <c r="S818" s="703"/>
    </row>
    <row r="819" spans="1:19" s="693" customFormat="1" ht="35.25" customHeight="1" x14ac:dyDescent="0.25">
      <c r="A819" s="702"/>
      <c r="B819" s="1305"/>
      <c r="C819" s="1304"/>
      <c r="D819" s="1341" t="s">
        <v>10</v>
      </c>
      <c r="E819" s="1341"/>
      <c r="F819" s="1456" t="s">
        <v>980</v>
      </c>
      <c r="G819" s="1489"/>
      <c r="H819" s="1489"/>
      <c r="I819" s="1489">
        <v>4545.2</v>
      </c>
      <c r="J819" s="1489">
        <v>4545.2</v>
      </c>
      <c r="K819" s="1489">
        <v>4545.2</v>
      </c>
      <c r="L819" s="1456" t="s">
        <v>981</v>
      </c>
      <c r="M819" s="235" t="s">
        <v>297</v>
      </c>
      <c r="N819" s="391"/>
      <c r="O819" s="609"/>
      <c r="P819" s="609"/>
      <c r="Q819" s="609"/>
      <c r="R819" s="609"/>
      <c r="S819" s="703"/>
    </row>
    <row r="820" spans="1:19" s="693" customFormat="1" ht="17.25" customHeight="1" x14ac:dyDescent="0.25">
      <c r="A820" s="702"/>
      <c r="B820" s="1305"/>
      <c r="C820" s="1306"/>
      <c r="D820" s="1342"/>
      <c r="E820" s="1342"/>
      <c r="F820" s="1457"/>
      <c r="G820" s="1492"/>
      <c r="H820" s="1492"/>
      <c r="I820" s="1492"/>
      <c r="J820" s="1492"/>
      <c r="K820" s="1492"/>
      <c r="L820" s="1457"/>
      <c r="M820" s="235" t="s">
        <v>297</v>
      </c>
      <c r="N820" s="391"/>
      <c r="O820" s="609"/>
      <c r="P820" s="609"/>
      <c r="Q820" s="609"/>
      <c r="R820" s="609"/>
      <c r="S820" s="703"/>
    </row>
    <row r="821" spans="1:19" s="693" customFormat="1" ht="17.25" customHeight="1" x14ac:dyDescent="0.25">
      <c r="A821" s="702"/>
      <c r="B821" s="1305"/>
      <c r="C821" s="1341"/>
      <c r="D821" s="1341" t="s">
        <v>13</v>
      </c>
      <c r="E821" s="1343"/>
      <c r="F821" s="1456" t="s">
        <v>982</v>
      </c>
      <c r="G821" s="1489"/>
      <c r="H821" s="1489"/>
      <c r="I821" s="1489">
        <v>19669.2</v>
      </c>
      <c r="J821" s="1489">
        <v>21799.7</v>
      </c>
      <c r="K821" s="1489">
        <v>22298.7</v>
      </c>
      <c r="L821" s="391" t="s">
        <v>983</v>
      </c>
      <c r="M821" s="235" t="s">
        <v>297</v>
      </c>
      <c r="N821" s="391"/>
      <c r="O821" s="609">
        <v>5</v>
      </c>
      <c r="P821" s="609">
        <v>10</v>
      </c>
      <c r="Q821" s="609">
        <v>15</v>
      </c>
      <c r="R821" s="609">
        <v>20</v>
      </c>
      <c r="S821" s="703"/>
    </row>
    <row r="822" spans="1:19" s="693" customFormat="1" ht="15" x14ac:dyDescent="0.25">
      <c r="A822" s="702"/>
      <c r="B822" s="1305"/>
      <c r="C822" s="1342"/>
      <c r="D822" s="1342"/>
      <c r="E822" s="1344"/>
      <c r="F822" s="1457"/>
      <c r="G822" s="1492"/>
      <c r="H822" s="1492"/>
      <c r="I822" s="1492"/>
      <c r="J822" s="1492"/>
      <c r="K822" s="1492"/>
      <c r="L822" s="391" t="s">
        <v>984</v>
      </c>
      <c r="M822" s="235" t="s">
        <v>4</v>
      </c>
      <c r="N822" s="547"/>
      <c r="O822" s="609">
        <v>100</v>
      </c>
      <c r="P822" s="609">
        <v>100</v>
      </c>
      <c r="Q822" s="609">
        <v>50</v>
      </c>
      <c r="R822" s="609">
        <v>25</v>
      </c>
      <c r="S822" s="703"/>
    </row>
    <row r="823" spans="1:19" s="693" customFormat="1" ht="15" x14ac:dyDescent="0.25">
      <c r="A823" s="702"/>
      <c r="B823" s="1305"/>
      <c r="C823" s="1341"/>
      <c r="D823" s="1553" t="s">
        <v>9</v>
      </c>
      <c r="E823" s="1585"/>
      <c r="F823" s="1456" t="s">
        <v>985</v>
      </c>
      <c r="G823" s="1489">
        <v>14020</v>
      </c>
      <c r="H823" s="1489">
        <v>11066.9</v>
      </c>
      <c r="I823" s="1489">
        <v>13307.7</v>
      </c>
      <c r="J823" s="1489">
        <v>13522.2</v>
      </c>
      <c r="K823" s="1489">
        <v>13859.7</v>
      </c>
      <c r="L823" s="391" t="s">
        <v>986</v>
      </c>
      <c r="M823" s="235" t="s">
        <v>297</v>
      </c>
      <c r="N823" s="391">
        <v>6</v>
      </c>
      <c r="O823" s="609">
        <v>8</v>
      </c>
      <c r="P823" s="609">
        <v>10</v>
      </c>
      <c r="Q823" s="609">
        <v>10</v>
      </c>
      <c r="R823" s="609">
        <v>10</v>
      </c>
      <c r="S823" s="703"/>
    </row>
    <row r="824" spans="1:19" s="693" customFormat="1" ht="30" x14ac:dyDescent="0.2">
      <c r="A824" s="702"/>
      <c r="B824" s="1305"/>
      <c r="C824" s="1342"/>
      <c r="D824" s="1554"/>
      <c r="E824" s="1586"/>
      <c r="F824" s="1457"/>
      <c r="G824" s="1492"/>
      <c r="H824" s="1492"/>
      <c r="I824" s="1492"/>
      <c r="J824" s="1492"/>
      <c r="K824" s="1492"/>
      <c r="L824" s="391" t="s">
        <v>987</v>
      </c>
      <c r="M824" s="235" t="s">
        <v>81</v>
      </c>
      <c r="N824" s="391">
        <v>0</v>
      </c>
      <c r="O824" s="391">
        <v>10</v>
      </c>
      <c r="P824" s="391">
        <v>15</v>
      </c>
      <c r="Q824" s="391">
        <v>15</v>
      </c>
      <c r="R824" s="391">
        <v>15</v>
      </c>
      <c r="S824" s="703"/>
    </row>
    <row r="825" spans="1:19" s="693" customFormat="1" ht="30" x14ac:dyDescent="0.2">
      <c r="A825" s="702"/>
      <c r="B825" s="1305"/>
      <c r="C825" s="443"/>
      <c r="D825" s="679" t="s">
        <v>23</v>
      </c>
      <c r="E825" s="705"/>
      <c r="F825" s="577" t="s">
        <v>988</v>
      </c>
      <c r="G825" s="557">
        <v>6535.7</v>
      </c>
      <c r="H825" s="557">
        <v>5966.8</v>
      </c>
      <c r="I825" s="557">
        <v>7996.5</v>
      </c>
      <c r="J825" s="557">
        <v>8112.2</v>
      </c>
      <c r="K825" s="557">
        <v>8294.1</v>
      </c>
      <c r="L825" s="391" t="s">
        <v>989</v>
      </c>
      <c r="M825" s="235" t="s">
        <v>297</v>
      </c>
      <c r="N825" s="706">
        <v>45</v>
      </c>
      <c r="O825" s="707">
        <v>50</v>
      </c>
      <c r="P825" s="707">
        <v>55</v>
      </c>
      <c r="Q825" s="707">
        <v>60</v>
      </c>
      <c r="R825" s="707">
        <v>65</v>
      </c>
      <c r="S825" s="703"/>
    </row>
    <row r="826" spans="1:19" s="693" customFormat="1" ht="59.25" x14ac:dyDescent="0.2">
      <c r="A826" s="702"/>
      <c r="B826" s="1305"/>
      <c r="C826" s="196" t="s">
        <v>178</v>
      </c>
      <c r="D826" s="270"/>
      <c r="E826" s="353"/>
      <c r="F826" s="313" t="s">
        <v>990</v>
      </c>
      <c r="G826" s="550">
        <f>G827+G830+G831</f>
        <v>60773</v>
      </c>
      <c r="H826" s="550">
        <f>H827+H830+H831</f>
        <v>63387.7</v>
      </c>
      <c r="I826" s="550">
        <f>I827+I830+I831</f>
        <v>88759.8</v>
      </c>
      <c r="J826" s="550">
        <f>J827+J830+J831</f>
        <v>89861.9</v>
      </c>
      <c r="K826" s="550">
        <f>K827+K830+K831</f>
        <v>91595.599999999991</v>
      </c>
      <c r="L826" s="1072" t="s">
        <v>1675</v>
      </c>
      <c r="M826" s="552" t="s">
        <v>81</v>
      </c>
      <c r="N826" s="391">
        <f>N827+N829+N830+N831</f>
        <v>2276.5</v>
      </c>
      <c r="O826" s="391">
        <f>O827+O829+O830+O831</f>
        <v>2550</v>
      </c>
      <c r="P826" s="391">
        <f>P827+P829+P830+P831</f>
        <v>1254</v>
      </c>
      <c r="Q826" s="391">
        <f>Q827+Q829+Q830+Q831</f>
        <v>1255</v>
      </c>
      <c r="R826" s="391">
        <f>R827+R829+R830+R831</f>
        <v>1256</v>
      </c>
      <c r="S826" s="703"/>
    </row>
    <row r="827" spans="1:19" s="693" customFormat="1" ht="45" x14ac:dyDescent="0.2">
      <c r="A827" s="702"/>
      <c r="B827" s="1305"/>
      <c r="C827" s="1376"/>
      <c r="D827" s="1571" t="s">
        <v>10</v>
      </c>
      <c r="E827" s="1587"/>
      <c r="F827" s="1500" t="s">
        <v>991</v>
      </c>
      <c r="G827" s="1489">
        <v>58167</v>
      </c>
      <c r="H827" s="1489">
        <v>58387.7</v>
      </c>
      <c r="I827" s="1501">
        <v>78695.100000000006</v>
      </c>
      <c r="J827" s="1501">
        <v>79700.3</v>
      </c>
      <c r="K827" s="1501">
        <v>81281.5</v>
      </c>
      <c r="L827" s="391" t="s">
        <v>992</v>
      </c>
      <c r="M827" s="235" t="s">
        <v>81</v>
      </c>
      <c r="N827" s="708">
        <v>2176.5</v>
      </c>
      <c r="O827" s="685">
        <v>1750</v>
      </c>
      <c r="P827" s="685">
        <v>1000</v>
      </c>
      <c r="Q827" s="685">
        <v>1000</v>
      </c>
      <c r="R827" s="685">
        <v>1000</v>
      </c>
      <c r="S827" s="703"/>
    </row>
    <row r="828" spans="1:19" s="693" customFormat="1" ht="30" x14ac:dyDescent="0.2">
      <c r="A828" s="702"/>
      <c r="B828" s="1305"/>
      <c r="C828" s="1376"/>
      <c r="D828" s="1571"/>
      <c r="E828" s="1587"/>
      <c r="F828" s="1500"/>
      <c r="G828" s="1490"/>
      <c r="H828" s="1490"/>
      <c r="I828" s="1501"/>
      <c r="J828" s="1501"/>
      <c r="K828" s="1501"/>
      <c r="L828" s="391" t="s">
        <v>993</v>
      </c>
      <c r="M828" s="235" t="s">
        <v>81</v>
      </c>
      <c r="N828" s="391">
        <v>521.4</v>
      </c>
      <c r="O828" s="685">
        <v>500</v>
      </c>
      <c r="P828" s="685">
        <v>500</v>
      </c>
      <c r="Q828" s="685">
        <v>500</v>
      </c>
      <c r="R828" s="685">
        <v>500</v>
      </c>
      <c r="S828" s="703"/>
    </row>
    <row r="829" spans="1:19" s="693" customFormat="1" ht="30" x14ac:dyDescent="0.2">
      <c r="A829" s="702"/>
      <c r="B829" s="1305"/>
      <c r="C829" s="1376"/>
      <c r="D829" s="1571"/>
      <c r="E829" s="1587"/>
      <c r="F829" s="1500"/>
      <c r="G829" s="1492"/>
      <c r="H829" s="1492"/>
      <c r="I829" s="1501"/>
      <c r="J829" s="1501"/>
      <c r="K829" s="1501"/>
      <c r="L829" s="391" t="s">
        <v>994</v>
      </c>
      <c r="M829" s="235" t="s">
        <v>81</v>
      </c>
      <c r="N829" s="391"/>
      <c r="O829" s="685">
        <v>500</v>
      </c>
      <c r="P829" s="685">
        <v>50</v>
      </c>
      <c r="Q829" s="685">
        <v>50</v>
      </c>
      <c r="R829" s="685">
        <v>50</v>
      </c>
      <c r="S829" s="703"/>
    </row>
    <row r="830" spans="1:19" s="693" customFormat="1" ht="45" x14ac:dyDescent="0.25">
      <c r="A830" s="702"/>
      <c r="B830" s="1305"/>
      <c r="C830" s="201"/>
      <c r="D830" s="201" t="s">
        <v>13</v>
      </c>
      <c r="E830" s="335"/>
      <c r="F830" s="608" t="s">
        <v>995</v>
      </c>
      <c r="G830" s="277"/>
      <c r="H830" s="277"/>
      <c r="I830" s="277">
        <v>2664.7</v>
      </c>
      <c r="J830" s="277">
        <v>2664.7</v>
      </c>
      <c r="K830" s="277">
        <v>2664.7</v>
      </c>
      <c r="L830" s="391" t="s">
        <v>981</v>
      </c>
      <c r="M830" s="235" t="s">
        <v>318</v>
      </c>
      <c r="N830" s="391"/>
      <c r="O830" s="609"/>
      <c r="P830" s="554">
        <v>4</v>
      </c>
      <c r="Q830" s="554">
        <v>5</v>
      </c>
      <c r="R830" s="554">
        <v>6</v>
      </c>
      <c r="S830" s="703"/>
    </row>
    <row r="831" spans="1:19" s="693" customFormat="1" ht="30" x14ac:dyDescent="0.25">
      <c r="A831" s="702"/>
      <c r="B831" s="1305"/>
      <c r="C831" s="1376"/>
      <c r="D831" s="1571" t="s">
        <v>9</v>
      </c>
      <c r="E831" s="1587"/>
      <c r="F831" s="1500" t="s">
        <v>996</v>
      </c>
      <c r="G831" s="1489">
        <v>2606</v>
      </c>
      <c r="H831" s="1489">
        <v>5000</v>
      </c>
      <c r="I831" s="1501">
        <v>7400</v>
      </c>
      <c r="J831" s="1501">
        <v>7496.9</v>
      </c>
      <c r="K831" s="1501">
        <v>7649.4</v>
      </c>
      <c r="L831" s="520" t="s">
        <v>997</v>
      </c>
      <c r="M831" s="235" t="s">
        <v>81</v>
      </c>
      <c r="N831" s="608">
        <v>100</v>
      </c>
      <c r="O831" s="709">
        <v>300</v>
      </c>
      <c r="P831" s="709">
        <v>200</v>
      </c>
      <c r="Q831" s="709">
        <v>200</v>
      </c>
      <c r="R831" s="709">
        <v>200</v>
      </c>
      <c r="S831" s="703"/>
    </row>
    <row r="832" spans="1:19" s="693" customFormat="1" ht="30" x14ac:dyDescent="0.25">
      <c r="A832" s="702"/>
      <c r="B832" s="1306"/>
      <c r="C832" s="1376"/>
      <c r="D832" s="1571"/>
      <c r="E832" s="1587"/>
      <c r="F832" s="1500"/>
      <c r="G832" s="1492"/>
      <c r="H832" s="1492"/>
      <c r="I832" s="1501"/>
      <c r="J832" s="1501"/>
      <c r="K832" s="1501"/>
      <c r="L832" s="391" t="s">
        <v>998</v>
      </c>
      <c r="M832" s="235" t="s">
        <v>4</v>
      </c>
      <c r="N832" s="391"/>
      <c r="O832" s="609">
        <v>30</v>
      </c>
      <c r="P832" s="609">
        <v>20</v>
      </c>
      <c r="Q832" s="609">
        <v>20</v>
      </c>
      <c r="R832" s="609">
        <v>20</v>
      </c>
      <c r="S832" s="703"/>
    </row>
    <row r="833" spans="1:19" s="693" customFormat="1" ht="15" x14ac:dyDescent="0.25">
      <c r="A833" s="702"/>
      <c r="B833" s="1276" t="s">
        <v>299</v>
      </c>
      <c r="C833" s="1277"/>
      <c r="D833" s="1277"/>
      <c r="E833" s="1277"/>
      <c r="F833" s="1278"/>
      <c r="G833" s="341">
        <f>G816+G818+G826</f>
        <v>101475.3</v>
      </c>
      <c r="H833" s="341">
        <f>H816+H818+H826</f>
        <v>96821.8</v>
      </c>
      <c r="I833" s="341">
        <f>SUM(I816,I818,I826)</f>
        <v>173158.8</v>
      </c>
      <c r="J833" s="341">
        <f>SUM(J816,J818,J826)</f>
        <v>185134.2</v>
      </c>
      <c r="K833" s="341">
        <f>SUM(K816,K818,K826)</f>
        <v>189891.59999999998</v>
      </c>
      <c r="L833" s="452"/>
      <c r="M833" s="1576"/>
      <c r="N833" s="1576"/>
      <c r="O833" s="1576"/>
      <c r="P833" s="1576"/>
      <c r="Q833" s="1576"/>
      <c r="R833" s="1576"/>
      <c r="S833" s="703"/>
    </row>
    <row r="834" spans="1:19" s="693" customFormat="1" ht="14.25" x14ac:dyDescent="0.2">
      <c r="A834" s="702"/>
      <c r="B834" s="1428" t="s">
        <v>999</v>
      </c>
      <c r="C834" s="1429"/>
      <c r="D834" s="1429"/>
      <c r="E834" s="1429"/>
      <c r="F834" s="1429"/>
      <c r="G834" s="1429"/>
      <c r="H834" s="1429"/>
      <c r="I834" s="1429"/>
      <c r="J834" s="1429"/>
      <c r="K834" s="1429"/>
      <c r="L834" s="1429"/>
      <c r="M834" s="1429"/>
      <c r="N834" s="1429"/>
      <c r="O834" s="1429"/>
      <c r="P834" s="1429"/>
      <c r="Q834" s="1429"/>
      <c r="R834" s="1430"/>
      <c r="S834" s="703"/>
    </row>
    <row r="835" spans="1:19" s="693" customFormat="1" ht="14.25" customHeight="1" x14ac:dyDescent="0.2">
      <c r="A835" s="702"/>
      <c r="B835" s="1598">
        <v>59</v>
      </c>
      <c r="C835" s="78">
        <v>1</v>
      </c>
      <c r="D835" s="710"/>
      <c r="E835" s="711"/>
      <c r="F835" s="49" t="s">
        <v>1000</v>
      </c>
      <c r="G835" s="50">
        <f>G836</f>
        <v>12353.099999999999</v>
      </c>
      <c r="H835" s="50">
        <f t="shared" ref="H835:K835" si="69">H836</f>
        <v>15429.9</v>
      </c>
      <c r="I835" s="50">
        <f t="shared" si="69"/>
        <v>15429.9</v>
      </c>
      <c r="J835" s="50">
        <f t="shared" si="69"/>
        <v>15728.983923659998</v>
      </c>
      <c r="K835" s="50">
        <f t="shared" si="69"/>
        <v>16199.481692400001</v>
      </c>
      <c r="L835" s="49" t="s">
        <v>1001</v>
      </c>
      <c r="M835" s="51" t="s">
        <v>21</v>
      </c>
      <c r="N835" s="48">
        <v>1</v>
      </c>
      <c r="O835" s="48">
        <v>1</v>
      </c>
      <c r="P835" s="48">
        <v>1</v>
      </c>
      <c r="Q835" s="48">
        <v>1</v>
      </c>
      <c r="R835" s="48">
        <v>1</v>
      </c>
      <c r="S835" s="462"/>
    </row>
    <row r="836" spans="1:19" s="693" customFormat="1" ht="17.25" customHeight="1" x14ac:dyDescent="0.2">
      <c r="A836" s="702"/>
      <c r="B836" s="1598"/>
      <c r="C836" s="712"/>
      <c r="D836" s="713">
        <v>1</v>
      </c>
      <c r="E836" s="714"/>
      <c r="F836" s="107" t="s">
        <v>1002</v>
      </c>
      <c r="G836" s="110">
        <f>5817.8+2481+2357.8+1696.5</f>
        <v>12353.099999999999</v>
      </c>
      <c r="H836" s="110">
        <f>6417.1+9012.8</f>
        <v>15429.9</v>
      </c>
      <c r="I836" s="110">
        <f>H836</f>
        <v>15429.9</v>
      </c>
      <c r="J836" s="110">
        <f>I836*101.93834%</f>
        <v>15728.983923659998</v>
      </c>
      <c r="K836" s="110">
        <f>I836*104.9876%</f>
        <v>16199.481692400001</v>
      </c>
      <c r="L836" s="204" t="s">
        <v>1003</v>
      </c>
      <c r="M836" s="13" t="s">
        <v>4</v>
      </c>
      <c r="N836" s="13">
        <v>100</v>
      </c>
      <c r="O836" s="13">
        <v>100</v>
      </c>
      <c r="P836" s="13">
        <v>100</v>
      </c>
      <c r="Q836" s="13">
        <v>100</v>
      </c>
      <c r="R836" s="13">
        <v>100</v>
      </c>
    </row>
    <row r="837" spans="1:19" s="693" customFormat="1" ht="74.25" x14ac:dyDescent="0.25">
      <c r="A837" s="702"/>
      <c r="B837" s="1598"/>
      <c r="C837" s="111" t="s">
        <v>179</v>
      </c>
      <c r="D837" s="98"/>
      <c r="E837" s="715"/>
      <c r="F837" s="49" t="s">
        <v>1004</v>
      </c>
      <c r="G837" s="52">
        <f>G838+G846+G853+G856+G860+G861+G863+G864+G865+G840+G852</f>
        <v>50730.399999999994</v>
      </c>
      <c r="H837" s="52">
        <f>H838+H846+H853+H856+H860+H861+H863+H864+H865+H840+H852</f>
        <v>52792.7</v>
      </c>
      <c r="I837" s="52">
        <f>I838+I846+I853+I856+I860+I861+I863+I864+I865+I840+I852</f>
        <v>52792.7</v>
      </c>
      <c r="J837" s="52">
        <f t="shared" ref="J837:K837" si="70">J838+J846+J853+J856+J860+J861+J863+J864+J865+J840+J852</f>
        <v>53816</v>
      </c>
      <c r="K837" s="52">
        <f t="shared" si="70"/>
        <v>55425.8</v>
      </c>
      <c r="L837" s="716"/>
      <c r="M837" s="717"/>
      <c r="N837" s="717"/>
      <c r="O837" s="717"/>
      <c r="P837" s="717"/>
      <c r="Q837" s="717"/>
      <c r="R837" s="717"/>
    </row>
    <row r="838" spans="1:19" s="693" customFormat="1" ht="45" x14ac:dyDescent="0.2">
      <c r="A838" s="702"/>
      <c r="B838" s="1598"/>
      <c r="C838" s="1599"/>
      <c r="D838" s="1590" t="s">
        <v>10</v>
      </c>
      <c r="E838" s="1590"/>
      <c r="F838" s="1592" t="s">
        <v>1005</v>
      </c>
      <c r="G838" s="1588">
        <v>2200.5</v>
      </c>
      <c r="H838" s="1588">
        <v>3002.7</v>
      </c>
      <c r="I838" s="1588">
        <f>H838</f>
        <v>3002.7</v>
      </c>
      <c r="J838" s="1588">
        <v>3060.9</v>
      </c>
      <c r="K838" s="1588">
        <v>3152.5</v>
      </c>
      <c r="L838" s="516" t="s">
        <v>1006</v>
      </c>
      <c r="M838" s="13" t="s">
        <v>297</v>
      </c>
      <c r="N838" s="106" t="s">
        <v>180</v>
      </c>
      <c r="O838" s="106" t="s">
        <v>180</v>
      </c>
      <c r="P838" s="106" t="s">
        <v>180</v>
      </c>
      <c r="Q838" s="106" t="s">
        <v>180</v>
      </c>
      <c r="R838" s="106" t="s">
        <v>180</v>
      </c>
    </row>
    <row r="839" spans="1:19" s="693" customFormat="1" ht="60" x14ac:dyDescent="0.2">
      <c r="A839" s="702"/>
      <c r="B839" s="1598"/>
      <c r="C839" s="1600"/>
      <c r="D839" s="1591"/>
      <c r="E839" s="1591"/>
      <c r="F839" s="1594"/>
      <c r="G839" s="1589"/>
      <c r="H839" s="1589"/>
      <c r="I839" s="1589"/>
      <c r="J839" s="1589"/>
      <c r="K839" s="1589"/>
      <c r="L839" s="516" t="s">
        <v>1007</v>
      </c>
      <c r="M839" s="13" t="s">
        <v>297</v>
      </c>
      <c r="N839" s="106" t="s">
        <v>180</v>
      </c>
      <c r="O839" s="106" t="s">
        <v>180</v>
      </c>
      <c r="P839" s="106" t="s">
        <v>180</v>
      </c>
      <c r="Q839" s="106" t="s">
        <v>180</v>
      </c>
      <c r="R839" s="106" t="s">
        <v>180</v>
      </c>
    </row>
    <row r="840" spans="1:19" s="693" customFormat="1" ht="45" x14ac:dyDescent="0.2">
      <c r="A840" s="702"/>
      <c r="B840" s="1598"/>
      <c r="C840" s="718"/>
      <c r="D840" s="1590" t="s">
        <v>13</v>
      </c>
      <c r="E840" s="719"/>
      <c r="F840" s="1592" t="s">
        <v>1008</v>
      </c>
      <c r="G840" s="1595">
        <v>2317.1999999999998</v>
      </c>
      <c r="H840" s="1588">
        <v>2934.4</v>
      </c>
      <c r="I840" s="1588">
        <f>H840</f>
        <v>2934.4</v>
      </c>
      <c r="J840" s="1588">
        <v>2991.3</v>
      </c>
      <c r="K840" s="1588">
        <v>3080.8</v>
      </c>
      <c r="L840" s="204" t="s">
        <v>1678</v>
      </c>
      <c r="M840" s="13" t="s">
        <v>4</v>
      </c>
      <c r="N840" s="106" t="s">
        <v>180</v>
      </c>
      <c r="O840" s="106" t="s">
        <v>180</v>
      </c>
      <c r="P840" s="106" t="s">
        <v>180</v>
      </c>
      <c r="Q840" s="106" t="s">
        <v>180</v>
      </c>
      <c r="R840" s="106" t="s">
        <v>180</v>
      </c>
    </row>
    <row r="841" spans="1:19" s="693" customFormat="1" ht="45" x14ac:dyDescent="0.2">
      <c r="A841" s="702"/>
      <c r="B841" s="1598"/>
      <c r="C841" s="720"/>
      <c r="D841" s="1591"/>
      <c r="E841" s="721"/>
      <c r="F841" s="1593"/>
      <c r="G841" s="1596"/>
      <c r="H841" s="1597"/>
      <c r="I841" s="1597"/>
      <c r="J841" s="1597"/>
      <c r="K841" s="1597"/>
      <c r="L841" s="204" t="s">
        <v>1009</v>
      </c>
      <c r="M841" s="13" t="s">
        <v>4</v>
      </c>
      <c r="N841" s="106" t="s">
        <v>180</v>
      </c>
      <c r="O841" s="106" t="s">
        <v>180</v>
      </c>
      <c r="P841" s="106" t="s">
        <v>180</v>
      </c>
      <c r="Q841" s="106" t="s">
        <v>180</v>
      </c>
      <c r="R841" s="106" t="s">
        <v>180</v>
      </c>
    </row>
    <row r="842" spans="1:19" s="693" customFormat="1" ht="60" x14ac:dyDescent="0.2">
      <c r="A842" s="702"/>
      <c r="B842" s="1598"/>
      <c r="C842" s="720"/>
      <c r="D842" s="1591"/>
      <c r="E842" s="721"/>
      <c r="F842" s="1593"/>
      <c r="G842" s="1596"/>
      <c r="H842" s="1597"/>
      <c r="I842" s="1597"/>
      <c r="J842" s="1597"/>
      <c r="K842" s="1597"/>
      <c r="L842" s="204" t="s">
        <v>1010</v>
      </c>
      <c r="M842" s="13" t="s">
        <v>4</v>
      </c>
      <c r="N842" s="106">
        <v>100</v>
      </c>
      <c r="O842" s="106">
        <v>100</v>
      </c>
      <c r="P842" s="106">
        <v>100</v>
      </c>
      <c r="Q842" s="106">
        <v>100</v>
      </c>
      <c r="R842" s="106">
        <v>100</v>
      </c>
      <c r="S842" s="462"/>
    </row>
    <row r="843" spans="1:19" s="693" customFormat="1" ht="30" x14ac:dyDescent="0.2">
      <c r="A843" s="702"/>
      <c r="B843" s="1598"/>
      <c r="C843" s="720"/>
      <c r="D843" s="1591"/>
      <c r="E843" s="1591"/>
      <c r="F843" s="1594"/>
      <c r="G843" s="1596"/>
      <c r="H843" s="1597"/>
      <c r="I843" s="1597"/>
      <c r="J843" s="1597"/>
      <c r="K843" s="1597"/>
      <c r="L843" s="204" t="s">
        <v>1011</v>
      </c>
      <c r="M843" s="13" t="s">
        <v>4</v>
      </c>
      <c r="N843" s="53">
        <v>100</v>
      </c>
      <c r="O843" s="53">
        <v>100</v>
      </c>
      <c r="P843" s="53">
        <v>100</v>
      </c>
      <c r="Q843" s="53">
        <v>100</v>
      </c>
      <c r="R843" s="53">
        <v>100</v>
      </c>
    </row>
    <row r="844" spans="1:19" s="693" customFormat="1" ht="45" x14ac:dyDescent="0.2">
      <c r="A844" s="702"/>
      <c r="B844" s="1598"/>
      <c r="C844" s="720"/>
      <c r="D844" s="105"/>
      <c r="E844" s="1591"/>
      <c r="F844" s="107" t="s">
        <v>1012</v>
      </c>
      <c r="G844" s="1596"/>
      <c r="H844" s="1597"/>
      <c r="I844" s="1597"/>
      <c r="J844" s="1597"/>
      <c r="K844" s="1597"/>
      <c r="L844" s="107" t="s">
        <v>1013</v>
      </c>
      <c r="M844" s="13" t="s">
        <v>4</v>
      </c>
      <c r="N844" s="13">
        <v>100</v>
      </c>
      <c r="O844" s="13">
        <v>100</v>
      </c>
      <c r="P844" s="13">
        <v>100</v>
      </c>
      <c r="Q844" s="13">
        <v>100</v>
      </c>
      <c r="R844" s="13">
        <v>100</v>
      </c>
    </row>
    <row r="845" spans="1:19" s="693" customFormat="1" ht="30" x14ac:dyDescent="0.2">
      <c r="A845" s="702"/>
      <c r="B845" s="1598"/>
      <c r="C845" s="722"/>
      <c r="D845" s="108" t="s">
        <v>42</v>
      </c>
      <c r="E845" s="1602"/>
      <c r="F845" s="54" t="s">
        <v>1014</v>
      </c>
      <c r="G845" s="1589"/>
      <c r="H845" s="1589"/>
      <c r="I845" s="1589"/>
      <c r="J845" s="1589"/>
      <c r="K845" s="1589"/>
      <c r="L845" s="107" t="s">
        <v>1015</v>
      </c>
      <c r="M845" s="13" t="s">
        <v>4</v>
      </c>
      <c r="N845" s="53">
        <v>100</v>
      </c>
      <c r="O845" s="53">
        <v>100</v>
      </c>
      <c r="P845" s="53">
        <v>100</v>
      </c>
      <c r="Q845" s="53">
        <v>100</v>
      </c>
      <c r="R845" s="53">
        <v>100</v>
      </c>
    </row>
    <row r="846" spans="1:19" s="693" customFormat="1" ht="45" x14ac:dyDescent="0.2">
      <c r="A846" s="702"/>
      <c r="B846" s="1598"/>
      <c r="C846" s="1599"/>
      <c r="D846" s="1590" t="s">
        <v>9</v>
      </c>
      <c r="E846" s="1590"/>
      <c r="F846" s="1592" t="s">
        <v>1016</v>
      </c>
      <c r="G846" s="1595">
        <v>2102.5</v>
      </c>
      <c r="H846" s="1588">
        <v>2290.9</v>
      </c>
      <c r="I846" s="1588">
        <f>H846</f>
        <v>2290.9</v>
      </c>
      <c r="J846" s="1588">
        <v>2335.3000000000002</v>
      </c>
      <c r="K846" s="1588">
        <v>2405.1999999999998</v>
      </c>
      <c r="L846" s="204" t="s">
        <v>1679</v>
      </c>
      <c r="M846" s="13" t="s">
        <v>4</v>
      </c>
      <c r="N846" s="106" t="s">
        <v>180</v>
      </c>
      <c r="O846" s="106" t="s">
        <v>180</v>
      </c>
      <c r="P846" s="106" t="s">
        <v>180</v>
      </c>
      <c r="Q846" s="106" t="s">
        <v>180</v>
      </c>
      <c r="R846" s="106" t="s">
        <v>180</v>
      </c>
      <c r="S846" s="462"/>
    </row>
    <row r="847" spans="1:19" s="693" customFormat="1" ht="45" x14ac:dyDescent="0.2">
      <c r="A847" s="702"/>
      <c r="B847" s="1598"/>
      <c r="C847" s="1600"/>
      <c r="D847" s="1591"/>
      <c r="E847" s="1591"/>
      <c r="F847" s="1593"/>
      <c r="G847" s="1596"/>
      <c r="H847" s="1597"/>
      <c r="I847" s="1597"/>
      <c r="J847" s="1597"/>
      <c r="K847" s="1597"/>
      <c r="L847" s="204" t="s">
        <v>1017</v>
      </c>
      <c r="M847" s="13" t="s">
        <v>4</v>
      </c>
      <c r="N847" s="106" t="s">
        <v>180</v>
      </c>
      <c r="O847" s="106" t="s">
        <v>180</v>
      </c>
      <c r="P847" s="106" t="s">
        <v>180</v>
      </c>
      <c r="Q847" s="106" t="s">
        <v>180</v>
      </c>
      <c r="R847" s="106" t="s">
        <v>180</v>
      </c>
    </row>
    <row r="848" spans="1:19" s="693" customFormat="1" ht="30" x14ac:dyDescent="0.2">
      <c r="A848" s="702"/>
      <c r="B848" s="1598"/>
      <c r="C848" s="1600"/>
      <c r="D848" s="1591"/>
      <c r="E848" s="1591"/>
      <c r="F848" s="1593"/>
      <c r="G848" s="1596"/>
      <c r="H848" s="1597"/>
      <c r="I848" s="1597"/>
      <c r="J848" s="1597"/>
      <c r="K848" s="1597"/>
      <c r="L848" s="204" t="s">
        <v>1018</v>
      </c>
      <c r="M848" s="13" t="s">
        <v>4</v>
      </c>
      <c r="N848" s="106">
        <v>100</v>
      </c>
      <c r="O848" s="106">
        <v>100</v>
      </c>
      <c r="P848" s="106">
        <v>100</v>
      </c>
      <c r="Q848" s="106">
        <v>100</v>
      </c>
      <c r="R848" s="106">
        <v>100</v>
      </c>
    </row>
    <row r="849" spans="1:18" s="693" customFormat="1" ht="30" x14ac:dyDescent="0.2">
      <c r="A849" s="702"/>
      <c r="B849" s="1598"/>
      <c r="C849" s="1600"/>
      <c r="D849" s="1591"/>
      <c r="E849" s="1591"/>
      <c r="F849" s="1594"/>
      <c r="G849" s="1596"/>
      <c r="H849" s="1597"/>
      <c r="I849" s="1597"/>
      <c r="J849" s="1597"/>
      <c r="K849" s="1597"/>
      <c r="L849" s="204" t="s">
        <v>1019</v>
      </c>
      <c r="M849" s="13" t="s">
        <v>4</v>
      </c>
      <c r="N849" s="53">
        <v>100</v>
      </c>
      <c r="O849" s="53">
        <v>100</v>
      </c>
      <c r="P849" s="53">
        <v>100</v>
      </c>
      <c r="Q849" s="53">
        <v>100</v>
      </c>
      <c r="R849" s="53">
        <v>100</v>
      </c>
    </row>
    <row r="850" spans="1:18" s="693" customFormat="1" ht="45" x14ac:dyDescent="0.2">
      <c r="A850" s="702"/>
      <c r="B850" s="1598"/>
      <c r="C850" s="1600"/>
      <c r="D850" s="105"/>
      <c r="E850" s="1591"/>
      <c r="F850" s="54" t="s">
        <v>1020</v>
      </c>
      <c r="G850" s="1596"/>
      <c r="H850" s="1597"/>
      <c r="I850" s="1597"/>
      <c r="J850" s="1597"/>
      <c r="K850" s="1597"/>
      <c r="L850" s="107" t="s">
        <v>1021</v>
      </c>
      <c r="M850" s="13" t="s">
        <v>4</v>
      </c>
      <c r="N850" s="13">
        <v>100</v>
      </c>
      <c r="O850" s="13">
        <v>100</v>
      </c>
      <c r="P850" s="13">
        <v>100</v>
      </c>
      <c r="Q850" s="13">
        <v>100</v>
      </c>
      <c r="R850" s="13">
        <v>100</v>
      </c>
    </row>
    <row r="851" spans="1:18" s="693" customFormat="1" ht="30" x14ac:dyDescent="0.2">
      <c r="A851" s="702"/>
      <c r="B851" s="1598"/>
      <c r="C851" s="1601"/>
      <c r="D851" s="108" t="s">
        <v>42</v>
      </c>
      <c r="E851" s="1602"/>
      <c r="F851" s="54" t="s">
        <v>1022</v>
      </c>
      <c r="G851" s="1589"/>
      <c r="H851" s="1589"/>
      <c r="I851" s="1589"/>
      <c r="J851" s="1589"/>
      <c r="K851" s="1589"/>
      <c r="L851" s="107" t="s">
        <v>1023</v>
      </c>
      <c r="M851" s="13" t="s">
        <v>4</v>
      </c>
      <c r="N851" s="53">
        <v>100</v>
      </c>
      <c r="O851" s="53">
        <v>100</v>
      </c>
      <c r="P851" s="53">
        <v>100</v>
      </c>
      <c r="Q851" s="53">
        <v>100</v>
      </c>
      <c r="R851" s="53">
        <v>100</v>
      </c>
    </row>
    <row r="852" spans="1:18" s="693" customFormat="1" ht="45" x14ac:dyDescent="0.2">
      <c r="A852" s="702"/>
      <c r="B852" s="1598"/>
      <c r="C852" s="720"/>
      <c r="D852" s="105" t="s">
        <v>24</v>
      </c>
      <c r="E852" s="99"/>
      <c r="F852" s="670" t="s">
        <v>1024</v>
      </c>
      <c r="G852" s="723">
        <v>4320.8</v>
      </c>
      <c r="H852" s="724">
        <v>3864.1</v>
      </c>
      <c r="I852" s="724">
        <f>H852</f>
        <v>3864.1</v>
      </c>
      <c r="J852" s="724">
        <v>3939</v>
      </c>
      <c r="K852" s="724">
        <v>4056.8</v>
      </c>
      <c r="L852" s="725" t="s">
        <v>1025</v>
      </c>
      <c r="M852" s="55" t="s">
        <v>4</v>
      </c>
      <c r="N852" s="55">
        <v>99</v>
      </c>
      <c r="O852" s="55">
        <v>90</v>
      </c>
      <c r="P852" s="55">
        <v>90</v>
      </c>
      <c r="Q852" s="55">
        <v>90</v>
      </c>
      <c r="R852" s="55">
        <v>90</v>
      </c>
    </row>
    <row r="853" spans="1:18" s="693" customFormat="1" ht="14.25" x14ac:dyDescent="0.2">
      <c r="A853" s="702"/>
      <c r="B853" s="1598"/>
      <c r="C853" s="1599"/>
      <c r="D853" s="1590" t="s">
        <v>23</v>
      </c>
      <c r="E853" s="1590"/>
      <c r="F853" s="1451" t="s">
        <v>1026</v>
      </c>
      <c r="G853" s="1588">
        <v>2070.4</v>
      </c>
      <c r="H853" s="1588">
        <v>2421</v>
      </c>
      <c r="I853" s="1588">
        <f>H853</f>
        <v>2421</v>
      </c>
      <c r="J853" s="1588">
        <v>2467.9</v>
      </c>
      <c r="K853" s="1588">
        <v>2541.8000000000002</v>
      </c>
      <c r="L853" s="1615" t="s">
        <v>1027</v>
      </c>
      <c r="M853" s="1618" t="s">
        <v>4</v>
      </c>
      <c r="N853" s="1603">
        <v>100</v>
      </c>
      <c r="O853" s="1603">
        <v>100</v>
      </c>
      <c r="P853" s="1603">
        <v>100</v>
      </c>
      <c r="Q853" s="1603">
        <v>100</v>
      </c>
      <c r="R853" s="1603">
        <v>100</v>
      </c>
    </row>
    <row r="854" spans="1:18" s="693" customFormat="1" ht="14.25" x14ac:dyDescent="0.2">
      <c r="A854" s="702"/>
      <c r="B854" s="1598"/>
      <c r="C854" s="1600"/>
      <c r="D854" s="1591"/>
      <c r="E854" s="1591"/>
      <c r="F854" s="1452"/>
      <c r="G854" s="1597"/>
      <c r="H854" s="1597"/>
      <c r="I854" s="1597"/>
      <c r="J854" s="1597"/>
      <c r="K854" s="1597"/>
      <c r="L854" s="1616"/>
      <c r="M854" s="1619"/>
      <c r="N854" s="1604"/>
      <c r="O854" s="1604"/>
      <c r="P854" s="1604"/>
      <c r="Q854" s="1604"/>
      <c r="R854" s="1604"/>
    </row>
    <row r="855" spans="1:18" s="693" customFormat="1" ht="14.25" x14ac:dyDescent="0.2">
      <c r="A855" s="702"/>
      <c r="B855" s="1598"/>
      <c r="C855" s="1601"/>
      <c r="D855" s="1602"/>
      <c r="E855" s="1602"/>
      <c r="F855" s="1453"/>
      <c r="G855" s="1589"/>
      <c r="H855" s="1589"/>
      <c r="I855" s="1589"/>
      <c r="J855" s="1589"/>
      <c r="K855" s="1589"/>
      <c r="L855" s="1617"/>
      <c r="M855" s="1620"/>
      <c r="N855" s="1605"/>
      <c r="O855" s="1605"/>
      <c r="P855" s="1605"/>
      <c r="Q855" s="1605"/>
      <c r="R855" s="1605"/>
    </row>
    <row r="856" spans="1:18" s="693" customFormat="1" ht="75" x14ac:dyDescent="0.2">
      <c r="A856" s="702"/>
      <c r="B856" s="1598"/>
      <c r="C856" s="112"/>
      <c r="D856" s="1590" t="s">
        <v>44</v>
      </c>
      <c r="E856" s="726"/>
      <c r="F856" s="1606" t="s">
        <v>1028</v>
      </c>
      <c r="G856" s="1588">
        <v>2267.4</v>
      </c>
      <c r="H856" s="1588">
        <v>2974.8</v>
      </c>
      <c r="I856" s="1588">
        <f>H856</f>
        <v>2974.8</v>
      </c>
      <c r="J856" s="1588">
        <v>3032.5</v>
      </c>
      <c r="K856" s="1588">
        <v>3123.2</v>
      </c>
      <c r="L856" s="725" t="s">
        <v>1029</v>
      </c>
      <c r="M856" s="55" t="s">
        <v>4</v>
      </c>
      <c r="N856" s="56">
        <v>5.3</v>
      </c>
      <c r="O856" s="56">
        <v>40.799999999999997</v>
      </c>
      <c r="P856" s="56">
        <v>60.6</v>
      </c>
      <c r="Q856" s="56">
        <v>71.400000000000006</v>
      </c>
      <c r="R856" s="56">
        <v>81.599999999999994</v>
      </c>
    </row>
    <row r="857" spans="1:18" s="693" customFormat="1" ht="15" x14ac:dyDescent="0.2">
      <c r="A857" s="702"/>
      <c r="B857" s="1598"/>
      <c r="C857" s="112"/>
      <c r="D857" s="1591"/>
      <c r="E857" s="726"/>
      <c r="F857" s="1607"/>
      <c r="G857" s="1597"/>
      <c r="H857" s="1597"/>
      <c r="I857" s="1597"/>
      <c r="J857" s="1597"/>
      <c r="K857" s="1597"/>
      <c r="L857" s="1609" t="s">
        <v>1030</v>
      </c>
      <c r="M857" s="1612" t="s">
        <v>4</v>
      </c>
      <c r="N857" s="1629">
        <v>0.5</v>
      </c>
      <c r="O857" s="1629">
        <v>4.3</v>
      </c>
      <c r="P857" s="1629">
        <v>6.4</v>
      </c>
      <c r="Q857" s="1629">
        <v>8.5</v>
      </c>
      <c r="R857" s="1629">
        <v>10.6</v>
      </c>
    </row>
    <row r="858" spans="1:18" s="693" customFormat="1" ht="15" x14ac:dyDescent="0.2">
      <c r="A858" s="702"/>
      <c r="B858" s="1598"/>
      <c r="C858" s="112"/>
      <c r="D858" s="1591"/>
      <c r="E858" s="726"/>
      <c r="F858" s="1607"/>
      <c r="G858" s="1597"/>
      <c r="H858" s="1597"/>
      <c r="I858" s="1597"/>
      <c r="J858" s="1597"/>
      <c r="K858" s="1597"/>
      <c r="L858" s="1610"/>
      <c r="M858" s="1613"/>
      <c r="N858" s="1629"/>
      <c r="O858" s="1629"/>
      <c r="P858" s="1629"/>
      <c r="Q858" s="1629"/>
      <c r="R858" s="1629"/>
    </row>
    <row r="859" spans="1:18" s="693" customFormat="1" ht="58.5" customHeight="1" x14ac:dyDescent="0.2">
      <c r="A859" s="702"/>
      <c r="B859" s="1598"/>
      <c r="C859" s="112"/>
      <c r="D859" s="1602"/>
      <c r="E859" s="726"/>
      <c r="F859" s="1608"/>
      <c r="G859" s="1589"/>
      <c r="H859" s="1597"/>
      <c r="I859" s="1597"/>
      <c r="J859" s="1597"/>
      <c r="K859" s="1589"/>
      <c r="L859" s="1611"/>
      <c r="M859" s="1614"/>
      <c r="N859" s="1629"/>
      <c r="O859" s="1629"/>
      <c r="P859" s="1629"/>
      <c r="Q859" s="1629"/>
      <c r="R859" s="1629"/>
    </row>
    <row r="860" spans="1:18" s="693" customFormat="1" ht="60" x14ac:dyDescent="0.2">
      <c r="A860" s="702"/>
      <c r="B860" s="1598"/>
      <c r="C860" s="718"/>
      <c r="D860" s="715" t="s">
        <v>26</v>
      </c>
      <c r="E860" s="98"/>
      <c r="F860" s="727" t="s">
        <v>1031</v>
      </c>
      <c r="G860" s="723">
        <v>6664.4</v>
      </c>
      <c r="H860" s="723">
        <v>2824</v>
      </c>
      <c r="I860" s="723">
        <f>H860</f>
        <v>2824</v>
      </c>
      <c r="J860" s="723">
        <v>2878.7</v>
      </c>
      <c r="K860" s="723">
        <v>2964.9</v>
      </c>
      <c r="L860" s="728" t="s">
        <v>1032</v>
      </c>
      <c r="M860" s="729" t="s">
        <v>181</v>
      </c>
      <c r="N860" s="730">
        <v>13.8</v>
      </c>
      <c r="O860" s="730">
        <v>2.4</v>
      </c>
      <c r="P860" s="730">
        <v>11.8</v>
      </c>
      <c r="Q860" s="730">
        <v>13.8</v>
      </c>
      <c r="R860" s="730">
        <v>13.8</v>
      </c>
    </row>
    <row r="861" spans="1:18" s="693" customFormat="1" ht="45" x14ac:dyDescent="0.2">
      <c r="A861" s="702"/>
      <c r="B861" s="1598"/>
      <c r="C861" s="1630"/>
      <c r="D861" s="1631" t="s">
        <v>25</v>
      </c>
      <c r="E861" s="1632"/>
      <c r="F861" s="1592" t="s">
        <v>1033</v>
      </c>
      <c r="G861" s="1588">
        <v>3104.2</v>
      </c>
      <c r="H861" s="1621">
        <v>3998.3</v>
      </c>
      <c r="I861" s="1621">
        <f>H861</f>
        <v>3998.3</v>
      </c>
      <c r="J861" s="1624">
        <v>4075.8</v>
      </c>
      <c r="K861" s="1588">
        <v>4197.7</v>
      </c>
      <c r="L861" s="731" t="s">
        <v>1034</v>
      </c>
      <c r="M861" s="13" t="s">
        <v>4</v>
      </c>
      <c r="N861" s="53">
        <v>100</v>
      </c>
      <c r="O861" s="53">
        <v>100</v>
      </c>
      <c r="P861" s="732">
        <v>100</v>
      </c>
      <c r="Q861" s="53">
        <v>100</v>
      </c>
      <c r="R861" s="53">
        <v>100</v>
      </c>
    </row>
    <row r="862" spans="1:18" s="693" customFormat="1" ht="30" x14ac:dyDescent="0.2">
      <c r="A862" s="702"/>
      <c r="B862" s="1598"/>
      <c r="C862" s="1630"/>
      <c r="D862" s="1631"/>
      <c r="E862" s="1632"/>
      <c r="F862" s="1594"/>
      <c r="G862" s="1589"/>
      <c r="H862" s="1621"/>
      <c r="I862" s="1621"/>
      <c r="J862" s="1621"/>
      <c r="K862" s="1589"/>
      <c r="L862" s="54" t="s">
        <v>1035</v>
      </c>
      <c r="M862" s="13" t="s">
        <v>4</v>
      </c>
      <c r="N862" s="53">
        <v>100</v>
      </c>
      <c r="O862" s="53">
        <v>100</v>
      </c>
      <c r="P862" s="53">
        <v>100</v>
      </c>
      <c r="Q862" s="53">
        <v>100</v>
      </c>
      <c r="R862" s="53">
        <v>100</v>
      </c>
    </row>
    <row r="863" spans="1:18" s="693" customFormat="1" ht="45" x14ac:dyDescent="0.2">
      <c r="A863" s="702"/>
      <c r="B863" s="1598"/>
      <c r="C863" s="111"/>
      <c r="D863" s="104" t="s">
        <v>43</v>
      </c>
      <c r="E863" s="104"/>
      <c r="F863" s="107" t="s">
        <v>1036</v>
      </c>
      <c r="G863" s="723">
        <v>1942</v>
      </c>
      <c r="H863" s="723">
        <v>2572</v>
      </c>
      <c r="I863" s="723">
        <f>H863</f>
        <v>2572</v>
      </c>
      <c r="J863" s="723">
        <v>2621.9</v>
      </c>
      <c r="K863" s="723">
        <v>2700.3</v>
      </c>
      <c r="L863" s="54" t="s">
        <v>1037</v>
      </c>
      <c r="M863" s="13" t="s">
        <v>4</v>
      </c>
      <c r="N863" s="13">
        <v>100</v>
      </c>
      <c r="O863" s="13">
        <v>100</v>
      </c>
      <c r="P863" s="13">
        <v>100</v>
      </c>
      <c r="Q863" s="13">
        <v>100</v>
      </c>
      <c r="R863" s="13">
        <v>100</v>
      </c>
    </row>
    <row r="864" spans="1:18" s="693" customFormat="1" ht="30" x14ac:dyDescent="0.2">
      <c r="A864" s="702"/>
      <c r="B864" s="1598"/>
      <c r="C864" s="111"/>
      <c r="D864" s="104" t="s">
        <v>42</v>
      </c>
      <c r="E864" s="104"/>
      <c r="F864" s="508" t="s">
        <v>1038</v>
      </c>
      <c r="G864" s="723">
        <v>455.4</v>
      </c>
      <c r="H864" s="723">
        <v>690.1</v>
      </c>
      <c r="I864" s="723">
        <f>H864</f>
        <v>690.1</v>
      </c>
      <c r="J864" s="723">
        <v>703.5</v>
      </c>
      <c r="K864" s="723">
        <v>724.5</v>
      </c>
      <c r="L864" s="202" t="s">
        <v>1039</v>
      </c>
      <c r="M864" s="13" t="s">
        <v>4</v>
      </c>
      <c r="N864" s="53">
        <v>100</v>
      </c>
      <c r="O864" s="53">
        <v>100</v>
      </c>
      <c r="P864" s="53">
        <v>100</v>
      </c>
      <c r="Q864" s="53">
        <v>100</v>
      </c>
      <c r="R864" s="53">
        <v>100</v>
      </c>
    </row>
    <row r="865" spans="1:19" s="693" customFormat="1" ht="45" x14ac:dyDescent="0.2">
      <c r="A865" s="702"/>
      <c r="B865" s="1598"/>
      <c r="C865" s="1625"/>
      <c r="D865" s="1590" t="s">
        <v>41</v>
      </c>
      <c r="E865" s="1627"/>
      <c r="F865" s="1451" t="s">
        <v>1040</v>
      </c>
      <c r="G865" s="1588">
        <v>23285.599999999999</v>
      </c>
      <c r="H865" s="1621">
        <v>25220.400000000001</v>
      </c>
      <c r="I865" s="1621">
        <f>H865</f>
        <v>25220.400000000001</v>
      </c>
      <c r="J865" s="1621">
        <v>25709.200000000001</v>
      </c>
      <c r="K865" s="1588">
        <f>26478.1</f>
        <v>26478.1</v>
      </c>
      <c r="L865" s="521" t="s">
        <v>1041</v>
      </c>
      <c r="M865" s="13" t="s">
        <v>4</v>
      </c>
      <c r="N865" s="53">
        <v>100</v>
      </c>
      <c r="O865" s="53">
        <v>100</v>
      </c>
      <c r="P865" s="53">
        <v>100</v>
      </c>
      <c r="Q865" s="53">
        <v>100</v>
      </c>
      <c r="R865" s="53">
        <v>100</v>
      </c>
    </row>
    <row r="866" spans="1:19" s="693" customFormat="1" ht="30" x14ac:dyDescent="0.2">
      <c r="A866" s="702"/>
      <c r="B866" s="1598"/>
      <c r="C866" s="1626"/>
      <c r="D866" s="1591"/>
      <c r="E866" s="1628"/>
      <c r="F866" s="1452"/>
      <c r="G866" s="1597"/>
      <c r="H866" s="1621"/>
      <c r="I866" s="1621"/>
      <c r="J866" s="1621"/>
      <c r="K866" s="1597"/>
      <c r="L866" s="210" t="s">
        <v>1680</v>
      </c>
      <c r="M866" s="13" t="s">
        <v>181</v>
      </c>
      <c r="N866" s="13">
        <v>100</v>
      </c>
      <c r="O866" s="13">
        <v>100</v>
      </c>
      <c r="P866" s="13">
        <v>100</v>
      </c>
      <c r="Q866" s="13">
        <v>100</v>
      </c>
      <c r="R866" s="13">
        <v>100</v>
      </c>
    </row>
    <row r="867" spans="1:19" s="693" customFormat="1" ht="30" x14ac:dyDescent="0.25">
      <c r="A867" s="702"/>
      <c r="B867" s="1598"/>
      <c r="C867" s="1626"/>
      <c r="D867" s="1591"/>
      <c r="E867" s="1628"/>
      <c r="F867" s="1452"/>
      <c r="G867" s="1589"/>
      <c r="H867" s="1621"/>
      <c r="I867" s="1621"/>
      <c r="J867" s="1621"/>
      <c r="K867" s="1589"/>
      <c r="L867" s="265" t="s">
        <v>1681</v>
      </c>
      <c r="M867" s="13" t="s">
        <v>181</v>
      </c>
      <c r="N867" s="106">
        <v>100</v>
      </c>
      <c r="O867" s="106">
        <v>100</v>
      </c>
      <c r="P867" s="106">
        <v>100</v>
      </c>
      <c r="Q867" s="106">
        <v>100</v>
      </c>
      <c r="R867" s="106">
        <v>100</v>
      </c>
      <c r="S867" s="462"/>
    </row>
    <row r="868" spans="1:19" s="693" customFormat="1" ht="15" x14ac:dyDescent="0.25">
      <c r="A868" s="702"/>
      <c r="B868" s="1622" t="s">
        <v>299</v>
      </c>
      <c r="C868" s="1622"/>
      <c r="D868" s="1622"/>
      <c r="E868" s="1622"/>
      <c r="F868" s="1622"/>
      <c r="G868" s="57">
        <f>G835+G837</f>
        <v>63083.499999999993</v>
      </c>
      <c r="H868" s="57">
        <f>H835+H837</f>
        <v>68222.599999999991</v>
      </c>
      <c r="I868" s="57">
        <f>I835+I837</f>
        <v>68222.599999999991</v>
      </c>
      <c r="J868" s="57">
        <f>J835+J837-0.1</f>
        <v>69544.883923659989</v>
      </c>
      <c r="K868" s="57">
        <f>K835+K837</f>
        <v>71625.281692400007</v>
      </c>
      <c r="L868" s="58"/>
      <c r="M868" s="1623"/>
      <c r="N868" s="1623"/>
      <c r="O868" s="1623"/>
      <c r="P868" s="1623"/>
      <c r="Q868" s="109"/>
      <c r="R868" s="733"/>
    </row>
    <row r="869" spans="1:19" s="693" customFormat="1" ht="14.25" x14ac:dyDescent="0.2">
      <c r="A869" s="702"/>
      <c r="B869" s="1428" t="s">
        <v>1773</v>
      </c>
      <c r="C869" s="1429"/>
      <c r="D869" s="1429"/>
      <c r="E869" s="1429"/>
      <c r="F869" s="1429"/>
      <c r="G869" s="1429"/>
      <c r="H869" s="1429"/>
      <c r="I869" s="1429"/>
      <c r="J869" s="1429"/>
      <c r="K869" s="1429"/>
      <c r="L869" s="1429"/>
      <c r="M869" s="1429"/>
      <c r="N869" s="1429"/>
      <c r="O869" s="1429"/>
      <c r="P869" s="1429"/>
      <c r="Q869" s="1429"/>
      <c r="R869" s="1430"/>
    </row>
    <row r="870" spans="1:19" s="693" customFormat="1" ht="30" x14ac:dyDescent="0.2">
      <c r="A870" s="702"/>
      <c r="B870" s="1325">
        <v>60</v>
      </c>
      <c r="C870" s="734" t="s">
        <v>0</v>
      </c>
      <c r="D870" s="735"/>
      <c r="E870" s="735"/>
      <c r="F870" s="315" t="s">
        <v>1682</v>
      </c>
      <c r="G870" s="736">
        <f>G871</f>
        <v>16403.099999999999</v>
      </c>
      <c r="H870" s="736">
        <f t="shared" ref="H870:K870" si="71">H871</f>
        <v>33228.6</v>
      </c>
      <c r="I870" s="736">
        <f t="shared" si="71"/>
        <v>68673.3</v>
      </c>
      <c r="J870" s="736">
        <f t="shared" si="71"/>
        <v>54404.5</v>
      </c>
      <c r="K870" s="736">
        <f t="shared" si="71"/>
        <v>56498.8</v>
      </c>
      <c r="L870" s="275"/>
      <c r="M870" s="644"/>
      <c r="N870" s="737"/>
      <c r="O870" s="737"/>
      <c r="P870" s="737"/>
      <c r="Q870" s="275"/>
      <c r="R870" s="738"/>
    </row>
    <row r="871" spans="1:19" s="693" customFormat="1" ht="30" x14ac:dyDescent="0.2">
      <c r="A871" s="702"/>
      <c r="B871" s="1326"/>
      <c r="C871" s="735"/>
      <c r="D871" s="735" t="s">
        <v>10</v>
      </c>
      <c r="E871" s="735"/>
      <c r="F871" s="315" t="s">
        <v>1272</v>
      </c>
      <c r="G871" s="739">
        <v>16403.099999999999</v>
      </c>
      <c r="H871" s="740">
        <v>33228.6</v>
      </c>
      <c r="I871" s="740">
        <f>53073.3+15600</f>
        <v>68673.3</v>
      </c>
      <c r="J871" s="740">
        <f>54404.5</f>
        <v>54404.5</v>
      </c>
      <c r="K871" s="740">
        <f>56498.8</f>
        <v>56498.8</v>
      </c>
      <c r="L871" s="275"/>
      <c r="M871" s="644"/>
      <c r="N871" s="737"/>
      <c r="O871" s="737"/>
      <c r="P871" s="737"/>
      <c r="Q871" s="275"/>
      <c r="R871" s="738"/>
    </row>
    <row r="872" spans="1:19" s="693" customFormat="1" ht="30" x14ac:dyDescent="0.2">
      <c r="A872" s="702"/>
      <c r="B872" s="1326"/>
      <c r="C872" s="734" t="s">
        <v>182</v>
      </c>
      <c r="D872" s="735"/>
      <c r="E872" s="735"/>
      <c r="F872" s="113" t="s">
        <v>1042</v>
      </c>
      <c r="G872" s="736">
        <f>G873</f>
        <v>4200</v>
      </c>
      <c r="H872" s="736">
        <f t="shared" ref="H872:K872" si="72">H873</f>
        <v>3458.8</v>
      </c>
      <c r="I872" s="736">
        <f t="shared" si="72"/>
        <v>15606.7</v>
      </c>
      <c r="J872" s="736">
        <f t="shared" si="72"/>
        <v>15606.7</v>
      </c>
      <c r="K872" s="736">
        <f t="shared" si="72"/>
        <v>15606.7</v>
      </c>
      <c r="L872" s="275"/>
      <c r="M872" s="644"/>
      <c r="N872" s="741"/>
      <c r="O872" s="741"/>
      <c r="P872" s="275"/>
      <c r="Q872" s="275"/>
      <c r="R872" s="742"/>
    </row>
    <row r="873" spans="1:19" s="693" customFormat="1" ht="45" x14ac:dyDescent="0.2">
      <c r="A873" s="702"/>
      <c r="B873" s="1326"/>
      <c r="C873" s="735"/>
      <c r="D873" s="735" t="s">
        <v>10</v>
      </c>
      <c r="E873" s="735"/>
      <c r="F873" s="190" t="s">
        <v>1043</v>
      </c>
      <c r="G873" s="739">
        <v>4200</v>
      </c>
      <c r="H873" s="739">
        <v>3458.8</v>
      </c>
      <c r="I873" s="739">
        <v>15606.7</v>
      </c>
      <c r="J873" s="739">
        <v>15606.7</v>
      </c>
      <c r="K873" s="739">
        <v>15606.7</v>
      </c>
      <c r="L873" s="275"/>
      <c r="M873" s="644"/>
      <c r="N873" s="741"/>
      <c r="O873" s="741"/>
      <c r="P873" s="275"/>
      <c r="Q873" s="275"/>
      <c r="R873" s="742"/>
      <c r="S873" s="462"/>
    </row>
    <row r="874" spans="1:19" s="693" customFormat="1" ht="28.5" x14ac:dyDescent="0.2">
      <c r="A874" s="702"/>
      <c r="B874" s="1327"/>
      <c r="C874" s="734" t="s">
        <v>122</v>
      </c>
      <c r="D874" s="734" t="s">
        <v>10</v>
      </c>
      <c r="E874" s="735"/>
      <c r="F874" s="332" t="s">
        <v>1044</v>
      </c>
      <c r="G874" s="739"/>
      <c r="H874" s="736">
        <v>1400460</v>
      </c>
      <c r="I874" s="736">
        <f>461748.6+5959600.9</f>
        <v>6421349.5</v>
      </c>
      <c r="J874" s="736">
        <f>467801.6+6693355.7</f>
        <v>7161157.2999999998</v>
      </c>
      <c r="K874" s="736">
        <f>286706.2+3735411.1</f>
        <v>4022117.3000000003</v>
      </c>
      <c r="L874" s="275"/>
      <c r="M874" s="644"/>
      <c r="N874" s="741"/>
      <c r="O874" s="741"/>
      <c r="P874" s="275"/>
      <c r="Q874" s="275"/>
      <c r="R874" s="742"/>
    </row>
    <row r="875" spans="1:19" s="693" customFormat="1" ht="15" x14ac:dyDescent="0.2">
      <c r="A875" s="702"/>
      <c r="B875" s="1622" t="s">
        <v>299</v>
      </c>
      <c r="C875" s="1622"/>
      <c r="D875" s="1622"/>
      <c r="E875" s="1622"/>
      <c r="F875" s="1622"/>
      <c r="G875" s="284">
        <f>G870+G872+G874</f>
        <v>20603.099999999999</v>
      </c>
      <c r="H875" s="284">
        <f t="shared" ref="H875:K875" si="73">H870+H872+H874</f>
        <v>1437147.4</v>
      </c>
      <c r="I875" s="284">
        <f t="shared" si="73"/>
        <v>6505629.5</v>
      </c>
      <c r="J875" s="284">
        <f t="shared" si="73"/>
        <v>7231168.5</v>
      </c>
      <c r="K875" s="284">
        <f t="shared" si="73"/>
        <v>4094222.8000000003</v>
      </c>
      <c r="L875" s="743"/>
      <c r="M875" s="743"/>
      <c r="N875" s="743"/>
      <c r="O875" s="743"/>
      <c r="P875" s="743"/>
      <c r="Q875" s="743"/>
      <c r="R875" s="744"/>
    </row>
    <row r="876" spans="1:19" s="693" customFormat="1" ht="14.25" x14ac:dyDescent="0.2">
      <c r="A876" s="702"/>
      <c r="B876" s="1428" t="s">
        <v>1045</v>
      </c>
      <c r="C876" s="1429"/>
      <c r="D876" s="1429"/>
      <c r="E876" s="1429"/>
      <c r="F876" s="1429"/>
      <c r="G876" s="1429"/>
      <c r="H876" s="1429"/>
      <c r="I876" s="1429"/>
      <c r="J876" s="1429"/>
      <c r="K876" s="1429"/>
      <c r="L876" s="1429"/>
      <c r="M876" s="1429"/>
      <c r="N876" s="1429"/>
      <c r="O876" s="1429"/>
      <c r="P876" s="1429"/>
      <c r="Q876" s="1429"/>
      <c r="R876" s="1430"/>
    </row>
    <row r="877" spans="1:19" s="693" customFormat="1" ht="14.25" customHeight="1" x14ac:dyDescent="0.2">
      <c r="A877" s="702"/>
      <c r="B877" s="1304" t="s">
        <v>1046</v>
      </c>
      <c r="C877" s="1633" t="s">
        <v>0</v>
      </c>
      <c r="D877" s="1317"/>
      <c r="E877" s="1317"/>
      <c r="F877" s="1345" t="s">
        <v>526</v>
      </c>
      <c r="G877" s="1320">
        <f>G879+G880+G881+G882</f>
        <v>19843.5</v>
      </c>
      <c r="H877" s="1320">
        <f t="shared" ref="H877:K877" si="74">H879+H880+H881+H882</f>
        <v>21424.799999999996</v>
      </c>
      <c r="I877" s="1320">
        <f t="shared" si="74"/>
        <v>42387.7</v>
      </c>
      <c r="J877" s="1320">
        <f t="shared" si="74"/>
        <v>42991.9</v>
      </c>
      <c r="K877" s="1320">
        <f t="shared" si="74"/>
        <v>43767.199999999997</v>
      </c>
      <c r="L877" s="1387"/>
      <c r="M877" s="1315" t="s">
        <v>57</v>
      </c>
      <c r="N877" s="1332">
        <f>SUM(N879+N880+N881+N882)</f>
        <v>19843.5</v>
      </c>
      <c r="O877" s="1332">
        <f>SUM(O879+O880+O881+O882)</f>
        <v>21424.799999999996</v>
      </c>
      <c r="P877" s="1332">
        <f>SUM(P879+P880+P881+P882)</f>
        <v>25424.799999999999</v>
      </c>
      <c r="Q877" s="1332">
        <f>SUM(Q879+Q880+Q881+Q882)</f>
        <v>25931.300000000003</v>
      </c>
      <c r="R877" s="1332">
        <f>SUM(R879+R880+R881+R882)</f>
        <v>26707</v>
      </c>
    </row>
    <row r="878" spans="1:19" s="693" customFormat="1" ht="14.25" customHeight="1" x14ac:dyDescent="0.2">
      <c r="A878" s="702"/>
      <c r="B878" s="1305"/>
      <c r="C878" s="1633"/>
      <c r="D878" s="1317"/>
      <c r="E878" s="1317"/>
      <c r="F878" s="1345"/>
      <c r="G878" s="1320"/>
      <c r="H878" s="1320"/>
      <c r="I878" s="1320"/>
      <c r="J878" s="1320"/>
      <c r="K878" s="1320"/>
      <c r="L878" s="1387"/>
      <c r="M878" s="1315"/>
      <c r="N878" s="1332"/>
      <c r="O878" s="1332"/>
      <c r="P878" s="1332"/>
      <c r="Q878" s="1332"/>
      <c r="R878" s="1332"/>
    </row>
    <row r="879" spans="1:19" s="693" customFormat="1" ht="60" x14ac:dyDescent="0.2">
      <c r="A879" s="702"/>
      <c r="B879" s="1305"/>
      <c r="C879" s="334"/>
      <c r="D879" s="635" t="s">
        <v>10</v>
      </c>
      <c r="E879" s="745"/>
      <c r="F879" s="604" t="s">
        <v>1686</v>
      </c>
      <c r="G879" s="445">
        <v>7370.7</v>
      </c>
      <c r="H879" s="290">
        <v>8137.9</v>
      </c>
      <c r="I879" s="704">
        <v>8161.3</v>
      </c>
      <c r="J879" s="704">
        <v>8283</v>
      </c>
      <c r="K879" s="704">
        <v>8432.7999999999993</v>
      </c>
      <c r="L879" s="746" t="s">
        <v>1687</v>
      </c>
      <c r="M879" s="237"/>
      <c r="N879" s="237">
        <v>7370.7</v>
      </c>
      <c r="O879" s="747">
        <v>8137.9</v>
      </c>
      <c r="P879" s="747">
        <v>8161.3</v>
      </c>
      <c r="Q879" s="747">
        <v>8309.9</v>
      </c>
      <c r="R879" s="747">
        <v>8483.6</v>
      </c>
    </row>
    <row r="880" spans="1:19" s="693" customFormat="1" ht="75" x14ac:dyDescent="0.2">
      <c r="A880" s="702"/>
      <c r="B880" s="1305"/>
      <c r="C880" s="334"/>
      <c r="D880" s="635" t="s">
        <v>13</v>
      </c>
      <c r="E880" s="745"/>
      <c r="F880" s="748" t="s">
        <v>1685</v>
      </c>
      <c r="G880" s="445">
        <v>4770.5</v>
      </c>
      <c r="H880" s="290">
        <v>4933.2</v>
      </c>
      <c r="I880" s="704">
        <v>6534.1</v>
      </c>
      <c r="J880" s="704">
        <v>6678.8</v>
      </c>
      <c r="K880" s="704">
        <v>6927.8</v>
      </c>
      <c r="L880" s="746" t="s">
        <v>1688</v>
      </c>
      <c r="M880" s="237"/>
      <c r="N880" s="237">
        <v>4770.5</v>
      </c>
      <c r="O880" s="747">
        <v>4933.2</v>
      </c>
      <c r="P880" s="747">
        <v>6534.1</v>
      </c>
      <c r="Q880" s="747">
        <v>6678.8</v>
      </c>
      <c r="R880" s="747">
        <v>6927.8</v>
      </c>
    </row>
    <row r="881" spans="1:19" s="693" customFormat="1" ht="60" x14ac:dyDescent="0.2">
      <c r="A881" s="702"/>
      <c r="B881" s="1305"/>
      <c r="C881" s="334"/>
      <c r="D881" s="635" t="s">
        <v>9</v>
      </c>
      <c r="E881" s="745"/>
      <c r="F881" s="746" t="s">
        <v>1684</v>
      </c>
      <c r="G881" s="445">
        <v>5170.5</v>
      </c>
      <c r="H881" s="290">
        <v>4933.1000000000004</v>
      </c>
      <c r="I881" s="704">
        <v>6534.1</v>
      </c>
      <c r="J881" s="704">
        <v>6679.2</v>
      </c>
      <c r="K881" s="704">
        <v>6927.8</v>
      </c>
      <c r="L881" s="344" t="s">
        <v>1689</v>
      </c>
      <c r="M881" s="237"/>
      <c r="N881" s="237">
        <v>5170.5</v>
      </c>
      <c r="O881" s="747">
        <v>4933.1000000000004</v>
      </c>
      <c r="P881" s="747">
        <v>6534.1</v>
      </c>
      <c r="Q881" s="747">
        <v>6679.2</v>
      </c>
      <c r="R881" s="747">
        <v>6927.8</v>
      </c>
    </row>
    <row r="882" spans="1:19" s="693" customFormat="1" ht="150" x14ac:dyDescent="0.2">
      <c r="A882" s="702"/>
      <c r="B882" s="1306"/>
      <c r="C882" s="334"/>
      <c r="D882" s="635" t="s">
        <v>23</v>
      </c>
      <c r="E882" s="745"/>
      <c r="F882" s="391" t="s">
        <v>1683</v>
      </c>
      <c r="G882" s="290">
        <v>2531.8000000000002</v>
      </c>
      <c r="H882" s="290">
        <v>3420.6</v>
      </c>
      <c r="I882" s="704">
        <v>21158.2</v>
      </c>
      <c r="J882" s="704">
        <v>21350.9</v>
      </c>
      <c r="K882" s="704">
        <v>21478.799999999999</v>
      </c>
      <c r="L882" s="344" t="s">
        <v>1690</v>
      </c>
      <c r="M882" s="237"/>
      <c r="N882" s="237">
        <v>2531.8000000000002</v>
      </c>
      <c r="O882" s="747">
        <v>3420.6</v>
      </c>
      <c r="P882" s="747">
        <v>4195.3</v>
      </c>
      <c r="Q882" s="747">
        <v>4263.3999999999996</v>
      </c>
      <c r="R882" s="747">
        <v>4367.8</v>
      </c>
    </row>
    <row r="883" spans="1:19" s="693" customFormat="1" ht="15" x14ac:dyDescent="0.25">
      <c r="A883" s="702"/>
      <c r="B883" s="1622" t="s">
        <v>299</v>
      </c>
      <c r="C883" s="1622"/>
      <c r="D883" s="1622"/>
      <c r="E883" s="1622"/>
      <c r="F883" s="1622"/>
      <c r="G883" s="57">
        <f>G877</f>
        <v>19843.5</v>
      </c>
      <c r="H883" s="57">
        <f t="shared" ref="H883:K883" si="75">H877</f>
        <v>21424.799999999996</v>
      </c>
      <c r="I883" s="57">
        <f t="shared" si="75"/>
        <v>42387.7</v>
      </c>
      <c r="J883" s="57">
        <f t="shared" si="75"/>
        <v>42991.9</v>
      </c>
      <c r="K883" s="57">
        <f t="shared" si="75"/>
        <v>43767.199999999997</v>
      </c>
      <c r="L883" s="58"/>
      <c r="M883" s="109"/>
      <c r="N883" s="109"/>
      <c r="O883" s="109"/>
      <c r="P883" s="109"/>
      <c r="Q883" s="109"/>
      <c r="R883" s="733"/>
    </row>
    <row r="884" spans="1:19" s="693" customFormat="1" ht="14.25" x14ac:dyDescent="0.2">
      <c r="A884" s="702"/>
      <c r="B884" s="1428" t="s">
        <v>1774</v>
      </c>
      <c r="C884" s="1429"/>
      <c r="D884" s="1429"/>
      <c r="E884" s="1429"/>
      <c r="F884" s="1429"/>
      <c r="G884" s="1429"/>
      <c r="H884" s="1429"/>
      <c r="I884" s="1429"/>
      <c r="J884" s="1429"/>
      <c r="K884" s="1429"/>
      <c r="L884" s="1429"/>
      <c r="M884" s="1429"/>
      <c r="N884" s="1429"/>
      <c r="O884" s="1429"/>
      <c r="P884" s="1429"/>
      <c r="Q884" s="1429"/>
      <c r="R884" s="1430"/>
      <c r="S884" s="703"/>
    </row>
    <row r="885" spans="1:19" s="693" customFormat="1" ht="59.25" x14ac:dyDescent="0.2">
      <c r="A885" s="702"/>
      <c r="B885" s="1639">
        <v>65</v>
      </c>
      <c r="C885" s="749" t="s">
        <v>0</v>
      </c>
      <c r="D885" s="558"/>
      <c r="E885" s="558"/>
      <c r="F885" s="750" t="s">
        <v>1691</v>
      </c>
      <c r="G885" s="751">
        <v>0</v>
      </c>
      <c r="H885" s="751">
        <v>0</v>
      </c>
      <c r="I885" s="751">
        <f>I886+I887</f>
        <v>257622.5</v>
      </c>
      <c r="J885" s="751">
        <f>J886+J887</f>
        <v>260589.8</v>
      </c>
      <c r="K885" s="751">
        <f>SUM(K886+K887)</f>
        <v>267257.09999999998</v>
      </c>
      <c r="L885" s="752" t="s">
        <v>586</v>
      </c>
      <c r="M885" s="251" t="s">
        <v>57</v>
      </c>
      <c r="N885" s="753" t="s">
        <v>184</v>
      </c>
      <c r="O885" s="270" t="s">
        <v>185</v>
      </c>
      <c r="P885" s="754" t="s">
        <v>120</v>
      </c>
      <c r="Q885" s="754" t="s">
        <v>121</v>
      </c>
      <c r="R885" s="754" t="s">
        <v>186</v>
      </c>
      <c r="S885" s="462"/>
    </row>
    <row r="886" spans="1:19" s="693" customFormat="1" ht="30" x14ac:dyDescent="0.25">
      <c r="A886" s="702"/>
      <c r="B886" s="1639"/>
      <c r="C886" s="755"/>
      <c r="D886" s="573" t="s">
        <v>10</v>
      </c>
      <c r="E886" s="562"/>
      <c r="F886" s="391" t="s">
        <v>1692</v>
      </c>
      <c r="G886" s="751">
        <v>0</v>
      </c>
      <c r="H886" s="756">
        <v>0</v>
      </c>
      <c r="I886" s="756">
        <v>72264.7</v>
      </c>
      <c r="J886" s="751">
        <v>74950.7</v>
      </c>
      <c r="K886" s="751">
        <v>76222.899999999994</v>
      </c>
      <c r="L886" s="563"/>
      <c r="M886" s="757"/>
      <c r="N886" s="757"/>
      <c r="O886" s="757"/>
      <c r="P886" s="757"/>
      <c r="Q886" s="757"/>
      <c r="R886" s="757"/>
    </row>
    <row r="887" spans="1:19" s="693" customFormat="1" ht="30" x14ac:dyDescent="0.2">
      <c r="A887" s="702"/>
      <c r="B887" s="1639"/>
      <c r="C887" s="553"/>
      <c r="D887" s="573" t="s">
        <v>13</v>
      </c>
      <c r="E887" s="562"/>
      <c r="F887" s="344" t="s">
        <v>1750</v>
      </c>
      <c r="G887" s="277">
        <v>0</v>
      </c>
      <c r="H887" s="277">
        <v>0</v>
      </c>
      <c r="I887" s="277">
        <v>185357.8</v>
      </c>
      <c r="J887" s="277">
        <v>185639.1</v>
      </c>
      <c r="K887" s="277">
        <v>191034.2</v>
      </c>
      <c r="L887" s="344"/>
      <c r="M887" s="235"/>
      <c r="N887" s="235"/>
      <c r="O887" s="235"/>
      <c r="P887" s="235"/>
      <c r="Q887" s="235"/>
      <c r="R887" s="235"/>
    </row>
    <row r="888" spans="1:19" s="693" customFormat="1" ht="129" customHeight="1" x14ac:dyDescent="0.2">
      <c r="A888" s="702"/>
      <c r="B888" s="1639"/>
      <c r="C888" s="749" t="s">
        <v>187</v>
      </c>
      <c r="D888" s="554"/>
      <c r="E888" s="554"/>
      <c r="F888" s="1215" t="s">
        <v>1753</v>
      </c>
      <c r="G888" s="751">
        <v>0</v>
      </c>
      <c r="H888" s="751">
        <v>0</v>
      </c>
      <c r="I888" s="751">
        <f>I889+I892+I897+I900</f>
        <v>223046.5</v>
      </c>
      <c r="J888" s="751">
        <f>J889+J892+J897+J900</f>
        <v>226646.8</v>
      </c>
      <c r="K888" s="751">
        <f>SUM(K889:K900)</f>
        <v>232740.3</v>
      </c>
      <c r="L888" s="344" t="s">
        <v>1694</v>
      </c>
      <c r="M888" s="554" t="s">
        <v>1047</v>
      </c>
      <c r="N888" s="554">
        <v>105</v>
      </c>
      <c r="O888" s="554">
        <v>105</v>
      </c>
      <c r="P888" s="554">
        <v>105</v>
      </c>
      <c r="Q888" s="554">
        <v>85</v>
      </c>
      <c r="R888" s="554">
        <v>85</v>
      </c>
    </row>
    <row r="889" spans="1:19" s="693" customFormat="1" ht="30" x14ac:dyDescent="0.2">
      <c r="A889" s="702"/>
      <c r="B889" s="1639"/>
      <c r="C889" s="1517"/>
      <c r="D889" s="1455" t="s">
        <v>10</v>
      </c>
      <c r="E889" s="1502"/>
      <c r="F889" s="1637" t="s">
        <v>1693</v>
      </c>
      <c r="G889" s="1634">
        <v>0</v>
      </c>
      <c r="H889" s="1636">
        <v>0</v>
      </c>
      <c r="I889" s="1636">
        <v>20958.099999999999</v>
      </c>
      <c r="J889" s="1634">
        <v>20922.099999999999</v>
      </c>
      <c r="K889" s="1634">
        <v>21197.599999999999</v>
      </c>
      <c r="L889" s="204" t="s">
        <v>1048</v>
      </c>
      <c r="M889" s="751" t="s">
        <v>297</v>
      </c>
      <c r="N889" s="751">
        <v>323</v>
      </c>
      <c r="O889" s="751">
        <v>350</v>
      </c>
      <c r="P889" s="751">
        <v>355</v>
      </c>
      <c r="Q889" s="751">
        <v>356</v>
      </c>
      <c r="R889" s="751">
        <v>358</v>
      </c>
    </row>
    <row r="890" spans="1:19" s="693" customFormat="1" ht="30" x14ac:dyDescent="0.2">
      <c r="A890" s="702"/>
      <c r="B890" s="1639"/>
      <c r="C890" s="1517"/>
      <c r="D890" s="1455"/>
      <c r="E890" s="1502"/>
      <c r="F890" s="1637"/>
      <c r="G890" s="1634"/>
      <c r="H890" s="1636"/>
      <c r="I890" s="1636"/>
      <c r="J890" s="1634"/>
      <c r="K890" s="1634"/>
      <c r="L890" s="204" t="s">
        <v>1049</v>
      </c>
      <c r="M890" s="751" t="s">
        <v>103</v>
      </c>
      <c r="N890" s="751">
        <v>506</v>
      </c>
      <c r="O890" s="751">
        <v>500</v>
      </c>
      <c r="P890" s="751">
        <v>500</v>
      </c>
      <c r="Q890" s="751">
        <v>499</v>
      </c>
      <c r="R890" s="751">
        <v>499</v>
      </c>
    </row>
    <row r="891" spans="1:19" s="693" customFormat="1" ht="30" x14ac:dyDescent="0.2">
      <c r="A891" s="702"/>
      <c r="B891" s="1639"/>
      <c r="C891" s="1517"/>
      <c r="D891" s="1455"/>
      <c r="E891" s="1502"/>
      <c r="F891" s="1637"/>
      <c r="G891" s="1634"/>
      <c r="H891" s="1636"/>
      <c r="I891" s="1636"/>
      <c r="J891" s="1634"/>
      <c r="K891" s="1634"/>
      <c r="L891" s="344" t="s">
        <v>1050</v>
      </c>
      <c r="M891" s="751" t="s">
        <v>297</v>
      </c>
      <c r="N891" s="751">
        <v>50</v>
      </c>
      <c r="O891" s="751">
        <v>52</v>
      </c>
      <c r="P891" s="751">
        <v>56</v>
      </c>
      <c r="Q891" s="213">
        <v>60</v>
      </c>
      <c r="R891" s="751">
        <v>62</v>
      </c>
    </row>
    <row r="892" spans="1:19" s="693" customFormat="1" ht="45" x14ac:dyDescent="0.2">
      <c r="A892" s="702"/>
      <c r="B892" s="1639"/>
      <c r="C892" s="1517"/>
      <c r="D892" s="1455" t="s">
        <v>13</v>
      </c>
      <c r="E892" s="1502"/>
      <c r="F892" s="1637" t="s">
        <v>1051</v>
      </c>
      <c r="G892" s="1634" t="s">
        <v>149</v>
      </c>
      <c r="H892" s="1636">
        <v>0</v>
      </c>
      <c r="I892" s="1636">
        <v>7443.1</v>
      </c>
      <c r="J892" s="1634">
        <v>8000</v>
      </c>
      <c r="K892" s="1634">
        <v>8300</v>
      </c>
      <c r="L892" s="516" t="s">
        <v>1052</v>
      </c>
      <c r="M892" s="554" t="s">
        <v>297</v>
      </c>
      <c r="N892" s="235">
        <v>4</v>
      </c>
      <c r="O892" s="235">
        <v>4</v>
      </c>
      <c r="P892" s="235">
        <v>4</v>
      </c>
      <c r="Q892" s="235">
        <v>4</v>
      </c>
      <c r="R892" s="235">
        <v>4</v>
      </c>
    </row>
    <row r="893" spans="1:19" s="693" customFormat="1" ht="33.75" customHeight="1" x14ac:dyDescent="0.2">
      <c r="A893" s="702"/>
      <c r="B893" s="1639"/>
      <c r="C893" s="1517"/>
      <c r="D893" s="1455"/>
      <c r="E893" s="1502"/>
      <c r="F893" s="1637"/>
      <c r="G893" s="1634"/>
      <c r="H893" s="1636"/>
      <c r="I893" s="1636"/>
      <c r="J893" s="1634"/>
      <c r="K893" s="1634"/>
      <c r="L893" s="344" t="s">
        <v>1053</v>
      </c>
      <c r="M893" s="554" t="s">
        <v>4</v>
      </c>
      <c r="N893" s="235">
        <v>92</v>
      </c>
      <c r="O893" s="235">
        <v>93</v>
      </c>
      <c r="P893" s="235">
        <v>94</v>
      </c>
      <c r="Q893" s="235">
        <v>94</v>
      </c>
      <c r="R893" s="235">
        <v>94</v>
      </c>
    </row>
    <row r="894" spans="1:19" s="693" customFormat="1" ht="62.25" customHeight="1" x14ac:dyDescent="0.2">
      <c r="A894" s="702"/>
      <c r="B894" s="1639"/>
      <c r="C894" s="1517"/>
      <c r="D894" s="1455"/>
      <c r="E894" s="1502"/>
      <c r="F894" s="1637"/>
      <c r="G894" s="1634"/>
      <c r="H894" s="1636"/>
      <c r="I894" s="1636"/>
      <c r="J894" s="1634"/>
      <c r="K894" s="1634"/>
      <c r="L894" s="1273" t="s">
        <v>1054</v>
      </c>
      <c r="M894" s="1502" t="s">
        <v>4</v>
      </c>
      <c r="N894" s="1635">
        <v>92</v>
      </c>
      <c r="O894" s="1635">
        <v>93</v>
      </c>
      <c r="P894" s="1635">
        <v>92</v>
      </c>
      <c r="Q894" s="1635">
        <v>93</v>
      </c>
      <c r="R894" s="1635">
        <v>92</v>
      </c>
    </row>
    <row r="895" spans="1:19" s="693" customFormat="1" ht="14.25" x14ac:dyDescent="0.2">
      <c r="A895" s="702"/>
      <c r="B895" s="1639"/>
      <c r="C895" s="1517"/>
      <c r="D895" s="1455"/>
      <c r="E895" s="1502"/>
      <c r="F895" s="1637"/>
      <c r="G895" s="1634"/>
      <c r="H895" s="1636"/>
      <c r="I895" s="1636"/>
      <c r="J895" s="1634"/>
      <c r="K895" s="1634"/>
      <c r="L895" s="1273"/>
      <c r="M895" s="1502"/>
      <c r="N895" s="1635"/>
      <c r="O895" s="1635"/>
      <c r="P895" s="1635"/>
      <c r="Q895" s="1635"/>
      <c r="R895" s="1635"/>
    </row>
    <row r="896" spans="1:19" s="693" customFormat="1" ht="14.25" x14ac:dyDescent="0.2">
      <c r="A896" s="702"/>
      <c r="B896" s="1639"/>
      <c r="C896" s="1517"/>
      <c r="D896" s="1455"/>
      <c r="E896" s="1502"/>
      <c r="F896" s="1637"/>
      <c r="G896" s="1634"/>
      <c r="H896" s="1636"/>
      <c r="I896" s="1636"/>
      <c r="J896" s="1634"/>
      <c r="K896" s="1634"/>
      <c r="L896" s="1273"/>
      <c r="M896" s="1502"/>
      <c r="N896" s="1635"/>
      <c r="O896" s="1635"/>
      <c r="P896" s="1635"/>
      <c r="Q896" s="1635"/>
      <c r="R896" s="1635"/>
    </row>
    <row r="897" spans="1:19" s="693" customFormat="1" ht="30" x14ac:dyDescent="0.2">
      <c r="A897" s="702"/>
      <c r="B897" s="1639"/>
      <c r="C897" s="1639"/>
      <c r="D897" s="1455" t="s">
        <v>9</v>
      </c>
      <c r="E897" s="1502"/>
      <c r="F897" s="1637" t="s">
        <v>1695</v>
      </c>
      <c r="G897" s="1640">
        <v>0</v>
      </c>
      <c r="H897" s="1636">
        <v>0</v>
      </c>
      <c r="I897" s="1636">
        <v>15476.9</v>
      </c>
      <c r="J897" s="1634">
        <v>18511.3</v>
      </c>
      <c r="K897" s="1634">
        <v>18281.7</v>
      </c>
      <c r="L897" s="344" t="s">
        <v>1055</v>
      </c>
      <c r="M897" s="751" t="s">
        <v>297</v>
      </c>
      <c r="N897" s="573">
        <v>187</v>
      </c>
      <c r="O897" s="573">
        <v>190</v>
      </c>
      <c r="P897" s="573">
        <v>192</v>
      </c>
      <c r="Q897" s="573">
        <v>194</v>
      </c>
      <c r="R897" s="573">
        <v>195</v>
      </c>
    </row>
    <row r="898" spans="1:19" s="693" customFormat="1" ht="15" x14ac:dyDescent="0.2">
      <c r="A898" s="702"/>
      <c r="B898" s="1639"/>
      <c r="C898" s="1639"/>
      <c r="D898" s="1455"/>
      <c r="E898" s="1502"/>
      <c r="F898" s="1637"/>
      <c r="G898" s="1641"/>
      <c r="H898" s="1636"/>
      <c r="I898" s="1636"/>
      <c r="J898" s="1634"/>
      <c r="K898" s="1634"/>
      <c r="L898" s="344" t="s">
        <v>1056</v>
      </c>
      <c r="M898" s="751" t="s">
        <v>297</v>
      </c>
      <c r="N898" s="573">
        <v>2500</v>
      </c>
      <c r="O898" s="573">
        <v>2505</v>
      </c>
      <c r="P898" s="573">
        <v>2507</v>
      </c>
      <c r="Q898" s="573">
        <v>2508</v>
      </c>
      <c r="R898" s="573">
        <v>2509</v>
      </c>
    </row>
    <row r="899" spans="1:19" s="693" customFormat="1" ht="30" x14ac:dyDescent="0.2">
      <c r="A899" s="702"/>
      <c r="B899" s="1639"/>
      <c r="C899" s="1639"/>
      <c r="D899" s="1455"/>
      <c r="E899" s="1502"/>
      <c r="F899" s="1637"/>
      <c r="G899" s="1642"/>
      <c r="H899" s="1636"/>
      <c r="I899" s="1636"/>
      <c r="J899" s="1634"/>
      <c r="K899" s="1634"/>
      <c r="L899" s="344" t="s">
        <v>1057</v>
      </c>
      <c r="M899" s="751" t="s">
        <v>297</v>
      </c>
      <c r="N899" s="573">
        <v>100</v>
      </c>
      <c r="O899" s="573">
        <v>103</v>
      </c>
      <c r="P899" s="573">
        <v>104</v>
      </c>
      <c r="Q899" s="573">
        <v>105</v>
      </c>
      <c r="R899" s="573">
        <v>106</v>
      </c>
    </row>
    <row r="900" spans="1:19" s="693" customFormat="1" ht="45" x14ac:dyDescent="0.2">
      <c r="A900" s="702"/>
      <c r="B900" s="1639"/>
      <c r="C900" s="749"/>
      <c r="D900" s="573" t="s">
        <v>23</v>
      </c>
      <c r="E900" s="554"/>
      <c r="F900" s="391" t="s">
        <v>1697</v>
      </c>
      <c r="G900" s="277">
        <v>0</v>
      </c>
      <c r="H900" s="756">
        <v>0</v>
      </c>
      <c r="I900" s="756">
        <v>179168.4</v>
      </c>
      <c r="J900" s="751">
        <v>179213.4</v>
      </c>
      <c r="K900" s="751">
        <v>184961</v>
      </c>
      <c r="L900" s="204" t="s">
        <v>1058</v>
      </c>
      <c r="M900" s="554" t="s">
        <v>1059</v>
      </c>
      <c r="N900" s="554">
        <v>5</v>
      </c>
      <c r="O900" s="554">
        <v>7</v>
      </c>
      <c r="P900" s="554">
        <v>10</v>
      </c>
      <c r="Q900" s="554">
        <v>10</v>
      </c>
      <c r="R900" s="554">
        <v>10</v>
      </c>
    </row>
    <row r="901" spans="1:19" s="693" customFormat="1" ht="104.25" x14ac:dyDescent="0.2">
      <c r="A901" s="702"/>
      <c r="B901" s="1639"/>
      <c r="C901" s="749" t="s">
        <v>188</v>
      </c>
      <c r="D901" s="573"/>
      <c r="E901" s="648"/>
      <c r="F901" s="257" t="s">
        <v>1754</v>
      </c>
      <c r="G901" s="277">
        <v>0</v>
      </c>
      <c r="H901" s="277">
        <v>0</v>
      </c>
      <c r="I901" s="277">
        <f>I902</f>
        <v>235204.8</v>
      </c>
      <c r="J901" s="277">
        <f>J902</f>
        <v>237624</v>
      </c>
      <c r="K901" s="277">
        <f>K902</f>
        <v>237699.8</v>
      </c>
      <c r="L901" s="344" t="s">
        <v>1060</v>
      </c>
      <c r="M901" s="235" t="s">
        <v>4</v>
      </c>
      <c r="N901" s="235">
        <v>7.38</v>
      </c>
      <c r="O901" s="235">
        <v>7.38</v>
      </c>
      <c r="P901" s="235">
        <v>7.6</v>
      </c>
      <c r="Q901" s="235">
        <v>8</v>
      </c>
      <c r="R901" s="235">
        <v>10</v>
      </c>
      <c r="S901" s="462"/>
    </row>
    <row r="902" spans="1:19" s="693" customFormat="1" ht="15" x14ac:dyDescent="0.2">
      <c r="A902" s="702"/>
      <c r="B902" s="1639"/>
      <c r="C902" s="1598" t="s">
        <v>9</v>
      </c>
      <c r="D902" s="1455" t="s">
        <v>10</v>
      </c>
      <c r="E902" s="1496"/>
      <c r="F902" s="1637" t="s">
        <v>1696</v>
      </c>
      <c r="G902" s="1501">
        <v>0</v>
      </c>
      <c r="H902" s="1501">
        <v>0</v>
      </c>
      <c r="I902" s="1501">
        <v>235204.8</v>
      </c>
      <c r="J902" s="1501">
        <v>237624</v>
      </c>
      <c r="K902" s="1501">
        <v>237699.8</v>
      </c>
      <c r="L902" s="344" t="s">
        <v>1698</v>
      </c>
      <c r="M902" s="235" t="s">
        <v>776</v>
      </c>
      <c r="N902" s="235">
        <v>1476121.6000000001</v>
      </c>
      <c r="O902" s="235">
        <v>1476121.6000000001</v>
      </c>
      <c r="P902" s="235">
        <v>1516121.6</v>
      </c>
      <c r="Q902" s="235">
        <v>1616121.6</v>
      </c>
      <c r="R902" s="235">
        <v>2119903.1</v>
      </c>
    </row>
    <row r="903" spans="1:19" s="693" customFormat="1" ht="30" x14ac:dyDescent="0.2">
      <c r="A903" s="702"/>
      <c r="B903" s="1639"/>
      <c r="C903" s="1598"/>
      <c r="D903" s="1455"/>
      <c r="E903" s="1496"/>
      <c r="F903" s="1637"/>
      <c r="G903" s="1501"/>
      <c r="H903" s="1501"/>
      <c r="I903" s="1501"/>
      <c r="J903" s="1501"/>
      <c r="K903" s="1501"/>
      <c r="L903" s="344" t="s">
        <v>1061</v>
      </c>
      <c r="M903" s="235" t="s">
        <v>297</v>
      </c>
      <c r="N903" s="235">
        <v>175</v>
      </c>
      <c r="O903" s="235">
        <v>220</v>
      </c>
      <c r="P903" s="235">
        <v>225</v>
      </c>
      <c r="Q903" s="235">
        <v>225</v>
      </c>
      <c r="R903" s="235">
        <v>225</v>
      </c>
    </row>
    <row r="904" spans="1:19" s="693" customFormat="1" ht="15" x14ac:dyDescent="0.2">
      <c r="A904" s="702"/>
      <c r="B904" s="1639"/>
      <c r="C904" s="1598"/>
      <c r="D904" s="1455"/>
      <c r="E904" s="1496"/>
      <c r="F904" s="1637"/>
      <c r="G904" s="1501"/>
      <c r="H904" s="1501"/>
      <c r="I904" s="1501"/>
      <c r="J904" s="1501"/>
      <c r="K904" s="1501"/>
      <c r="L904" s="344" t="s">
        <v>1062</v>
      </c>
      <c r="M904" s="235" t="s">
        <v>297</v>
      </c>
      <c r="N904" s="235">
        <v>14</v>
      </c>
      <c r="O904" s="235">
        <v>15</v>
      </c>
      <c r="P904" s="235">
        <v>16</v>
      </c>
      <c r="Q904" s="235">
        <v>17</v>
      </c>
      <c r="R904" s="235">
        <v>18</v>
      </c>
    </row>
    <row r="905" spans="1:19" s="693" customFormat="1" ht="30" x14ac:dyDescent="0.2">
      <c r="A905" s="702"/>
      <c r="B905" s="1639"/>
      <c r="C905" s="1598"/>
      <c r="D905" s="1455"/>
      <c r="E905" s="1496"/>
      <c r="F905" s="1637"/>
      <c r="G905" s="1501"/>
      <c r="H905" s="1501"/>
      <c r="I905" s="1501"/>
      <c r="J905" s="1501"/>
      <c r="K905" s="1501"/>
      <c r="L905" s="344" t="s">
        <v>1063</v>
      </c>
      <c r="M905" s="235" t="s">
        <v>297</v>
      </c>
      <c r="N905" s="235">
        <v>0</v>
      </c>
      <c r="O905" s="235">
        <v>2</v>
      </c>
      <c r="P905" s="235">
        <v>4</v>
      </c>
      <c r="Q905" s="235">
        <v>6</v>
      </c>
      <c r="R905" s="235">
        <v>6</v>
      </c>
    </row>
    <row r="906" spans="1:19" s="693" customFormat="1" ht="75" x14ac:dyDescent="0.2">
      <c r="A906" s="702"/>
      <c r="B906" s="1639"/>
      <c r="C906" s="1598"/>
      <c r="D906" s="1455"/>
      <c r="E906" s="1496"/>
      <c r="F906" s="1637"/>
      <c r="G906" s="1501"/>
      <c r="H906" s="1501"/>
      <c r="I906" s="1501"/>
      <c r="J906" s="1501"/>
      <c r="K906" s="1501"/>
      <c r="L906" s="344" t="s">
        <v>1064</v>
      </c>
      <c r="M906" s="235" t="s">
        <v>297</v>
      </c>
      <c r="N906" s="235" t="s">
        <v>189</v>
      </c>
      <c r="O906" s="235" t="s">
        <v>190</v>
      </c>
      <c r="P906" s="235" t="s">
        <v>191</v>
      </c>
      <c r="Q906" s="235" t="s">
        <v>192</v>
      </c>
      <c r="R906" s="235" t="s">
        <v>192</v>
      </c>
    </row>
    <row r="907" spans="1:19" s="693" customFormat="1" ht="60" x14ac:dyDescent="0.2">
      <c r="A907" s="702"/>
      <c r="B907" s="1639"/>
      <c r="C907" s="1598"/>
      <c r="D907" s="1455"/>
      <c r="E907" s="1496"/>
      <c r="F907" s="1637"/>
      <c r="G907" s="1501"/>
      <c r="H907" s="1501"/>
      <c r="I907" s="1501"/>
      <c r="J907" s="1501"/>
      <c r="K907" s="1501"/>
      <c r="L907" s="344" t="s">
        <v>1065</v>
      </c>
      <c r="M907" s="235" t="s">
        <v>297</v>
      </c>
      <c r="N907" s="590">
        <v>4000</v>
      </c>
      <c r="O907" s="590">
        <v>5000</v>
      </c>
      <c r="P907" s="590">
        <v>5000</v>
      </c>
      <c r="Q907" s="590">
        <v>5500</v>
      </c>
      <c r="R907" s="590">
        <v>6000</v>
      </c>
    </row>
    <row r="908" spans="1:19" s="693" customFormat="1" ht="15" x14ac:dyDescent="0.2">
      <c r="A908" s="702"/>
      <c r="B908" s="1639"/>
      <c r="C908" s="652" t="s">
        <v>122</v>
      </c>
      <c r="D908" s="573" t="s">
        <v>183</v>
      </c>
      <c r="E908" s="648"/>
      <c r="F908" s="391" t="s">
        <v>1066</v>
      </c>
      <c r="G908" s="277"/>
      <c r="H908" s="277"/>
      <c r="I908" s="277">
        <v>80231.8</v>
      </c>
      <c r="J908" s="277"/>
      <c r="K908" s="277"/>
      <c r="L908" s="344" t="s">
        <v>1067</v>
      </c>
      <c r="M908" s="235"/>
      <c r="N908" s="590"/>
      <c r="O908" s="590"/>
      <c r="P908" s="590"/>
      <c r="Q908" s="590"/>
      <c r="R908" s="590"/>
    </row>
    <row r="909" spans="1:19" s="693" customFormat="1" ht="14.25" x14ac:dyDescent="0.2">
      <c r="A909" s="702"/>
      <c r="B909" s="1276" t="s">
        <v>299</v>
      </c>
      <c r="C909" s="1277"/>
      <c r="D909" s="1277"/>
      <c r="E909" s="1277"/>
      <c r="F909" s="1278"/>
      <c r="G909" s="758">
        <v>0</v>
      </c>
      <c r="H909" s="614">
        <v>0</v>
      </c>
      <c r="I909" s="614">
        <f>SUM(I885+I888+I901+I908)</f>
        <v>796105.60000000009</v>
      </c>
      <c r="J909" s="614">
        <f>SUM(J885+J888+J901)</f>
        <v>724860.6</v>
      </c>
      <c r="K909" s="614">
        <f>K901+K888+K885</f>
        <v>737697.2</v>
      </c>
      <c r="L909" s="759"/>
      <c r="M909" s="760"/>
      <c r="N909" s="760"/>
      <c r="O909" s="760"/>
      <c r="P909" s="760"/>
      <c r="Q909" s="760"/>
      <c r="R909" s="760"/>
    </row>
    <row r="910" spans="1:19" s="693" customFormat="1" ht="14.25" x14ac:dyDescent="0.2">
      <c r="A910" s="702"/>
      <c r="B910" s="1428" t="s">
        <v>1068</v>
      </c>
      <c r="C910" s="1429"/>
      <c r="D910" s="1429"/>
      <c r="E910" s="1429"/>
      <c r="F910" s="1429"/>
      <c r="G910" s="1429"/>
      <c r="H910" s="1429"/>
      <c r="I910" s="1429"/>
      <c r="J910" s="1429"/>
      <c r="K910" s="1429"/>
      <c r="L910" s="1429"/>
      <c r="M910" s="1429"/>
      <c r="N910" s="1429"/>
      <c r="O910" s="1429"/>
      <c r="P910" s="1429"/>
      <c r="Q910" s="1429"/>
      <c r="R910" s="1430"/>
    </row>
    <row r="911" spans="1:19" s="693" customFormat="1" ht="14.25" x14ac:dyDescent="0.2">
      <c r="A911" s="702"/>
      <c r="B911" s="1304" t="s">
        <v>1069</v>
      </c>
      <c r="C911" s="1316" t="s">
        <v>0</v>
      </c>
      <c r="D911" s="1376"/>
      <c r="E911" s="1376"/>
      <c r="F911" s="1345" t="s">
        <v>1699</v>
      </c>
      <c r="G911" s="1638">
        <f>G913</f>
        <v>8383.6509999999998</v>
      </c>
      <c r="H911" s="1638">
        <f>H913</f>
        <v>67364</v>
      </c>
      <c r="I911" s="1638">
        <f>I913</f>
        <v>944.2</v>
      </c>
      <c r="J911" s="1638">
        <f>J913</f>
        <v>850.9</v>
      </c>
      <c r="K911" s="1638">
        <f>K913</f>
        <v>1090.0999999999999</v>
      </c>
      <c r="L911" s="1387" t="s">
        <v>586</v>
      </c>
      <c r="M911" s="1315" t="s">
        <v>445</v>
      </c>
      <c r="N911" s="1387"/>
      <c r="O911" s="1390"/>
      <c r="P911" s="1391"/>
      <c r="Q911" s="1391"/>
      <c r="R911" s="1391"/>
    </row>
    <row r="912" spans="1:19" s="693" customFormat="1" ht="53.25" customHeight="1" x14ac:dyDescent="0.2">
      <c r="A912" s="702"/>
      <c r="B912" s="1305"/>
      <c r="C912" s="1316"/>
      <c r="D912" s="1376"/>
      <c r="E912" s="1376"/>
      <c r="F912" s="1345"/>
      <c r="G912" s="1638"/>
      <c r="H912" s="1638"/>
      <c r="I912" s="1638"/>
      <c r="J912" s="1638"/>
      <c r="K912" s="1638"/>
      <c r="L912" s="1387"/>
      <c r="M912" s="1315"/>
      <c r="N912" s="1387"/>
      <c r="O912" s="1390"/>
      <c r="P912" s="1391"/>
      <c r="Q912" s="1391"/>
      <c r="R912" s="1391"/>
      <c r="S912" s="462"/>
    </row>
    <row r="913" spans="1:19" s="693" customFormat="1" ht="30" x14ac:dyDescent="0.25">
      <c r="A913" s="702"/>
      <c r="B913" s="1305"/>
      <c r="C913" s="201"/>
      <c r="D913" s="201" t="s">
        <v>10</v>
      </c>
      <c r="E913" s="201"/>
      <c r="F913" s="1216" t="s">
        <v>1700</v>
      </c>
      <c r="G913" s="1026">
        <v>8383.6509999999998</v>
      </c>
      <c r="H913" s="1026">
        <v>67364</v>
      </c>
      <c r="I913" s="1026">
        <v>944.2</v>
      </c>
      <c r="J913" s="1026">
        <v>850.9</v>
      </c>
      <c r="K913" s="1026">
        <v>1090.0999999999999</v>
      </c>
      <c r="L913" s="210"/>
      <c r="M913" s="210"/>
      <c r="N913" s="210"/>
      <c r="O913" s="210"/>
      <c r="P913" s="210"/>
      <c r="Q913" s="210"/>
      <c r="R913" s="210"/>
    </row>
    <row r="914" spans="1:19" s="693" customFormat="1" ht="72.75" x14ac:dyDescent="0.2">
      <c r="A914" s="702"/>
      <c r="B914" s="1305"/>
      <c r="C914" s="196" t="s">
        <v>193</v>
      </c>
      <c r="D914" s="440"/>
      <c r="E914" s="201"/>
      <c r="F914" s="332" t="s">
        <v>1070</v>
      </c>
      <c r="G914" s="1042">
        <f>G915</f>
        <v>80622.035000000003</v>
      </c>
      <c r="H914" s="1042">
        <f>H915</f>
        <v>101075.3</v>
      </c>
      <c r="I914" s="1042">
        <f>I915</f>
        <v>168281.4</v>
      </c>
      <c r="J914" s="1042">
        <f>J915</f>
        <v>168333.3</v>
      </c>
      <c r="K914" s="1042">
        <f>K915</f>
        <v>168351.4</v>
      </c>
      <c r="L914" s="202" t="s">
        <v>1701</v>
      </c>
      <c r="M914" s="237" t="s">
        <v>297</v>
      </c>
      <c r="N914" s="441"/>
      <c r="O914" s="761" t="s">
        <v>1071</v>
      </c>
      <c r="P914" s="761" t="s">
        <v>1071</v>
      </c>
      <c r="Q914" s="761" t="s">
        <v>1071</v>
      </c>
      <c r="R914" s="761" t="s">
        <v>1071</v>
      </c>
    </row>
    <row r="915" spans="1:19" s="693" customFormat="1" ht="59.25" customHeight="1" x14ac:dyDescent="0.2">
      <c r="A915" s="702"/>
      <c r="B915" s="1306"/>
      <c r="C915" s="201"/>
      <c r="D915" s="201" t="s">
        <v>10</v>
      </c>
      <c r="E915" s="201"/>
      <c r="F915" s="444" t="s">
        <v>1072</v>
      </c>
      <c r="G915" s="1026">
        <v>80622.035000000003</v>
      </c>
      <c r="H915" s="1026">
        <v>101075.3</v>
      </c>
      <c r="I915" s="1026">
        <v>168281.4</v>
      </c>
      <c r="J915" s="1026">
        <v>168333.3</v>
      </c>
      <c r="K915" s="1026">
        <v>168351.4</v>
      </c>
      <c r="L915" s="202" t="s">
        <v>1702</v>
      </c>
      <c r="M915" s="237" t="s">
        <v>297</v>
      </c>
      <c r="N915" s="202"/>
      <c r="O915" s="761" t="s">
        <v>1071</v>
      </c>
      <c r="P915" s="761" t="s">
        <v>1071</v>
      </c>
      <c r="Q915" s="761" t="s">
        <v>1071</v>
      </c>
      <c r="R915" s="761" t="s">
        <v>1071</v>
      </c>
    </row>
    <row r="916" spans="1:19" s="693" customFormat="1" ht="15" x14ac:dyDescent="0.2">
      <c r="A916" s="702"/>
      <c r="B916" s="1276" t="s">
        <v>299</v>
      </c>
      <c r="C916" s="1277"/>
      <c r="D916" s="1277"/>
      <c r="E916" s="1277"/>
      <c r="F916" s="1278"/>
      <c r="G916" s="341">
        <f>G911+G914</f>
        <v>89005.686000000002</v>
      </c>
      <c r="H916" s="341">
        <f>H911+H914</f>
        <v>168439.3</v>
      </c>
      <c r="I916" s="341">
        <f>I911+I914</f>
        <v>169225.60000000001</v>
      </c>
      <c r="J916" s="341">
        <f>J911+J914</f>
        <v>169184.19999999998</v>
      </c>
      <c r="K916" s="341">
        <f>K911+K914</f>
        <v>169441.5</v>
      </c>
      <c r="L916" s="453"/>
      <c r="M916" s="453"/>
      <c r="N916" s="453"/>
      <c r="O916" s="453"/>
      <c r="P916" s="453"/>
      <c r="Q916" s="453"/>
      <c r="R916" s="453"/>
    </row>
    <row r="917" spans="1:19" s="693" customFormat="1" ht="14.25" customHeight="1" x14ac:dyDescent="0.2">
      <c r="A917" s="702"/>
      <c r="B917" s="1462" t="s">
        <v>1772</v>
      </c>
      <c r="C917" s="1463"/>
      <c r="D917" s="1463"/>
      <c r="E917" s="1463"/>
      <c r="F917" s="1463"/>
      <c r="G917" s="1463"/>
      <c r="H917" s="1463"/>
      <c r="I917" s="1463"/>
      <c r="J917" s="1463"/>
      <c r="K917" s="1463"/>
      <c r="L917" s="1463"/>
      <c r="M917" s="1463"/>
      <c r="N917" s="1463"/>
      <c r="O917" s="1463"/>
      <c r="P917" s="1463"/>
      <c r="Q917" s="1463"/>
      <c r="R917" s="1464"/>
      <c r="S917" s="462"/>
    </row>
    <row r="918" spans="1:19" s="693" customFormat="1" ht="15" x14ac:dyDescent="0.25">
      <c r="A918" s="702"/>
      <c r="B918" s="1652" t="s">
        <v>1073</v>
      </c>
      <c r="C918" s="762" t="s">
        <v>0</v>
      </c>
      <c r="D918" s="763"/>
      <c r="E918" s="763"/>
      <c r="F918" s="764" t="s">
        <v>526</v>
      </c>
      <c r="G918" s="1217">
        <f>G919</f>
        <v>2937</v>
      </c>
      <c r="H918" s="1217">
        <f>H919</f>
        <v>2937</v>
      </c>
      <c r="I918" s="1217">
        <f>I919</f>
        <v>3487</v>
      </c>
      <c r="J918" s="1217">
        <f>J919</f>
        <v>3543.9</v>
      </c>
      <c r="K918" s="1217">
        <f>K919</f>
        <v>3633.5</v>
      </c>
      <c r="L918" s="765" t="s">
        <v>586</v>
      </c>
      <c r="M918" s="766" t="s">
        <v>57</v>
      </c>
      <c r="N918" s="767"/>
      <c r="O918" s="768"/>
      <c r="P918" s="768"/>
      <c r="Q918" s="768"/>
      <c r="R918" s="768"/>
    </row>
    <row r="919" spans="1:19" s="693" customFormat="1" ht="15" x14ac:dyDescent="0.2">
      <c r="A919" s="702"/>
      <c r="B919" s="1653"/>
      <c r="C919" s="763"/>
      <c r="D919" s="763" t="s">
        <v>10</v>
      </c>
      <c r="E919" s="763"/>
      <c r="F919" s="769" t="s">
        <v>1703</v>
      </c>
      <c r="G919" s="80">
        <f>2329.6+607.4</f>
        <v>2937</v>
      </c>
      <c r="H919" s="80">
        <f>2329.6+607.4</f>
        <v>2937</v>
      </c>
      <c r="I919" s="80">
        <f>2339.5+597.5+550</f>
        <v>3487</v>
      </c>
      <c r="J919" s="1126">
        <f>2993.9+550</f>
        <v>3543.9</v>
      </c>
      <c r="K919" s="1126">
        <f>3083.5+550</f>
        <v>3633.5</v>
      </c>
      <c r="L919" s="1654"/>
      <c r="M919" s="1655"/>
      <c r="N919" s="1655"/>
      <c r="O919" s="1655"/>
      <c r="P919" s="1655"/>
      <c r="Q919" s="1655"/>
      <c r="R919" s="1656"/>
    </row>
    <row r="920" spans="1:19" s="693" customFormat="1" ht="15" x14ac:dyDescent="0.2">
      <c r="A920" s="702"/>
      <c r="B920" s="1276" t="s">
        <v>299</v>
      </c>
      <c r="C920" s="1277"/>
      <c r="D920" s="1277"/>
      <c r="E920" s="1277"/>
      <c r="F920" s="1278"/>
      <c r="G920" s="341">
        <f>G918</f>
        <v>2937</v>
      </c>
      <c r="H920" s="341">
        <f t="shared" ref="H920:K920" si="76">H918</f>
        <v>2937</v>
      </c>
      <c r="I920" s="341">
        <f t="shared" si="76"/>
        <v>3487</v>
      </c>
      <c r="J920" s="341">
        <f t="shared" si="76"/>
        <v>3543.9</v>
      </c>
      <c r="K920" s="341">
        <f t="shared" si="76"/>
        <v>3633.5</v>
      </c>
      <c r="L920" s="453"/>
      <c r="M920" s="453"/>
      <c r="N920" s="453"/>
      <c r="O920" s="453"/>
      <c r="P920" s="453"/>
      <c r="Q920" s="453"/>
      <c r="R920" s="453"/>
    </row>
    <row r="921" spans="1:19" s="693" customFormat="1" ht="14.25" x14ac:dyDescent="0.2">
      <c r="A921" s="702"/>
      <c r="B921" s="1428" t="s">
        <v>1074</v>
      </c>
      <c r="C921" s="1429"/>
      <c r="D921" s="1429"/>
      <c r="E921" s="1429"/>
      <c r="F921" s="1429"/>
      <c r="G921" s="1429"/>
      <c r="H921" s="1429"/>
      <c r="I921" s="1429"/>
      <c r="J921" s="1429"/>
      <c r="K921" s="1429"/>
      <c r="L921" s="1429"/>
      <c r="M921" s="1429"/>
      <c r="N921" s="1429"/>
      <c r="O921" s="1429"/>
      <c r="P921" s="1429"/>
      <c r="Q921" s="1429"/>
      <c r="R921" s="1430"/>
    </row>
    <row r="922" spans="1:19" s="693" customFormat="1" ht="74.25" x14ac:dyDescent="0.2">
      <c r="A922" s="702"/>
      <c r="B922" s="1657">
        <v>69</v>
      </c>
      <c r="C922" s="196" t="s">
        <v>0</v>
      </c>
      <c r="D922" s="201"/>
      <c r="E922" s="770"/>
      <c r="F922" s="313" t="s">
        <v>1075</v>
      </c>
      <c r="G922" s="1218">
        <f>G923</f>
        <v>385849.9</v>
      </c>
      <c r="H922" s="1218">
        <f>H923</f>
        <v>348861</v>
      </c>
      <c r="I922" s="1218">
        <f>SUM(I923:I923)</f>
        <v>451539.6</v>
      </c>
      <c r="J922" s="1218">
        <f>SUM(J923:J923)</f>
        <v>464816.1</v>
      </c>
      <c r="K922" s="1218">
        <f>SUM(K923:K923)</f>
        <v>478246.9</v>
      </c>
      <c r="L922" s="455" t="s">
        <v>1076</v>
      </c>
      <c r="M922" s="455"/>
      <c r="N922" s="771"/>
      <c r="O922" s="772"/>
      <c r="P922" s="772"/>
      <c r="Q922" s="772"/>
      <c r="R922" s="772"/>
    </row>
    <row r="923" spans="1:19" s="693" customFormat="1" ht="30" x14ac:dyDescent="0.2">
      <c r="A923" s="702"/>
      <c r="B923" s="1305"/>
      <c r="C923" s="196"/>
      <c r="D923" s="201" t="s">
        <v>10</v>
      </c>
      <c r="E923" s="498"/>
      <c r="F923" s="291" t="s">
        <v>527</v>
      </c>
      <c r="G923" s="1219">
        <f>53320.3+116811.2+215718.4</f>
        <v>385849.9</v>
      </c>
      <c r="H923" s="1219">
        <f>46335.2+51285.3+251240.5</f>
        <v>348861</v>
      </c>
      <c r="I923" s="1219">
        <f>145299.9+340017.8-33778.1</f>
        <v>451539.6</v>
      </c>
      <c r="J923" s="1138">
        <f>143127.6+355466.6-33778.1</f>
        <v>464816.1</v>
      </c>
      <c r="K923" s="1138">
        <f>149656.2+362368.8-33778.1</f>
        <v>478246.9</v>
      </c>
      <c r="L923" s="271" t="s">
        <v>1752</v>
      </c>
      <c r="M923" s="457" t="s">
        <v>4</v>
      </c>
      <c r="N923" s="773"/>
      <c r="O923" s="290"/>
      <c r="P923" s="290"/>
      <c r="Q923" s="290"/>
      <c r="R923" s="290"/>
    </row>
    <row r="924" spans="1:19" s="693" customFormat="1" ht="73.5" x14ac:dyDescent="0.2">
      <c r="A924" s="702"/>
      <c r="B924" s="1305"/>
      <c r="C924" s="196" t="s">
        <v>1077</v>
      </c>
      <c r="D924" s="201"/>
      <c r="E924" s="770"/>
      <c r="F924" s="332" t="s">
        <v>1078</v>
      </c>
      <c r="G924" s="1218">
        <v>610361.19999999995</v>
      </c>
      <c r="H924" s="1218">
        <v>39487</v>
      </c>
      <c r="I924" s="1218">
        <f>SUM(I925:I925)</f>
        <v>33778.1</v>
      </c>
      <c r="J924" s="1218">
        <f>SUM(J925:J925)</f>
        <v>33778.1</v>
      </c>
      <c r="K924" s="1218">
        <f>SUM(K925:K925)</f>
        <v>33778.1</v>
      </c>
      <c r="L924" s="383" t="s">
        <v>1704</v>
      </c>
      <c r="M924" s="60"/>
      <c r="N924" s="61"/>
      <c r="O924" s="61"/>
      <c r="P924" s="62"/>
      <c r="Q924" s="62"/>
      <c r="R924" s="62"/>
    </row>
    <row r="925" spans="1:19" s="693" customFormat="1" ht="45" x14ac:dyDescent="0.2">
      <c r="A925" s="702"/>
      <c r="B925" s="1305"/>
      <c r="C925" s="196"/>
      <c r="D925" s="201" t="s">
        <v>10</v>
      </c>
      <c r="E925" s="498"/>
      <c r="F925" s="204" t="s">
        <v>1079</v>
      </c>
      <c r="G925" s="1026">
        <v>39487</v>
      </c>
      <c r="H925" s="1026">
        <v>33778.1</v>
      </c>
      <c r="I925" s="1026">
        <v>33778.1</v>
      </c>
      <c r="J925" s="1026">
        <v>33778.1</v>
      </c>
      <c r="K925" s="1026">
        <v>33778.1</v>
      </c>
      <c r="L925" s="344" t="s">
        <v>1080</v>
      </c>
      <c r="M925" s="60" t="s">
        <v>1081</v>
      </c>
      <c r="N925" s="333"/>
      <c r="O925" s="333"/>
      <c r="P925" s="333"/>
      <c r="Q925" s="333"/>
      <c r="R925" s="333"/>
    </row>
    <row r="926" spans="1:19" s="693" customFormat="1" ht="89.25" x14ac:dyDescent="0.2">
      <c r="A926" s="702"/>
      <c r="B926" s="1305"/>
      <c r="C926" s="196" t="s">
        <v>1082</v>
      </c>
      <c r="D926" s="201"/>
      <c r="E926" s="196"/>
      <c r="F926" s="437" t="s">
        <v>1083</v>
      </c>
      <c r="G926" s="1042">
        <v>104076.6</v>
      </c>
      <c r="H926" s="1042">
        <v>256297.2</v>
      </c>
      <c r="I926" s="1042">
        <f>SUM(I927:I929)</f>
        <v>212969.5</v>
      </c>
      <c r="J926" s="1042">
        <f>SUM(J927:J929)</f>
        <v>218329.5</v>
      </c>
      <c r="K926" s="1042">
        <f>SUM(K927:K929)</f>
        <v>218339.5</v>
      </c>
      <c r="L926" s="493" t="s">
        <v>1084</v>
      </c>
      <c r="M926" s="314" t="s">
        <v>4</v>
      </c>
      <c r="N926" s="774">
        <v>98.8</v>
      </c>
      <c r="O926" s="774">
        <v>98.9</v>
      </c>
      <c r="P926" s="775">
        <v>99</v>
      </c>
      <c r="Q926" s="774">
        <v>99.1</v>
      </c>
      <c r="R926" s="774">
        <v>99.2</v>
      </c>
    </row>
    <row r="927" spans="1:19" s="693" customFormat="1" ht="30" x14ac:dyDescent="0.2">
      <c r="A927" s="702"/>
      <c r="B927" s="1305"/>
      <c r="C927" s="196"/>
      <c r="D927" s="201"/>
      <c r="E927" s="201"/>
      <c r="F927" s="776" t="s">
        <v>1705</v>
      </c>
      <c r="G927" s="1138">
        <v>71684.100000000006</v>
      </c>
      <c r="H927" s="1138">
        <v>63692.4</v>
      </c>
      <c r="I927" s="1138">
        <v>66169.5</v>
      </c>
      <c r="J927" s="1138">
        <v>75519.5</v>
      </c>
      <c r="K927" s="1138">
        <f>J927</f>
        <v>75519.5</v>
      </c>
      <c r="L927" s="370" t="s">
        <v>1085</v>
      </c>
      <c r="M927" s="60" t="s">
        <v>318</v>
      </c>
      <c r="N927" s="773">
        <v>323</v>
      </c>
      <c r="O927" s="777" t="s">
        <v>194</v>
      </c>
      <c r="P927" s="777" t="s">
        <v>195</v>
      </c>
      <c r="Q927" s="201" t="s">
        <v>196</v>
      </c>
      <c r="R927" s="201" t="s">
        <v>78</v>
      </c>
    </row>
    <row r="928" spans="1:19" s="693" customFormat="1" ht="30" x14ac:dyDescent="0.2">
      <c r="A928" s="702"/>
      <c r="B928" s="1305"/>
      <c r="C928" s="196"/>
      <c r="D928" s="201"/>
      <c r="E928" s="201"/>
      <c r="F928" s="241" t="s">
        <v>1086</v>
      </c>
      <c r="G928" s="1138">
        <v>5100</v>
      </c>
      <c r="H928" s="1138">
        <v>2500</v>
      </c>
      <c r="I928" s="1138">
        <v>1800</v>
      </c>
      <c r="J928" s="1138">
        <v>1810</v>
      </c>
      <c r="K928" s="1138">
        <v>1820</v>
      </c>
      <c r="L928" s="344" t="s">
        <v>1087</v>
      </c>
      <c r="M928" s="60" t="s">
        <v>318</v>
      </c>
      <c r="N928" s="778">
        <v>450</v>
      </c>
      <c r="O928" s="778">
        <v>460</v>
      </c>
      <c r="P928" s="779">
        <v>290</v>
      </c>
      <c r="Q928" s="780">
        <v>295</v>
      </c>
      <c r="R928" s="780">
        <v>300</v>
      </c>
    </row>
    <row r="929" spans="1:19" s="693" customFormat="1" ht="45" x14ac:dyDescent="0.2">
      <c r="A929" s="702"/>
      <c r="B929" s="1305"/>
      <c r="C929" s="196"/>
      <c r="D929" s="201"/>
      <c r="E929" s="201"/>
      <c r="F929" s="241" t="s">
        <v>1088</v>
      </c>
      <c r="G929" s="1138">
        <v>148500</v>
      </c>
      <c r="H929" s="1138">
        <v>74300</v>
      </c>
      <c r="I929" s="1138">
        <v>145000</v>
      </c>
      <c r="J929" s="1138">
        <v>141000</v>
      </c>
      <c r="K929" s="1138">
        <v>141000</v>
      </c>
      <c r="L929" s="271" t="s">
        <v>1089</v>
      </c>
      <c r="M929" s="60" t="s">
        <v>318</v>
      </c>
      <c r="N929" s="189">
        <v>24071</v>
      </c>
      <c r="O929" s="189">
        <v>25747</v>
      </c>
      <c r="P929" s="390">
        <v>25747</v>
      </c>
      <c r="Q929" s="251">
        <v>25262</v>
      </c>
      <c r="R929" s="251">
        <v>25585</v>
      </c>
    </row>
    <row r="930" spans="1:19" s="693" customFormat="1" ht="20.25" customHeight="1" x14ac:dyDescent="0.2">
      <c r="A930" s="702"/>
      <c r="B930" s="1305"/>
      <c r="C930" s="196" t="s">
        <v>1090</v>
      </c>
      <c r="D930" s="201"/>
      <c r="E930" s="196"/>
      <c r="F930" s="437" t="s">
        <v>1091</v>
      </c>
      <c r="G930" s="1220">
        <v>262556.7</v>
      </c>
      <c r="H930" s="1220">
        <f>164299.2+158523.4</f>
        <v>322822.59999999998</v>
      </c>
      <c r="I930" s="1220">
        <f>166716.9+208883.7</f>
        <v>375600.6</v>
      </c>
      <c r="J930" s="1220">
        <f>166716.9+216082</f>
        <v>382798.9</v>
      </c>
      <c r="K930" s="1220">
        <f>171715.7+220278</f>
        <v>391993.7</v>
      </c>
      <c r="L930" s="316" t="s">
        <v>1092</v>
      </c>
      <c r="M930" s="781"/>
      <c r="N930" s="303"/>
      <c r="O930" s="303"/>
      <c r="P930" s="384"/>
      <c r="Q930" s="231"/>
      <c r="R930" s="231"/>
    </row>
    <row r="931" spans="1:19" s="693" customFormat="1" ht="15" x14ac:dyDescent="0.25">
      <c r="A931" s="702"/>
      <c r="B931" s="1305"/>
      <c r="C931" s="196"/>
      <c r="D931" s="201" t="s">
        <v>10</v>
      </c>
      <c r="E931" s="201"/>
      <c r="F931" s="782" t="s">
        <v>1093</v>
      </c>
      <c r="G931" s="1138">
        <f>G930*70%</f>
        <v>183789.69</v>
      </c>
      <c r="H931" s="1138">
        <f>H930*70%</f>
        <v>225975.81999999998</v>
      </c>
      <c r="I931" s="1138">
        <f>I930*70%</f>
        <v>262920.42</v>
      </c>
      <c r="J931" s="1138">
        <f>J930*70%</f>
        <v>267959.23</v>
      </c>
      <c r="K931" s="1138">
        <f>K930*70%</f>
        <v>274395.58999999997</v>
      </c>
      <c r="L931" s="271" t="s">
        <v>1094</v>
      </c>
      <c r="M931" s="778" t="s">
        <v>965</v>
      </c>
      <c r="N931" s="248">
        <v>825</v>
      </c>
      <c r="O931" s="451">
        <v>907.5</v>
      </c>
      <c r="P931" s="451">
        <v>998</v>
      </c>
      <c r="Q931" s="451">
        <v>998</v>
      </c>
      <c r="R931" s="451">
        <v>998</v>
      </c>
    </row>
    <row r="932" spans="1:19" s="693" customFormat="1" ht="15" x14ac:dyDescent="0.2">
      <c r="A932" s="702"/>
      <c r="B932" s="1305"/>
      <c r="C932" s="196"/>
      <c r="D932" s="201" t="s">
        <v>13</v>
      </c>
      <c r="E932" s="201"/>
      <c r="F932" s="241" t="s">
        <v>1095</v>
      </c>
      <c r="G932" s="1138">
        <f>G930*30%</f>
        <v>78767.009999999995</v>
      </c>
      <c r="H932" s="1138">
        <f>H930*30%</f>
        <v>96846.779999999984</v>
      </c>
      <c r="I932" s="1138">
        <f>I930*30%</f>
        <v>112680.18</v>
      </c>
      <c r="J932" s="1138">
        <f>J930*30%</f>
        <v>114839.67</v>
      </c>
      <c r="K932" s="1138">
        <f>K930*30%</f>
        <v>117598.11</v>
      </c>
      <c r="L932" s="271" t="s">
        <v>1096</v>
      </c>
      <c r="M932" s="773" t="s">
        <v>965</v>
      </c>
      <c r="N932" s="248">
        <v>426.6</v>
      </c>
      <c r="O932" s="451">
        <v>450</v>
      </c>
      <c r="P932" s="451">
        <v>450</v>
      </c>
      <c r="Q932" s="451">
        <v>450</v>
      </c>
      <c r="R932" s="451">
        <v>450</v>
      </c>
    </row>
    <row r="933" spans="1:19" s="693" customFormat="1" ht="28.5" x14ac:dyDescent="0.2">
      <c r="A933" s="702"/>
      <c r="B933" s="1305"/>
      <c r="C933" s="196" t="s">
        <v>1097</v>
      </c>
      <c r="D933" s="201"/>
      <c r="E933" s="196"/>
      <c r="F933" s="437" t="s">
        <v>1098</v>
      </c>
      <c r="G933" s="1220">
        <v>54902.1</v>
      </c>
      <c r="H933" s="1220">
        <f>188805.1+1220.3</f>
        <v>190025.4</v>
      </c>
      <c r="I933" s="1220">
        <f>186552.3+1524.2</f>
        <v>188076.5</v>
      </c>
      <c r="J933" s="1220">
        <f>203550.6+1524.2</f>
        <v>205074.80000000002</v>
      </c>
      <c r="K933" s="1220">
        <f>221132.8+1569.9</f>
        <v>222702.69999999998</v>
      </c>
      <c r="L933" s="316" t="s">
        <v>1092</v>
      </c>
      <c r="M933" s="773"/>
      <c r="N933" s="189"/>
      <c r="O933" s="189"/>
      <c r="P933" s="390"/>
      <c r="Q933" s="251"/>
      <c r="R933" s="251"/>
    </row>
    <row r="934" spans="1:19" s="693" customFormat="1" ht="15" x14ac:dyDescent="0.2">
      <c r="A934" s="702"/>
      <c r="B934" s="1305"/>
      <c r="C934" s="196"/>
      <c r="D934" s="201" t="s">
        <v>10</v>
      </c>
      <c r="E934" s="201"/>
      <c r="F934" s="776" t="s">
        <v>1099</v>
      </c>
      <c r="G934" s="1138">
        <f>G933*53%</f>
        <v>29098.113000000001</v>
      </c>
      <c r="H934" s="1138">
        <f>H933*47%</f>
        <v>89311.937999999995</v>
      </c>
      <c r="I934" s="1138">
        <f>I933*47%</f>
        <v>88395.955000000002</v>
      </c>
      <c r="J934" s="1138">
        <f>J933*47%</f>
        <v>96385.156000000003</v>
      </c>
      <c r="K934" s="1138">
        <f>K933*47%</f>
        <v>104670.26899999999</v>
      </c>
      <c r="L934" s="271" t="s">
        <v>1100</v>
      </c>
      <c r="M934" s="778" t="s">
        <v>1101</v>
      </c>
      <c r="N934" s="248">
        <v>196808</v>
      </c>
      <c r="O934" s="248">
        <v>221803</v>
      </c>
      <c r="P934" s="392">
        <v>226239</v>
      </c>
      <c r="Q934" s="672">
        <v>230764</v>
      </c>
      <c r="R934" s="672">
        <v>235379.50440021392</v>
      </c>
    </row>
    <row r="935" spans="1:19" s="693" customFormat="1" ht="14.25" customHeight="1" x14ac:dyDescent="0.2">
      <c r="A935" s="702"/>
      <c r="B935" s="1305"/>
      <c r="C935" s="196"/>
      <c r="D935" s="201" t="s">
        <v>13</v>
      </c>
      <c r="E935" s="201"/>
      <c r="F935" s="241" t="s">
        <v>1102</v>
      </c>
      <c r="G935" s="1138">
        <f>G933*47%</f>
        <v>25803.986999999997</v>
      </c>
      <c r="H935" s="1138">
        <f>H933*53%</f>
        <v>100713.462</v>
      </c>
      <c r="I935" s="1138">
        <f>I933*53%</f>
        <v>99680.544999999998</v>
      </c>
      <c r="J935" s="1138">
        <f>J933*53%</f>
        <v>108689.64400000001</v>
      </c>
      <c r="K935" s="1138">
        <f>K933*53%</f>
        <v>118032.431</v>
      </c>
      <c r="L935" s="271" t="s">
        <v>1103</v>
      </c>
      <c r="M935" s="773" t="s">
        <v>318</v>
      </c>
      <c r="N935" s="248">
        <v>157592</v>
      </c>
      <c r="O935" s="248">
        <v>185764</v>
      </c>
      <c r="P935" s="392">
        <v>189479</v>
      </c>
      <c r="Q935" s="672">
        <v>193268</v>
      </c>
      <c r="R935" s="672">
        <v>197132.76840177539</v>
      </c>
      <c r="S935" s="462"/>
    </row>
    <row r="936" spans="1:19" s="693" customFormat="1" ht="42.75" x14ac:dyDescent="0.2">
      <c r="A936" s="702"/>
      <c r="B936" s="1305"/>
      <c r="C936" s="196" t="s">
        <v>1104</v>
      </c>
      <c r="D936" s="201"/>
      <c r="E936" s="196"/>
      <c r="F936" s="332" t="s">
        <v>1105</v>
      </c>
      <c r="G936" s="1042">
        <f>G937+G938</f>
        <v>214969.19999999998</v>
      </c>
      <c r="H936" s="1042">
        <f>SUM(H937:H938)</f>
        <v>228839.6</v>
      </c>
      <c r="I936" s="1042">
        <f>SUM(I937:I938)</f>
        <v>225040.6</v>
      </c>
      <c r="J936" s="1042">
        <f>SUM(J937:J938)</f>
        <v>229076.5</v>
      </c>
      <c r="K936" s="1042">
        <f>SUM(K937:K938)-0.1</f>
        <v>235144</v>
      </c>
      <c r="L936" s="784" t="s">
        <v>1106</v>
      </c>
      <c r="M936" s="517" t="s">
        <v>1107</v>
      </c>
      <c r="N936" s="303">
        <f>N937+N938</f>
        <v>111315</v>
      </c>
      <c r="O936" s="303">
        <f t="shared" ref="O936:R936" si="77">O937+O938</f>
        <v>83313</v>
      </c>
      <c r="P936" s="303">
        <f t="shared" si="77"/>
        <v>83313</v>
      </c>
      <c r="Q936" s="785">
        <f t="shared" si="77"/>
        <v>84979.26</v>
      </c>
      <c r="R936" s="785">
        <f t="shared" si="77"/>
        <v>87528.637799999997</v>
      </c>
    </row>
    <row r="937" spans="1:19" s="693" customFormat="1" ht="34.5" customHeight="1" x14ac:dyDescent="0.2">
      <c r="A937" s="702"/>
      <c r="B937" s="1305"/>
      <c r="C937" s="196"/>
      <c r="D937" s="201" t="s">
        <v>10</v>
      </c>
      <c r="E937" s="201"/>
      <c r="F937" s="65" t="s">
        <v>1108</v>
      </c>
      <c r="G937" s="79">
        <v>213934.9</v>
      </c>
      <c r="H937" s="79">
        <f>227598.6</f>
        <v>227598.6</v>
      </c>
      <c r="I937" s="79">
        <v>223761.2</v>
      </c>
      <c r="J937" s="79">
        <f>227541.4+0.1</f>
        <v>227541.5</v>
      </c>
      <c r="K937" s="79">
        <f>233302.1</f>
        <v>233302.1</v>
      </c>
      <c r="L937" s="516" t="s">
        <v>1109</v>
      </c>
      <c r="M937" s="517" t="s">
        <v>1107</v>
      </c>
      <c r="N937" s="189">
        <f>107614</f>
        <v>107614</v>
      </c>
      <c r="O937" s="536">
        <v>78134</v>
      </c>
      <c r="P937" s="536">
        <v>78134</v>
      </c>
      <c r="Q937" s="536">
        <f>P937*102/100</f>
        <v>79696.679999999993</v>
      </c>
      <c r="R937" s="536">
        <f>Q937*103/100</f>
        <v>82087.580399999992</v>
      </c>
    </row>
    <row r="938" spans="1:19" s="693" customFormat="1" ht="30" x14ac:dyDescent="0.2">
      <c r="A938" s="702"/>
      <c r="B938" s="1305"/>
      <c r="C938" s="196"/>
      <c r="D938" s="201" t="s">
        <v>13</v>
      </c>
      <c r="E938" s="201"/>
      <c r="F938" s="521" t="s">
        <v>1110</v>
      </c>
      <c r="G938" s="79">
        <v>1034.3</v>
      </c>
      <c r="H938" s="79">
        <v>1241</v>
      </c>
      <c r="I938" s="79">
        <v>1279.4000000000001</v>
      </c>
      <c r="J938" s="79">
        <f>1535</f>
        <v>1535</v>
      </c>
      <c r="K938" s="79">
        <f>1842</f>
        <v>1842</v>
      </c>
      <c r="L938" s="516" t="s">
        <v>1111</v>
      </c>
      <c r="M938" s="517" t="s">
        <v>1107</v>
      </c>
      <c r="N938" s="189">
        <v>3701</v>
      </c>
      <c r="O938" s="536">
        <v>5179</v>
      </c>
      <c r="P938" s="536">
        <v>5179</v>
      </c>
      <c r="Q938" s="536">
        <f>P938*102/100</f>
        <v>5282.58</v>
      </c>
      <c r="R938" s="536">
        <f>Q938*103/100</f>
        <v>5441.0573999999997</v>
      </c>
    </row>
    <row r="939" spans="1:19" s="693" customFormat="1" ht="14.25" customHeight="1" x14ac:dyDescent="0.2">
      <c r="A939" s="702"/>
      <c r="B939" s="1305"/>
      <c r="C939" s="196" t="s">
        <v>1112</v>
      </c>
      <c r="D939" s="201"/>
      <c r="E939" s="196"/>
      <c r="F939" s="332" t="s">
        <v>1113</v>
      </c>
      <c r="G939" s="1042">
        <v>727679</v>
      </c>
      <c r="H939" s="1042">
        <v>423000</v>
      </c>
      <c r="I939" s="1042">
        <f>I940</f>
        <v>0</v>
      </c>
      <c r="J939" s="1042">
        <f>J940</f>
        <v>0</v>
      </c>
      <c r="K939" s="1042">
        <f>K940</f>
        <v>0</v>
      </c>
      <c r="L939" s="493"/>
      <c r="M939" s="314"/>
      <c r="N939" s="314"/>
      <c r="O939" s="314"/>
      <c r="P939" s="314"/>
      <c r="Q939" s="314"/>
      <c r="R939" s="314"/>
      <c r="S939" s="462"/>
    </row>
    <row r="940" spans="1:19" s="693" customFormat="1" ht="15" x14ac:dyDescent="0.2">
      <c r="A940" s="702"/>
      <c r="B940" s="1306"/>
      <c r="C940" s="196"/>
      <c r="D940" s="201" t="s">
        <v>10</v>
      </c>
      <c r="E940" s="201"/>
      <c r="F940" s="241" t="s">
        <v>1114</v>
      </c>
      <c r="G940" s="1026">
        <v>423000</v>
      </c>
      <c r="H940" s="1026">
        <v>630400</v>
      </c>
      <c r="I940" s="1026"/>
      <c r="J940" s="1026"/>
      <c r="K940" s="1026"/>
      <c r="L940" s="493"/>
      <c r="M940" s="60" t="s">
        <v>1081</v>
      </c>
      <c r="N940" s="314"/>
      <c r="O940" s="314"/>
      <c r="P940" s="314"/>
      <c r="Q940" s="314"/>
      <c r="R940" s="314"/>
    </row>
    <row r="941" spans="1:19" s="693" customFormat="1" ht="15" x14ac:dyDescent="0.2">
      <c r="A941" s="702"/>
      <c r="B941" s="1276" t="s">
        <v>299</v>
      </c>
      <c r="C941" s="1277"/>
      <c r="D941" s="1277"/>
      <c r="E941" s="1277"/>
      <c r="F941" s="1278"/>
      <c r="G941" s="786">
        <f>G922+G924+G926+G939</f>
        <v>1827966.7</v>
      </c>
      <c r="H941" s="786">
        <f t="shared" ref="H941" si="78">H922+H924+H926+H939</f>
        <v>1067645.2</v>
      </c>
      <c r="I941" s="786">
        <f>I922+I924+I926+I930+I933+I936+I939</f>
        <v>1487004.9</v>
      </c>
      <c r="J941" s="786">
        <f t="shared" ref="J941:K941" si="79">J922+J924+J926+J930+J933+J936+J939</f>
        <v>1533873.9000000001</v>
      </c>
      <c r="K941" s="786">
        <f t="shared" si="79"/>
        <v>1580204.9</v>
      </c>
      <c r="L941" s="787"/>
      <c r="M941" s="788"/>
      <c r="N941" s="788"/>
      <c r="O941" s="788"/>
      <c r="P941" s="788"/>
      <c r="Q941" s="788"/>
      <c r="R941" s="788"/>
    </row>
    <row r="942" spans="1:19" s="693" customFormat="1" ht="15" thickBot="1" x14ac:dyDescent="0.25">
      <c r="A942" s="702"/>
      <c r="B942" s="1643" t="s">
        <v>1775</v>
      </c>
      <c r="C942" s="1644"/>
      <c r="D942" s="1644"/>
      <c r="E942" s="1644"/>
      <c r="F942" s="1644"/>
      <c r="G942" s="1644"/>
      <c r="H942" s="1644"/>
      <c r="I942" s="1644"/>
      <c r="J942" s="1644"/>
      <c r="K942" s="1644"/>
      <c r="L942" s="1644"/>
      <c r="M942" s="1644"/>
      <c r="N942" s="1644"/>
      <c r="O942" s="1644"/>
      <c r="P942" s="1644"/>
      <c r="Q942" s="1644"/>
      <c r="R942" s="1645"/>
    </row>
    <row r="943" spans="1:19" s="693" customFormat="1" ht="59.25" x14ac:dyDescent="0.2">
      <c r="A943" s="702"/>
      <c r="B943" s="1646">
        <v>70</v>
      </c>
      <c r="C943" s="789">
        <v>1</v>
      </c>
      <c r="D943" s="790"/>
      <c r="E943" s="790"/>
      <c r="F943" s="791" t="s">
        <v>1706</v>
      </c>
      <c r="G943" s="1139">
        <f>G944</f>
        <v>3010.1</v>
      </c>
      <c r="H943" s="1139">
        <f>H944</f>
        <v>3010.1</v>
      </c>
      <c r="I943" s="1139">
        <v>4461.3</v>
      </c>
      <c r="J943" s="15">
        <f>J944</f>
        <v>4461.3</v>
      </c>
      <c r="K943" s="1139">
        <v>4461.3</v>
      </c>
      <c r="L943" s="398" t="s">
        <v>1115</v>
      </c>
      <c r="M943" s="187" t="s">
        <v>4</v>
      </c>
      <c r="N943" s="189">
        <v>20</v>
      </c>
      <c r="O943" s="189">
        <v>20</v>
      </c>
      <c r="P943" s="189">
        <v>20</v>
      </c>
      <c r="Q943" s="189">
        <v>20</v>
      </c>
      <c r="R943" s="189">
        <v>21</v>
      </c>
    </row>
    <row r="944" spans="1:19" s="693" customFormat="1" ht="30" x14ac:dyDescent="0.2">
      <c r="A944" s="702"/>
      <c r="B944" s="1647"/>
      <c r="C944" s="792"/>
      <c r="D944" s="793">
        <v>1</v>
      </c>
      <c r="E944" s="790"/>
      <c r="F944" s="794" t="s">
        <v>1116</v>
      </c>
      <c r="G944" s="1126">
        <v>3010.1</v>
      </c>
      <c r="H944" s="1126">
        <v>3010.1</v>
      </c>
      <c r="I944" s="1126">
        <f>4461.3+278.9</f>
        <v>4740.2</v>
      </c>
      <c r="J944" s="9">
        <f>4261.3+200</f>
        <v>4461.3</v>
      </c>
      <c r="K944" s="1126">
        <v>4461.3</v>
      </c>
      <c r="L944" s="204" t="s">
        <v>1117</v>
      </c>
      <c r="M944" s="189" t="s">
        <v>4</v>
      </c>
      <c r="N944" s="189">
        <v>100</v>
      </c>
      <c r="O944" s="189">
        <v>100</v>
      </c>
      <c r="P944" s="189">
        <v>100</v>
      </c>
      <c r="Q944" s="189">
        <v>100</v>
      </c>
      <c r="R944" s="189">
        <v>100</v>
      </c>
    </row>
    <row r="945" spans="1:19" s="693" customFormat="1" ht="90" x14ac:dyDescent="0.2">
      <c r="A945" s="702"/>
      <c r="B945" s="1647"/>
      <c r="C945" s="795">
        <v>702</v>
      </c>
      <c r="D945" s="796"/>
      <c r="E945" s="790"/>
      <c r="F945" s="797" t="s">
        <v>1118</v>
      </c>
      <c r="G945" s="1139">
        <f>G946</f>
        <v>11380</v>
      </c>
      <c r="H945" s="1139">
        <f>H946</f>
        <v>11380</v>
      </c>
      <c r="I945" s="1139">
        <f>I946</f>
        <v>9928.7999999999993</v>
      </c>
      <c r="J945" s="1139">
        <v>10207.700000000001</v>
      </c>
      <c r="K945" s="1139">
        <v>10646.5</v>
      </c>
      <c r="L945" s="204" t="s">
        <v>1707</v>
      </c>
      <c r="M945" s="189" t="s">
        <v>4</v>
      </c>
      <c r="N945" s="303">
        <v>30</v>
      </c>
      <c r="O945" s="303">
        <v>30</v>
      </c>
      <c r="P945" s="303">
        <v>30</v>
      </c>
      <c r="Q945" s="303">
        <v>30</v>
      </c>
      <c r="R945" s="303">
        <v>30</v>
      </c>
    </row>
    <row r="946" spans="1:19" s="693" customFormat="1" ht="90" x14ac:dyDescent="0.2">
      <c r="A946" s="702"/>
      <c r="B946" s="1647"/>
      <c r="C946" s="792"/>
      <c r="D946" s="796">
        <v>1</v>
      </c>
      <c r="E946" s="790"/>
      <c r="F946" s="674" t="s">
        <v>1119</v>
      </c>
      <c r="G946" s="1126">
        <v>11380</v>
      </c>
      <c r="H946" s="1126">
        <v>11380</v>
      </c>
      <c r="I946" s="1126">
        <v>9928.7999999999993</v>
      </c>
      <c r="J946" s="1126">
        <v>10407.728999999999</v>
      </c>
      <c r="K946" s="1126">
        <v>10646.5</v>
      </c>
      <c r="L946" s="204" t="s">
        <v>1707</v>
      </c>
      <c r="M946" s="189" t="s">
        <v>4</v>
      </c>
      <c r="N946" s="189">
        <v>30</v>
      </c>
      <c r="O946" s="189">
        <v>30</v>
      </c>
      <c r="P946" s="189">
        <v>30</v>
      </c>
      <c r="Q946" s="189">
        <v>30</v>
      </c>
      <c r="R946" s="189">
        <v>30</v>
      </c>
    </row>
    <row r="947" spans="1:19" s="693" customFormat="1" ht="15" x14ac:dyDescent="0.25">
      <c r="A947" s="702"/>
      <c r="B947" s="1276" t="s">
        <v>299</v>
      </c>
      <c r="C947" s="1277"/>
      <c r="D947" s="1277"/>
      <c r="E947" s="1277"/>
      <c r="F947" s="1278"/>
      <c r="G947" s="798">
        <f>G943+G945</f>
        <v>14390.1</v>
      </c>
      <c r="H947" s="798">
        <f t="shared" ref="H947:K947" si="80">H943+H945</f>
        <v>14390.1</v>
      </c>
      <c r="I947" s="798">
        <f t="shared" si="80"/>
        <v>14390.099999999999</v>
      </c>
      <c r="J947" s="798">
        <f t="shared" si="80"/>
        <v>14669</v>
      </c>
      <c r="K947" s="798">
        <f t="shared" si="80"/>
        <v>15107.8</v>
      </c>
      <c r="L947" s="193"/>
      <c r="M947" s="799"/>
      <c r="N947" s="193"/>
      <c r="O947" s="193"/>
      <c r="P947" s="193"/>
      <c r="Q947" s="193"/>
      <c r="R947" s="193"/>
    </row>
    <row r="948" spans="1:19" s="693" customFormat="1" ht="14.25" x14ac:dyDescent="0.2">
      <c r="A948" s="702"/>
      <c r="B948" s="1428" t="s">
        <v>1120</v>
      </c>
      <c r="C948" s="1429"/>
      <c r="D948" s="1429"/>
      <c r="E948" s="1429"/>
      <c r="F948" s="1429"/>
      <c r="G948" s="1429"/>
      <c r="H948" s="1429"/>
      <c r="I948" s="1429"/>
      <c r="J948" s="1429"/>
      <c r="K948" s="1429"/>
      <c r="L948" s="1429"/>
      <c r="M948" s="1429"/>
      <c r="N948" s="1429"/>
      <c r="O948" s="1429"/>
      <c r="P948" s="1429"/>
      <c r="Q948" s="1429"/>
      <c r="R948" s="1430"/>
    </row>
    <row r="949" spans="1:19" s="693" customFormat="1" ht="28.5" x14ac:dyDescent="0.2">
      <c r="A949" s="702"/>
      <c r="B949" s="1648" t="s">
        <v>1121</v>
      </c>
      <c r="C949" s="800">
        <v>1</v>
      </c>
      <c r="D949" s="801"/>
      <c r="E949" s="802"/>
      <c r="F949" s="803" t="s">
        <v>1122</v>
      </c>
      <c r="G949" s="1221">
        <f>G950</f>
        <v>20795.3</v>
      </c>
      <c r="H949" s="1221">
        <f t="shared" ref="H949:K949" si="81">H950</f>
        <v>21223.7</v>
      </c>
      <c r="I949" s="1221">
        <f>I950</f>
        <v>20909.5</v>
      </c>
      <c r="J949" s="1221">
        <f t="shared" si="81"/>
        <v>21090.28</v>
      </c>
      <c r="K949" s="1221">
        <f t="shared" si="81"/>
        <v>21510.959999999999</v>
      </c>
      <c r="L949" s="663" t="s">
        <v>1123</v>
      </c>
      <c r="M949" s="186" t="s">
        <v>4</v>
      </c>
      <c r="N949" s="186">
        <v>100</v>
      </c>
      <c r="O949" s="186">
        <v>100</v>
      </c>
      <c r="P949" s="186">
        <v>100</v>
      </c>
      <c r="Q949" s="186">
        <v>100</v>
      </c>
      <c r="R949" s="186">
        <v>100</v>
      </c>
    </row>
    <row r="950" spans="1:19" s="693" customFormat="1" ht="30" x14ac:dyDescent="0.2">
      <c r="A950" s="702"/>
      <c r="B950" s="1265"/>
      <c r="C950" s="804"/>
      <c r="D950" s="805" t="s">
        <v>10</v>
      </c>
      <c r="E950" s="790"/>
      <c r="F950" s="794" t="s">
        <v>1124</v>
      </c>
      <c r="G950" s="1026">
        <v>20795.3</v>
      </c>
      <c r="H950" s="1026">
        <v>21223.7</v>
      </c>
      <c r="I950" s="1126">
        <v>20909.5</v>
      </c>
      <c r="J950" s="1126">
        <v>21090.28</v>
      </c>
      <c r="K950" s="80">
        <v>21510.959999999999</v>
      </c>
      <c r="L950" s="398" t="s">
        <v>1123</v>
      </c>
      <c r="M950" s="189" t="s">
        <v>4</v>
      </c>
      <c r="N950" s="187">
        <v>100</v>
      </c>
      <c r="O950" s="187">
        <v>100</v>
      </c>
      <c r="P950" s="187">
        <v>100</v>
      </c>
      <c r="Q950" s="187">
        <v>100</v>
      </c>
      <c r="R950" s="187">
        <v>100</v>
      </c>
    </row>
    <row r="951" spans="1:19" s="693" customFormat="1" ht="42.75" x14ac:dyDescent="0.2">
      <c r="A951" s="702"/>
      <c r="B951" s="1265"/>
      <c r="C951" s="806" t="s">
        <v>197</v>
      </c>
      <c r="D951" s="807"/>
      <c r="E951" s="780"/>
      <c r="F951" s="808" t="s">
        <v>1125</v>
      </c>
      <c r="G951" s="783">
        <f>G952+G955+G958</f>
        <v>15288.699999999999</v>
      </c>
      <c r="H951" s="783">
        <f>H952+H955+H958</f>
        <v>14860.3</v>
      </c>
      <c r="I951" s="783">
        <f>I952+I955+I958</f>
        <v>15174.5</v>
      </c>
      <c r="J951" s="783">
        <f>J952+J955+J958</f>
        <v>15693.15</v>
      </c>
      <c r="K951" s="783">
        <f>K952+K955+K958</f>
        <v>16372.8</v>
      </c>
      <c r="L951" s="808" t="s">
        <v>1126</v>
      </c>
      <c r="M951" s="809" t="s">
        <v>1127</v>
      </c>
      <c r="N951" s="783">
        <v>168458.6</v>
      </c>
      <c r="O951" s="783">
        <v>177300.4</v>
      </c>
      <c r="P951" s="783">
        <v>178000</v>
      </c>
      <c r="Q951" s="783">
        <v>179000</v>
      </c>
      <c r="R951" s="783">
        <v>180000</v>
      </c>
    </row>
    <row r="952" spans="1:19" s="693" customFormat="1" ht="14.25" customHeight="1" x14ac:dyDescent="0.2">
      <c r="A952" s="702"/>
      <c r="B952" s="1265"/>
      <c r="C952" s="1649"/>
      <c r="D952" s="1649" t="s">
        <v>10</v>
      </c>
      <c r="E952" s="1649"/>
      <c r="F952" s="1651" t="s">
        <v>1128</v>
      </c>
      <c r="G952" s="1658">
        <f>5500+726.4+1500+205+125+270.8+115.3+0.4</f>
        <v>8442.8999999999978</v>
      </c>
      <c r="H952" s="1658">
        <v>8373</v>
      </c>
      <c r="I952" s="1658">
        <v>3151.6</v>
      </c>
      <c r="J952" s="1658">
        <v>2907.3</v>
      </c>
      <c r="K952" s="1659">
        <v>3426.6</v>
      </c>
      <c r="L952" s="1651" t="s">
        <v>1129</v>
      </c>
      <c r="M952" s="1660" t="s">
        <v>1130</v>
      </c>
      <c r="N952" s="1660">
        <v>6</v>
      </c>
      <c r="O952" s="1660">
        <v>7</v>
      </c>
      <c r="P952" s="1662">
        <v>10</v>
      </c>
      <c r="Q952" s="1662">
        <v>11</v>
      </c>
      <c r="R952" s="1662">
        <v>11</v>
      </c>
    </row>
    <row r="953" spans="1:19" s="693" customFormat="1" ht="14.25" customHeight="1" x14ac:dyDescent="0.2">
      <c r="A953" s="702"/>
      <c r="B953" s="1265"/>
      <c r="C953" s="1650"/>
      <c r="D953" s="1650"/>
      <c r="E953" s="1650"/>
      <c r="F953" s="1452"/>
      <c r="G953" s="1658"/>
      <c r="H953" s="1658"/>
      <c r="I953" s="1658"/>
      <c r="J953" s="1658"/>
      <c r="K953" s="1659"/>
      <c r="L953" s="1452"/>
      <c r="M953" s="1661"/>
      <c r="N953" s="1661"/>
      <c r="O953" s="1661"/>
      <c r="P953" s="1663"/>
      <c r="Q953" s="1663"/>
      <c r="R953" s="1663"/>
    </row>
    <row r="954" spans="1:19" s="693" customFormat="1" ht="14.25" customHeight="1" x14ac:dyDescent="0.2">
      <c r="A954" s="702"/>
      <c r="B954" s="1265"/>
      <c r="C954" s="1554"/>
      <c r="D954" s="1554"/>
      <c r="E954" s="1554"/>
      <c r="F954" s="1453"/>
      <c r="G954" s="1658"/>
      <c r="H954" s="1658"/>
      <c r="I954" s="1658"/>
      <c r="J954" s="1658"/>
      <c r="K954" s="1659"/>
      <c r="L954" s="1453"/>
      <c r="M954" s="1568"/>
      <c r="N954" s="1568"/>
      <c r="O954" s="1568"/>
      <c r="P954" s="1664"/>
      <c r="Q954" s="1664"/>
      <c r="R954" s="1664"/>
    </row>
    <row r="955" spans="1:19" s="693" customFormat="1" ht="30" x14ac:dyDescent="0.2">
      <c r="A955" s="702"/>
      <c r="B955" s="1265"/>
      <c r="C955" s="1649"/>
      <c r="D955" s="1649" t="s">
        <v>13</v>
      </c>
      <c r="E955" s="1649"/>
      <c r="F955" s="1651" t="s">
        <v>1131</v>
      </c>
      <c r="G955" s="1658">
        <f>2466.6+319.9+496.7+79.3+50+108.3+79.3</f>
        <v>3600.1000000000004</v>
      </c>
      <c r="H955" s="1658">
        <v>3214.8</v>
      </c>
      <c r="I955" s="1658">
        <v>7552.8</v>
      </c>
      <c r="J955" s="1658">
        <v>7179.2</v>
      </c>
      <c r="K955" s="1659">
        <v>8043.5</v>
      </c>
      <c r="L955" s="210" t="s">
        <v>1132</v>
      </c>
      <c r="M955" s="235" t="s">
        <v>1133</v>
      </c>
      <c r="N955" s="536">
        <v>739.4</v>
      </c>
      <c r="O955" s="536">
        <v>542</v>
      </c>
      <c r="P955" s="810">
        <v>565</v>
      </c>
      <c r="Q955" s="536">
        <v>566</v>
      </c>
      <c r="R955" s="536">
        <v>568</v>
      </c>
    </row>
    <row r="956" spans="1:19" s="693" customFormat="1" ht="30" x14ac:dyDescent="0.2">
      <c r="A956" s="702"/>
      <c r="B956" s="1265"/>
      <c r="C956" s="1650"/>
      <c r="D956" s="1650"/>
      <c r="E956" s="1650"/>
      <c r="F956" s="1452"/>
      <c r="G956" s="1658"/>
      <c r="H956" s="1658"/>
      <c r="I956" s="1658"/>
      <c r="J956" s="1658"/>
      <c r="K956" s="1659"/>
      <c r="L956" s="210" t="s">
        <v>1134</v>
      </c>
      <c r="M956" s="189" t="s">
        <v>1130</v>
      </c>
      <c r="N956" s="189">
        <v>277</v>
      </c>
      <c r="O956" s="189">
        <v>297</v>
      </c>
      <c r="P956" s="238">
        <v>300</v>
      </c>
      <c r="Q956" s="238">
        <v>310</v>
      </c>
      <c r="R956" s="238">
        <v>315</v>
      </c>
    </row>
    <row r="957" spans="1:19" s="693" customFormat="1" ht="14.25" customHeight="1" x14ac:dyDescent="0.2">
      <c r="A957" s="702"/>
      <c r="B957" s="1265"/>
      <c r="C957" s="1554"/>
      <c r="D957" s="1554"/>
      <c r="E957" s="1554"/>
      <c r="F957" s="1453"/>
      <c r="G957" s="1658"/>
      <c r="H957" s="1658"/>
      <c r="I957" s="1658"/>
      <c r="J957" s="1658"/>
      <c r="K957" s="1659"/>
      <c r="L957" s="210" t="s">
        <v>1135</v>
      </c>
      <c r="M957" s="189" t="s">
        <v>1130</v>
      </c>
      <c r="N957" s="189">
        <v>90</v>
      </c>
      <c r="O957" s="189">
        <v>91</v>
      </c>
      <c r="P957" s="189">
        <v>92</v>
      </c>
      <c r="Q957" s="189">
        <v>93</v>
      </c>
      <c r="R957" s="189">
        <v>93</v>
      </c>
      <c r="S957" s="462"/>
    </row>
    <row r="958" spans="1:19" s="693" customFormat="1" ht="15" customHeight="1" x14ac:dyDescent="0.2">
      <c r="A958" s="702"/>
      <c r="B958" s="1265"/>
      <c r="C958" s="811"/>
      <c r="D958" s="811" t="s">
        <v>9</v>
      </c>
      <c r="E958" s="812"/>
      <c r="F958" s="813" t="s">
        <v>1136</v>
      </c>
      <c r="G958" s="1026">
        <f>2500+328.6+100.1+79.3+50+108.4+79.3</f>
        <v>3245.7000000000003</v>
      </c>
      <c r="H958" s="1026">
        <v>3272.5</v>
      </c>
      <c r="I958" s="1026">
        <v>4470.1000000000004</v>
      </c>
      <c r="J958" s="81">
        <v>5606.65</v>
      </c>
      <c r="K958" s="1129">
        <v>4902.7</v>
      </c>
      <c r="L958" s="813" t="s">
        <v>1137</v>
      </c>
      <c r="M958" s="778" t="s">
        <v>1130</v>
      </c>
      <c r="N958" s="273">
        <v>43</v>
      </c>
      <c r="O958" s="273">
        <v>48</v>
      </c>
      <c r="P958" s="814">
        <v>49</v>
      </c>
      <c r="Q958" s="814">
        <v>50</v>
      </c>
      <c r="R958" s="814">
        <v>50</v>
      </c>
      <c r="S958" s="703"/>
    </row>
    <row r="959" spans="1:19" s="693" customFormat="1" ht="15" x14ac:dyDescent="0.25">
      <c r="A959" s="702"/>
      <c r="B959" s="1290" t="s">
        <v>299</v>
      </c>
      <c r="C959" s="1290"/>
      <c r="D959" s="1290"/>
      <c r="E959" s="1290"/>
      <c r="F959" s="1290"/>
      <c r="G959" s="798">
        <f>G951+G949</f>
        <v>36084</v>
      </c>
      <c r="H959" s="798">
        <f>H951+H949</f>
        <v>36084</v>
      </c>
      <c r="I959" s="798">
        <f>I951+I949</f>
        <v>36084</v>
      </c>
      <c r="J959" s="798">
        <f>J951+J949</f>
        <v>36783.43</v>
      </c>
      <c r="K959" s="798">
        <f>K951+K949</f>
        <v>37883.759999999995</v>
      </c>
      <c r="L959" s="193"/>
      <c r="M959" s="1279"/>
      <c r="N959" s="1279"/>
      <c r="O959" s="1279"/>
      <c r="P959" s="1279"/>
      <c r="Q959" s="1279"/>
      <c r="R959" s="1279"/>
      <c r="S959" s="703"/>
    </row>
    <row r="960" spans="1:19" s="693" customFormat="1" ht="14.25" x14ac:dyDescent="0.2">
      <c r="A960" s="702"/>
      <c r="B960" s="1428" t="s">
        <v>1776</v>
      </c>
      <c r="C960" s="1429"/>
      <c r="D960" s="1429"/>
      <c r="E960" s="1429"/>
      <c r="F960" s="1429"/>
      <c r="G960" s="1429"/>
      <c r="H960" s="1429"/>
      <c r="I960" s="1429"/>
      <c r="J960" s="1429"/>
      <c r="K960" s="1429"/>
      <c r="L960" s="1429"/>
      <c r="M960" s="1429"/>
      <c r="N960" s="1429"/>
      <c r="O960" s="1429"/>
      <c r="P960" s="1429"/>
      <c r="Q960" s="1429"/>
      <c r="R960" s="1430"/>
      <c r="S960" s="703"/>
    </row>
    <row r="961" spans="1:19" s="693" customFormat="1" ht="14.25" customHeight="1" x14ac:dyDescent="0.2">
      <c r="A961" s="702"/>
      <c r="B961" s="1678">
        <v>74</v>
      </c>
      <c r="C961" s="815">
        <v>1</v>
      </c>
      <c r="D961" s="816"/>
      <c r="E961" s="817"/>
      <c r="F961" s="818" t="s">
        <v>1138</v>
      </c>
      <c r="G961" s="1222">
        <f>G962+G964</f>
        <v>321768.80000000005</v>
      </c>
      <c r="H961" s="1222">
        <f t="shared" ref="H961:K961" si="82">H962+H964</f>
        <v>321557.8</v>
      </c>
      <c r="I961" s="1222">
        <f t="shared" si="82"/>
        <v>318178.59999999998</v>
      </c>
      <c r="J961" s="1222">
        <f t="shared" si="82"/>
        <v>320096.2</v>
      </c>
      <c r="K961" s="1222">
        <f t="shared" si="82"/>
        <v>330048.8</v>
      </c>
      <c r="L961" s="819" t="s">
        <v>586</v>
      </c>
      <c r="M961" s="820" t="s">
        <v>4</v>
      </c>
      <c r="N961" s="821">
        <v>25</v>
      </c>
      <c r="O961" s="820">
        <v>26</v>
      </c>
      <c r="P961" s="820">
        <v>26</v>
      </c>
      <c r="Q961" s="820">
        <v>26</v>
      </c>
      <c r="R961" s="820">
        <v>26</v>
      </c>
      <c r="S961" s="462"/>
    </row>
    <row r="962" spans="1:19" s="693" customFormat="1" ht="30" x14ac:dyDescent="0.2">
      <c r="A962" s="702"/>
      <c r="B962" s="1678"/>
      <c r="C962" s="1680"/>
      <c r="D962" s="1668">
        <v>1</v>
      </c>
      <c r="E962" s="1682"/>
      <c r="F962" s="822" t="s">
        <v>1272</v>
      </c>
      <c r="G962" s="1665">
        <v>73960.600000000006</v>
      </c>
      <c r="H962" s="1665">
        <v>90743.5</v>
      </c>
      <c r="I962" s="1665">
        <v>64761.8</v>
      </c>
      <c r="J962" s="1665">
        <v>66483.600000000006</v>
      </c>
      <c r="K962" s="1665">
        <v>69423.7</v>
      </c>
      <c r="L962" s="1674"/>
      <c r="M962" s="1676"/>
      <c r="N962" s="1672"/>
      <c r="O962" s="1672"/>
      <c r="P962" s="1672"/>
      <c r="Q962" s="1672"/>
      <c r="R962" s="1672"/>
    </row>
    <row r="963" spans="1:19" s="693" customFormat="1" ht="15" hidden="1" x14ac:dyDescent="0.2">
      <c r="A963" s="702"/>
      <c r="B963" s="1678"/>
      <c r="C963" s="1681"/>
      <c r="D963" s="1669"/>
      <c r="E963" s="1683"/>
      <c r="F963" s="823"/>
      <c r="G963" s="1665"/>
      <c r="H963" s="1665"/>
      <c r="I963" s="1665"/>
      <c r="J963" s="1665"/>
      <c r="K963" s="1665"/>
      <c r="L963" s="1675"/>
      <c r="M963" s="1677"/>
      <c r="N963" s="1673"/>
      <c r="O963" s="1673"/>
      <c r="P963" s="1673"/>
      <c r="Q963" s="1673"/>
      <c r="R963" s="1673"/>
    </row>
    <row r="964" spans="1:19" s="693" customFormat="1" ht="30" x14ac:dyDescent="0.2">
      <c r="A964" s="702"/>
      <c r="B964" s="1678"/>
      <c r="C964" s="824"/>
      <c r="D964" s="825">
        <v>2</v>
      </c>
      <c r="E964" s="363"/>
      <c r="F964" s="826" t="s">
        <v>1348</v>
      </c>
      <c r="G964" s="1125">
        <v>247808.2</v>
      </c>
      <c r="H964" s="1125">
        <v>230814.3</v>
      </c>
      <c r="I964" s="1125">
        <v>253416.8</v>
      </c>
      <c r="J964" s="1125">
        <v>253612.6</v>
      </c>
      <c r="K964" s="1125">
        <v>260625.1</v>
      </c>
      <c r="L964" s="827"/>
      <c r="M964" s="389"/>
      <c r="N964" s="828"/>
      <c r="O964" s="828"/>
      <c r="P964" s="828"/>
      <c r="Q964" s="828"/>
      <c r="R964" s="828"/>
    </row>
    <row r="965" spans="1:19" s="693" customFormat="1" ht="73.5" x14ac:dyDescent="0.2">
      <c r="A965" s="702"/>
      <c r="B965" s="1678"/>
      <c r="C965" s="829">
        <v>742</v>
      </c>
      <c r="D965" s="830"/>
      <c r="E965" s="830"/>
      <c r="F965" s="831" t="s">
        <v>1139</v>
      </c>
      <c r="G965" s="1223">
        <f>G966+G968</f>
        <v>400176</v>
      </c>
      <c r="H965" s="1223">
        <f>H966+H968</f>
        <v>52376.5</v>
      </c>
      <c r="I965" s="1223">
        <f>I966+I968</f>
        <v>356531.1</v>
      </c>
      <c r="J965" s="1223">
        <f>J966+J968</f>
        <v>45526</v>
      </c>
      <c r="K965" s="1223">
        <f>K966+K968</f>
        <v>45409.9</v>
      </c>
      <c r="L965" s="831" t="s">
        <v>1140</v>
      </c>
      <c r="M965" s="389" t="s">
        <v>38</v>
      </c>
      <c r="N965" s="832">
        <v>90</v>
      </c>
      <c r="O965" s="832">
        <v>90</v>
      </c>
      <c r="P965" s="832">
        <v>90</v>
      </c>
      <c r="Q965" s="832">
        <v>90</v>
      </c>
      <c r="R965" s="832">
        <v>90</v>
      </c>
    </row>
    <row r="966" spans="1:19" s="693" customFormat="1" ht="90" x14ac:dyDescent="0.25">
      <c r="A966" s="702"/>
      <c r="B966" s="1678"/>
      <c r="C966" s="1666"/>
      <c r="D966" s="1668">
        <v>1</v>
      </c>
      <c r="E966" s="833"/>
      <c r="F966" s="834" t="s">
        <v>1141</v>
      </c>
      <c r="G966" s="1665">
        <v>42794.2</v>
      </c>
      <c r="H966" s="1665">
        <v>41501.9</v>
      </c>
      <c r="I966" s="1665">
        <v>34687.5</v>
      </c>
      <c r="J966" s="1665">
        <v>35259.599999999999</v>
      </c>
      <c r="K966" s="1665">
        <v>39273.9</v>
      </c>
      <c r="L966" s="835" t="s">
        <v>1142</v>
      </c>
      <c r="M966" s="390" t="s">
        <v>1143</v>
      </c>
      <c r="N966" s="384">
        <v>880.4</v>
      </c>
      <c r="O966" s="384">
        <v>895.2</v>
      </c>
      <c r="P966" s="384">
        <v>926.1</v>
      </c>
      <c r="Q966" s="384">
        <v>950.1</v>
      </c>
      <c r="R966" s="384">
        <v>974.1</v>
      </c>
    </row>
    <row r="967" spans="1:19" s="693" customFormat="1" ht="45" x14ac:dyDescent="0.25">
      <c r="A967" s="702"/>
      <c r="B967" s="1678"/>
      <c r="C967" s="1667"/>
      <c r="D967" s="1669"/>
      <c r="E967" s="833"/>
      <c r="F967" s="836"/>
      <c r="G967" s="1665"/>
      <c r="H967" s="1665"/>
      <c r="I967" s="1665"/>
      <c r="J967" s="1665"/>
      <c r="K967" s="1665"/>
      <c r="L967" s="835" t="s">
        <v>1144</v>
      </c>
      <c r="M967" s="837" t="s">
        <v>4</v>
      </c>
      <c r="N967" s="384">
        <v>2.5</v>
      </c>
      <c r="O967" s="384">
        <v>3.5</v>
      </c>
      <c r="P967" s="384">
        <v>3.6</v>
      </c>
      <c r="Q967" s="384">
        <v>3.6</v>
      </c>
      <c r="R967" s="384">
        <v>3.6</v>
      </c>
    </row>
    <row r="968" spans="1:19" s="693" customFormat="1" ht="30" x14ac:dyDescent="0.2">
      <c r="A968" s="702"/>
      <c r="B968" s="1678"/>
      <c r="C968" s="829"/>
      <c r="D968" s="373">
        <v>2</v>
      </c>
      <c r="E968" s="830"/>
      <c r="F968" s="370" t="s">
        <v>1145</v>
      </c>
      <c r="G968" s="67">
        <v>357381.8</v>
      </c>
      <c r="H968" s="67">
        <v>10874.6</v>
      </c>
      <c r="I968" s="1125">
        <f>328585.6-6742</f>
        <v>321843.59999999998</v>
      </c>
      <c r="J968" s="1125">
        <v>10266.4</v>
      </c>
      <c r="K968" s="1125">
        <v>6136</v>
      </c>
      <c r="L968" s="827" t="s">
        <v>1146</v>
      </c>
      <c r="M968" s="390" t="s">
        <v>1143</v>
      </c>
      <c r="N968" s="828">
        <v>6000</v>
      </c>
      <c r="O968" s="828">
        <v>6000</v>
      </c>
      <c r="P968" s="828">
        <v>6600</v>
      </c>
      <c r="Q968" s="828">
        <v>6700</v>
      </c>
      <c r="R968" s="828">
        <v>6800</v>
      </c>
    </row>
    <row r="969" spans="1:19" s="693" customFormat="1" ht="72.75" x14ac:dyDescent="0.25">
      <c r="A969" s="702"/>
      <c r="B969" s="1678"/>
      <c r="C969" s="838">
        <v>743</v>
      </c>
      <c r="D969" s="839"/>
      <c r="E969" s="840"/>
      <c r="F969" s="827" t="s">
        <v>1147</v>
      </c>
      <c r="G969" s="1224">
        <f>G970+G971</f>
        <v>6852.1</v>
      </c>
      <c r="H969" s="1224">
        <f>H970+H971</f>
        <v>7862.1</v>
      </c>
      <c r="I969" s="1224">
        <f>I970+I971</f>
        <v>6523.6</v>
      </c>
      <c r="J969" s="1224">
        <f>J970+J971</f>
        <v>6690.7000000000007</v>
      </c>
      <c r="K969" s="1224">
        <f>K970+K971</f>
        <v>7011.6</v>
      </c>
      <c r="L969" s="841" t="s">
        <v>1148</v>
      </c>
      <c r="M969" s="837"/>
      <c r="N969" s="842"/>
      <c r="O969" s="842"/>
      <c r="P969" s="842"/>
      <c r="Q969" s="842"/>
      <c r="R969" s="842"/>
    </row>
    <row r="970" spans="1:19" s="693" customFormat="1" ht="45" x14ac:dyDescent="0.25">
      <c r="A970" s="702"/>
      <c r="B970" s="1678"/>
      <c r="C970" s="843"/>
      <c r="D970" s="844">
        <v>1</v>
      </c>
      <c r="E970" s="840"/>
      <c r="F970" s="822" t="s">
        <v>1149</v>
      </c>
      <c r="G970" s="1116">
        <v>5610.5</v>
      </c>
      <c r="H970" s="1116">
        <v>6620.5</v>
      </c>
      <c r="I970" s="1116">
        <v>5232</v>
      </c>
      <c r="J970" s="1116">
        <v>5449.1</v>
      </c>
      <c r="K970" s="1116">
        <v>5770</v>
      </c>
      <c r="L970" s="845" t="s">
        <v>1150</v>
      </c>
      <c r="M970" s="837" t="s">
        <v>4</v>
      </c>
      <c r="N970" s="842">
        <v>30.7</v>
      </c>
      <c r="O970" s="842">
        <v>30.7</v>
      </c>
      <c r="P970" s="842">
        <v>31.2</v>
      </c>
      <c r="Q970" s="842">
        <v>31.2</v>
      </c>
      <c r="R970" s="842">
        <v>31.2</v>
      </c>
    </row>
    <row r="971" spans="1:19" s="693" customFormat="1" ht="30" x14ac:dyDescent="0.25">
      <c r="A971" s="702"/>
      <c r="B971" s="1678"/>
      <c r="C971" s="1666"/>
      <c r="D971" s="1668">
        <v>2</v>
      </c>
      <c r="E971" s="840"/>
      <c r="F971" s="1670" t="s">
        <v>1151</v>
      </c>
      <c r="G971" s="1684">
        <v>1241.5999999999999</v>
      </c>
      <c r="H971" s="1684">
        <v>1241.5999999999999</v>
      </c>
      <c r="I971" s="1684">
        <f>1241.6+50</f>
        <v>1291.5999999999999</v>
      </c>
      <c r="J971" s="1684">
        <v>1241.5999999999999</v>
      </c>
      <c r="K971" s="1684">
        <v>1241.5999999999999</v>
      </c>
      <c r="L971" s="846" t="s">
        <v>1152</v>
      </c>
      <c r="M971" s="66" t="s">
        <v>4</v>
      </c>
      <c r="N971" s="842">
        <v>33</v>
      </c>
      <c r="O971" s="842">
        <v>68.8</v>
      </c>
      <c r="P971" s="842">
        <v>79</v>
      </c>
      <c r="Q971" s="842">
        <v>79</v>
      </c>
      <c r="R971" s="842">
        <v>79</v>
      </c>
    </row>
    <row r="972" spans="1:19" s="693" customFormat="1" ht="45" x14ac:dyDescent="0.25">
      <c r="A972" s="702"/>
      <c r="B972" s="1678"/>
      <c r="C972" s="1667"/>
      <c r="D972" s="1669"/>
      <c r="E972" s="307"/>
      <c r="F972" s="1671"/>
      <c r="G972" s="1684"/>
      <c r="H972" s="1684"/>
      <c r="I972" s="1684"/>
      <c r="J972" s="1684"/>
      <c r="K972" s="1684"/>
      <c r="L972" s="827" t="s">
        <v>1153</v>
      </c>
      <c r="M972" s="389" t="s">
        <v>4</v>
      </c>
      <c r="N972" s="842">
        <v>100</v>
      </c>
      <c r="O972" s="842">
        <v>100</v>
      </c>
      <c r="P972" s="842">
        <v>100</v>
      </c>
      <c r="Q972" s="842">
        <v>100</v>
      </c>
      <c r="R972" s="842">
        <v>100</v>
      </c>
    </row>
    <row r="973" spans="1:19" s="693" customFormat="1" ht="88.5" x14ac:dyDescent="0.25">
      <c r="A973" s="702"/>
      <c r="B973" s="1678"/>
      <c r="C973" s="838">
        <v>744</v>
      </c>
      <c r="D973" s="839"/>
      <c r="E973" s="840"/>
      <c r="F973" s="269" t="s">
        <v>1154</v>
      </c>
      <c r="G973" s="1224">
        <f>G974</f>
        <v>0</v>
      </c>
      <c r="H973" s="1224">
        <f>H974</f>
        <v>39400</v>
      </c>
      <c r="I973" s="1224">
        <f>I974</f>
        <v>260196.6</v>
      </c>
      <c r="J973" s="1224">
        <f>J974</f>
        <v>446436.4</v>
      </c>
      <c r="K973" s="1224">
        <f>K974</f>
        <v>616187.5</v>
      </c>
      <c r="L973" s="269" t="s">
        <v>1155</v>
      </c>
      <c r="M973" s="837" t="s">
        <v>4</v>
      </c>
      <c r="N973" s="842"/>
      <c r="O973" s="842"/>
      <c r="P973" s="842"/>
      <c r="Q973" s="842"/>
      <c r="R973" s="842"/>
    </row>
    <row r="974" spans="1:19" s="693" customFormat="1" ht="60" x14ac:dyDescent="0.25">
      <c r="A974" s="702"/>
      <c r="B974" s="1679"/>
      <c r="C974" s="843"/>
      <c r="D974" s="847">
        <v>1</v>
      </c>
      <c r="E974" s="840"/>
      <c r="F974" s="66" t="s">
        <v>1156</v>
      </c>
      <c r="G974" s="1225">
        <v>0</v>
      </c>
      <c r="H974" s="1225">
        <v>39400</v>
      </c>
      <c r="I974" s="1225">
        <v>260196.6</v>
      </c>
      <c r="J974" s="1225">
        <v>446436.4</v>
      </c>
      <c r="K974" s="1225">
        <v>616187.5</v>
      </c>
      <c r="L974" s="210" t="s">
        <v>1157</v>
      </c>
      <c r="M974" s="837" t="s">
        <v>4</v>
      </c>
      <c r="N974" s="842">
        <v>0</v>
      </c>
      <c r="O974" s="842">
        <v>5</v>
      </c>
      <c r="P974" s="842">
        <v>15</v>
      </c>
      <c r="Q974" s="842">
        <v>30</v>
      </c>
      <c r="R974" s="842">
        <v>30</v>
      </c>
    </row>
    <row r="975" spans="1:19" s="693" customFormat="1" ht="14.25" customHeight="1" x14ac:dyDescent="0.2">
      <c r="A975" s="702"/>
      <c r="B975" s="1276" t="s">
        <v>299</v>
      </c>
      <c r="C975" s="1277"/>
      <c r="D975" s="1277"/>
      <c r="E975" s="1277"/>
      <c r="F975" s="1278"/>
      <c r="G975" s="360">
        <f>G961+G965+G969+G973</f>
        <v>728796.9</v>
      </c>
      <c r="H975" s="360">
        <f>H961+H965+H969+H973</f>
        <v>421196.39999999997</v>
      </c>
      <c r="I975" s="360">
        <f>I961+I965+I969+I973</f>
        <v>941429.89999999991</v>
      </c>
      <c r="J975" s="360">
        <f>J961+J965+J969+J973</f>
        <v>818749.3</v>
      </c>
      <c r="K975" s="360">
        <f>K961+K965+K969+K973</f>
        <v>998657.8</v>
      </c>
      <c r="L975" s="848"/>
      <c r="M975" s="848"/>
      <c r="N975" s="848"/>
      <c r="O975" s="848"/>
      <c r="P975" s="848"/>
      <c r="Q975" s="848"/>
      <c r="R975" s="848"/>
      <c r="S975" s="462"/>
    </row>
    <row r="976" spans="1:19" s="693" customFormat="1" ht="15" thickBot="1" x14ac:dyDescent="0.25">
      <c r="A976" s="702"/>
      <c r="B976" s="1643" t="s">
        <v>1158</v>
      </c>
      <c r="C976" s="1644"/>
      <c r="D976" s="1644"/>
      <c r="E976" s="1644"/>
      <c r="F976" s="1644"/>
      <c r="G976" s="1644"/>
      <c r="H976" s="1644"/>
      <c r="I976" s="1644"/>
      <c r="J976" s="1644"/>
      <c r="K976" s="1644"/>
      <c r="L976" s="1644"/>
      <c r="M976" s="1644"/>
      <c r="N976" s="1644"/>
      <c r="O976" s="1644"/>
      <c r="P976" s="1644"/>
      <c r="Q976" s="1644"/>
      <c r="R976" s="1645"/>
    </row>
    <row r="977" spans="1:19" s="693" customFormat="1" ht="59.25" x14ac:dyDescent="0.2">
      <c r="A977" s="702"/>
      <c r="B977" s="1646">
        <v>77</v>
      </c>
      <c r="C977" s="849">
        <v>1</v>
      </c>
      <c r="D977" s="850"/>
      <c r="E977" s="851"/>
      <c r="F977" s="852" t="s">
        <v>1159</v>
      </c>
      <c r="G977" s="1064">
        <v>2623.7</v>
      </c>
      <c r="H977" s="1064">
        <v>2806.9</v>
      </c>
      <c r="I977" s="821">
        <v>3077</v>
      </c>
      <c r="J977" s="821">
        <v>3077</v>
      </c>
      <c r="K977" s="821">
        <v>3235</v>
      </c>
      <c r="L977" s="853" t="s">
        <v>1160</v>
      </c>
      <c r="M977" s="405" t="s">
        <v>4</v>
      </c>
      <c r="N977" s="405">
        <v>27.5</v>
      </c>
      <c r="O977" s="405">
        <v>27.5</v>
      </c>
      <c r="P977" s="405">
        <v>28.7</v>
      </c>
      <c r="Q977" s="405">
        <v>28.7</v>
      </c>
      <c r="R977" s="405">
        <v>28.7</v>
      </c>
    </row>
    <row r="978" spans="1:19" s="693" customFormat="1" ht="90" x14ac:dyDescent="0.2">
      <c r="A978" s="702"/>
      <c r="B978" s="1647"/>
      <c r="C978" s="380"/>
      <c r="D978" s="854">
        <v>1</v>
      </c>
      <c r="E978" s="850"/>
      <c r="F978" s="855" t="s">
        <v>1161</v>
      </c>
      <c r="G978" s="384" t="s">
        <v>198</v>
      </c>
      <c r="H978" s="384" t="s">
        <v>198</v>
      </c>
      <c r="I978" s="1226">
        <v>3077</v>
      </c>
      <c r="J978" s="1226">
        <v>3077</v>
      </c>
      <c r="K978" s="1226">
        <v>3235</v>
      </c>
      <c r="L978" s="387" t="s">
        <v>1708</v>
      </c>
      <c r="M978" s="388" t="s">
        <v>4</v>
      </c>
      <c r="N978" s="388">
        <v>100</v>
      </c>
      <c r="O978" s="388">
        <v>100</v>
      </c>
      <c r="P978" s="388">
        <v>100</v>
      </c>
      <c r="Q978" s="388">
        <v>100</v>
      </c>
      <c r="R978" s="388">
        <v>100</v>
      </c>
    </row>
    <row r="979" spans="1:19" s="693" customFormat="1" ht="30" x14ac:dyDescent="0.2">
      <c r="A979" s="702"/>
      <c r="B979" s="1647"/>
      <c r="C979" s="856"/>
      <c r="D979" s="854">
        <v>1</v>
      </c>
      <c r="E979" s="857"/>
      <c r="F979" s="858" t="s">
        <v>354</v>
      </c>
      <c r="G979" s="390">
        <v>1549.2</v>
      </c>
      <c r="H979" s="390">
        <v>1706.4</v>
      </c>
      <c r="I979" s="390">
        <v>0</v>
      </c>
      <c r="J979" s="390">
        <v>0</v>
      </c>
      <c r="K979" s="390">
        <v>0</v>
      </c>
      <c r="L979" s="859" t="s">
        <v>1162</v>
      </c>
      <c r="M979" s="388" t="s">
        <v>4</v>
      </c>
      <c r="N979" s="388">
        <v>100</v>
      </c>
      <c r="O979" s="388">
        <v>100</v>
      </c>
      <c r="P979" s="388" t="s">
        <v>198</v>
      </c>
      <c r="Q979" s="388" t="s">
        <v>198</v>
      </c>
      <c r="R979" s="388" t="s">
        <v>198</v>
      </c>
    </row>
    <row r="980" spans="1:19" s="693" customFormat="1" ht="60" x14ac:dyDescent="0.2">
      <c r="A980" s="702"/>
      <c r="B980" s="1647"/>
      <c r="C980" s="856"/>
      <c r="D980" s="854">
        <v>2</v>
      </c>
      <c r="E980" s="857"/>
      <c r="F980" s="858" t="s">
        <v>1163</v>
      </c>
      <c r="G980" s="390">
        <v>475.7</v>
      </c>
      <c r="H980" s="390">
        <v>438.9</v>
      </c>
      <c r="I980" s="390">
        <v>0</v>
      </c>
      <c r="J980" s="390">
        <v>0</v>
      </c>
      <c r="K980" s="390">
        <v>0</v>
      </c>
      <c r="L980" s="860" t="s">
        <v>1710</v>
      </c>
      <c r="M980" s="388" t="s">
        <v>4</v>
      </c>
      <c r="N980" s="388">
        <v>100</v>
      </c>
      <c r="O980" s="388">
        <v>100</v>
      </c>
      <c r="P980" s="388" t="s">
        <v>198</v>
      </c>
      <c r="Q980" s="388" t="s">
        <v>198</v>
      </c>
      <c r="R980" s="388" t="s">
        <v>198</v>
      </c>
    </row>
    <row r="981" spans="1:19" s="693" customFormat="1" ht="60" x14ac:dyDescent="0.2">
      <c r="A981" s="702"/>
      <c r="B981" s="1647"/>
      <c r="C981" s="856"/>
      <c r="D981" s="854">
        <v>3</v>
      </c>
      <c r="E981" s="857"/>
      <c r="F981" s="858" t="s">
        <v>1164</v>
      </c>
      <c r="G981" s="390">
        <v>598.79999999999995</v>
      </c>
      <c r="H981" s="390">
        <v>661.6</v>
      </c>
      <c r="I981" s="390">
        <v>0</v>
      </c>
      <c r="J981" s="390">
        <v>0</v>
      </c>
      <c r="K981" s="390">
        <v>0</v>
      </c>
      <c r="L981" s="113" t="s">
        <v>1709</v>
      </c>
      <c r="M981" s="388" t="s">
        <v>199</v>
      </c>
      <c r="N981" s="861" t="s">
        <v>200</v>
      </c>
      <c r="O981" s="861" t="s">
        <v>201</v>
      </c>
      <c r="P981" s="388" t="s">
        <v>198</v>
      </c>
      <c r="Q981" s="388" t="s">
        <v>198</v>
      </c>
      <c r="R981" s="388" t="s">
        <v>198</v>
      </c>
    </row>
    <row r="982" spans="1:19" s="693" customFormat="1" ht="117.75" x14ac:dyDescent="0.2">
      <c r="A982" s="702"/>
      <c r="B982" s="1647"/>
      <c r="C982" s="862" t="s">
        <v>202</v>
      </c>
      <c r="D982" s="863"/>
      <c r="E982" s="863"/>
      <c r="F982" s="385" t="s">
        <v>1165</v>
      </c>
      <c r="G982" s="1227">
        <v>8831.6</v>
      </c>
      <c r="H982" s="1227">
        <v>8516.1</v>
      </c>
      <c r="I982" s="1227">
        <v>8246</v>
      </c>
      <c r="J982" s="1227">
        <v>8397.6</v>
      </c>
      <c r="K982" s="1227">
        <v>8478.2000000000007</v>
      </c>
      <c r="L982" s="864" t="s">
        <v>1166</v>
      </c>
      <c r="M982" s="865" t="s">
        <v>4</v>
      </c>
      <c r="N982" s="866">
        <v>100</v>
      </c>
      <c r="O982" s="866">
        <v>100</v>
      </c>
      <c r="P982" s="866">
        <v>100</v>
      </c>
      <c r="Q982" s="866">
        <v>100</v>
      </c>
      <c r="R982" s="866">
        <v>100</v>
      </c>
      <c r="S982" s="462"/>
    </row>
    <row r="983" spans="1:19" s="693" customFormat="1" ht="45" x14ac:dyDescent="0.2">
      <c r="A983" s="702"/>
      <c r="B983" s="1647"/>
      <c r="C983" s="862"/>
      <c r="D983" s="863" t="s">
        <v>10</v>
      </c>
      <c r="E983" s="863"/>
      <c r="F983" s="867" t="s">
        <v>1167</v>
      </c>
      <c r="G983" s="1228">
        <v>6889.4</v>
      </c>
      <c r="H983" s="1228">
        <v>6679.3</v>
      </c>
      <c r="I983" s="1228">
        <v>6835.5</v>
      </c>
      <c r="J983" s="1228">
        <v>6987.1</v>
      </c>
      <c r="K983" s="1228">
        <v>7067.7</v>
      </c>
      <c r="L983" s="868" t="s">
        <v>1168</v>
      </c>
      <c r="M983" s="869" t="s">
        <v>4</v>
      </c>
      <c r="N983" s="870">
        <v>100</v>
      </c>
      <c r="O983" s="870">
        <v>100</v>
      </c>
      <c r="P983" s="870">
        <v>100</v>
      </c>
      <c r="Q983" s="870">
        <v>100</v>
      </c>
      <c r="R983" s="870">
        <v>100</v>
      </c>
    </row>
    <row r="984" spans="1:19" s="693" customFormat="1" ht="45" x14ac:dyDescent="0.2">
      <c r="A984" s="702"/>
      <c r="B984" s="1647"/>
      <c r="C984" s="862"/>
      <c r="D984" s="863" t="s">
        <v>13</v>
      </c>
      <c r="E984" s="863"/>
      <c r="F984" s="871" t="s">
        <v>1169</v>
      </c>
      <c r="G984" s="1228">
        <v>663.2</v>
      </c>
      <c r="H984" s="1228">
        <v>792.9</v>
      </c>
      <c r="I984" s="1228">
        <v>685.9</v>
      </c>
      <c r="J984" s="1228">
        <v>685.9</v>
      </c>
      <c r="K984" s="1228">
        <v>685.9</v>
      </c>
      <c r="L984" s="868" t="s">
        <v>1170</v>
      </c>
      <c r="M984" s="869" t="s">
        <v>1101</v>
      </c>
      <c r="N984" s="870">
        <v>1</v>
      </c>
      <c r="O984" s="870">
        <v>3</v>
      </c>
      <c r="P984" s="870">
        <v>2</v>
      </c>
      <c r="Q984" s="870">
        <v>2</v>
      </c>
      <c r="R984" s="870">
        <v>2</v>
      </c>
    </row>
    <row r="985" spans="1:19" s="693" customFormat="1" ht="90" x14ac:dyDescent="0.2">
      <c r="A985" s="702"/>
      <c r="B985" s="1647"/>
      <c r="C985" s="862"/>
      <c r="D985" s="863" t="s">
        <v>9</v>
      </c>
      <c r="E985" s="863"/>
      <c r="F985" s="867" t="s">
        <v>1711</v>
      </c>
      <c r="G985" s="1228">
        <v>1279</v>
      </c>
      <c r="H985" s="1228">
        <v>1043.9000000000001</v>
      </c>
      <c r="I985" s="1228">
        <v>724.6</v>
      </c>
      <c r="J985" s="1228">
        <v>724.6</v>
      </c>
      <c r="K985" s="1228">
        <v>724.6</v>
      </c>
      <c r="L985" s="859" t="s">
        <v>1712</v>
      </c>
      <c r="M985" s="869" t="s">
        <v>203</v>
      </c>
      <c r="N985" s="872">
        <v>2900</v>
      </c>
      <c r="O985" s="870" t="s">
        <v>204</v>
      </c>
      <c r="P985" s="870" t="s">
        <v>204</v>
      </c>
      <c r="Q985" s="870" t="s">
        <v>204</v>
      </c>
      <c r="R985" s="870" t="s">
        <v>204</v>
      </c>
    </row>
    <row r="986" spans="1:19" s="693" customFormat="1" ht="27" customHeight="1" x14ac:dyDescent="0.25">
      <c r="A986" s="702"/>
      <c r="B986" s="1276" t="s">
        <v>299</v>
      </c>
      <c r="C986" s="1277"/>
      <c r="D986" s="1277"/>
      <c r="E986" s="1277"/>
      <c r="F986" s="1278"/>
      <c r="G986" s="360">
        <v>11455.3</v>
      </c>
      <c r="H986" s="360">
        <v>11323</v>
      </c>
      <c r="I986" s="360">
        <v>11323</v>
      </c>
      <c r="J986" s="360">
        <v>11474.6</v>
      </c>
      <c r="K986" s="360">
        <v>11713.2</v>
      </c>
      <c r="L986" s="193"/>
      <c r="M986" s="1335"/>
      <c r="N986" s="1335"/>
      <c r="O986" s="1335"/>
      <c r="P986" s="1335"/>
      <c r="Q986" s="1335"/>
      <c r="R986" s="1335"/>
    </row>
    <row r="987" spans="1:19" s="693" customFormat="1" ht="18" customHeight="1" x14ac:dyDescent="0.2">
      <c r="A987" s="702"/>
      <c r="B987" s="1428" t="s">
        <v>1777</v>
      </c>
      <c r="C987" s="1429"/>
      <c r="D987" s="1429"/>
      <c r="E987" s="1429"/>
      <c r="F987" s="1429"/>
      <c r="G987" s="1429"/>
      <c r="H987" s="1429"/>
      <c r="I987" s="1429"/>
      <c r="J987" s="1429"/>
      <c r="K987" s="1429"/>
      <c r="L987" s="1429"/>
      <c r="M987" s="1429"/>
      <c r="N987" s="1429"/>
      <c r="O987" s="1429"/>
      <c r="P987" s="1429"/>
      <c r="Q987" s="1429"/>
      <c r="R987" s="1430"/>
    </row>
    <row r="988" spans="1:19" s="693" customFormat="1" ht="28.5" x14ac:dyDescent="0.2">
      <c r="A988" s="702"/>
      <c r="B988" s="1379">
        <v>79</v>
      </c>
      <c r="C988" s="873">
        <v>792</v>
      </c>
      <c r="D988" s="874"/>
      <c r="E988" s="314"/>
      <c r="F988" s="332" t="s">
        <v>1171</v>
      </c>
      <c r="G988" s="292">
        <f t="shared" ref="G988:K988" si="83">G989</f>
        <v>580</v>
      </c>
      <c r="H988" s="292">
        <f>H989</f>
        <v>15432.9</v>
      </c>
      <c r="I988" s="292">
        <f t="shared" si="83"/>
        <v>15432.9</v>
      </c>
      <c r="J988" s="292">
        <f t="shared" si="83"/>
        <v>15732.041999999999</v>
      </c>
      <c r="K988" s="292">
        <f t="shared" si="83"/>
        <v>16202.6</v>
      </c>
      <c r="L988" s="314"/>
      <c r="M988" s="314"/>
      <c r="N988" s="314"/>
      <c r="O988" s="314"/>
      <c r="P988" s="314"/>
      <c r="Q988" s="314"/>
      <c r="R988" s="875"/>
    </row>
    <row r="989" spans="1:19" s="693" customFormat="1" ht="30" x14ac:dyDescent="0.2">
      <c r="A989" s="702"/>
      <c r="B989" s="1379"/>
      <c r="C989" s="1686"/>
      <c r="D989" s="1311">
        <v>1</v>
      </c>
      <c r="E989" s="1687"/>
      <c r="F989" s="1334" t="s">
        <v>1172</v>
      </c>
      <c r="G989" s="1261">
        <v>580</v>
      </c>
      <c r="H989" s="1261">
        <v>15432.9</v>
      </c>
      <c r="I989" s="1261">
        <v>15432.9</v>
      </c>
      <c r="J989" s="1261">
        <v>15732.041999999999</v>
      </c>
      <c r="K989" s="1261">
        <v>16202.6</v>
      </c>
      <c r="L989" s="241" t="s">
        <v>1173</v>
      </c>
      <c r="M989" s="224" t="s">
        <v>1101</v>
      </c>
      <c r="N989" s="876">
        <v>4</v>
      </c>
      <c r="O989" s="876">
        <v>4</v>
      </c>
      <c r="P989" s="876">
        <v>4</v>
      </c>
      <c r="Q989" s="876">
        <v>4</v>
      </c>
      <c r="R989" s="877">
        <v>4</v>
      </c>
    </row>
    <row r="990" spans="1:19" s="693" customFormat="1" ht="45" x14ac:dyDescent="0.2">
      <c r="A990" s="702"/>
      <c r="B990" s="1379"/>
      <c r="C990" s="1686"/>
      <c r="D990" s="1311"/>
      <c r="E990" s="1687"/>
      <c r="F990" s="1334"/>
      <c r="G990" s="1261"/>
      <c r="H990" s="1261"/>
      <c r="I990" s="1261"/>
      <c r="J990" s="1261"/>
      <c r="K990" s="1261"/>
      <c r="L990" s="241" t="s">
        <v>1174</v>
      </c>
      <c r="M990" s="224" t="s">
        <v>1101</v>
      </c>
      <c r="N990" s="876">
        <v>8</v>
      </c>
      <c r="O990" s="876">
        <v>8</v>
      </c>
      <c r="P990" s="876">
        <v>8</v>
      </c>
      <c r="Q990" s="876">
        <v>8</v>
      </c>
      <c r="R990" s="877">
        <v>8</v>
      </c>
    </row>
    <row r="991" spans="1:19" s="693" customFormat="1" ht="21" customHeight="1" x14ac:dyDescent="0.25">
      <c r="A991" s="702"/>
      <c r="B991" s="1276" t="s">
        <v>299</v>
      </c>
      <c r="C991" s="1277"/>
      <c r="D991" s="1277"/>
      <c r="E991" s="1277"/>
      <c r="F991" s="1278"/>
      <c r="G991" s="360">
        <f>G988</f>
        <v>580</v>
      </c>
      <c r="H991" s="360">
        <f t="shared" ref="H991:K991" si="84">H988</f>
        <v>15432.9</v>
      </c>
      <c r="I991" s="360">
        <f t="shared" si="84"/>
        <v>15432.9</v>
      </c>
      <c r="J991" s="360">
        <f t="shared" si="84"/>
        <v>15732.041999999999</v>
      </c>
      <c r="K991" s="360">
        <f t="shared" si="84"/>
        <v>16202.6</v>
      </c>
      <c r="L991" s="193"/>
      <c r="M991" s="878"/>
      <c r="N991" s="878"/>
      <c r="O991" s="878"/>
      <c r="P991" s="878"/>
      <c r="Q991" s="878"/>
      <c r="R991" s="878"/>
    </row>
    <row r="992" spans="1:19" s="693" customFormat="1" ht="14.25" x14ac:dyDescent="0.2">
      <c r="A992" s="702"/>
      <c r="B992" s="1428" t="s">
        <v>1175</v>
      </c>
      <c r="C992" s="1429"/>
      <c r="D992" s="1429"/>
      <c r="E992" s="1429"/>
      <c r="F992" s="1429"/>
      <c r="G992" s="1429"/>
      <c r="H992" s="1429"/>
      <c r="I992" s="1429"/>
      <c r="J992" s="1429"/>
      <c r="K992" s="1429"/>
      <c r="L992" s="1429"/>
      <c r="M992" s="1429"/>
      <c r="N992" s="1429"/>
      <c r="O992" s="1429"/>
      <c r="P992" s="1429"/>
      <c r="Q992" s="1429"/>
      <c r="R992" s="1430"/>
    </row>
    <row r="993" spans="1:19" s="693" customFormat="1" ht="28.5" x14ac:dyDescent="0.2">
      <c r="A993" s="702"/>
      <c r="B993" s="1685">
        <v>80</v>
      </c>
      <c r="C993" s="815">
        <v>1</v>
      </c>
      <c r="D993" s="817"/>
      <c r="E993" s="817"/>
      <c r="F993" s="879" t="s">
        <v>1713</v>
      </c>
      <c r="G993" s="880">
        <f>G994+G995</f>
        <v>35842.699999999997</v>
      </c>
      <c r="H993" s="880">
        <f t="shared" ref="H993:K993" si="85">H994+H995</f>
        <v>75641.5</v>
      </c>
      <c r="I993" s="880">
        <f t="shared" si="85"/>
        <v>77906.8</v>
      </c>
      <c r="J993" s="880">
        <f t="shared" si="85"/>
        <v>84822.7</v>
      </c>
      <c r="K993" s="880">
        <f t="shared" si="85"/>
        <v>95602.6</v>
      </c>
      <c r="L993" s="364" t="s">
        <v>1176</v>
      </c>
      <c r="M993" s="820" t="s">
        <v>4</v>
      </c>
      <c r="N993" s="820"/>
      <c r="O993" s="820"/>
      <c r="P993" s="820"/>
      <c r="Q993" s="820"/>
      <c r="R993" s="881"/>
    </row>
    <row r="994" spans="1:19" s="693" customFormat="1" ht="15" x14ac:dyDescent="0.2">
      <c r="A994" s="702"/>
      <c r="B994" s="1685"/>
      <c r="C994" s="882"/>
      <c r="D994" s="371">
        <v>1</v>
      </c>
      <c r="E994" s="363"/>
      <c r="F994" s="883" t="s">
        <v>1161</v>
      </c>
      <c r="G994" s="68">
        <v>21979.200000000001</v>
      </c>
      <c r="H994" s="68">
        <v>40213.9</v>
      </c>
      <c r="I994" s="1001">
        <v>77906.8</v>
      </c>
      <c r="J994" s="1001">
        <v>84822.7</v>
      </c>
      <c r="K994" s="1001">
        <v>95602.6</v>
      </c>
      <c r="L994" s="370"/>
      <c r="M994" s="390"/>
      <c r="N994" s="235"/>
      <c r="O994" s="235"/>
      <c r="P994" s="235"/>
      <c r="Q994" s="555"/>
      <c r="R994" s="881"/>
    </row>
    <row r="995" spans="1:19" s="693" customFormat="1" ht="15" x14ac:dyDescent="0.2">
      <c r="A995" s="702"/>
      <c r="B995" s="1685"/>
      <c r="C995" s="882"/>
      <c r="D995" s="885">
        <v>2</v>
      </c>
      <c r="E995" s="389"/>
      <c r="F995" s="883" t="s">
        <v>1714</v>
      </c>
      <c r="G995" s="68">
        <v>13863.5</v>
      </c>
      <c r="H995" s="68">
        <v>35427.599999999999</v>
      </c>
      <c r="I995" s="1001"/>
      <c r="J995" s="1001"/>
      <c r="K995" s="1001"/>
      <c r="L995" s="370"/>
      <c r="M995" s="390"/>
      <c r="N995" s="235"/>
      <c r="O995" s="235"/>
      <c r="P995" s="235"/>
      <c r="Q995" s="235"/>
      <c r="R995" s="881"/>
    </row>
    <row r="996" spans="1:19" s="693" customFormat="1" ht="28.5" x14ac:dyDescent="0.2">
      <c r="A996" s="702"/>
      <c r="B996" s="1685"/>
      <c r="C996" s="886" t="s">
        <v>205</v>
      </c>
      <c r="D996" s="887"/>
      <c r="E996" s="887"/>
      <c r="F996" s="383" t="s">
        <v>1177</v>
      </c>
      <c r="G996" s="550">
        <f>G997+G999+G1000+G998</f>
        <v>117008.4</v>
      </c>
      <c r="H996" s="550">
        <f t="shared" ref="H996:K996" si="86">H997+H999+H1000+H998</f>
        <v>119277.40000000001</v>
      </c>
      <c r="I996" s="550">
        <f t="shared" si="86"/>
        <v>122005.8</v>
      </c>
      <c r="J996" s="550">
        <f t="shared" si="86"/>
        <v>122255.8</v>
      </c>
      <c r="K996" s="550">
        <f t="shared" si="86"/>
        <v>122255.8</v>
      </c>
      <c r="L996" s="888" t="s">
        <v>1178</v>
      </c>
      <c r="M996" s="390"/>
      <c r="N996" s="553"/>
      <c r="O996" s="553"/>
      <c r="P996" s="549"/>
      <c r="Q996" s="235"/>
      <c r="R996" s="881"/>
    </row>
    <row r="997" spans="1:19" s="693" customFormat="1" ht="45" x14ac:dyDescent="0.2">
      <c r="A997" s="702"/>
      <c r="B997" s="1685"/>
      <c r="C997" s="887"/>
      <c r="D997" s="887" t="s">
        <v>10</v>
      </c>
      <c r="E997" s="887"/>
      <c r="F997" s="370" t="s">
        <v>1179</v>
      </c>
      <c r="G997" s="889">
        <v>31250.2</v>
      </c>
      <c r="H997" s="889">
        <v>33130.300000000003</v>
      </c>
      <c r="I997" s="889">
        <f>31733+600</f>
        <v>32333</v>
      </c>
      <c r="J997" s="889">
        <f>31733+650</f>
        <v>32383</v>
      </c>
      <c r="K997" s="889">
        <v>32483</v>
      </c>
      <c r="L997" s="396" t="s">
        <v>1180</v>
      </c>
      <c r="M997" s="390" t="s">
        <v>1181</v>
      </c>
      <c r="N997" s="235">
        <v>8751</v>
      </c>
      <c r="O997" s="235">
        <v>8751</v>
      </c>
      <c r="P997" s="277">
        <v>9000</v>
      </c>
      <c r="Q997" s="235">
        <v>9000</v>
      </c>
      <c r="R997" s="881"/>
    </row>
    <row r="998" spans="1:19" s="693" customFormat="1" ht="60" x14ac:dyDescent="0.2">
      <c r="A998" s="702"/>
      <c r="B998" s="1685"/>
      <c r="C998" s="887"/>
      <c r="D998" s="887" t="s">
        <v>13</v>
      </c>
      <c r="E998" s="887"/>
      <c r="F998" s="370" t="s">
        <v>1182</v>
      </c>
      <c r="G998" s="889">
        <v>14938</v>
      </c>
      <c r="H998" s="889">
        <v>13077</v>
      </c>
      <c r="I998" s="889">
        <f>8587.1+4408.5+3000+288.6</f>
        <v>16284.2</v>
      </c>
      <c r="J998" s="889">
        <f>8587.1+4408.5+3000+288.6</f>
        <v>16284.2</v>
      </c>
      <c r="K998" s="889">
        <v>16284.2</v>
      </c>
      <c r="L998" s="396" t="s">
        <v>1183</v>
      </c>
      <c r="M998" s="390" t="s">
        <v>1181</v>
      </c>
      <c r="N998" s="235">
        <v>20</v>
      </c>
      <c r="O998" s="277">
        <v>20</v>
      </c>
      <c r="P998" s="277">
        <v>25</v>
      </c>
      <c r="Q998" s="235">
        <v>25</v>
      </c>
      <c r="R998" s="881"/>
    </row>
    <row r="999" spans="1:19" s="693" customFormat="1" ht="90" x14ac:dyDescent="0.2">
      <c r="A999" s="702"/>
      <c r="B999" s="1685"/>
      <c r="C999" s="887"/>
      <c r="D999" s="887" t="s">
        <v>9</v>
      </c>
      <c r="E999" s="887"/>
      <c r="F999" s="370" t="s">
        <v>1715</v>
      </c>
      <c r="G999" s="889">
        <v>47534.1</v>
      </c>
      <c r="H999" s="889">
        <v>49632.800000000003</v>
      </c>
      <c r="I999" s="889">
        <v>48855.8</v>
      </c>
      <c r="J999" s="889">
        <v>48855.8</v>
      </c>
      <c r="K999" s="889">
        <v>48855.8</v>
      </c>
      <c r="L999" s="396" t="s">
        <v>1184</v>
      </c>
      <c r="M999" s="390" t="s">
        <v>1181</v>
      </c>
      <c r="N999" s="235">
        <v>5</v>
      </c>
      <c r="O999" s="235">
        <v>5</v>
      </c>
      <c r="P999" s="277">
        <v>5</v>
      </c>
      <c r="Q999" s="235">
        <v>5</v>
      </c>
      <c r="R999" s="881"/>
    </row>
    <row r="1000" spans="1:19" s="693" customFormat="1" ht="75" x14ac:dyDescent="0.2">
      <c r="A1000" s="702"/>
      <c r="B1000" s="1685"/>
      <c r="C1000" s="887"/>
      <c r="D1000" s="887" t="s">
        <v>23</v>
      </c>
      <c r="E1000" s="887"/>
      <c r="F1000" s="370" t="s">
        <v>1185</v>
      </c>
      <c r="G1000" s="203">
        <v>23286.1</v>
      </c>
      <c r="H1000" s="203">
        <v>23437.3</v>
      </c>
      <c r="I1000" s="884">
        <v>24532.799999999999</v>
      </c>
      <c r="J1000" s="884">
        <v>24732.799999999999</v>
      </c>
      <c r="K1000" s="884">
        <v>24632.799999999999</v>
      </c>
      <c r="L1000" s="396" t="s">
        <v>1717</v>
      </c>
      <c r="M1000" s="390" t="s">
        <v>1181</v>
      </c>
      <c r="N1000" s="235">
        <v>15</v>
      </c>
      <c r="O1000" s="235">
        <v>15</v>
      </c>
      <c r="P1000" s="554">
        <v>20</v>
      </c>
      <c r="Q1000" s="235">
        <v>20</v>
      </c>
      <c r="R1000" s="881"/>
    </row>
    <row r="1001" spans="1:19" s="693" customFormat="1" ht="28.5" x14ac:dyDescent="0.2">
      <c r="A1001" s="702"/>
      <c r="B1001" s="1685"/>
      <c r="C1001" s="886" t="s">
        <v>206</v>
      </c>
      <c r="D1001" s="886"/>
      <c r="E1001" s="886"/>
      <c r="F1001" s="383" t="s">
        <v>1718</v>
      </c>
      <c r="G1001" s="890">
        <f>G1002+G1003+G1004</f>
        <v>99122</v>
      </c>
      <c r="H1001" s="890">
        <f t="shared" ref="H1001:K1001" si="87">H1002+H1003+H1004</f>
        <v>103530.2</v>
      </c>
      <c r="I1001" s="890">
        <f t="shared" si="87"/>
        <v>124242.4</v>
      </c>
      <c r="J1001" s="890">
        <f t="shared" si="87"/>
        <v>124240.5</v>
      </c>
      <c r="K1001" s="890">
        <f t="shared" si="87"/>
        <v>124290.5</v>
      </c>
      <c r="L1001" s="888" t="s">
        <v>1719</v>
      </c>
      <c r="M1001" s="384"/>
      <c r="N1001" s="553"/>
      <c r="O1001" s="553"/>
      <c r="P1001" s="549"/>
      <c r="Q1001" s="235"/>
      <c r="R1001" s="881"/>
    </row>
    <row r="1002" spans="1:19" s="693" customFormat="1" ht="105" x14ac:dyDescent="0.2">
      <c r="A1002" s="702"/>
      <c r="B1002" s="1685"/>
      <c r="C1002" s="887"/>
      <c r="D1002" s="887" t="s">
        <v>10</v>
      </c>
      <c r="E1002" s="887"/>
      <c r="F1002" s="370" t="s">
        <v>1186</v>
      </c>
      <c r="G1002" s="889">
        <v>33694.400000000001</v>
      </c>
      <c r="H1002" s="891">
        <v>41838.6</v>
      </c>
      <c r="I1002" s="889">
        <v>70095.7</v>
      </c>
      <c r="J1002" s="889">
        <v>66638</v>
      </c>
      <c r="K1002" s="889">
        <v>70043.8</v>
      </c>
      <c r="L1002" s="892" t="s">
        <v>1721</v>
      </c>
      <c r="M1002" s="390" t="s">
        <v>1187</v>
      </c>
      <c r="N1002" s="235">
        <v>2041.5</v>
      </c>
      <c r="O1002" s="235">
        <v>2041.5</v>
      </c>
      <c r="P1002" s="554">
        <v>2500</v>
      </c>
      <c r="Q1002" s="555">
        <v>2600</v>
      </c>
      <c r="R1002" s="881"/>
      <c r="S1002" s="462"/>
    </row>
    <row r="1003" spans="1:19" s="693" customFormat="1" ht="60" x14ac:dyDescent="0.2">
      <c r="A1003" s="702"/>
      <c r="B1003" s="1685"/>
      <c r="C1003" s="887"/>
      <c r="D1003" s="887" t="s">
        <v>13</v>
      </c>
      <c r="E1003" s="887"/>
      <c r="F1003" s="396" t="s">
        <v>1720</v>
      </c>
      <c r="G1003" s="884">
        <v>40057</v>
      </c>
      <c r="H1003" s="884">
        <v>36948.400000000001</v>
      </c>
      <c r="I1003" s="884">
        <v>46798.8</v>
      </c>
      <c r="J1003" s="884">
        <v>32262.1</v>
      </c>
      <c r="K1003" s="884">
        <v>46898.8</v>
      </c>
      <c r="L1003" s="396" t="s">
        <v>1188</v>
      </c>
      <c r="M1003" s="390" t="s">
        <v>1181</v>
      </c>
      <c r="N1003" s="235" t="s">
        <v>1189</v>
      </c>
      <c r="O1003" s="235" t="s">
        <v>1189</v>
      </c>
      <c r="P1003" s="235" t="s">
        <v>1190</v>
      </c>
      <c r="Q1003" s="235" t="s">
        <v>1190</v>
      </c>
      <c r="R1003" s="881"/>
    </row>
    <row r="1004" spans="1:19" s="693" customFormat="1" ht="75" x14ac:dyDescent="0.2">
      <c r="A1004" s="702"/>
      <c r="B1004" s="1685"/>
      <c r="C1004" s="887"/>
      <c r="D1004" s="887" t="s">
        <v>9</v>
      </c>
      <c r="E1004" s="887"/>
      <c r="F1004" s="396" t="s">
        <v>1191</v>
      </c>
      <c r="G1004" s="889">
        <v>25370.6</v>
      </c>
      <c r="H1004" s="889">
        <v>24743.200000000001</v>
      </c>
      <c r="I1004" s="884">
        <v>7347.9</v>
      </c>
      <c r="J1004" s="884">
        <v>25340.400000000001</v>
      </c>
      <c r="K1004" s="884">
        <v>7347.9</v>
      </c>
      <c r="L1004" s="396" t="s">
        <v>1716</v>
      </c>
      <c r="M1004" s="390" t="s">
        <v>1181</v>
      </c>
      <c r="N1004" s="235">
        <v>18</v>
      </c>
      <c r="O1004" s="235">
        <v>18</v>
      </c>
      <c r="P1004" s="235">
        <v>25</v>
      </c>
      <c r="Q1004" s="235">
        <v>25</v>
      </c>
      <c r="R1004" s="881"/>
    </row>
    <row r="1005" spans="1:19" s="693" customFormat="1" ht="15" x14ac:dyDescent="0.2">
      <c r="A1005" s="702"/>
      <c r="B1005" s="1685"/>
      <c r="C1005" s="886" t="s">
        <v>1192</v>
      </c>
      <c r="D1005" s="886"/>
      <c r="E1005" s="886"/>
      <c r="F1005" s="888" t="s">
        <v>1193</v>
      </c>
      <c r="G1005" s="893">
        <f>G1006+G1007+G1008</f>
        <v>58509.8</v>
      </c>
      <c r="H1005" s="893">
        <f t="shared" ref="H1005:K1005" si="88">H1006+H1007+H1008</f>
        <v>54476.2</v>
      </c>
      <c r="I1005" s="893">
        <f t="shared" si="88"/>
        <v>61177.8</v>
      </c>
      <c r="J1005" s="893">
        <f t="shared" si="88"/>
        <v>61177.8</v>
      </c>
      <c r="K1005" s="893">
        <f t="shared" si="88"/>
        <v>57308.7</v>
      </c>
      <c r="L1005" s="888" t="s">
        <v>1194</v>
      </c>
      <c r="M1005" s="384"/>
      <c r="N1005" s="553"/>
      <c r="O1005" s="553"/>
      <c r="P1005" s="549"/>
      <c r="Q1005" s="235"/>
      <c r="R1005" s="881"/>
    </row>
    <row r="1006" spans="1:19" s="693" customFormat="1" ht="75" x14ac:dyDescent="0.2">
      <c r="A1006" s="702"/>
      <c r="B1006" s="1685"/>
      <c r="C1006" s="887"/>
      <c r="D1006" s="887" t="s">
        <v>10</v>
      </c>
      <c r="E1006" s="887"/>
      <c r="F1006" s="370" t="s">
        <v>1195</v>
      </c>
      <c r="G1006" s="884">
        <v>16730.599999999999</v>
      </c>
      <c r="H1006" s="884">
        <v>15560</v>
      </c>
      <c r="I1006" s="884">
        <v>18637.900000000001</v>
      </c>
      <c r="J1006" s="884">
        <v>18537.900000000001</v>
      </c>
      <c r="K1006" s="884">
        <v>18537.900000000001</v>
      </c>
      <c r="L1006" s="396" t="s">
        <v>1722</v>
      </c>
      <c r="M1006" s="390" t="s">
        <v>1181</v>
      </c>
      <c r="N1006" s="235">
        <v>30</v>
      </c>
      <c r="O1006" s="235">
        <v>30</v>
      </c>
      <c r="P1006" s="235">
        <v>35</v>
      </c>
      <c r="Q1006" s="235">
        <v>35</v>
      </c>
      <c r="R1006" s="881"/>
    </row>
    <row r="1007" spans="1:19" s="693" customFormat="1" ht="60" x14ac:dyDescent="0.2">
      <c r="A1007" s="702"/>
      <c r="B1007" s="1685"/>
      <c r="C1007" s="887"/>
      <c r="D1007" s="887" t="s">
        <v>13</v>
      </c>
      <c r="E1007" s="887"/>
      <c r="F1007" s="396" t="s">
        <v>1196</v>
      </c>
      <c r="G1007" s="894">
        <v>23832.7</v>
      </c>
      <c r="H1007" s="894">
        <v>19304.2</v>
      </c>
      <c r="I1007" s="894">
        <v>22965.7</v>
      </c>
      <c r="J1007" s="894">
        <v>23065.7</v>
      </c>
      <c r="K1007" s="894">
        <v>19196.599999999999</v>
      </c>
      <c r="L1007" s="396" t="s">
        <v>1197</v>
      </c>
      <c r="M1007" s="390" t="s">
        <v>1181</v>
      </c>
      <c r="N1007" s="235">
        <v>6</v>
      </c>
      <c r="O1007" s="277">
        <v>6</v>
      </c>
      <c r="P1007" s="277">
        <v>8</v>
      </c>
      <c r="Q1007" s="235">
        <v>8</v>
      </c>
      <c r="R1007" s="881"/>
    </row>
    <row r="1008" spans="1:19" s="693" customFormat="1" ht="30" x14ac:dyDescent="0.2">
      <c r="A1008" s="702"/>
      <c r="B1008" s="1685"/>
      <c r="C1008" s="887"/>
      <c r="D1008" s="887" t="s">
        <v>9</v>
      </c>
      <c r="E1008" s="887"/>
      <c r="F1008" s="396" t="s">
        <v>1198</v>
      </c>
      <c r="G1008" s="895">
        <v>17946.5</v>
      </c>
      <c r="H1008" s="895">
        <v>19612</v>
      </c>
      <c r="I1008" s="895">
        <v>19574.2</v>
      </c>
      <c r="J1008" s="895">
        <v>19574.2</v>
      </c>
      <c r="K1008" s="896">
        <v>19574.2</v>
      </c>
      <c r="L1008" s="897" t="s">
        <v>1199</v>
      </c>
      <c r="M1008" s="779" t="s">
        <v>1181</v>
      </c>
      <c r="N1008" s="898" t="s">
        <v>1200</v>
      </c>
      <c r="O1008" s="898" t="s">
        <v>1201</v>
      </c>
      <c r="P1008" s="898" t="s">
        <v>1202</v>
      </c>
      <c r="Q1008" s="898" t="s">
        <v>1203</v>
      </c>
      <c r="R1008" s="899"/>
    </row>
    <row r="1009" spans="1:19" s="693" customFormat="1" ht="14.25" x14ac:dyDescent="0.2">
      <c r="A1009" s="702"/>
      <c r="B1009" s="1276" t="s">
        <v>299</v>
      </c>
      <c r="C1009" s="1277"/>
      <c r="D1009" s="1277"/>
      <c r="E1009" s="1277"/>
      <c r="F1009" s="1278"/>
      <c r="G1009" s="900">
        <f>G993+G996+G1001+G1005</f>
        <v>310482.89999999997</v>
      </c>
      <c r="H1009" s="900">
        <f t="shared" ref="H1009:K1009" si="89">H993+H996+H1001+H1005</f>
        <v>352925.30000000005</v>
      </c>
      <c r="I1009" s="900">
        <f t="shared" si="89"/>
        <v>385332.8</v>
      </c>
      <c r="J1009" s="900">
        <f t="shared" si="89"/>
        <v>392496.8</v>
      </c>
      <c r="K1009" s="900">
        <f t="shared" si="89"/>
        <v>399457.60000000003</v>
      </c>
      <c r="L1009" s="901"/>
      <c r="M1009" s="878"/>
      <c r="N1009" s="901"/>
      <c r="O1009" s="901"/>
      <c r="P1009" s="901"/>
      <c r="Q1009" s="901"/>
      <c r="R1009" s="878"/>
    </row>
    <row r="1010" spans="1:19" s="693" customFormat="1" ht="14.25" x14ac:dyDescent="0.2">
      <c r="A1010" s="702"/>
      <c r="B1010" s="1428" t="s">
        <v>1778</v>
      </c>
      <c r="C1010" s="1429"/>
      <c r="D1010" s="1429"/>
      <c r="E1010" s="1429"/>
      <c r="F1010" s="1429"/>
      <c r="G1010" s="1429"/>
      <c r="H1010" s="1429"/>
      <c r="I1010" s="1429"/>
      <c r="J1010" s="1429"/>
      <c r="K1010" s="1429"/>
      <c r="L1010" s="1429"/>
      <c r="M1010" s="1429"/>
      <c r="N1010" s="1429"/>
      <c r="O1010" s="1429"/>
      <c r="P1010" s="1429"/>
      <c r="Q1010" s="1429"/>
      <c r="R1010" s="1430"/>
    </row>
    <row r="1011" spans="1:19" s="693" customFormat="1" ht="47.25" customHeight="1" x14ac:dyDescent="0.2">
      <c r="A1011" s="702"/>
      <c r="B1011" s="1657" t="s">
        <v>1204</v>
      </c>
      <c r="C1011" s="902" t="s">
        <v>207</v>
      </c>
      <c r="D1011" s="903"/>
      <c r="E1011" s="335"/>
      <c r="F1011" s="332" t="s">
        <v>1205</v>
      </c>
      <c r="G1011" s="783">
        <f>G1012</f>
        <v>156607.27575</v>
      </c>
      <c r="H1011" s="783">
        <f t="shared" ref="H1011:K1011" si="90">H1012</f>
        <v>152233.20000000001</v>
      </c>
      <c r="I1011" s="783">
        <f t="shared" si="90"/>
        <v>289741.8</v>
      </c>
      <c r="J1011" s="783">
        <f t="shared" si="90"/>
        <v>287257.7</v>
      </c>
      <c r="K1011" s="783">
        <f t="shared" si="90"/>
        <v>293932.79999999999</v>
      </c>
      <c r="L1011" s="202" t="s">
        <v>1206</v>
      </c>
      <c r="M1011" s="202" t="s">
        <v>321</v>
      </c>
      <c r="N1011" s="237">
        <v>4281</v>
      </c>
      <c r="O1011" s="208">
        <v>5800</v>
      </c>
      <c r="P1011" s="208">
        <v>7135</v>
      </c>
      <c r="Q1011" s="208">
        <v>7200</v>
      </c>
      <c r="R1011" s="208">
        <v>7450</v>
      </c>
    </row>
    <row r="1012" spans="1:19" s="693" customFormat="1" ht="30" x14ac:dyDescent="0.2">
      <c r="A1012" s="702"/>
      <c r="B1012" s="1306"/>
      <c r="C1012" s="903"/>
      <c r="D1012" s="904" t="s">
        <v>10</v>
      </c>
      <c r="E1012" s="903"/>
      <c r="F1012" s="905" t="s">
        <v>1207</v>
      </c>
      <c r="G1012" s="1118">
        <v>156607.27575</v>
      </c>
      <c r="H1012" s="1118">
        <v>152233.20000000001</v>
      </c>
      <c r="I1012" s="1118">
        <f>212341.8+70200+7200</f>
        <v>289741.8</v>
      </c>
      <c r="J1012" s="1118">
        <f>216457.7+70800</f>
        <v>287257.7</v>
      </c>
      <c r="K1012" s="1118">
        <f>222932.7+71000+0.1</f>
        <v>293932.79999999999</v>
      </c>
      <c r="L1012" s="202" t="s">
        <v>1206</v>
      </c>
      <c r="M1012" s="202" t="s">
        <v>321</v>
      </c>
      <c r="N1012" s="237">
        <v>4281</v>
      </c>
      <c r="O1012" s="208">
        <v>5800</v>
      </c>
      <c r="P1012" s="208">
        <v>7135</v>
      </c>
      <c r="Q1012" s="208">
        <v>7200</v>
      </c>
      <c r="R1012" s="208">
        <v>7450</v>
      </c>
    </row>
    <row r="1013" spans="1:19" s="693" customFormat="1" ht="33.75" customHeight="1" x14ac:dyDescent="0.2">
      <c r="A1013" s="702"/>
      <c r="B1013" s="1276" t="s">
        <v>299</v>
      </c>
      <c r="C1013" s="1277"/>
      <c r="D1013" s="1277"/>
      <c r="E1013" s="1277"/>
      <c r="F1013" s="1278"/>
      <c r="G1013" s="758">
        <f>G1011</f>
        <v>156607.27575</v>
      </c>
      <c r="H1013" s="758">
        <f t="shared" ref="H1013:K1013" si="91">H1011</f>
        <v>152233.20000000001</v>
      </c>
      <c r="I1013" s="758">
        <f t="shared" si="91"/>
        <v>289741.8</v>
      </c>
      <c r="J1013" s="758">
        <f t="shared" si="91"/>
        <v>287257.7</v>
      </c>
      <c r="K1013" s="758">
        <f t="shared" si="91"/>
        <v>293932.79999999999</v>
      </c>
      <c r="L1013" s="906"/>
      <c r="M1013" s="906"/>
      <c r="N1013" s="906"/>
      <c r="O1013" s="906"/>
      <c r="P1013" s="906"/>
      <c r="Q1013" s="906"/>
      <c r="R1013" s="907"/>
    </row>
    <row r="1014" spans="1:19" s="693" customFormat="1" ht="14.25" x14ac:dyDescent="0.2">
      <c r="A1014" s="702"/>
      <c r="B1014" s="1428" t="s">
        <v>1779</v>
      </c>
      <c r="C1014" s="1429"/>
      <c r="D1014" s="1429"/>
      <c r="E1014" s="1429"/>
      <c r="F1014" s="1429"/>
      <c r="G1014" s="1429"/>
      <c r="H1014" s="1429"/>
      <c r="I1014" s="1429"/>
      <c r="J1014" s="1429"/>
      <c r="K1014" s="1429"/>
      <c r="L1014" s="1429"/>
      <c r="M1014" s="1429"/>
      <c r="N1014" s="1429"/>
      <c r="O1014" s="1429"/>
      <c r="P1014" s="1429"/>
      <c r="Q1014" s="1429"/>
      <c r="R1014" s="1430"/>
    </row>
    <row r="1015" spans="1:19" s="693" customFormat="1" ht="14.25" customHeight="1" x14ac:dyDescent="0.2">
      <c r="A1015" s="702"/>
      <c r="B1015" s="1694">
        <v>82</v>
      </c>
      <c r="C1015" s="908">
        <v>1</v>
      </c>
      <c r="D1015" s="417"/>
      <c r="E1015" s="413"/>
      <c r="F1015" s="408" t="s">
        <v>526</v>
      </c>
      <c r="G1015" s="1135">
        <f>G1016+G1017+G1018+G1019+G1020+G1021+G1022+G1023</f>
        <v>12238</v>
      </c>
      <c r="H1015" s="1135">
        <f>H1016+H1017+H1018+H1019+H1020+H1021+H1022+H1023</f>
        <v>11753.8</v>
      </c>
      <c r="I1015" s="1135">
        <f>I1016+I1017+I1018+I1019+I1020+I1021+I1022+I1023</f>
        <v>13174.2</v>
      </c>
      <c r="J1015" s="1135">
        <f>J1016+J1017+J1018+J1019+J1020+J1021+J1022+J1023</f>
        <v>13443.4</v>
      </c>
      <c r="K1015" s="1135">
        <f>K1016+K1017+K1018+K1019+K1020+K1021+K1022+K1023</f>
        <v>13866.9</v>
      </c>
      <c r="L1015" s="493" t="s">
        <v>439</v>
      </c>
      <c r="M1015" s="909" t="s">
        <v>4</v>
      </c>
      <c r="N1015" s="910">
        <v>1</v>
      </c>
      <c r="O1015" s="910">
        <v>1</v>
      </c>
      <c r="P1015" s="910">
        <v>1</v>
      </c>
      <c r="Q1015" s="910">
        <v>1</v>
      </c>
      <c r="R1015" s="910">
        <v>1</v>
      </c>
      <c r="S1015" s="462"/>
    </row>
    <row r="1016" spans="1:19" s="693" customFormat="1" ht="57.75" customHeight="1" x14ac:dyDescent="0.2">
      <c r="A1016" s="702"/>
      <c r="B1016" s="1351"/>
      <c r="C1016" s="908"/>
      <c r="D1016" s="911">
        <v>1</v>
      </c>
      <c r="E1016" s="417"/>
      <c r="F1016" s="883" t="s">
        <v>1161</v>
      </c>
      <c r="G1016" s="1229">
        <v>1362.4</v>
      </c>
      <c r="H1016" s="1230">
        <v>1386.5</v>
      </c>
      <c r="I1016" s="1230">
        <v>7701.3</v>
      </c>
      <c r="J1016" s="1230">
        <v>7970.5</v>
      </c>
      <c r="K1016" s="1230">
        <v>8394</v>
      </c>
      <c r="L1016" s="204" t="s">
        <v>586</v>
      </c>
      <c r="M1016" s="909" t="s">
        <v>21</v>
      </c>
      <c r="N1016" s="912" t="s">
        <v>113</v>
      </c>
      <c r="O1016" s="55" t="s">
        <v>113</v>
      </c>
      <c r="P1016" s="55" t="s">
        <v>113</v>
      </c>
      <c r="Q1016" s="55" t="s">
        <v>113</v>
      </c>
      <c r="R1016" s="55" t="s">
        <v>113</v>
      </c>
    </row>
    <row r="1017" spans="1:19" s="693" customFormat="1" ht="15" x14ac:dyDescent="0.2">
      <c r="A1017" s="702"/>
      <c r="B1017" s="1351"/>
      <c r="C1017" s="908"/>
      <c r="D1017" s="911">
        <v>2</v>
      </c>
      <c r="E1017" s="417"/>
      <c r="F1017" s="883" t="s">
        <v>1714</v>
      </c>
      <c r="G1017" s="1229">
        <v>859.2</v>
      </c>
      <c r="H1017" s="1230">
        <v>1443.2</v>
      </c>
      <c r="I1017" s="1230">
        <v>5472.9</v>
      </c>
      <c r="J1017" s="1230">
        <v>5472.9</v>
      </c>
      <c r="K1017" s="1230">
        <v>5472.9</v>
      </c>
      <c r="L1017" s="204" t="s">
        <v>1208</v>
      </c>
      <c r="M1017" s="909" t="s">
        <v>4</v>
      </c>
      <c r="N1017" s="913">
        <v>1</v>
      </c>
      <c r="O1017" s="913">
        <v>1</v>
      </c>
      <c r="P1017" s="913">
        <v>1</v>
      </c>
      <c r="Q1017" s="913">
        <v>1</v>
      </c>
      <c r="R1017" s="913">
        <v>1</v>
      </c>
    </row>
    <row r="1018" spans="1:19" s="693" customFormat="1" ht="30" x14ac:dyDescent="0.2">
      <c r="A1018" s="702"/>
      <c r="B1018" s="1351"/>
      <c r="C1018" s="908"/>
      <c r="D1018" s="911">
        <v>3</v>
      </c>
      <c r="E1018" s="417"/>
      <c r="F1018" s="107" t="s">
        <v>521</v>
      </c>
      <c r="G1018" s="1229">
        <v>581</v>
      </c>
      <c r="H1018" s="1230">
        <v>371</v>
      </c>
      <c r="I1018" s="1230">
        <v>0</v>
      </c>
      <c r="J1018" s="1230">
        <v>0</v>
      </c>
      <c r="K1018" s="1230">
        <v>0</v>
      </c>
      <c r="L1018" s="204" t="s">
        <v>1209</v>
      </c>
      <c r="M1018" s="909" t="s">
        <v>4</v>
      </c>
      <c r="N1018" s="913">
        <v>1</v>
      </c>
      <c r="O1018" s="913">
        <v>1</v>
      </c>
      <c r="P1018" s="913">
        <v>1</v>
      </c>
      <c r="Q1018" s="913">
        <v>1</v>
      </c>
      <c r="R1018" s="913">
        <v>1</v>
      </c>
    </row>
    <row r="1019" spans="1:19" s="693" customFormat="1" ht="30" x14ac:dyDescent="0.2">
      <c r="A1019" s="702"/>
      <c r="B1019" s="1351"/>
      <c r="C1019" s="908"/>
      <c r="D1019" s="911">
        <v>4</v>
      </c>
      <c r="E1019" s="417"/>
      <c r="F1019" s="107" t="s">
        <v>1210</v>
      </c>
      <c r="G1019" s="1229">
        <v>567</v>
      </c>
      <c r="H1019" s="1230">
        <v>417</v>
      </c>
      <c r="I1019" s="1230">
        <v>0</v>
      </c>
      <c r="J1019" s="1230">
        <v>0</v>
      </c>
      <c r="K1019" s="1230">
        <v>0</v>
      </c>
      <c r="L1019" s="204" t="s">
        <v>1211</v>
      </c>
      <c r="M1019" s="914" t="s">
        <v>1101</v>
      </c>
      <c r="N1019" s="912">
        <v>0</v>
      </c>
      <c r="O1019" s="912">
        <v>0</v>
      </c>
      <c r="P1019" s="912">
        <v>0</v>
      </c>
      <c r="Q1019" s="912">
        <v>0</v>
      </c>
      <c r="R1019" s="912">
        <v>0</v>
      </c>
    </row>
    <row r="1020" spans="1:19" s="693" customFormat="1" ht="72.75" customHeight="1" x14ac:dyDescent="0.2">
      <c r="A1020" s="702"/>
      <c r="B1020" s="1351"/>
      <c r="C1020" s="908"/>
      <c r="D1020" s="911">
        <v>5</v>
      </c>
      <c r="E1020" s="417"/>
      <c r="F1020" s="107" t="s">
        <v>1723</v>
      </c>
      <c r="G1020" s="1229">
        <v>500</v>
      </c>
      <c r="H1020" s="1230">
        <v>370</v>
      </c>
      <c r="I1020" s="1230">
        <v>0</v>
      </c>
      <c r="J1020" s="1230">
        <v>0</v>
      </c>
      <c r="K1020" s="1230">
        <v>0</v>
      </c>
      <c r="L1020" s="204" t="s">
        <v>1212</v>
      </c>
      <c r="M1020" s="914" t="s">
        <v>1101</v>
      </c>
      <c r="N1020" s="912">
        <v>47</v>
      </c>
      <c r="O1020" s="915">
        <v>42</v>
      </c>
      <c r="P1020" s="915">
        <v>55</v>
      </c>
      <c r="Q1020" s="915">
        <v>60</v>
      </c>
      <c r="R1020" s="915">
        <v>53</v>
      </c>
    </row>
    <row r="1021" spans="1:19" s="693" customFormat="1" ht="45" x14ac:dyDescent="0.2">
      <c r="A1021" s="702"/>
      <c r="B1021" s="1351"/>
      <c r="C1021" s="908"/>
      <c r="D1021" s="911">
        <v>6</v>
      </c>
      <c r="E1021" s="417"/>
      <c r="F1021" s="210" t="s">
        <v>1213</v>
      </c>
      <c r="G1021" s="1229">
        <v>1520</v>
      </c>
      <c r="H1021" s="1230">
        <v>1722.7</v>
      </c>
      <c r="I1021" s="1230">
        <v>0</v>
      </c>
      <c r="J1021" s="1230">
        <v>0</v>
      </c>
      <c r="K1021" s="1230">
        <v>0</v>
      </c>
      <c r="L1021" s="204" t="s">
        <v>1214</v>
      </c>
      <c r="M1021" s="909" t="s">
        <v>21</v>
      </c>
      <c r="N1021" s="912">
        <v>7.6</v>
      </c>
      <c r="O1021" s="916">
        <v>7.1</v>
      </c>
      <c r="P1021" s="916">
        <v>7.4</v>
      </c>
      <c r="Q1021" s="916">
        <v>6.8</v>
      </c>
      <c r="R1021" s="916">
        <v>7.1</v>
      </c>
    </row>
    <row r="1022" spans="1:19" s="693" customFormat="1" ht="45" x14ac:dyDescent="0.2">
      <c r="A1022" s="702"/>
      <c r="B1022" s="1351"/>
      <c r="C1022" s="908"/>
      <c r="D1022" s="911">
        <v>7</v>
      </c>
      <c r="E1022" s="417"/>
      <c r="F1022" s="210" t="s">
        <v>1215</v>
      </c>
      <c r="G1022" s="1229">
        <v>2339.4</v>
      </c>
      <c r="H1022" s="1230">
        <v>2032.7</v>
      </c>
      <c r="I1022" s="1230">
        <v>0</v>
      </c>
      <c r="J1022" s="1230">
        <v>0</v>
      </c>
      <c r="K1022" s="1230">
        <v>0</v>
      </c>
      <c r="L1022" s="204" t="s">
        <v>1216</v>
      </c>
      <c r="M1022" s="909" t="s">
        <v>4</v>
      </c>
      <c r="N1022" s="913">
        <v>1</v>
      </c>
      <c r="O1022" s="917">
        <v>1</v>
      </c>
      <c r="P1022" s="917">
        <v>1</v>
      </c>
      <c r="Q1022" s="917">
        <v>1</v>
      </c>
      <c r="R1022" s="917">
        <v>1</v>
      </c>
    </row>
    <row r="1023" spans="1:19" s="693" customFormat="1" ht="45" x14ac:dyDescent="0.2">
      <c r="A1023" s="702"/>
      <c r="B1023" s="1351"/>
      <c r="C1023" s="908"/>
      <c r="D1023" s="911">
        <v>8</v>
      </c>
      <c r="E1023" s="417"/>
      <c r="F1023" s="210" t="s">
        <v>1217</v>
      </c>
      <c r="G1023" s="1229">
        <v>4509</v>
      </c>
      <c r="H1023" s="1230">
        <v>4010.7</v>
      </c>
      <c r="I1023" s="1230">
        <v>0</v>
      </c>
      <c r="J1023" s="1230">
        <v>0</v>
      </c>
      <c r="K1023" s="1230">
        <v>0</v>
      </c>
      <c r="L1023" s="204" t="s">
        <v>1218</v>
      </c>
      <c r="M1023" s="909" t="s">
        <v>4</v>
      </c>
      <c r="N1023" s="918">
        <v>0.80510000000000004</v>
      </c>
      <c r="O1023" s="919">
        <v>0.85509999999999997</v>
      </c>
      <c r="P1023" s="917">
        <v>0.9</v>
      </c>
      <c r="Q1023" s="919">
        <v>0.89100000000000001</v>
      </c>
      <c r="R1023" s="917">
        <v>0.92</v>
      </c>
    </row>
    <row r="1024" spans="1:19" s="693" customFormat="1" ht="103.5" x14ac:dyDescent="0.2">
      <c r="A1024" s="702"/>
      <c r="B1024" s="1351"/>
      <c r="C1024" s="920">
        <v>822</v>
      </c>
      <c r="D1024" s="921"/>
      <c r="E1024" s="922"/>
      <c r="F1024" s="493" t="s">
        <v>1219</v>
      </c>
      <c r="G1024" s="47">
        <f>G1025+G1026+G1027+G1028+G1030</f>
        <v>516.9</v>
      </c>
      <c r="H1024" s="47">
        <f>H1025+H1026+H1027+H1028+H1030</f>
        <v>714</v>
      </c>
      <c r="I1024" s="47">
        <f>I1025+I1026+I1027+I1028+I1030</f>
        <v>714</v>
      </c>
      <c r="J1024" s="47">
        <f>J1025+J1026+J1027+J1028+J1030</f>
        <v>714</v>
      </c>
      <c r="K1024" s="47">
        <f>K1025+K1026+K1027+K1028+K1030</f>
        <v>714</v>
      </c>
      <c r="L1024" s="269" t="s">
        <v>1724</v>
      </c>
      <c r="M1024" s="909" t="s">
        <v>4</v>
      </c>
      <c r="N1024" s="923">
        <v>100</v>
      </c>
      <c r="O1024" s="923">
        <v>100</v>
      </c>
      <c r="P1024" s="923">
        <v>100</v>
      </c>
      <c r="Q1024" s="923">
        <v>100</v>
      </c>
      <c r="R1024" s="923">
        <v>100</v>
      </c>
    </row>
    <row r="1025" spans="1:18" s="693" customFormat="1" ht="30" x14ac:dyDescent="0.2">
      <c r="A1025" s="702"/>
      <c r="B1025" s="1351"/>
      <c r="C1025" s="908"/>
      <c r="D1025" s="911">
        <v>1</v>
      </c>
      <c r="E1025" s="417"/>
      <c r="F1025" s="210" t="s">
        <v>1220</v>
      </c>
      <c r="G1025" s="1231">
        <v>133.9</v>
      </c>
      <c r="H1025" s="1232">
        <v>238</v>
      </c>
      <c r="I1025" s="1232">
        <v>238</v>
      </c>
      <c r="J1025" s="1232">
        <v>238</v>
      </c>
      <c r="K1025" s="1232">
        <v>238</v>
      </c>
      <c r="L1025" s="210" t="s">
        <v>1728</v>
      </c>
      <c r="M1025" s="914" t="s">
        <v>1101</v>
      </c>
      <c r="N1025" s="909">
        <v>54</v>
      </c>
      <c r="O1025" s="916">
        <v>55</v>
      </c>
      <c r="P1025" s="916">
        <v>50</v>
      </c>
      <c r="Q1025" s="916">
        <v>48</v>
      </c>
      <c r="R1025" s="916">
        <v>53</v>
      </c>
    </row>
    <row r="1026" spans="1:18" s="693" customFormat="1" ht="45" x14ac:dyDescent="0.2">
      <c r="A1026" s="702"/>
      <c r="B1026" s="1351"/>
      <c r="C1026" s="920"/>
      <c r="D1026" s="911">
        <v>2</v>
      </c>
      <c r="E1026" s="417"/>
      <c r="F1026" s="210" t="s">
        <v>1221</v>
      </c>
      <c r="G1026" s="1231">
        <v>132</v>
      </c>
      <c r="H1026" s="1232">
        <v>132</v>
      </c>
      <c r="I1026" s="1232">
        <v>132</v>
      </c>
      <c r="J1026" s="1232">
        <v>132</v>
      </c>
      <c r="K1026" s="1232">
        <v>132</v>
      </c>
      <c r="L1026" s="210" t="s">
        <v>1729</v>
      </c>
      <c r="M1026" s="914" t="s">
        <v>1101</v>
      </c>
      <c r="N1026" s="909">
        <v>66</v>
      </c>
      <c r="O1026" s="916">
        <v>59</v>
      </c>
      <c r="P1026" s="916">
        <v>55</v>
      </c>
      <c r="Q1026" s="916">
        <v>61</v>
      </c>
      <c r="R1026" s="916">
        <v>49</v>
      </c>
    </row>
    <row r="1027" spans="1:18" s="693" customFormat="1" ht="60" x14ac:dyDescent="0.2">
      <c r="A1027" s="702"/>
      <c r="B1027" s="1351"/>
      <c r="C1027" s="920"/>
      <c r="D1027" s="911">
        <v>3</v>
      </c>
      <c r="E1027" s="417"/>
      <c r="F1027" s="210" t="s">
        <v>1725</v>
      </c>
      <c r="G1027" s="1231">
        <v>131</v>
      </c>
      <c r="H1027" s="1232">
        <v>131</v>
      </c>
      <c r="I1027" s="1232">
        <v>131</v>
      </c>
      <c r="J1027" s="1232">
        <v>131</v>
      </c>
      <c r="K1027" s="1232">
        <v>131</v>
      </c>
      <c r="L1027" s="210" t="s">
        <v>1730</v>
      </c>
      <c r="M1027" s="924" t="s">
        <v>4</v>
      </c>
      <c r="N1027" s="913">
        <v>1</v>
      </c>
      <c r="O1027" s="917">
        <v>1</v>
      </c>
      <c r="P1027" s="917">
        <v>1</v>
      </c>
      <c r="Q1027" s="917">
        <v>1</v>
      </c>
      <c r="R1027" s="917">
        <v>1</v>
      </c>
    </row>
    <row r="1028" spans="1:18" s="693" customFormat="1" ht="30" x14ac:dyDescent="0.2">
      <c r="A1028" s="702"/>
      <c r="B1028" s="1351"/>
      <c r="C1028" s="1696"/>
      <c r="D1028" s="1697">
        <v>4</v>
      </c>
      <c r="E1028" s="1698"/>
      <c r="F1028" s="1500" t="s">
        <v>1726</v>
      </c>
      <c r="G1028" s="1699">
        <v>0</v>
      </c>
      <c r="H1028" s="1693">
        <v>93</v>
      </c>
      <c r="I1028" s="1693">
        <v>93</v>
      </c>
      <c r="J1028" s="1693">
        <v>93</v>
      </c>
      <c r="K1028" s="1693">
        <v>93</v>
      </c>
      <c r="L1028" s="391" t="s">
        <v>1222</v>
      </c>
      <c r="M1028" s="914" t="s">
        <v>1101</v>
      </c>
      <c r="N1028" s="909">
        <v>795</v>
      </c>
      <c r="O1028" s="916">
        <v>810</v>
      </c>
      <c r="P1028" s="916">
        <v>750</v>
      </c>
      <c r="Q1028" s="916">
        <v>850</v>
      </c>
      <c r="R1028" s="916">
        <v>690</v>
      </c>
    </row>
    <row r="1029" spans="1:18" s="693" customFormat="1" ht="30" x14ac:dyDescent="0.2">
      <c r="A1029" s="702"/>
      <c r="B1029" s="1351"/>
      <c r="C1029" s="1696"/>
      <c r="D1029" s="1697"/>
      <c r="E1029" s="1698"/>
      <c r="F1029" s="1500"/>
      <c r="G1029" s="1699"/>
      <c r="H1029" s="1693"/>
      <c r="I1029" s="1693"/>
      <c r="J1029" s="1693"/>
      <c r="K1029" s="1693"/>
      <c r="L1029" s="391" t="s">
        <v>1223</v>
      </c>
      <c r="M1029" s="914" t="s">
        <v>1101</v>
      </c>
      <c r="N1029" s="925">
        <v>0</v>
      </c>
      <c r="O1029" s="916">
        <v>100</v>
      </c>
      <c r="P1029" s="916">
        <v>80</v>
      </c>
      <c r="Q1029" s="916">
        <v>95</v>
      </c>
      <c r="R1029" s="916">
        <v>70</v>
      </c>
    </row>
    <row r="1030" spans="1:18" s="693" customFormat="1" ht="60" x14ac:dyDescent="0.2">
      <c r="A1030" s="702"/>
      <c r="B1030" s="1695"/>
      <c r="C1030" s="920"/>
      <c r="D1030" s="428" t="s">
        <v>24</v>
      </c>
      <c r="E1030" s="417"/>
      <c r="F1030" s="391" t="s">
        <v>1727</v>
      </c>
      <c r="G1030" s="1231">
        <v>120</v>
      </c>
      <c r="H1030" s="1232">
        <v>120</v>
      </c>
      <c r="I1030" s="1232">
        <v>120</v>
      </c>
      <c r="J1030" s="1232">
        <v>120</v>
      </c>
      <c r="K1030" s="1232">
        <v>120</v>
      </c>
      <c r="L1030" s="391" t="s">
        <v>1731</v>
      </c>
      <c r="M1030" s="914" t="s">
        <v>4</v>
      </c>
      <c r="N1030" s="913">
        <v>1</v>
      </c>
      <c r="O1030" s="917">
        <v>1</v>
      </c>
      <c r="P1030" s="917">
        <v>1</v>
      </c>
      <c r="Q1030" s="917">
        <v>1</v>
      </c>
      <c r="R1030" s="917">
        <v>1</v>
      </c>
    </row>
    <row r="1031" spans="1:18" s="693" customFormat="1" ht="17.25" customHeight="1" x14ac:dyDescent="0.25">
      <c r="A1031" s="702"/>
      <c r="B1031" s="1276" t="s">
        <v>299</v>
      </c>
      <c r="C1031" s="1277"/>
      <c r="D1031" s="1277"/>
      <c r="E1031" s="1277"/>
      <c r="F1031" s="1278"/>
      <c r="G1031" s="378">
        <f>G1015+G1024</f>
        <v>12754.9</v>
      </c>
      <c r="H1031" s="378">
        <f t="shared" ref="H1031:K1031" si="92">H1015+H1024</f>
        <v>12467.8</v>
      </c>
      <c r="I1031" s="378">
        <f t="shared" si="92"/>
        <v>13888.2</v>
      </c>
      <c r="J1031" s="378">
        <f t="shared" si="92"/>
        <v>14157.4</v>
      </c>
      <c r="K1031" s="378">
        <f t="shared" si="92"/>
        <v>14580.9</v>
      </c>
      <c r="L1031" s="397"/>
      <c r="M1031" s="1335"/>
      <c r="N1031" s="1335"/>
      <c r="O1031" s="1335"/>
      <c r="P1031" s="1335"/>
      <c r="Q1031" s="1335"/>
      <c r="R1031" s="1335"/>
    </row>
    <row r="1032" spans="1:18" s="693" customFormat="1" ht="17.25" customHeight="1" x14ac:dyDescent="0.2">
      <c r="A1032" s="702"/>
      <c r="B1032" s="1428" t="s">
        <v>1224</v>
      </c>
      <c r="C1032" s="1429"/>
      <c r="D1032" s="1429"/>
      <c r="E1032" s="1429"/>
      <c r="F1032" s="1429"/>
      <c r="G1032" s="1429"/>
      <c r="H1032" s="1429"/>
      <c r="I1032" s="1429"/>
      <c r="J1032" s="1429"/>
      <c r="K1032" s="1429"/>
      <c r="L1032" s="1429"/>
      <c r="M1032" s="1429"/>
      <c r="N1032" s="1429"/>
      <c r="O1032" s="1429"/>
      <c r="P1032" s="1429"/>
      <c r="Q1032" s="1429"/>
      <c r="R1032" s="1430"/>
    </row>
    <row r="1033" spans="1:18" s="693" customFormat="1" ht="17.25" customHeight="1" x14ac:dyDescent="0.25">
      <c r="A1033" s="702"/>
      <c r="B1033" s="1688">
        <v>84</v>
      </c>
      <c r="C1033" s="926">
        <v>842</v>
      </c>
      <c r="D1033" s="926"/>
      <c r="E1033" s="926"/>
      <c r="F1033" s="493" t="s">
        <v>1225</v>
      </c>
      <c r="G1033" s="69">
        <f>G1034</f>
        <v>472.9</v>
      </c>
      <c r="H1033" s="69">
        <f>H1034</f>
        <v>481.3</v>
      </c>
      <c r="I1033" s="69">
        <f>I1034</f>
        <v>481.3</v>
      </c>
      <c r="J1033" s="69">
        <f>J1034</f>
        <v>490.6</v>
      </c>
      <c r="K1033" s="69">
        <f>K1034</f>
        <v>505.3</v>
      </c>
      <c r="L1033" s="303"/>
      <c r="M1033" s="303"/>
      <c r="N1033" s="303"/>
      <c r="O1033" s="303"/>
      <c r="P1033" s="303"/>
      <c r="Q1033" s="303"/>
      <c r="R1033" s="404"/>
    </row>
    <row r="1034" spans="1:18" s="693" customFormat="1" ht="45" x14ac:dyDescent="0.2">
      <c r="A1034" s="702"/>
      <c r="B1034" s="1293"/>
      <c r="C1034" s="927"/>
      <c r="D1034" s="676">
        <v>1</v>
      </c>
      <c r="E1034" s="707"/>
      <c r="F1034" s="344" t="s">
        <v>1226</v>
      </c>
      <c r="G1034" s="70">
        <v>472.9</v>
      </c>
      <c r="H1034" s="70">
        <v>481.3</v>
      </c>
      <c r="I1034" s="70">
        <v>481.3</v>
      </c>
      <c r="J1034" s="70">
        <v>490.6</v>
      </c>
      <c r="K1034" s="70">
        <v>505.3</v>
      </c>
      <c r="L1034" s="204" t="s">
        <v>1227</v>
      </c>
      <c r="M1034" s="189" t="s">
        <v>4</v>
      </c>
      <c r="N1034" s="189">
        <v>100</v>
      </c>
      <c r="O1034" s="189">
        <v>100</v>
      </c>
      <c r="P1034" s="189">
        <v>100</v>
      </c>
      <c r="Q1034" s="189">
        <v>100</v>
      </c>
      <c r="R1034" s="189">
        <v>100</v>
      </c>
    </row>
    <row r="1035" spans="1:18" s="693" customFormat="1" ht="17.25" customHeight="1" x14ac:dyDescent="0.25">
      <c r="A1035" s="702"/>
      <c r="B1035" s="1276" t="s">
        <v>299</v>
      </c>
      <c r="C1035" s="1277"/>
      <c r="D1035" s="1277"/>
      <c r="E1035" s="1277"/>
      <c r="F1035" s="1278"/>
      <c r="G1035" s="798">
        <f>G1033</f>
        <v>472.9</v>
      </c>
      <c r="H1035" s="798">
        <f t="shared" ref="H1035:K1035" si="93">H1033</f>
        <v>481.3</v>
      </c>
      <c r="I1035" s="798">
        <f t="shared" si="93"/>
        <v>481.3</v>
      </c>
      <c r="J1035" s="798">
        <f t="shared" si="93"/>
        <v>490.6</v>
      </c>
      <c r="K1035" s="798">
        <f t="shared" si="93"/>
        <v>505.3</v>
      </c>
      <c r="L1035" s="311"/>
      <c r="M1035" s="928"/>
      <c r="N1035" s="929"/>
      <c r="O1035" s="929"/>
      <c r="P1035" s="929"/>
      <c r="Q1035" s="929"/>
      <c r="R1035" s="929"/>
    </row>
    <row r="1036" spans="1:18" s="693" customFormat="1" ht="17.25" customHeight="1" x14ac:dyDescent="0.2">
      <c r="A1036" s="702"/>
      <c r="B1036" s="1428" t="s">
        <v>1228</v>
      </c>
      <c r="C1036" s="1429"/>
      <c r="D1036" s="1429"/>
      <c r="E1036" s="1429"/>
      <c r="F1036" s="1429"/>
      <c r="G1036" s="1429"/>
      <c r="H1036" s="1429"/>
      <c r="I1036" s="1429"/>
      <c r="J1036" s="1429"/>
      <c r="K1036" s="1429"/>
      <c r="L1036" s="1429"/>
      <c r="M1036" s="1429"/>
      <c r="N1036" s="1429"/>
      <c r="O1036" s="1429"/>
      <c r="P1036" s="1429"/>
      <c r="Q1036" s="1429"/>
      <c r="R1036" s="1430"/>
    </row>
    <row r="1037" spans="1:18" s="693" customFormat="1" ht="15" x14ac:dyDescent="0.2">
      <c r="A1037" s="702"/>
      <c r="B1037" s="1689">
        <v>85</v>
      </c>
      <c r="C1037" s="302" t="s">
        <v>10</v>
      </c>
      <c r="D1037" s="930"/>
      <c r="E1037" s="333"/>
      <c r="F1037" s="71" t="s">
        <v>526</v>
      </c>
      <c r="G1037" s="258">
        <f>G1038</f>
        <v>16468</v>
      </c>
      <c r="H1037" s="258">
        <f>H1038</f>
        <v>17137.8</v>
      </c>
      <c r="I1037" s="1233">
        <f>I1038</f>
        <v>18617.8</v>
      </c>
      <c r="J1037" s="1233">
        <f>J1038</f>
        <v>17517.8</v>
      </c>
      <c r="K1037" s="1233">
        <f>K1038</f>
        <v>17517.8</v>
      </c>
      <c r="L1037" s="931" t="s">
        <v>586</v>
      </c>
      <c r="M1037" s="333" t="s">
        <v>4</v>
      </c>
      <c r="N1037" s="333">
        <v>76</v>
      </c>
      <c r="O1037" s="333">
        <v>85</v>
      </c>
      <c r="P1037" s="333">
        <v>90</v>
      </c>
      <c r="Q1037" s="333">
        <v>95</v>
      </c>
      <c r="R1037" s="333">
        <v>100</v>
      </c>
    </row>
    <row r="1038" spans="1:18" s="693" customFormat="1" ht="30" x14ac:dyDescent="0.2">
      <c r="A1038" s="702"/>
      <c r="B1038" s="1326"/>
      <c r="C1038" s="196"/>
      <c r="D1038" s="201" t="s">
        <v>10</v>
      </c>
      <c r="E1038" s="201"/>
      <c r="F1038" s="241" t="s">
        <v>1229</v>
      </c>
      <c r="G1038" s="1228">
        <v>16468</v>
      </c>
      <c r="H1038" s="1228">
        <v>17137.8</v>
      </c>
      <c r="I1038" s="203">
        <v>18617.8</v>
      </c>
      <c r="J1038" s="203">
        <v>17517.8</v>
      </c>
      <c r="K1038" s="203">
        <v>17517.8</v>
      </c>
      <c r="L1038" s="241" t="s">
        <v>586</v>
      </c>
      <c r="M1038" s="237" t="s">
        <v>4</v>
      </c>
      <c r="N1038" s="237">
        <v>76</v>
      </c>
      <c r="O1038" s="208">
        <v>85</v>
      </c>
      <c r="P1038" s="208">
        <v>90</v>
      </c>
      <c r="Q1038" s="208">
        <v>95</v>
      </c>
      <c r="R1038" s="208">
        <v>100</v>
      </c>
    </row>
    <row r="1039" spans="1:18" s="693" customFormat="1" ht="44.25" x14ac:dyDescent="0.25">
      <c r="A1039" s="702"/>
      <c r="B1039" s="1326"/>
      <c r="C1039" s="902" t="s">
        <v>208</v>
      </c>
      <c r="D1039" s="904"/>
      <c r="E1039" s="201"/>
      <c r="F1039" s="332" t="s">
        <v>1732</v>
      </c>
      <c r="G1039" s="783">
        <f>G1040+G1042</f>
        <v>228473.5</v>
      </c>
      <c r="H1039" s="783">
        <f>H1040+H1042</f>
        <v>226906.1</v>
      </c>
      <c r="I1039" s="258">
        <f>I1040+I1042</f>
        <v>237407.2</v>
      </c>
      <c r="J1039" s="258">
        <f>J1040+J1042</f>
        <v>243857.7</v>
      </c>
      <c r="K1039" s="1234">
        <f>K1040+K1042</f>
        <v>252177.40000000002</v>
      </c>
      <c r="L1039" s="905"/>
      <c r="M1039" s="932"/>
      <c r="N1039" s="932"/>
      <c r="O1039" s="933"/>
      <c r="P1039" s="933"/>
      <c r="Q1039" s="933"/>
      <c r="R1039" s="933"/>
    </row>
    <row r="1040" spans="1:18" s="693" customFormat="1" ht="14.25" x14ac:dyDescent="0.2">
      <c r="A1040" s="702"/>
      <c r="B1040" s="1326"/>
      <c r="C1040" s="1690"/>
      <c r="D1040" s="1690" t="s">
        <v>10</v>
      </c>
      <c r="E1040" s="1690"/>
      <c r="F1040" s="1691" t="s">
        <v>1230</v>
      </c>
      <c r="G1040" s="1692">
        <v>120911.3</v>
      </c>
      <c r="H1040" s="1692">
        <v>112709.3</v>
      </c>
      <c r="I1040" s="1692">
        <v>123255.3</v>
      </c>
      <c r="J1040" s="1692">
        <v>123255.3</v>
      </c>
      <c r="K1040" s="1704">
        <v>123255.3</v>
      </c>
      <c r="L1040" s="1706" t="s">
        <v>1231</v>
      </c>
      <c r="M1040" s="1702" t="s">
        <v>1232</v>
      </c>
      <c r="N1040" s="1702">
        <v>49410</v>
      </c>
      <c r="O1040" s="1702">
        <v>49275</v>
      </c>
      <c r="P1040" s="1702">
        <v>49275</v>
      </c>
      <c r="Q1040" s="1702">
        <v>49275</v>
      </c>
      <c r="R1040" s="1702">
        <v>49410</v>
      </c>
    </row>
    <row r="1041" spans="1:18" s="693" customFormat="1" ht="14.25" x14ac:dyDescent="0.2">
      <c r="A1041" s="702"/>
      <c r="B1041" s="1326"/>
      <c r="C1041" s="1342"/>
      <c r="D1041" s="1342"/>
      <c r="E1041" s="1342"/>
      <c r="F1041" s="1309"/>
      <c r="G1041" s="1534"/>
      <c r="H1041" s="1534"/>
      <c r="I1041" s="1534"/>
      <c r="J1041" s="1534"/>
      <c r="K1041" s="1705"/>
      <c r="L1041" s="1707"/>
      <c r="M1041" s="1703"/>
      <c r="N1041" s="1703"/>
      <c r="O1041" s="1703"/>
      <c r="P1041" s="1703"/>
      <c r="Q1041" s="1703"/>
      <c r="R1041" s="1703"/>
    </row>
    <row r="1042" spans="1:18" s="693" customFormat="1" ht="15" x14ac:dyDescent="0.2">
      <c r="A1042" s="702"/>
      <c r="B1042" s="1326"/>
      <c r="C1042" s="904"/>
      <c r="D1042" s="904" t="s">
        <v>13</v>
      </c>
      <c r="E1042" s="904"/>
      <c r="F1042" s="905" t="s">
        <v>1233</v>
      </c>
      <c r="G1042" s="1228">
        <v>107562.2</v>
      </c>
      <c r="H1042" s="1228">
        <v>114196.8</v>
      </c>
      <c r="I1042" s="1228">
        <v>114151.9</v>
      </c>
      <c r="J1042" s="1228">
        <v>120602.4</v>
      </c>
      <c r="K1042" s="1235">
        <v>128922.1</v>
      </c>
      <c r="L1042" s="905" t="s">
        <v>1234</v>
      </c>
      <c r="M1042" s="934" t="s">
        <v>4</v>
      </c>
      <c r="N1042" s="934">
        <v>100</v>
      </c>
      <c r="O1042" s="935">
        <v>100</v>
      </c>
      <c r="P1042" s="935">
        <v>100</v>
      </c>
      <c r="Q1042" s="935">
        <v>100</v>
      </c>
      <c r="R1042" s="935">
        <v>100</v>
      </c>
    </row>
    <row r="1043" spans="1:18" s="693" customFormat="1" ht="44.25" x14ac:dyDescent="0.25">
      <c r="A1043" s="702"/>
      <c r="B1043" s="1326"/>
      <c r="C1043" s="902" t="s">
        <v>209</v>
      </c>
      <c r="D1043" s="904"/>
      <c r="E1043" s="904"/>
      <c r="F1043" s="936" t="s">
        <v>1755</v>
      </c>
      <c r="G1043" s="783">
        <f>G1044+G1045+G1046</f>
        <v>141928.70000000001</v>
      </c>
      <c r="H1043" s="783">
        <f>H1044+H1045+H1046</f>
        <v>129023.7</v>
      </c>
      <c r="I1043" s="783">
        <f>I1044+I1045+I1046</f>
        <v>130835.79999999999</v>
      </c>
      <c r="J1043" s="783">
        <f>J1044+J1045+J1046</f>
        <v>130835.79999999999</v>
      </c>
      <c r="K1043" s="1236">
        <f>K1044+K1045+K1046</f>
        <v>132235.9</v>
      </c>
      <c r="L1043" s="905" t="s">
        <v>22</v>
      </c>
      <c r="M1043" s="932"/>
      <c r="N1043" s="932"/>
      <c r="O1043" s="937"/>
      <c r="P1043" s="937"/>
      <c r="Q1043" s="937"/>
      <c r="R1043" s="937"/>
    </row>
    <row r="1044" spans="1:18" s="693" customFormat="1" ht="15" x14ac:dyDescent="0.2">
      <c r="A1044" s="702"/>
      <c r="B1044" s="1326"/>
      <c r="C1044" s="406"/>
      <c r="D1044" s="406" t="s">
        <v>10</v>
      </c>
      <c r="E1044" s="406"/>
      <c r="F1044" s="938" t="s">
        <v>1235</v>
      </c>
      <c r="G1044" s="213">
        <v>33592.800000000003</v>
      </c>
      <c r="H1044" s="213">
        <v>32320.2</v>
      </c>
      <c r="I1044" s="1137">
        <f>32386.4+1801</f>
        <v>34187.4</v>
      </c>
      <c r="J1044" s="1137">
        <f>32386.4+1801</f>
        <v>34187.4</v>
      </c>
      <c r="K1044" s="1137">
        <f>32386.4+0.1+1801</f>
        <v>34187.5</v>
      </c>
      <c r="L1044" s="939" t="s">
        <v>1231</v>
      </c>
      <c r="M1044" s="333" t="s">
        <v>1232</v>
      </c>
      <c r="N1044" s="333">
        <v>21960</v>
      </c>
      <c r="O1044" s="333">
        <v>21900</v>
      </c>
      <c r="P1044" s="333">
        <v>21900</v>
      </c>
      <c r="Q1044" s="333">
        <v>21900</v>
      </c>
      <c r="R1044" s="333">
        <v>21960</v>
      </c>
    </row>
    <row r="1045" spans="1:18" s="693" customFormat="1" ht="15" x14ac:dyDescent="0.2">
      <c r="A1045" s="702"/>
      <c r="B1045" s="1326"/>
      <c r="C1045" s="406"/>
      <c r="D1045" s="406" t="s">
        <v>13</v>
      </c>
      <c r="E1045" s="406"/>
      <c r="F1045" s="940" t="s">
        <v>1236</v>
      </c>
      <c r="G1045" s="203">
        <v>81569.8</v>
      </c>
      <c r="H1045" s="203">
        <v>72858.5</v>
      </c>
      <c r="I1045" s="1137">
        <v>77100</v>
      </c>
      <c r="J1045" s="1137">
        <v>77100</v>
      </c>
      <c r="K1045" s="1137">
        <v>78500</v>
      </c>
      <c r="L1045" s="931" t="s">
        <v>1237</v>
      </c>
      <c r="M1045" s="333" t="s">
        <v>4</v>
      </c>
      <c r="N1045" s="333">
        <v>90</v>
      </c>
      <c r="O1045" s="333">
        <v>95</v>
      </c>
      <c r="P1045" s="333">
        <v>98</v>
      </c>
      <c r="Q1045" s="333">
        <v>100</v>
      </c>
      <c r="R1045" s="333">
        <v>100</v>
      </c>
    </row>
    <row r="1046" spans="1:18" s="693" customFormat="1" ht="15" x14ac:dyDescent="0.2">
      <c r="A1046" s="702"/>
      <c r="B1046" s="1326"/>
      <c r="C1046" s="406"/>
      <c r="D1046" s="406" t="s">
        <v>9</v>
      </c>
      <c r="E1046" s="406"/>
      <c r="F1046" s="905" t="s">
        <v>1238</v>
      </c>
      <c r="G1046" s="203">
        <v>26766.1</v>
      </c>
      <c r="H1046" s="203">
        <v>23845</v>
      </c>
      <c r="I1046" s="1137">
        <v>19548.400000000001</v>
      </c>
      <c r="J1046" s="1137">
        <v>19548.400000000001</v>
      </c>
      <c r="K1046" s="1137">
        <v>19548.400000000001</v>
      </c>
      <c r="L1046" s="905" t="s">
        <v>1234</v>
      </c>
      <c r="M1046" s="333" t="s">
        <v>4</v>
      </c>
      <c r="N1046" s="333">
        <v>100</v>
      </c>
      <c r="O1046" s="333">
        <v>100</v>
      </c>
      <c r="P1046" s="333">
        <v>100</v>
      </c>
      <c r="Q1046" s="333">
        <v>100</v>
      </c>
      <c r="R1046" s="333">
        <v>100</v>
      </c>
    </row>
    <row r="1047" spans="1:18" s="693" customFormat="1" ht="44.25" x14ac:dyDescent="0.25">
      <c r="A1047" s="702"/>
      <c r="B1047" s="1326"/>
      <c r="C1047" s="225" t="s">
        <v>210</v>
      </c>
      <c r="D1047" s="406"/>
      <c r="E1047" s="406"/>
      <c r="F1047" s="332" t="s">
        <v>1239</v>
      </c>
      <c r="G1047" s="258">
        <f>G1048</f>
        <v>11263.8</v>
      </c>
      <c r="H1047" s="258">
        <f>H1048</f>
        <v>11263.8</v>
      </c>
      <c r="I1047" s="47">
        <f>I1048</f>
        <v>11263.8</v>
      </c>
      <c r="J1047" s="47">
        <f>J1048</f>
        <v>12262.9</v>
      </c>
      <c r="K1047" s="47">
        <f>K1048</f>
        <v>14262.8</v>
      </c>
      <c r="L1047" s="315"/>
      <c r="M1047" s="404"/>
      <c r="N1047" s="404"/>
      <c r="O1047" s="404"/>
      <c r="P1047" s="404"/>
      <c r="Q1047" s="404"/>
      <c r="R1047" s="404"/>
    </row>
    <row r="1048" spans="1:18" s="693" customFormat="1" ht="30" x14ac:dyDescent="0.25">
      <c r="A1048" s="702"/>
      <c r="B1048" s="1327"/>
      <c r="C1048" s="807"/>
      <c r="D1048" s="807" t="s">
        <v>10</v>
      </c>
      <c r="E1048" s="941"/>
      <c r="F1048" s="942" t="s">
        <v>1240</v>
      </c>
      <c r="G1048" s="203">
        <v>11263.8</v>
      </c>
      <c r="H1048" s="203">
        <v>11263.8</v>
      </c>
      <c r="I1048" s="1137">
        <v>11263.8</v>
      </c>
      <c r="J1048" s="1137">
        <v>12262.9</v>
      </c>
      <c r="K1048" s="1137">
        <f>14262.9-0.1</f>
        <v>14262.8</v>
      </c>
      <c r="L1048" s="943" t="s">
        <v>1241</v>
      </c>
      <c r="M1048" s="333" t="s">
        <v>3</v>
      </c>
      <c r="N1048" s="333">
        <v>37</v>
      </c>
      <c r="O1048" s="333">
        <v>75</v>
      </c>
      <c r="P1048" s="333">
        <v>37</v>
      </c>
      <c r="Q1048" s="333">
        <v>37</v>
      </c>
      <c r="R1048" s="333">
        <v>37</v>
      </c>
    </row>
    <row r="1049" spans="1:18" s="693" customFormat="1" ht="14.25" x14ac:dyDescent="0.2">
      <c r="A1049" s="702"/>
      <c r="B1049" s="944" t="s">
        <v>1242</v>
      </c>
      <c r="C1049" s="945"/>
      <c r="D1049" s="945"/>
      <c r="E1049" s="946"/>
      <c r="F1049" s="947"/>
      <c r="G1049" s="341">
        <f>G1037+G1039+G1043+G1047</f>
        <v>398134</v>
      </c>
      <c r="H1049" s="798">
        <f>H1037+H1039+H1043+H1047</f>
        <v>384331.39999999997</v>
      </c>
      <c r="I1049" s="341">
        <f>I1037+I1039+I1043+I1047</f>
        <v>398124.6</v>
      </c>
      <c r="J1049" s="341">
        <f>J1037+J1039+J1043+J1047</f>
        <v>404474.2</v>
      </c>
      <c r="K1049" s="341">
        <f>K1037+K1039+K1043+K1047</f>
        <v>416193.89999999997</v>
      </c>
      <c r="L1049" s="948"/>
      <c r="M1049" s="949"/>
      <c r="N1049" s="949"/>
      <c r="O1049" s="949"/>
      <c r="P1049" s="949"/>
      <c r="Q1049" s="949"/>
      <c r="R1049" s="949"/>
    </row>
    <row r="1050" spans="1:18" s="693" customFormat="1" ht="17.25" customHeight="1" x14ac:dyDescent="0.2">
      <c r="A1050" s="702"/>
      <c r="B1050" s="1428" t="s">
        <v>1243</v>
      </c>
      <c r="C1050" s="1429"/>
      <c r="D1050" s="1429"/>
      <c r="E1050" s="1429"/>
      <c r="F1050" s="1429"/>
      <c r="G1050" s="1429"/>
      <c r="H1050" s="1429"/>
      <c r="I1050" s="1429"/>
      <c r="J1050" s="1429"/>
      <c r="K1050" s="1429"/>
      <c r="L1050" s="1429"/>
      <c r="M1050" s="1429"/>
      <c r="N1050" s="1429"/>
      <c r="O1050" s="1429"/>
      <c r="P1050" s="1429"/>
      <c r="Q1050" s="1429"/>
      <c r="R1050" s="1430"/>
    </row>
    <row r="1051" spans="1:18" s="693" customFormat="1" ht="59.25" x14ac:dyDescent="0.2">
      <c r="A1051" s="702"/>
      <c r="B1051" s="1646">
        <v>85</v>
      </c>
      <c r="C1051" s="534">
        <v>1</v>
      </c>
      <c r="D1051" s="251"/>
      <c r="E1051" s="231"/>
      <c r="F1051" s="791" t="s">
        <v>1733</v>
      </c>
      <c r="G1051" s="72">
        <f>G1052</f>
        <v>18855.099999999999</v>
      </c>
      <c r="H1051" s="72">
        <f>H1052</f>
        <v>17516.900000000001</v>
      </c>
      <c r="I1051" s="72">
        <f>I1052</f>
        <v>16824.2</v>
      </c>
      <c r="J1051" s="72">
        <f>J1052</f>
        <v>17024.2</v>
      </c>
      <c r="K1051" s="72">
        <f>K1052</f>
        <v>17670.599999999999</v>
      </c>
      <c r="L1051" s="950" t="s">
        <v>1244</v>
      </c>
      <c r="M1051" s="186" t="s">
        <v>4</v>
      </c>
      <c r="N1051" s="186"/>
      <c r="O1051" s="186"/>
      <c r="P1051" s="186"/>
      <c r="Q1051" s="186"/>
      <c r="R1051" s="186"/>
    </row>
    <row r="1052" spans="1:18" s="693" customFormat="1" ht="30" x14ac:dyDescent="0.2">
      <c r="A1052" s="702"/>
      <c r="B1052" s="1647"/>
      <c r="C1052" s="534"/>
      <c r="D1052" s="676">
        <v>1</v>
      </c>
      <c r="E1052" s="251"/>
      <c r="F1052" s="794" t="s">
        <v>1272</v>
      </c>
      <c r="G1052" s="73">
        <v>18855.099999999999</v>
      </c>
      <c r="H1052" s="1237">
        <v>17516.900000000001</v>
      </c>
      <c r="I1052" s="73">
        <v>16824.2</v>
      </c>
      <c r="J1052" s="73">
        <v>17024.2</v>
      </c>
      <c r="K1052" s="73">
        <v>17670.599999999999</v>
      </c>
      <c r="L1052" s="204" t="s">
        <v>586</v>
      </c>
      <c r="M1052" s="189" t="s">
        <v>21</v>
      </c>
      <c r="N1052" s="303"/>
      <c r="O1052" s="303"/>
      <c r="P1052" s="303"/>
      <c r="Q1052" s="303"/>
      <c r="R1052" s="303"/>
    </row>
    <row r="1053" spans="1:18" s="693" customFormat="1" ht="73.5" x14ac:dyDescent="0.2">
      <c r="A1053" s="702"/>
      <c r="B1053" s="1647"/>
      <c r="C1053" s="268" t="s">
        <v>211</v>
      </c>
      <c r="D1053" s="270"/>
      <c r="E1053" s="270"/>
      <c r="F1053" s="493" t="s">
        <v>1734</v>
      </c>
      <c r="G1053" s="1042">
        <f>SUM(G1054:G1055)</f>
        <v>66776.399999999994</v>
      </c>
      <c r="H1053" s="1042">
        <f>SUM(H1054:H1055)</f>
        <v>70726.8</v>
      </c>
      <c r="I1053" s="1042">
        <f>SUM(I1054:I1055)</f>
        <v>85591.299999999988</v>
      </c>
      <c r="J1053" s="1042">
        <f>SUM(J1054:J1055)</f>
        <v>77182.599999999991</v>
      </c>
      <c r="K1053" s="1042">
        <f>SUM(K1054:K1055)</f>
        <v>79354.3</v>
      </c>
      <c r="L1053" s="269" t="s">
        <v>1736</v>
      </c>
      <c r="M1053" s="210" t="s">
        <v>4</v>
      </c>
      <c r="N1053" s="349">
        <v>1</v>
      </c>
      <c r="O1053" s="349">
        <v>1</v>
      </c>
      <c r="P1053" s="349">
        <v>1</v>
      </c>
      <c r="Q1053" s="349">
        <v>1</v>
      </c>
      <c r="R1053" s="349">
        <v>1</v>
      </c>
    </row>
    <row r="1054" spans="1:18" s="693" customFormat="1" ht="15" x14ac:dyDescent="0.2">
      <c r="A1054" s="702"/>
      <c r="B1054" s="1647"/>
      <c r="C1054" s="268"/>
      <c r="D1054" s="270" t="s">
        <v>10</v>
      </c>
      <c r="E1054" s="270"/>
      <c r="F1054" s="210" t="s">
        <v>1245</v>
      </c>
      <c r="G1054" s="73">
        <v>57501.1</v>
      </c>
      <c r="H1054" s="73">
        <v>61500.5</v>
      </c>
      <c r="I1054" s="73">
        <v>66091.899999999994</v>
      </c>
      <c r="J1054" s="73">
        <v>66191.899999999994</v>
      </c>
      <c r="K1054" s="73">
        <v>66745.5</v>
      </c>
      <c r="L1054" s="210" t="s">
        <v>1246</v>
      </c>
      <c r="M1054" s="210" t="s">
        <v>4</v>
      </c>
      <c r="N1054" s="349">
        <v>0.9</v>
      </c>
      <c r="O1054" s="349">
        <v>0.9</v>
      </c>
      <c r="P1054" s="349">
        <v>0.9</v>
      </c>
      <c r="Q1054" s="349">
        <v>0.9</v>
      </c>
      <c r="R1054" s="349">
        <v>0.9</v>
      </c>
    </row>
    <row r="1055" spans="1:18" s="693" customFormat="1" ht="30" x14ac:dyDescent="0.2">
      <c r="A1055" s="702"/>
      <c r="B1055" s="1700"/>
      <c r="C1055" s="268"/>
      <c r="D1055" s="270" t="s">
        <v>13</v>
      </c>
      <c r="E1055" s="270"/>
      <c r="F1055" s="210" t="s">
        <v>1735</v>
      </c>
      <c r="G1055" s="1126">
        <v>9275.2999999999993</v>
      </c>
      <c r="H1055" s="1129">
        <v>9226.2999999999993</v>
      </c>
      <c r="I1055" s="1026">
        <f>9499.4+10000</f>
        <v>19499.400000000001</v>
      </c>
      <c r="J1055" s="1026">
        <v>10990.7</v>
      </c>
      <c r="K1055" s="1026">
        <v>12608.8</v>
      </c>
      <c r="L1055" s="813" t="s">
        <v>1737</v>
      </c>
      <c r="M1055" s="813" t="s">
        <v>4</v>
      </c>
      <c r="N1055" s="951">
        <v>0.95</v>
      </c>
      <c r="O1055" s="951">
        <v>0.95</v>
      </c>
      <c r="P1055" s="951">
        <v>0.95</v>
      </c>
      <c r="Q1055" s="951">
        <v>0.95</v>
      </c>
      <c r="R1055" s="951">
        <v>0.95</v>
      </c>
    </row>
    <row r="1056" spans="1:18" s="693" customFormat="1" ht="17.25" customHeight="1" x14ac:dyDescent="0.25">
      <c r="A1056" s="702"/>
      <c r="B1056" s="944" t="s">
        <v>1242</v>
      </c>
      <c r="C1056" s="945"/>
      <c r="D1056" s="945"/>
      <c r="E1056" s="946"/>
      <c r="F1056" s="947"/>
      <c r="G1056" s="798">
        <f>G1051+G1053</f>
        <v>85631.5</v>
      </c>
      <c r="H1056" s="798">
        <f t="shared" ref="H1056:K1056" si="94">H1051+H1053</f>
        <v>88243.700000000012</v>
      </c>
      <c r="I1056" s="798">
        <f t="shared" si="94"/>
        <v>102415.49999999999</v>
      </c>
      <c r="J1056" s="798">
        <f t="shared" si="94"/>
        <v>94206.799999999988</v>
      </c>
      <c r="K1056" s="798">
        <f t="shared" si="94"/>
        <v>97024.9</v>
      </c>
      <c r="L1056" s="193"/>
      <c r="M1056" s="1279"/>
      <c r="N1056" s="1279"/>
      <c r="O1056" s="1279"/>
      <c r="P1056" s="1279"/>
      <c r="Q1056" s="1279"/>
      <c r="R1056" s="1279"/>
    </row>
    <row r="1057" spans="1:18" s="693" customFormat="1" ht="17.25" customHeight="1" x14ac:dyDescent="0.2">
      <c r="A1057" s="702"/>
      <c r="B1057" s="1428" t="s">
        <v>1247</v>
      </c>
      <c r="C1057" s="1429"/>
      <c r="D1057" s="1429"/>
      <c r="E1057" s="1429"/>
      <c r="F1057" s="1429"/>
      <c r="G1057" s="1429"/>
      <c r="H1057" s="1429"/>
      <c r="I1057" s="1429"/>
      <c r="J1057" s="1429"/>
      <c r="K1057" s="1429"/>
      <c r="L1057" s="1429"/>
      <c r="M1057" s="1429"/>
      <c r="N1057" s="1429"/>
      <c r="O1057" s="1429"/>
      <c r="P1057" s="1429"/>
      <c r="Q1057" s="1429"/>
      <c r="R1057" s="1430"/>
    </row>
    <row r="1058" spans="1:18" s="693" customFormat="1" ht="14.25" x14ac:dyDescent="0.2">
      <c r="A1058" s="702"/>
      <c r="B1058" s="1657" t="s">
        <v>140</v>
      </c>
      <c r="C1058" s="1316" t="s">
        <v>0</v>
      </c>
      <c r="D1058" s="1376"/>
      <c r="E1058" s="1317"/>
      <c r="F1058" s="1345" t="s">
        <v>526</v>
      </c>
      <c r="G1058" s="1701">
        <f>G1060+G1061+G1062+G1063+G1064</f>
        <v>6243.8</v>
      </c>
      <c r="H1058" s="1701">
        <f>H1060+H1061+H1062+H1063+H1064</f>
        <v>7661.5</v>
      </c>
      <c r="I1058" s="1701"/>
      <c r="J1058" s="1709"/>
      <c r="K1058" s="1701"/>
      <c r="L1058" s="1387" t="s">
        <v>1756</v>
      </c>
      <c r="M1058" s="1315" t="s">
        <v>57</v>
      </c>
      <c r="N1058" s="1711">
        <v>98</v>
      </c>
      <c r="O1058" s="1708">
        <v>98</v>
      </c>
      <c r="P1058" s="1708">
        <v>98</v>
      </c>
      <c r="Q1058" s="1708">
        <v>98</v>
      </c>
      <c r="R1058" s="1708">
        <v>98</v>
      </c>
    </row>
    <row r="1059" spans="1:18" s="693" customFormat="1" ht="14.25" x14ac:dyDescent="0.2">
      <c r="A1059" s="702"/>
      <c r="B1059" s="1305"/>
      <c r="C1059" s="1316"/>
      <c r="D1059" s="1376"/>
      <c r="E1059" s="1317"/>
      <c r="F1059" s="1345"/>
      <c r="G1059" s="1701"/>
      <c r="H1059" s="1701"/>
      <c r="I1059" s="1701"/>
      <c r="J1059" s="1710"/>
      <c r="K1059" s="1701"/>
      <c r="L1059" s="1387"/>
      <c r="M1059" s="1315"/>
      <c r="N1059" s="1362"/>
      <c r="O1059" s="1373"/>
      <c r="P1059" s="1373"/>
      <c r="Q1059" s="1373"/>
      <c r="R1059" s="1373"/>
    </row>
    <row r="1060" spans="1:18" s="693" customFormat="1" ht="30" x14ac:dyDescent="0.2">
      <c r="A1060" s="702"/>
      <c r="B1060" s="1305"/>
      <c r="C1060" s="201"/>
      <c r="D1060" s="201" t="s">
        <v>10</v>
      </c>
      <c r="E1060" s="335"/>
      <c r="F1060" s="241" t="s">
        <v>1272</v>
      </c>
      <c r="G1060" s="203">
        <v>1507.2</v>
      </c>
      <c r="H1060" s="203">
        <v>1574.2</v>
      </c>
      <c r="I1060" s="203"/>
      <c r="J1060" s="203"/>
      <c r="K1060" s="203"/>
      <c r="L1060" s="1523"/>
      <c r="M1060" s="1524"/>
      <c r="N1060" s="1524"/>
      <c r="O1060" s="1524"/>
      <c r="P1060" s="1524"/>
      <c r="Q1060" s="1524"/>
      <c r="R1060" s="1525"/>
    </row>
    <row r="1061" spans="1:18" s="693" customFormat="1" ht="15" x14ac:dyDescent="0.2">
      <c r="A1061" s="702"/>
      <c r="B1061" s="1305"/>
      <c r="C1061" s="201"/>
      <c r="D1061" s="201" t="s">
        <v>13</v>
      </c>
      <c r="E1061" s="335"/>
      <c r="F1061" s="241" t="s">
        <v>1751</v>
      </c>
      <c r="G1061" s="203">
        <v>1130.3</v>
      </c>
      <c r="H1061" s="203">
        <v>1187.3</v>
      </c>
      <c r="I1061" s="203"/>
      <c r="J1061" s="203"/>
      <c r="K1061" s="203"/>
      <c r="L1061" s="1523"/>
      <c r="M1061" s="1524"/>
      <c r="N1061" s="1524"/>
      <c r="O1061" s="1524"/>
      <c r="P1061" s="1524"/>
      <c r="Q1061" s="1524"/>
      <c r="R1061" s="1525"/>
    </row>
    <row r="1062" spans="1:18" s="693" customFormat="1" ht="15" x14ac:dyDescent="0.2">
      <c r="A1062" s="702"/>
      <c r="B1062" s="1305"/>
      <c r="C1062" s="201"/>
      <c r="D1062" s="904" t="s">
        <v>9</v>
      </c>
      <c r="E1062" s="335"/>
      <c r="F1062" s="439" t="s">
        <v>521</v>
      </c>
      <c r="G1062" s="203">
        <v>456.5</v>
      </c>
      <c r="H1062" s="203">
        <v>460</v>
      </c>
      <c r="I1062" s="203"/>
      <c r="J1062" s="203"/>
      <c r="K1062" s="203"/>
      <c r="L1062" s="952"/>
      <c r="M1062" s="953"/>
      <c r="N1062" s="953"/>
      <c r="O1062" s="953"/>
      <c r="P1062" s="953"/>
      <c r="Q1062" s="953"/>
      <c r="R1062" s="617"/>
    </row>
    <row r="1063" spans="1:18" s="693" customFormat="1" ht="15" x14ac:dyDescent="0.2">
      <c r="A1063" s="702"/>
      <c r="B1063" s="1305"/>
      <c r="C1063" s="201"/>
      <c r="D1063" s="904" t="s">
        <v>23</v>
      </c>
      <c r="E1063" s="335"/>
      <c r="F1063" s="439" t="s">
        <v>1164</v>
      </c>
      <c r="G1063" s="203">
        <v>352</v>
      </c>
      <c r="H1063" s="203">
        <v>352</v>
      </c>
      <c r="I1063" s="203"/>
      <c r="J1063" s="203"/>
      <c r="K1063" s="203"/>
      <c r="L1063" s="952"/>
      <c r="M1063" s="953"/>
      <c r="N1063" s="953"/>
      <c r="O1063" s="953"/>
      <c r="P1063" s="953"/>
      <c r="Q1063" s="953"/>
      <c r="R1063" s="617"/>
    </row>
    <row r="1064" spans="1:18" s="693" customFormat="1" ht="15" x14ac:dyDescent="0.2">
      <c r="A1064" s="702"/>
      <c r="B1064" s="1305"/>
      <c r="C1064" s="201"/>
      <c r="D1064" s="904" t="s">
        <v>25</v>
      </c>
      <c r="E1064" s="335"/>
      <c r="F1064" s="439" t="s">
        <v>1248</v>
      </c>
      <c r="G1064" s="203">
        <v>2797.8</v>
      </c>
      <c r="H1064" s="203">
        <v>4088</v>
      </c>
      <c r="I1064" s="203"/>
      <c r="J1064" s="203"/>
      <c r="K1064" s="203"/>
      <c r="L1064" s="952"/>
      <c r="M1064" s="953"/>
      <c r="N1064" s="953"/>
      <c r="O1064" s="953"/>
      <c r="P1064" s="953"/>
      <c r="Q1064" s="953"/>
      <c r="R1064" s="617"/>
    </row>
    <row r="1065" spans="1:18" s="693" customFormat="1" ht="14.25" x14ac:dyDescent="0.2">
      <c r="A1065" s="702"/>
      <c r="B1065" s="1305"/>
      <c r="C1065" s="1316" t="s">
        <v>208</v>
      </c>
      <c r="D1065" s="1690"/>
      <c r="E1065" s="1317"/>
      <c r="F1065" s="1345" t="s">
        <v>1249</v>
      </c>
      <c r="G1065" s="1701">
        <f>G1067+G1068+G1069+G1070+G1071</f>
        <v>13865.3</v>
      </c>
      <c r="H1065" s="1701">
        <f>H1067+H1068+H1069+H1070+H1071</f>
        <v>27273.7</v>
      </c>
      <c r="I1065" s="1701"/>
      <c r="J1065" s="1701"/>
      <c r="K1065" s="1701"/>
      <c r="L1065" s="1714" t="s">
        <v>1738</v>
      </c>
      <c r="M1065" s="1711" t="s">
        <v>1232</v>
      </c>
      <c r="N1065" s="1712" t="s">
        <v>1250</v>
      </c>
      <c r="O1065" s="1712" t="s">
        <v>1250</v>
      </c>
      <c r="P1065" s="1712" t="s">
        <v>1250</v>
      </c>
      <c r="Q1065" s="1712" t="s">
        <v>1250</v>
      </c>
      <c r="R1065" s="1712" t="s">
        <v>1250</v>
      </c>
    </row>
    <row r="1066" spans="1:18" s="693" customFormat="1" ht="14.25" x14ac:dyDescent="0.2">
      <c r="A1066" s="702"/>
      <c r="B1066" s="1305"/>
      <c r="C1066" s="1316"/>
      <c r="D1066" s="1342"/>
      <c r="E1066" s="1317"/>
      <c r="F1066" s="1345"/>
      <c r="G1066" s="1701"/>
      <c r="H1066" s="1701"/>
      <c r="I1066" s="1701"/>
      <c r="J1066" s="1701"/>
      <c r="K1066" s="1701"/>
      <c r="L1066" s="1529"/>
      <c r="M1066" s="1362"/>
      <c r="N1066" s="1556"/>
      <c r="O1066" s="1556"/>
      <c r="P1066" s="1556"/>
      <c r="Q1066" s="1556"/>
      <c r="R1066" s="1556"/>
    </row>
    <row r="1067" spans="1:18" s="693" customFormat="1" ht="14.25" x14ac:dyDescent="0.2">
      <c r="A1067" s="702"/>
      <c r="B1067" s="1305"/>
      <c r="C1067" s="1690"/>
      <c r="D1067" s="1690" t="s">
        <v>10</v>
      </c>
      <c r="E1067" s="1713"/>
      <c r="F1067" s="1691" t="s">
        <v>1251</v>
      </c>
      <c r="G1067" s="1692">
        <v>5464</v>
      </c>
      <c r="H1067" s="1692">
        <v>5960.7</v>
      </c>
      <c r="I1067" s="1692"/>
      <c r="J1067" s="1692"/>
      <c r="K1067" s="1692"/>
      <c r="L1067" s="1714" t="s">
        <v>1739</v>
      </c>
      <c r="M1067" s="1711" t="s">
        <v>1232</v>
      </c>
      <c r="N1067" s="1712" t="s">
        <v>1252</v>
      </c>
      <c r="O1067" s="1712" t="s">
        <v>1252</v>
      </c>
      <c r="P1067" s="1712" t="s">
        <v>1252</v>
      </c>
      <c r="Q1067" s="1712" t="s">
        <v>1252</v>
      </c>
      <c r="R1067" s="1712" t="s">
        <v>1252</v>
      </c>
    </row>
    <row r="1068" spans="1:18" s="693" customFormat="1" ht="14.25" x14ac:dyDescent="0.2">
      <c r="A1068" s="702"/>
      <c r="B1068" s="1305"/>
      <c r="C1068" s="1342"/>
      <c r="D1068" s="1342"/>
      <c r="E1068" s="1344"/>
      <c r="F1068" s="1309"/>
      <c r="G1068" s="1534"/>
      <c r="H1068" s="1534"/>
      <c r="I1068" s="1534"/>
      <c r="J1068" s="1534"/>
      <c r="K1068" s="1534"/>
      <c r="L1068" s="1529"/>
      <c r="M1068" s="1362"/>
      <c r="N1068" s="1556"/>
      <c r="O1068" s="1556"/>
      <c r="P1068" s="1556"/>
      <c r="Q1068" s="1556"/>
      <c r="R1068" s="1556"/>
    </row>
    <row r="1069" spans="1:18" s="693" customFormat="1" ht="14.25" x14ac:dyDescent="0.2">
      <c r="A1069" s="702"/>
      <c r="B1069" s="1305"/>
      <c r="C1069" s="1690"/>
      <c r="D1069" s="1690" t="s">
        <v>13</v>
      </c>
      <c r="E1069" s="1713"/>
      <c r="F1069" s="1691" t="s">
        <v>1757</v>
      </c>
      <c r="G1069" s="1692">
        <v>1108</v>
      </c>
      <c r="H1069" s="1692">
        <v>1138</v>
      </c>
      <c r="I1069" s="1692"/>
      <c r="J1069" s="1692"/>
      <c r="K1069" s="1692"/>
      <c r="L1069" s="1714" t="s">
        <v>1740</v>
      </c>
      <c r="M1069" s="1711" t="s">
        <v>1232</v>
      </c>
      <c r="N1069" s="1711">
        <v>501</v>
      </c>
      <c r="O1069" s="1708">
        <v>501</v>
      </c>
      <c r="P1069" s="1708">
        <v>501</v>
      </c>
      <c r="Q1069" s="1708">
        <v>501</v>
      </c>
      <c r="R1069" s="1708">
        <v>501</v>
      </c>
    </row>
    <row r="1070" spans="1:18" s="693" customFormat="1" ht="14.25" x14ac:dyDescent="0.2">
      <c r="A1070" s="702"/>
      <c r="B1070" s="1305"/>
      <c r="C1070" s="1342"/>
      <c r="D1070" s="1342"/>
      <c r="E1070" s="1344"/>
      <c r="F1070" s="1309"/>
      <c r="G1070" s="1534"/>
      <c r="H1070" s="1534"/>
      <c r="I1070" s="1534"/>
      <c r="J1070" s="1534"/>
      <c r="K1070" s="1534"/>
      <c r="L1070" s="1529"/>
      <c r="M1070" s="1362"/>
      <c r="N1070" s="1362"/>
      <c r="O1070" s="1373"/>
      <c r="P1070" s="1373"/>
      <c r="Q1070" s="1373"/>
      <c r="R1070" s="1373"/>
    </row>
    <row r="1071" spans="1:18" s="693" customFormat="1" ht="14.25" x14ac:dyDescent="0.2">
      <c r="A1071" s="702"/>
      <c r="B1071" s="1305"/>
      <c r="C1071" s="1690"/>
      <c r="D1071" s="1690" t="s">
        <v>9</v>
      </c>
      <c r="E1071" s="1713"/>
      <c r="F1071" s="1691" t="s">
        <v>1758</v>
      </c>
      <c r="G1071" s="1692">
        <v>7293.3</v>
      </c>
      <c r="H1071" s="1692">
        <v>20175</v>
      </c>
      <c r="I1071" s="1692"/>
      <c r="J1071" s="1692"/>
      <c r="K1071" s="1692"/>
      <c r="L1071" s="1714" t="s">
        <v>1756</v>
      </c>
      <c r="M1071" s="1711" t="s">
        <v>4</v>
      </c>
      <c r="N1071" s="1711">
        <v>98</v>
      </c>
      <c r="O1071" s="1708">
        <v>98</v>
      </c>
      <c r="P1071" s="1708">
        <v>98</v>
      </c>
      <c r="Q1071" s="1708">
        <v>98</v>
      </c>
      <c r="R1071" s="1708">
        <v>98</v>
      </c>
    </row>
    <row r="1072" spans="1:18" s="693" customFormat="1" ht="14.25" x14ac:dyDescent="0.2">
      <c r="A1072" s="702"/>
      <c r="B1072" s="1305"/>
      <c r="C1072" s="1342"/>
      <c r="D1072" s="1342"/>
      <c r="E1072" s="1344"/>
      <c r="F1072" s="1309"/>
      <c r="G1072" s="1534"/>
      <c r="H1072" s="1534"/>
      <c r="I1072" s="1534"/>
      <c r="J1072" s="1534"/>
      <c r="K1072" s="1534"/>
      <c r="L1072" s="1529"/>
      <c r="M1072" s="1362"/>
      <c r="N1072" s="1362"/>
      <c r="O1072" s="1373"/>
      <c r="P1072" s="1373"/>
      <c r="Q1072" s="1373"/>
      <c r="R1072" s="1373"/>
    </row>
    <row r="1073" spans="1:18" s="693" customFormat="1" ht="15" x14ac:dyDescent="0.2">
      <c r="A1073" s="702"/>
      <c r="B1073" s="1305"/>
      <c r="C1073" s="196" t="s">
        <v>212</v>
      </c>
      <c r="D1073" s="201"/>
      <c r="E1073" s="335"/>
      <c r="F1073" s="332" t="s">
        <v>1759</v>
      </c>
      <c r="G1073" s="203"/>
      <c r="H1073" s="203"/>
      <c r="I1073" s="1042">
        <f>I1074</f>
        <v>34935.199999999997</v>
      </c>
      <c r="J1073" s="1042">
        <f>J1074</f>
        <v>35612.400000000001</v>
      </c>
      <c r="K1073" s="1042">
        <f>K1074</f>
        <v>36677.699999999997</v>
      </c>
      <c r="L1073" s="202" t="s">
        <v>586</v>
      </c>
      <c r="M1073" s="237" t="s">
        <v>57</v>
      </c>
      <c r="N1073" s="237">
        <v>98</v>
      </c>
      <c r="O1073" s="208">
        <v>98</v>
      </c>
      <c r="P1073" s="208">
        <v>98</v>
      </c>
      <c r="Q1073" s="208">
        <v>98</v>
      </c>
      <c r="R1073" s="208">
        <v>98</v>
      </c>
    </row>
    <row r="1074" spans="1:18" s="693" customFormat="1" ht="30" x14ac:dyDescent="0.2">
      <c r="A1074" s="702"/>
      <c r="B1074" s="1306"/>
      <c r="C1074" s="335"/>
      <c r="D1074" s="201" t="s">
        <v>10</v>
      </c>
      <c r="E1074" s="335"/>
      <c r="F1074" s="241" t="s">
        <v>1760</v>
      </c>
      <c r="G1074" s="203"/>
      <c r="H1074" s="203"/>
      <c r="I1074" s="1026">
        <v>34935.199999999997</v>
      </c>
      <c r="J1074" s="1026">
        <v>35612.400000000001</v>
      </c>
      <c r="K1074" s="1026">
        <f>36677.7</f>
        <v>36677.699999999997</v>
      </c>
      <c r="L1074" s="932" t="s">
        <v>1761</v>
      </c>
      <c r="M1074" s="932" t="s">
        <v>1232</v>
      </c>
      <c r="N1074" s="813" t="s">
        <v>1250</v>
      </c>
      <c r="O1074" s="813" t="s">
        <v>1250</v>
      </c>
      <c r="P1074" s="813" t="s">
        <v>1250</v>
      </c>
      <c r="Q1074" s="813" t="s">
        <v>1250</v>
      </c>
      <c r="R1074" s="813" t="s">
        <v>1250</v>
      </c>
    </row>
    <row r="1075" spans="1:18" s="693" customFormat="1" ht="17.25" customHeight="1" x14ac:dyDescent="0.25">
      <c r="A1075" s="702"/>
      <c r="B1075" s="944" t="s">
        <v>1242</v>
      </c>
      <c r="C1075" s="945"/>
      <c r="D1075" s="945"/>
      <c r="E1075" s="946"/>
      <c r="F1075" s="947"/>
      <c r="G1075" s="341">
        <f>G1058+G1065</f>
        <v>20109.099999999999</v>
      </c>
      <c r="H1075" s="341">
        <f>H1065+H1058</f>
        <v>34935.199999999997</v>
      </c>
      <c r="I1075" s="341">
        <f>I1073</f>
        <v>34935.199999999997</v>
      </c>
      <c r="J1075" s="341">
        <f>J1073</f>
        <v>35612.400000000001</v>
      </c>
      <c r="K1075" s="341">
        <f>K1073</f>
        <v>36677.699999999997</v>
      </c>
      <c r="L1075" s="193"/>
      <c r="M1075" s="1279"/>
      <c r="N1075" s="1279"/>
      <c r="O1075" s="1279"/>
      <c r="P1075" s="1279"/>
      <c r="Q1075" s="1279"/>
      <c r="R1075" s="1279"/>
    </row>
    <row r="1076" spans="1:18" s="693" customFormat="1" ht="17.25" customHeight="1" x14ac:dyDescent="0.25">
      <c r="A1076" s="702"/>
      <c r="B1076" s="1276" t="s">
        <v>584</v>
      </c>
      <c r="C1076" s="1277"/>
      <c r="D1076" s="1277"/>
      <c r="E1076" s="1277"/>
      <c r="F1076" s="1278"/>
      <c r="G1076" s="954">
        <f>G1049+G1056+G1075</f>
        <v>503874.6</v>
      </c>
      <c r="H1076" s="954">
        <f t="shared" ref="H1076:K1076" si="95">H1049+H1056+H1075</f>
        <v>507510.3</v>
      </c>
      <c r="I1076" s="954">
        <f t="shared" si="95"/>
        <v>535475.29999999993</v>
      </c>
      <c r="J1076" s="954">
        <f t="shared" si="95"/>
        <v>534293.4</v>
      </c>
      <c r="K1076" s="954">
        <f t="shared" si="95"/>
        <v>549896.49999999988</v>
      </c>
      <c r="L1076" s="955"/>
      <c r="M1076" s="956"/>
      <c r="N1076" s="956"/>
      <c r="O1076" s="956"/>
      <c r="P1076" s="956"/>
      <c r="Q1076" s="956"/>
      <c r="R1076" s="956"/>
    </row>
    <row r="1077" spans="1:18" s="693" customFormat="1" ht="17.25" customHeight="1" x14ac:dyDescent="0.2">
      <c r="A1077" s="702"/>
      <c r="B1077" s="1428" t="s">
        <v>1253</v>
      </c>
      <c r="C1077" s="1429"/>
      <c r="D1077" s="1429"/>
      <c r="E1077" s="1429"/>
      <c r="F1077" s="1429"/>
      <c r="G1077" s="1429"/>
      <c r="H1077" s="1429"/>
      <c r="I1077" s="1429"/>
      <c r="J1077" s="1429"/>
      <c r="K1077" s="1429"/>
      <c r="L1077" s="1429"/>
      <c r="M1077" s="1429"/>
      <c r="N1077" s="1429"/>
      <c r="O1077" s="1429"/>
      <c r="P1077" s="1429"/>
      <c r="Q1077" s="1429"/>
      <c r="R1077" s="1430"/>
    </row>
    <row r="1078" spans="1:18" s="693" customFormat="1" ht="15" x14ac:dyDescent="0.2">
      <c r="A1078" s="702"/>
      <c r="B1078" s="1722" t="s">
        <v>141</v>
      </c>
      <c r="C1078" s="957" t="s">
        <v>10</v>
      </c>
      <c r="D1078" s="958"/>
      <c r="E1078" s="959"/>
      <c r="F1078" s="960" t="s">
        <v>1672</v>
      </c>
      <c r="G1078" s="1239">
        <f>G1079</f>
        <v>3092.3</v>
      </c>
      <c r="H1078" s="1239">
        <f t="shared" ref="H1078:K1078" si="96">H1079</f>
        <v>3092.3</v>
      </c>
      <c r="I1078" s="1239">
        <f t="shared" si="96"/>
        <v>3092.3</v>
      </c>
      <c r="J1078" s="1239">
        <f t="shared" si="96"/>
        <v>3092.3</v>
      </c>
      <c r="K1078" s="1239">
        <f t="shared" si="96"/>
        <v>3092.3</v>
      </c>
      <c r="L1078" s="961" t="s">
        <v>586</v>
      </c>
      <c r="M1078" s="962" t="s">
        <v>57</v>
      </c>
      <c r="N1078" s="963">
        <v>100</v>
      </c>
      <c r="O1078" s="964">
        <v>100</v>
      </c>
      <c r="P1078" s="964">
        <v>100</v>
      </c>
      <c r="Q1078" s="964">
        <v>100</v>
      </c>
      <c r="R1078" s="964"/>
    </row>
    <row r="1079" spans="1:18" s="693" customFormat="1" ht="30" x14ac:dyDescent="0.2">
      <c r="A1079" s="702"/>
      <c r="B1079" s="1723"/>
      <c r="C1079" s="958"/>
      <c r="D1079" s="958" t="s">
        <v>10</v>
      </c>
      <c r="E1079" s="959"/>
      <c r="F1079" s="961" t="s">
        <v>1272</v>
      </c>
      <c r="G1079" s="1026">
        <v>3092.3</v>
      </c>
      <c r="H1079" s="1026">
        <v>3092.3</v>
      </c>
      <c r="I1079" s="1026">
        <v>3092.3</v>
      </c>
      <c r="J1079" s="1026">
        <v>3092.3</v>
      </c>
      <c r="K1079" s="1026">
        <v>3092.3</v>
      </c>
      <c r="L1079" s="1725"/>
      <c r="M1079" s="1725"/>
      <c r="N1079" s="1725"/>
      <c r="O1079" s="1725"/>
      <c r="P1079" s="1725"/>
      <c r="Q1079" s="1725"/>
      <c r="R1079" s="1725"/>
    </row>
    <row r="1080" spans="1:18" s="693" customFormat="1" ht="57" x14ac:dyDescent="0.25">
      <c r="A1080" s="702"/>
      <c r="B1080" s="1723"/>
      <c r="C1080" s="957" t="s">
        <v>213</v>
      </c>
      <c r="D1080" s="965"/>
      <c r="E1080" s="959"/>
      <c r="F1080" s="960" t="s">
        <v>1254</v>
      </c>
      <c r="G1080" s="1239">
        <f>G1081+G1083+G1084+G1085+G1086+G1087+G1088</f>
        <v>9147.7999999999993</v>
      </c>
      <c r="H1080" s="1239">
        <f>H1081+H1083+H1084+H1085+H1086+H1087+H1088</f>
        <v>9147.7999999999993</v>
      </c>
      <c r="I1080" s="1239">
        <f>I1081+I1083+I1084+I1085+I1086+I1087+I1088</f>
        <v>15071.4</v>
      </c>
      <c r="J1080" s="1239">
        <f>J1081+J1083+J1084+J1085+J1086+J1087+J1088</f>
        <v>15508.499999999998</v>
      </c>
      <c r="K1080" s="1239">
        <f>K1081+K1083+K1084+K1085+K1086+K1087+K1088</f>
        <v>16181.699999999999</v>
      </c>
      <c r="L1080" s="966" t="s">
        <v>1255</v>
      </c>
      <c r="M1080" s="962"/>
      <c r="N1080" s="963"/>
      <c r="O1080" s="967"/>
      <c r="P1080" s="967"/>
      <c r="Q1080" s="967"/>
      <c r="R1080" s="967"/>
    </row>
    <row r="1081" spans="1:18" s="693" customFormat="1" ht="14.25" customHeight="1" x14ac:dyDescent="0.2">
      <c r="A1081" s="702"/>
      <c r="B1081" s="1723"/>
      <c r="C1081" s="1726"/>
      <c r="D1081" s="1726" t="s">
        <v>10</v>
      </c>
      <c r="E1081" s="1728"/>
      <c r="F1081" s="1718" t="s">
        <v>1256</v>
      </c>
      <c r="G1081" s="1730">
        <v>3086.4</v>
      </c>
      <c r="H1081" s="1730">
        <v>3086.4</v>
      </c>
      <c r="I1081" s="1730">
        <v>6907.7</v>
      </c>
      <c r="J1081" s="1658">
        <f>4564+350+3450</f>
        <v>8364</v>
      </c>
      <c r="K1081" s="1658">
        <f>4937.6+525+3450</f>
        <v>8912.6</v>
      </c>
      <c r="L1081" s="1718" t="s">
        <v>1257</v>
      </c>
      <c r="M1081" s="1720" t="s">
        <v>321</v>
      </c>
      <c r="N1081" s="1720">
        <v>4000</v>
      </c>
      <c r="O1081" s="1715">
        <v>5000</v>
      </c>
      <c r="P1081" s="1715">
        <v>7000</v>
      </c>
      <c r="Q1081" s="1715">
        <v>10000</v>
      </c>
      <c r="R1081" s="1715">
        <v>15000</v>
      </c>
    </row>
    <row r="1082" spans="1:18" s="693" customFormat="1" ht="14.25" customHeight="1" x14ac:dyDescent="0.2">
      <c r="A1082" s="702"/>
      <c r="B1082" s="1723"/>
      <c r="C1082" s="1727"/>
      <c r="D1082" s="1727"/>
      <c r="E1082" s="1729"/>
      <c r="F1082" s="1719"/>
      <c r="G1082" s="1731"/>
      <c r="H1082" s="1731"/>
      <c r="I1082" s="1731"/>
      <c r="J1082" s="1658"/>
      <c r="K1082" s="1658"/>
      <c r="L1082" s="1719"/>
      <c r="M1082" s="1721"/>
      <c r="N1082" s="1721"/>
      <c r="O1082" s="1716"/>
      <c r="P1082" s="1716"/>
      <c r="Q1082" s="1716"/>
      <c r="R1082" s="1716"/>
    </row>
    <row r="1083" spans="1:18" s="693" customFormat="1" ht="45" x14ac:dyDescent="0.2">
      <c r="A1083" s="702"/>
      <c r="B1083" s="1723"/>
      <c r="C1083" s="965"/>
      <c r="D1083" s="965" t="s">
        <v>13</v>
      </c>
      <c r="E1083" s="968"/>
      <c r="F1083" s="966" t="s">
        <v>1258</v>
      </c>
      <c r="G1083" s="1240">
        <v>1562.3</v>
      </c>
      <c r="H1083" s="1240">
        <v>1562.3</v>
      </c>
      <c r="I1083" s="1240">
        <v>2131</v>
      </c>
      <c r="J1083" s="1240">
        <v>625</v>
      </c>
      <c r="K1083" s="1240">
        <v>625</v>
      </c>
      <c r="L1083" s="966" t="s">
        <v>1259</v>
      </c>
      <c r="M1083" s="969" t="s">
        <v>318</v>
      </c>
      <c r="N1083" s="969">
        <v>0</v>
      </c>
      <c r="O1083" s="970">
        <v>2</v>
      </c>
      <c r="P1083" s="970">
        <v>2</v>
      </c>
      <c r="Q1083" s="970">
        <v>2</v>
      </c>
      <c r="R1083" s="970">
        <v>2</v>
      </c>
    </row>
    <row r="1084" spans="1:18" s="693" customFormat="1" ht="30" x14ac:dyDescent="0.2">
      <c r="A1084" s="702"/>
      <c r="B1084" s="1723"/>
      <c r="C1084" s="965"/>
      <c r="D1084" s="965" t="s">
        <v>9</v>
      </c>
      <c r="E1084" s="968"/>
      <c r="F1084" s="966" t="s">
        <v>1260</v>
      </c>
      <c r="G1084" s="1240">
        <v>1878.3</v>
      </c>
      <c r="H1084" s="1240">
        <v>1878.3</v>
      </c>
      <c r="I1084" s="1240">
        <v>2278.8000000000002</v>
      </c>
      <c r="J1084" s="1240">
        <v>2708.3</v>
      </c>
      <c r="K1084" s="1240">
        <v>2732.9</v>
      </c>
      <c r="L1084" s="966" t="s">
        <v>1261</v>
      </c>
      <c r="M1084" s="969" t="s">
        <v>318</v>
      </c>
      <c r="N1084" s="971">
        <v>7000</v>
      </c>
      <c r="O1084" s="971">
        <v>7000</v>
      </c>
      <c r="P1084" s="971">
        <v>7000</v>
      </c>
      <c r="Q1084" s="971">
        <v>7000</v>
      </c>
      <c r="R1084" s="971">
        <v>7000</v>
      </c>
    </row>
    <row r="1085" spans="1:18" s="693" customFormat="1" ht="30" x14ac:dyDescent="0.2">
      <c r="A1085" s="702"/>
      <c r="B1085" s="1723"/>
      <c r="C1085" s="957"/>
      <c r="D1085" s="965" t="s">
        <v>23</v>
      </c>
      <c r="E1085" s="959"/>
      <c r="F1085" s="961" t="s">
        <v>1262</v>
      </c>
      <c r="G1085" s="1240">
        <v>1272.5</v>
      </c>
      <c r="H1085" s="1240">
        <v>1272.5</v>
      </c>
      <c r="I1085" s="1241">
        <v>1652.5</v>
      </c>
      <c r="J1085" s="1241">
        <v>1552.5</v>
      </c>
      <c r="K1085" s="1241">
        <v>1552.5</v>
      </c>
      <c r="L1085" s="966" t="s">
        <v>1263</v>
      </c>
      <c r="M1085" s="969" t="s">
        <v>318</v>
      </c>
      <c r="N1085" s="972">
        <v>1</v>
      </c>
      <c r="O1085" s="973">
        <v>1</v>
      </c>
      <c r="P1085" s="973">
        <v>1</v>
      </c>
      <c r="Q1085" s="973">
        <v>1</v>
      </c>
      <c r="R1085" s="973">
        <v>1</v>
      </c>
    </row>
    <row r="1086" spans="1:18" s="693" customFormat="1" ht="45" x14ac:dyDescent="0.2">
      <c r="A1086" s="702"/>
      <c r="B1086" s="1723"/>
      <c r="C1086" s="965"/>
      <c r="D1086" s="965" t="s">
        <v>24</v>
      </c>
      <c r="E1086" s="968"/>
      <c r="F1086" s="966" t="s">
        <v>1264</v>
      </c>
      <c r="G1086" s="1240">
        <v>1172.5</v>
      </c>
      <c r="H1086" s="1240">
        <v>1172.5</v>
      </c>
      <c r="I1086" s="1240">
        <v>1775.9</v>
      </c>
      <c r="J1086" s="1240">
        <v>1775.9</v>
      </c>
      <c r="K1086" s="1240">
        <v>1830.9</v>
      </c>
      <c r="L1086" s="966" t="s">
        <v>1265</v>
      </c>
      <c r="M1086" s="969" t="s">
        <v>4</v>
      </c>
      <c r="N1086" s="972">
        <v>0</v>
      </c>
      <c r="O1086" s="973">
        <v>0</v>
      </c>
      <c r="P1086" s="973">
        <v>0</v>
      </c>
      <c r="Q1086" s="973">
        <v>0</v>
      </c>
      <c r="R1086" s="973">
        <v>0</v>
      </c>
    </row>
    <row r="1087" spans="1:18" s="693" customFormat="1" ht="30" x14ac:dyDescent="0.2">
      <c r="A1087" s="702"/>
      <c r="B1087" s="1723"/>
      <c r="C1087" s="965"/>
      <c r="D1087" s="965" t="s">
        <v>25</v>
      </c>
      <c r="E1087" s="968"/>
      <c r="F1087" s="966" t="s">
        <v>1266</v>
      </c>
      <c r="G1087" s="1240">
        <v>0</v>
      </c>
      <c r="H1087" s="1240">
        <v>0</v>
      </c>
      <c r="I1087" s="1240"/>
      <c r="J1087" s="1240">
        <v>102</v>
      </c>
      <c r="K1087" s="1240">
        <v>102</v>
      </c>
      <c r="L1087" s="966" t="s">
        <v>1257</v>
      </c>
      <c r="M1087" s="969" t="s">
        <v>321</v>
      </c>
      <c r="N1087" s="972">
        <v>2000</v>
      </c>
      <c r="O1087" s="972">
        <v>3000</v>
      </c>
      <c r="P1087" s="972">
        <v>4000</v>
      </c>
      <c r="Q1087" s="972">
        <v>5000</v>
      </c>
      <c r="R1087" s="972">
        <v>6000</v>
      </c>
    </row>
    <row r="1088" spans="1:18" s="693" customFormat="1" ht="30" x14ac:dyDescent="0.2">
      <c r="A1088" s="702"/>
      <c r="B1088" s="1724"/>
      <c r="C1088" s="965"/>
      <c r="D1088" s="965" t="s">
        <v>26</v>
      </c>
      <c r="E1088" s="968"/>
      <c r="F1088" s="966" t="s">
        <v>1741</v>
      </c>
      <c r="G1088" s="1240">
        <v>175.8</v>
      </c>
      <c r="H1088" s="1240">
        <v>175.8</v>
      </c>
      <c r="I1088" s="1240">
        <v>325.5</v>
      </c>
      <c r="J1088" s="1240">
        <v>380.8</v>
      </c>
      <c r="K1088" s="1240">
        <v>425.8</v>
      </c>
      <c r="L1088" s="966" t="s">
        <v>1267</v>
      </c>
      <c r="M1088" s="969" t="s">
        <v>4</v>
      </c>
      <c r="N1088" s="972">
        <v>30</v>
      </c>
      <c r="O1088" s="973">
        <v>50</v>
      </c>
      <c r="P1088" s="973">
        <v>70</v>
      </c>
      <c r="Q1088" s="973">
        <v>100</v>
      </c>
      <c r="R1088" s="973">
        <v>100</v>
      </c>
    </row>
    <row r="1089" spans="1:18" s="693" customFormat="1" ht="17.25" customHeight="1" x14ac:dyDescent="0.2">
      <c r="A1089" s="702"/>
      <c r="B1089" s="1276" t="s">
        <v>299</v>
      </c>
      <c r="C1089" s="1277"/>
      <c r="D1089" s="1277"/>
      <c r="E1089" s="1277"/>
      <c r="F1089" s="1278"/>
      <c r="G1089" s="758">
        <f>G1078+G1080</f>
        <v>12240.099999999999</v>
      </c>
      <c r="H1089" s="758">
        <f>H1078+H1080</f>
        <v>12240.099999999999</v>
      </c>
      <c r="I1089" s="758">
        <f>I1078+I1080</f>
        <v>18163.7</v>
      </c>
      <c r="J1089" s="758">
        <f>J1078+J1080</f>
        <v>18600.8</v>
      </c>
      <c r="K1089" s="758">
        <f>K1078+K1080</f>
        <v>19274</v>
      </c>
      <c r="L1089" s="906"/>
      <c r="M1089" s="906"/>
      <c r="N1089" s="906"/>
      <c r="O1089" s="906"/>
      <c r="P1089" s="906"/>
      <c r="Q1089" s="906"/>
      <c r="R1089" s="907"/>
    </row>
    <row r="1090" spans="1:18" s="693" customFormat="1" ht="17.25" customHeight="1" x14ac:dyDescent="0.2">
      <c r="A1090" s="702"/>
      <c r="B1090" s="1428" t="s">
        <v>1268</v>
      </c>
      <c r="C1090" s="1429"/>
      <c r="D1090" s="1429"/>
      <c r="E1090" s="1429"/>
      <c r="F1090" s="1429"/>
      <c r="G1090" s="1429"/>
      <c r="H1090" s="1429"/>
      <c r="I1090" s="1429"/>
      <c r="J1090" s="1429"/>
      <c r="K1090" s="1429"/>
      <c r="L1090" s="1429"/>
      <c r="M1090" s="1429"/>
      <c r="N1090" s="1429"/>
      <c r="O1090" s="1429"/>
      <c r="P1090" s="1429"/>
      <c r="Q1090" s="1429"/>
      <c r="R1090" s="1430"/>
    </row>
    <row r="1091" spans="1:18" s="693" customFormat="1" ht="59.25" x14ac:dyDescent="0.2">
      <c r="A1091" s="702"/>
      <c r="B1091" s="1717">
        <v>88</v>
      </c>
      <c r="C1091" s="380">
        <v>1</v>
      </c>
      <c r="D1091" s="381"/>
      <c r="E1091" s="382"/>
      <c r="F1091" s="974" t="s">
        <v>1742</v>
      </c>
      <c r="G1091" s="64">
        <f>G1092+G1093</f>
        <v>6006.1</v>
      </c>
      <c r="H1091" s="64">
        <f>H1092+H1093</f>
        <v>8303.8130000000001</v>
      </c>
      <c r="I1091" s="64">
        <f>I1092+I1093</f>
        <v>7699.1</v>
      </c>
      <c r="J1091" s="64">
        <f>J1092+J1093</f>
        <v>7899.1</v>
      </c>
      <c r="K1091" s="64">
        <f>K1092+K1093</f>
        <v>5464.1</v>
      </c>
      <c r="L1091" s="974" t="s">
        <v>1269</v>
      </c>
      <c r="M1091" s="421" t="s">
        <v>4</v>
      </c>
      <c r="N1091" s="421">
        <v>100</v>
      </c>
      <c r="O1091" s="421">
        <v>100</v>
      </c>
      <c r="P1091" s="421">
        <v>100</v>
      </c>
      <c r="Q1091" s="421">
        <v>100</v>
      </c>
      <c r="R1091" s="421">
        <v>100</v>
      </c>
    </row>
    <row r="1092" spans="1:18" s="693" customFormat="1" ht="30" x14ac:dyDescent="0.2">
      <c r="A1092" s="702"/>
      <c r="B1092" s="1717"/>
      <c r="C1092" s="380"/>
      <c r="D1092" s="958" t="s">
        <v>10</v>
      </c>
      <c r="E1092" s="975"/>
      <c r="F1092" s="11" t="s">
        <v>1270</v>
      </c>
      <c r="G1092" s="45">
        <f>864.6+149.2+2200+155.3+48.5+1532.3</f>
        <v>4949.9000000000005</v>
      </c>
      <c r="H1092" s="45">
        <f>1973.6+340.5+3377.4+410.847+101.505+480</f>
        <v>6683.8519999999999</v>
      </c>
      <c r="I1092" s="45">
        <f>1973.6+340.5+200+25+460+3400+300+200+200+300+300</f>
        <v>7699.1</v>
      </c>
      <c r="J1092" s="45">
        <f>1973.6+340.5+200+25+460+3400+300+200+300+300+400</f>
        <v>7899.1</v>
      </c>
      <c r="K1092" s="45">
        <f>1973.6+340.5+200+350+500+500+300+200+300+500+300</f>
        <v>5464.1</v>
      </c>
      <c r="L1092" s="633" t="s">
        <v>1745</v>
      </c>
      <c r="M1092" s="388" t="s">
        <v>4</v>
      </c>
      <c r="N1092" s="388">
        <v>78</v>
      </c>
      <c r="O1092" s="388">
        <v>80</v>
      </c>
      <c r="P1092" s="388">
        <v>100</v>
      </c>
      <c r="Q1092" s="388">
        <v>100</v>
      </c>
      <c r="R1092" s="388">
        <v>100</v>
      </c>
    </row>
    <row r="1093" spans="1:18" s="693" customFormat="1" ht="15" x14ac:dyDescent="0.2">
      <c r="A1093" s="702"/>
      <c r="B1093" s="1717"/>
      <c r="C1093" s="380"/>
      <c r="D1093" s="958" t="s">
        <v>13</v>
      </c>
      <c r="E1093" s="975"/>
      <c r="F1093" s="11" t="s">
        <v>521</v>
      </c>
      <c r="G1093" s="45">
        <v>1056.2</v>
      </c>
      <c r="H1093" s="45">
        <f>251.3+43.3+994.7+136.826+33.835+160</f>
        <v>1619.9610000000002</v>
      </c>
      <c r="I1093" s="45">
        <v>0</v>
      </c>
      <c r="J1093" s="45">
        <v>0</v>
      </c>
      <c r="K1093" s="45">
        <v>0</v>
      </c>
      <c r="L1093" s="633" t="s">
        <v>1745</v>
      </c>
      <c r="M1093" s="388" t="s">
        <v>4</v>
      </c>
      <c r="N1093" s="388">
        <v>22</v>
      </c>
      <c r="O1093" s="388">
        <v>20</v>
      </c>
      <c r="P1093" s="388">
        <v>0</v>
      </c>
      <c r="Q1093" s="388">
        <v>0</v>
      </c>
      <c r="R1093" s="388">
        <v>0</v>
      </c>
    </row>
    <row r="1094" spans="1:18" s="693" customFormat="1" ht="89.25" x14ac:dyDescent="0.2">
      <c r="A1094" s="702"/>
      <c r="B1094" s="1717"/>
      <c r="C1094" s="424" t="s">
        <v>214</v>
      </c>
      <c r="D1094" s="976"/>
      <c r="E1094" s="977"/>
      <c r="F1094" s="408" t="s">
        <v>1743</v>
      </c>
      <c r="G1094" s="1238">
        <f>G1095</f>
        <v>12878.4</v>
      </c>
      <c r="H1094" s="1238">
        <f>H1095</f>
        <v>27625.287</v>
      </c>
      <c r="I1094" s="1238">
        <f>I1095</f>
        <v>28230.000000000004</v>
      </c>
      <c r="J1094" s="1238">
        <f>J1095</f>
        <v>28726.428000000004</v>
      </c>
      <c r="K1094" s="1238">
        <f>K1095</f>
        <v>32257.034</v>
      </c>
      <c r="L1094" s="633" t="s">
        <v>1744</v>
      </c>
      <c r="M1094" s="388" t="s">
        <v>4</v>
      </c>
      <c r="N1094" s="382">
        <v>100</v>
      </c>
      <c r="O1094" s="382">
        <v>100</v>
      </c>
      <c r="P1094" s="382">
        <v>100</v>
      </c>
      <c r="Q1094" s="382">
        <v>100</v>
      </c>
      <c r="R1094" s="382">
        <v>100</v>
      </c>
    </row>
    <row r="1095" spans="1:18" s="693" customFormat="1" ht="60" x14ac:dyDescent="0.2">
      <c r="A1095" s="702"/>
      <c r="B1095" s="1717"/>
      <c r="C1095" s="424"/>
      <c r="D1095" s="978"/>
      <c r="E1095" s="977"/>
      <c r="F1095" s="430" t="s">
        <v>1271</v>
      </c>
      <c r="G1095" s="1118">
        <v>12878.4</v>
      </c>
      <c r="H1095" s="1118">
        <f>5325.9+918.7+15589+2690.327+541.36+2560</f>
        <v>27625.287</v>
      </c>
      <c r="I1095" s="1118">
        <f>5577.2+962+2000+520.7+488+15212.9+700+469.2+600+1000+700</f>
        <v>28230.000000000004</v>
      </c>
      <c r="J1095" s="1118">
        <f>5577.2+962+2000+620.7+500+15212.9+800+450+700+1000+903.628</f>
        <v>28726.428000000004</v>
      </c>
      <c r="K1095" s="1118">
        <f>5577.2+962+2000+700+600+17500+700+600+700+2000+917.834</f>
        <v>32257.034</v>
      </c>
      <c r="L1095" s="633" t="s">
        <v>1745</v>
      </c>
      <c r="M1095" s="388" t="s">
        <v>4</v>
      </c>
      <c r="N1095" s="979">
        <v>100</v>
      </c>
      <c r="O1095" s="979">
        <v>100</v>
      </c>
      <c r="P1095" s="979">
        <v>100</v>
      </c>
      <c r="Q1095" s="979">
        <v>100</v>
      </c>
      <c r="R1095" s="979">
        <v>100</v>
      </c>
    </row>
    <row r="1096" spans="1:18" s="693" customFormat="1" ht="15.75" thickBot="1" x14ac:dyDescent="0.3">
      <c r="A1096" s="702"/>
      <c r="B1096" s="1276" t="s">
        <v>299</v>
      </c>
      <c r="C1096" s="1277"/>
      <c r="D1096" s="1277"/>
      <c r="E1096" s="1277"/>
      <c r="F1096" s="1278"/>
      <c r="G1096" s="96">
        <f>G1091+G1094</f>
        <v>18884.5</v>
      </c>
      <c r="H1096" s="96">
        <f>H1091+H1094</f>
        <v>35929.1</v>
      </c>
      <c r="I1096" s="96">
        <f>I1091+I1094</f>
        <v>35929.100000000006</v>
      </c>
      <c r="J1096" s="96">
        <f>J1091+J1094</f>
        <v>36625.528000000006</v>
      </c>
      <c r="K1096" s="96">
        <f>K1091+K1094</f>
        <v>37721.133999999998</v>
      </c>
      <c r="L1096" s="193"/>
      <c r="M1096" s="1335"/>
      <c r="N1096" s="1335"/>
      <c r="O1096" s="1335"/>
      <c r="P1096" s="1335"/>
      <c r="Q1096" s="1335"/>
      <c r="R1096" s="1335"/>
    </row>
  </sheetData>
  <mergeCells count="1653">
    <mergeCell ref="M1:R1"/>
    <mergeCell ref="L707:L710"/>
    <mergeCell ref="M707:M710"/>
    <mergeCell ref="N707:N710"/>
    <mergeCell ref="O707:O710"/>
    <mergeCell ref="P707:P710"/>
    <mergeCell ref="Q707:Q710"/>
    <mergeCell ref="R707:R710"/>
    <mergeCell ref="J462:J463"/>
    <mergeCell ref="C464:C467"/>
    <mergeCell ref="B24:B26"/>
    <mergeCell ref="K585:K588"/>
    <mergeCell ref="J585:J588"/>
    <mergeCell ref="I585:I588"/>
    <mergeCell ref="H585:H588"/>
    <mergeCell ref="G585:G588"/>
    <mergeCell ref="E585:E588"/>
    <mergeCell ref="F585:F588"/>
    <mergeCell ref="F589:F591"/>
    <mergeCell ref="D589:D591"/>
    <mergeCell ref="C589:C591"/>
    <mergeCell ref="E589:E591"/>
    <mergeCell ref="G589:G593"/>
    <mergeCell ref="H589:H593"/>
    <mergeCell ref="I589:I593"/>
    <mergeCell ref="J589:J593"/>
    <mergeCell ref="K589:K593"/>
    <mergeCell ref="F477:F480"/>
    <mergeCell ref="G477:G480"/>
    <mergeCell ref="B393:P393"/>
    <mergeCell ref="B394:B485"/>
    <mergeCell ref="L395:R395"/>
    <mergeCell ref="L396:R396"/>
    <mergeCell ref="K971:K972"/>
    <mergeCell ref="K457:K459"/>
    <mergeCell ref="K460:K461"/>
    <mergeCell ref="K462:K463"/>
    <mergeCell ref="K464:K467"/>
    <mergeCell ref="K474:K476"/>
    <mergeCell ref="K477:K480"/>
    <mergeCell ref="K481:K483"/>
    <mergeCell ref="B486:F486"/>
    <mergeCell ref="B487:P487"/>
    <mergeCell ref="B488:B524"/>
    <mergeCell ref="B525:F525"/>
    <mergeCell ref="C481:C483"/>
    <mergeCell ref="D481:D483"/>
    <mergeCell ref="E481:E483"/>
    <mergeCell ref="F481:F483"/>
    <mergeCell ref="G481:G483"/>
    <mergeCell ref="H481:H483"/>
    <mergeCell ref="I481:I483"/>
    <mergeCell ref="J481:J483"/>
    <mergeCell ref="H477:H480"/>
    <mergeCell ref="I477:I480"/>
    <mergeCell ref="J477:J480"/>
    <mergeCell ref="C462:C463"/>
    <mergeCell ref="D462:D463"/>
    <mergeCell ref="E462:E463"/>
    <mergeCell ref="F462:F463"/>
    <mergeCell ref="G462:G463"/>
    <mergeCell ref="H462:H463"/>
    <mergeCell ref="I462:I463"/>
    <mergeCell ref="I460:I461"/>
    <mergeCell ref="K398:K400"/>
    <mergeCell ref="K404:K405"/>
    <mergeCell ref="K406:K409"/>
    <mergeCell ref="K410:K412"/>
    <mergeCell ref="R414:R415"/>
    <mergeCell ref="R416:R417"/>
    <mergeCell ref="R418:R419"/>
    <mergeCell ref="K421:K425"/>
    <mergeCell ref="R428:R429"/>
    <mergeCell ref="R433:R434"/>
    <mergeCell ref="K438:K439"/>
    <mergeCell ref="K440:K441"/>
    <mergeCell ref="M440:M441"/>
    <mergeCell ref="K443:K445"/>
    <mergeCell ref="R449:R450"/>
    <mergeCell ref="C474:C476"/>
    <mergeCell ref="D474:D476"/>
    <mergeCell ref="E474:E476"/>
    <mergeCell ref="F474:F476"/>
    <mergeCell ref="G474:G476"/>
    <mergeCell ref="H474:H476"/>
    <mergeCell ref="I474:I476"/>
    <mergeCell ref="J474:J476"/>
    <mergeCell ref="F460:F461"/>
    <mergeCell ref="G460:G461"/>
    <mergeCell ref="H460:H461"/>
    <mergeCell ref="C449:C450"/>
    <mergeCell ref="D449:D450"/>
    <mergeCell ref="E449:E450"/>
    <mergeCell ref="F449:F450"/>
    <mergeCell ref="G449:G450"/>
    <mergeCell ref="E460:E461"/>
    <mergeCell ref="C477:C480"/>
    <mergeCell ref="D477:D480"/>
    <mergeCell ref="E477:E480"/>
    <mergeCell ref="C453:C454"/>
    <mergeCell ref="D453:D454"/>
    <mergeCell ref="E453:E454"/>
    <mergeCell ref="F453:F454"/>
    <mergeCell ref="G453:G454"/>
    <mergeCell ref="H453:H454"/>
    <mergeCell ref="I453:I454"/>
    <mergeCell ref="J453:J454"/>
    <mergeCell ref="K451:K452"/>
    <mergeCell ref="K453:K454"/>
    <mergeCell ref="L449:L450"/>
    <mergeCell ref="D464:D467"/>
    <mergeCell ref="E464:E467"/>
    <mergeCell ref="F464:F467"/>
    <mergeCell ref="G464:G467"/>
    <mergeCell ref="H464:H467"/>
    <mergeCell ref="I464:I467"/>
    <mergeCell ref="J464:J467"/>
    <mergeCell ref="C457:C459"/>
    <mergeCell ref="D457:D459"/>
    <mergeCell ref="E457:E459"/>
    <mergeCell ref="F457:F459"/>
    <mergeCell ref="G457:G459"/>
    <mergeCell ref="H457:H459"/>
    <mergeCell ref="I457:I459"/>
    <mergeCell ref="J457:J459"/>
    <mergeCell ref="C460:C461"/>
    <mergeCell ref="D460:D461"/>
    <mergeCell ref="J460:J461"/>
    <mergeCell ref="I449:I450"/>
    <mergeCell ref="J449:J450"/>
    <mergeCell ref="K449:K450"/>
    <mergeCell ref="M449:M450"/>
    <mergeCell ref="N449:N450"/>
    <mergeCell ref="O449:O450"/>
    <mergeCell ref="P449:P450"/>
    <mergeCell ref="Q449:Q450"/>
    <mergeCell ref="C451:C452"/>
    <mergeCell ref="D451:D452"/>
    <mergeCell ref="E451:E452"/>
    <mergeCell ref="F451:F452"/>
    <mergeCell ref="G451:G452"/>
    <mergeCell ref="H451:H452"/>
    <mergeCell ref="I451:I452"/>
    <mergeCell ref="J451:J452"/>
    <mergeCell ref="H449:H450"/>
    <mergeCell ref="C440:C441"/>
    <mergeCell ref="D440:D441"/>
    <mergeCell ref="E440:E441"/>
    <mergeCell ref="F440:F441"/>
    <mergeCell ref="G440:G441"/>
    <mergeCell ref="H440:H441"/>
    <mergeCell ref="I440:I441"/>
    <mergeCell ref="J440:J441"/>
    <mergeCell ref="C443:C445"/>
    <mergeCell ref="D443:D445"/>
    <mergeCell ref="E443:E445"/>
    <mergeCell ref="F443:F445"/>
    <mergeCell ref="G443:G445"/>
    <mergeCell ref="H443:H445"/>
    <mergeCell ref="I443:I445"/>
    <mergeCell ref="J443:J445"/>
    <mergeCell ref="Q428:Q429"/>
    <mergeCell ref="C433:C434"/>
    <mergeCell ref="D433:D434"/>
    <mergeCell ref="E433:E434"/>
    <mergeCell ref="F433:F434"/>
    <mergeCell ref="G433:G434"/>
    <mergeCell ref="H433:H434"/>
    <mergeCell ref="I433:I434"/>
    <mergeCell ref="J433:J434"/>
    <mergeCell ref="K433:K434"/>
    <mergeCell ref="L433:L434"/>
    <mergeCell ref="M433:M434"/>
    <mergeCell ref="N433:N434"/>
    <mergeCell ref="O433:O434"/>
    <mergeCell ref="P433:P434"/>
    <mergeCell ref="Q433:Q434"/>
    <mergeCell ref="C438:C439"/>
    <mergeCell ref="D438:D439"/>
    <mergeCell ref="E438:E439"/>
    <mergeCell ref="F438:F439"/>
    <mergeCell ref="G438:G439"/>
    <mergeCell ref="H438:H439"/>
    <mergeCell ref="I438:I439"/>
    <mergeCell ref="J438:J439"/>
    <mergeCell ref="C421:C425"/>
    <mergeCell ref="D421:D425"/>
    <mergeCell ref="E421:E425"/>
    <mergeCell ref="F421:F425"/>
    <mergeCell ref="G421:G425"/>
    <mergeCell ref="H421:H425"/>
    <mergeCell ref="I421:I425"/>
    <mergeCell ref="J421:J425"/>
    <mergeCell ref="C428:C429"/>
    <mergeCell ref="D428:D429"/>
    <mergeCell ref="E428:E429"/>
    <mergeCell ref="F428:F429"/>
    <mergeCell ref="G428:G429"/>
    <mergeCell ref="H428:H429"/>
    <mergeCell ref="I428:I429"/>
    <mergeCell ref="J428:J429"/>
    <mergeCell ref="P414:P415"/>
    <mergeCell ref="L428:L429"/>
    <mergeCell ref="M428:M429"/>
    <mergeCell ref="N428:N429"/>
    <mergeCell ref="O428:O429"/>
    <mergeCell ref="P428:P429"/>
    <mergeCell ref="K428:K429"/>
    <mergeCell ref="Q414:Q415"/>
    <mergeCell ref="L416:L417"/>
    <mergeCell ref="M416:M417"/>
    <mergeCell ref="N416:N417"/>
    <mergeCell ref="O416:O417"/>
    <mergeCell ref="P416:P417"/>
    <mergeCell ref="Q416:Q417"/>
    <mergeCell ref="C418:C419"/>
    <mergeCell ref="D418:D419"/>
    <mergeCell ref="E418:E419"/>
    <mergeCell ref="F418:F419"/>
    <mergeCell ref="G418:G419"/>
    <mergeCell ref="H418:H419"/>
    <mergeCell ref="I418:I419"/>
    <mergeCell ref="J418:J419"/>
    <mergeCell ref="K418:K419"/>
    <mergeCell ref="L418:L419"/>
    <mergeCell ref="M418:M419"/>
    <mergeCell ref="N418:N419"/>
    <mergeCell ref="O418:O419"/>
    <mergeCell ref="P418:P419"/>
    <mergeCell ref="Q418:Q419"/>
    <mergeCell ref="I410:I412"/>
    <mergeCell ref="J410:J412"/>
    <mergeCell ref="C414:C415"/>
    <mergeCell ref="D414:D415"/>
    <mergeCell ref="E414:E415"/>
    <mergeCell ref="F414:F415"/>
    <mergeCell ref="G414:G415"/>
    <mergeCell ref="H414:H415"/>
    <mergeCell ref="I414:I415"/>
    <mergeCell ref="J414:J415"/>
    <mergeCell ref="K414:K415"/>
    <mergeCell ref="L414:L415"/>
    <mergeCell ref="M414:M415"/>
    <mergeCell ref="N414:N415"/>
    <mergeCell ref="O414:O415"/>
    <mergeCell ref="C398:C400"/>
    <mergeCell ref="D398:D400"/>
    <mergeCell ref="E398:E400"/>
    <mergeCell ref="F398:F400"/>
    <mergeCell ref="G398:G400"/>
    <mergeCell ref="H398:H400"/>
    <mergeCell ref="I398:I400"/>
    <mergeCell ref="J398:J400"/>
    <mergeCell ref="C404:C405"/>
    <mergeCell ref="D404:D405"/>
    <mergeCell ref="E404:E405"/>
    <mergeCell ref="F404:F405"/>
    <mergeCell ref="G404:G405"/>
    <mergeCell ref="H404:H405"/>
    <mergeCell ref="I404:I405"/>
    <mergeCell ref="J404:J405"/>
    <mergeCell ref="D406:D409"/>
    <mergeCell ref="E406:E409"/>
    <mergeCell ref="F406:F409"/>
    <mergeCell ref="K1069:K1070"/>
    <mergeCell ref="L1069:L1070"/>
    <mergeCell ref="M1069:M1070"/>
    <mergeCell ref="N1069:N1070"/>
    <mergeCell ref="B1096:F1096"/>
    <mergeCell ref="M1096:R1096"/>
    <mergeCell ref="P1081:P1082"/>
    <mergeCell ref="Q1081:Q1082"/>
    <mergeCell ref="R1081:R1082"/>
    <mergeCell ref="B1089:F1089"/>
    <mergeCell ref="B1090:R1090"/>
    <mergeCell ref="B1091:B1095"/>
    <mergeCell ref="J1081:J1082"/>
    <mergeCell ref="K1081:K1082"/>
    <mergeCell ref="L1081:L1082"/>
    <mergeCell ref="M1081:M1082"/>
    <mergeCell ref="N1081:N1082"/>
    <mergeCell ref="O1081:O1082"/>
    <mergeCell ref="B1077:R1077"/>
    <mergeCell ref="B1078:B1088"/>
    <mergeCell ref="L1079:R1079"/>
    <mergeCell ref="C1081:C1082"/>
    <mergeCell ref="D1081:D1082"/>
    <mergeCell ref="E1081:E1082"/>
    <mergeCell ref="F1081:F1082"/>
    <mergeCell ref="G1081:G1082"/>
    <mergeCell ref="H1081:H1082"/>
    <mergeCell ref="I1081:I1082"/>
    <mergeCell ref="H410:H412"/>
    <mergeCell ref="G1067:G1068"/>
    <mergeCell ref="H1067:H1068"/>
    <mergeCell ref="I1065:I1066"/>
    <mergeCell ref="J1065:J1066"/>
    <mergeCell ref="K1065:K1066"/>
    <mergeCell ref="L1065:L1066"/>
    <mergeCell ref="M1065:M1066"/>
    <mergeCell ref="N1065:N1066"/>
    <mergeCell ref="O1071:O1072"/>
    <mergeCell ref="P1071:P1072"/>
    <mergeCell ref="Q1071:Q1072"/>
    <mergeCell ref="R1071:R1072"/>
    <mergeCell ref="M1075:R1075"/>
    <mergeCell ref="B1076:F1076"/>
    <mergeCell ref="I1071:I1072"/>
    <mergeCell ref="J1071:J1072"/>
    <mergeCell ref="K1071:K1072"/>
    <mergeCell ref="L1071:L1072"/>
    <mergeCell ref="M1071:M1072"/>
    <mergeCell ref="N1071:N1072"/>
    <mergeCell ref="O1069:O1070"/>
    <mergeCell ref="P1069:P1070"/>
    <mergeCell ref="Q1069:Q1070"/>
    <mergeCell ref="R1069:R1070"/>
    <mergeCell ref="C1071:C1072"/>
    <mergeCell ref="D1071:D1072"/>
    <mergeCell ref="E1071:E1072"/>
    <mergeCell ref="F1071:F1072"/>
    <mergeCell ref="G1071:G1072"/>
    <mergeCell ref="H1071:H1072"/>
    <mergeCell ref="I1069:I1070"/>
    <mergeCell ref="J1069:J1070"/>
    <mergeCell ref="L1060:R1060"/>
    <mergeCell ref="L1061:R1061"/>
    <mergeCell ref="I1058:I1059"/>
    <mergeCell ref="J1058:J1059"/>
    <mergeCell ref="K1058:K1059"/>
    <mergeCell ref="L1058:L1059"/>
    <mergeCell ref="M1058:M1059"/>
    <mergeCell ref="N1058:N1059"/>
    <mergeCell ref="O1067:O1068"/>
    <mergeCell ref="P1067:P1068"/>
    <mergeCell ref="Q1067:Q1068"/>
    <mergeCell ref="R1067:R1068"/>
    <mergeCell ref="C1069:C1070"/>
    <mergeCell ref="D1069:D1070"/>
    <mergeCell ref="E1069:E1070"/>
    <mergeCell ref="F1069:F1070"/>
    <mergeCell ref="G1069:G1070"/>
    <mergeCell ref="H1069:H1070"/>
    <mergeCell ref="I1067:I1068"/>
    <mergeCell ref="J1067:J1068"/>
    <mergeCell ref="K1067:K1068"/>
    <mergeCell ref="L1067:L1068"/>
    <mergeCell ref="M1067:M1068"/>
    <mergeCell ref="N1067:N1068"/>
    <mergeCell ref="O1065:O1066"/>
    <mergeCell ref="P1065:P1066"/>
    <mergeCell ref="Q1065:Q1066"/>
    <mergeCell ref="R1065:R1066"/>
    <mergeCell ref="C1067:C1068"/>
    <mergeCell ref="D1067:D1068"/>
    <mergeCell ref="E1067:E1068"/>
    <mergeCell ref="F1067:F1068"/>
    <mergeCell ref="B1051:B1055"/>
    <mergeCell ref="M1056:R1056"/>
    <mergeCell ref="B1057:R1057"/>
    <mergeCell ref="B1058:B1074"/>
    <mergeCell ref="C1058:C1059"/>
    <mergeCell ref="D1058:D1059"/>
    <mergeCell ref="E1058:E1059"/>
    <mergeCell ref="F1058:F1059"/>
    <mergeCell ref="G1058:G1059"/>
    <mergeCell ref="H1058:H1059"/>
    <mergeCell ref="N1040:N1041"/>
    <mergeCell ref="O1040:O1041"/>
    <mergeCell ref="P1040:P1041"/>
    <mergeCell ref="Q1040:Q1041"/>
    <mergeCell ref="R1040:R1041"/>
    <mergeCell ref="B1050:R1050"/>
    <mergeCell ref="H1040:H1041"/>
    <mergeCell ref="I1040:I1041"/>
    <mergeCell ref="J1040:J1041"/>
    <mergeCell ref="K1040:K1041"/>
    <mergeCell ref="L1040:L1041"/>
    <mergeCell ref="M1040:M1041"/>
    <mergeCell ref="C1065:C1066"/>
    <mergeCell ref="D1065:D1066"/>
    <mergeCell ref="E1065:E1066"/>
    <mergeCell ref="F1065:F1066"/>
    <mergeCell ref="G1065:G1066"/>
    <mergeCell ref="H1065:H1066"/>
    <mergeCell ref="O1058:O1059"/>
    <mergeCell ref="P1058:P1059"/>
    <mergeCell ref="Q1058:Q1059"/>
    <mergeCell ref="R1058:R1059"/>
    <mergeCell ref="B1032:R1032"/>
    <mergeCell ref="B1033:B1034"/>
    <mergeCell ref="B1035:F1035"/>
    <mergeCell ref="B1036:R1036"/>
    <mergeCell ref="B1037:B1048"/>
    <mergeCell ref="C1040:C1041"/>
    <mergeCell ref="D1040:D1041"/>
    <mergeCell ref="E1040:E1041"/>
    <mergeCell ref="F1040:F1041"/>
    <mergeCell ref="G1040:G1041"/>
    <mergeCell ref="H1028:H1029"/>
    <mergeCell ref="I1028:I1029"/>
    <mergeCell ref="J1028:J1029"/>
    <mergeCell ref="K1028:K1029"/>
    <mergeCell ref="B1031:F1031"/>
    <mergeCell ref="M1031:R1031"/>
    <mergeCell ref="B1015:B1030"/>
    <mergeCell ref="C1028:C1029"/>
    <mergeCell ref="D1028:D1029"/>
    <mergeCell ref="E1028:E1029"/>
    <mergeCell ref="F1028:F1029"/>
    <mergeCell ref="G1028:G1029"/>
    <mergeCell ref="B993:B1008"/>
    <mergeCell ref="B1009:F1009"/>
    <mergeCell ref="B1010:R1010"/>
    <mergeCell ref="B1011:B1012"/>
    <mergeCell ref="B1013:F1013"/>
    <mergeCell ref="B1014:R1014"/>
    <mergeCell ref="H989:H990"/>
    <mergeCell ref="I989:I990"/>
    <mergeCell ref="J989:J990"/>
    <mergeCell ref="K989:K990"/>
    <mergeCell ref="B991:F991"/>
    <mergeCell ref="B992:R992"/>
    <mergeCell ref="B977:B985"/>
    <mergeCell ref="B986:F986"/>
    <mergeCell ref="M986:R986"/>
    <mergeCell ref="B987:R987"/>
    <mergeCell ref="B988:B990"/>
    <mergeCell ref="C989:C990"/>
    <mergeCell ref="D989:D990"/>
    <mergeCell ref="E989:E990"/>
    <mergeCell ref="F989:F990"/>
    <mergeCell ref="G989:G990"/>
    <mergeCell ref="K966:K967"/>
    <mergeCell ref="C971:C972"/>
    <mergeCell ref="D971:D972"/>
    <mergeCell ref="F971:F972"/>
    <mergeCell ref="B975:F975"/>
    <mergeCell ref="B976:R976"/>
    <mergeCell ref="O962:O963"/>
    <mergeCell ref="P962:P963"/>
    <mergeCell ref="Q962:Q963"/>
    <mergeCell ref="R962:R963"/>
    <mergeCell ref="C966:C967"/>
    <mergeCell ref="D966:D967"/>
    <mergeCell ref="G966:G967"/>
    <mergeCell ref="H966:H967"/>
    <mergeCell ref="I966:I967"/>
    <mergeCell ref="J966:J967"/>
    <mergeCell ref="I962:I963"/>
    <mergeCell ref="J962:J963"/>
    <mergeCell ref="K962:K963"/>
    <mergeCell ref="L962:L963"/>
    <mergeCell ref="M962:M963"/>
    <mergeCell ref="N962:N963"/>
    <mergeCell ref="B961:B974"/>
    <mergeCell ref="C962:C963"/>
    <mergeCell ref="D962:D963"/>
    <mergeCell ref="E962:E963"/>
    <mergeCell ref="G962:G963"/>
    <mergeCell ref="H962:H963"/>
    <mergeCell ref="G971:G972"/>
    <mergeCell ref="H971:H972"/>
    <mergeCell ref="I971:I972"/>
    <mergeCell ref="J971:J972"/>
    <mergeCell ref="B959:F959"/>
    <mergeCell ref="M959:R959"/>
    <mergeCell ref="B960:R960"/>
    <mergeCell ref="C955:C957"/>
    <mergeCell ref="D955:D957"/>
    <mergeCell ref="E955:E957"/>
    <mergeCell ref="F955:F957"/>
    <mergeCell ref="G955:G957"/>
    <mergeCell ref="H955:H957"/>
    <mergeCell ref="M952:M954"/>
    <mergeCell ref="N952:N954"/>
    <mergeCell ref="O952:O954"/>
    <mergeCell ref="P952:P954"/>
    <mergeCell ref="Q952:Q954"/>
    <mergeCell ref="R952:R954"/>
    <mergeCell ref="G952:G954"/>
    <mergeCell ref="H952:H954"/>
    <mergeCell ref="I952:I954"/>
    <mergeCell ref="J952:J954"/>
    <mergeCell ref="K952:K954"/>
    <mergeCell ref="L952:L954"/>
    <mergeCell ref="B941:F941"/>
    <mergeCell ref="B942:R942"/>
    <mergeCell ref="B943:B946"/>
    <mergeCell ref="B947:F947"/>
    <mergeCell ref="B948:R948"/>
    <mergeCell ref="B949:B958"/>
    <mergeCell ref="C952:C954"/>
    <mergeCell ref="D952:D954"/>
    <mergeCell ref="E952:E954"/>
    <mergeCell ref="F952:F954"/>
    <mergeCell ref="B917:R917"/>
    <mergeCell ref="B918:B919"/>
    <mergeCell ref="L919:R919"/>
    <mergeCell ref="B920:F920"/>
    <mergeCell ref="B921:R921"/>
    <mergeCell ref="B922:B940"/>
    <mergeCell ref="N911:N912"/>
    <mergeCell ref="O911:O912"/>
    <mergeCell ref="P911:P912"/>
    <mergeCell ref="Q911:Q912"/>
    <mergeCell ref="R911:R912"/>
    <mergeCell ref="B916:F916"/>
    <mergeCell ref="H911:H912"/>
    <mergeCell ref="I911:I912"/>
    <mergeCell ref="J911:J912"/>
    <mergeCell ref="K911:K912"/>
    <mergeCell ref="L911:L912"/>
    <mergeCell ref="M911:M912"/>
    <mergeCell ref="I955:I957"/>
    <mergeCell ref="J955:J957"/>
    <mergeCell ref="K955:K957"/>
    <mergeCell ref="J902:J907"/>
    <mergeCell ref="K902:K907"/>
    <mergeCell ref="B909:F909"/>
    <mergeCell ref="B910:R910"/>
    <mergeCell ref="B911:B915"/>
    <mergeCell ref="C911:C912"/>
    <mergeCell ref="D911:D912"/>
    <mergeCell ref="E911:E912"/>
    <mergeCell ref="F911:F912"/>
    <mergeCell ref="G911:G912"/>
    <mergeCell ref="I897:I899"/>
    <mergeCell ref="J897:J899"/>
    <mergeCell ref="K897:K899"/>
    <mergeCell ref="C902:C907"/>
    <mergeCell ref="D902:D907"/>
    <mergeCell ref="E902:E907"/>
    <mergeCell ref="F902:F907"/>
    <mergeCell ref="G902:G907"/>
    <mergeCell ref="H902:H907"/>
    <mergeCell ref="I902:I907"/>
    <mergeCell ref="B885:B908"/>
    <mergeCell ref="O894:O896"/>
    <mergeCell ref="P894:P896"/>
    <mergeCell ref="Q894:Q896"/>
    <mergeCell ref="R894:R896"/>
    <mergeCell ref="C897:C899"/>
    <mergeCell ref="D897:D899"/>
    <mergeCell ref="E897:E899"/>
    <mergeCell ref="F897:F899"/>
    <mergeCell ref="G897:G899"/>
    <mergeCell ref="H897:H899"/>
    <mergeCell ref="I892:I896"/>
    <mergeCell ref="J892:J896"/>
    <mergeCell ref="K892:K896"/>
    <mergeCell ref="L894:L896"/>
    <mergeCell ref="M894:M896"/>
    <mergeCell ref="N894:N896"/>
    <mergeCell ref="H889:H891"/>
    <mergeCell ref="I889:I891"/>
    <mergeCell ref="J889:J891"/>
    <mergeCell ref="K889:K891"/>
    <mergeCell ref="C892:C896"/>
    <mergeCell ref="D892:D896"/>
    <mergeCell ref="E892:E896"/>
    <mergeCell ref="F892:F896"/>
    <mergeCell ref="G892:G896"/>
    <mergeCell ref="H892:H896"/>
    <mergeCell ref="C889:C891"/>
    <mergeCell ref="D889:D891"/>
    <mergeCell ref="E889:E891"/>
    <mergeCell ref="F889:F891"/>
    <mergeCell ref="G889:G891"/>
    <mergeCell ref="O877:O878"/>
    <mergeCell ref="P877:P878"/>
    <mergeCell ref="Q877:Q878"/>
    <mergeCell ref="R877:R878"/>
    <mergeCell ref="B883:F883"/>
    <mergeCell ref="B884:R884"/>
    <mergeCell ref="I877:I878"/>
    <mergeCell ref="J877:J878"/>
    <mergeCell ref="K877:K878"/>
    <mergeCell ref="L877:L878"/>
    <mergeCell ref="M877:M878"/>
    <mergeCell ref="N877:N878"/>
    <mergeCell ref="B870:B874"/>
    <mergeCell ref="B875:F875"/>
    <mergeCell ref="B876:R876"/>
    <mergeCell ref="B877:B882"/>
    <mergeCell ref="C877:C878"/>
    <mergeCell ref="D877:D878"/>
    <mergeCell ref="E877:E878"/>
    <mergeCell ref="F877:F878"/>
    <mergeCell ref="G877:G878"/>
    <mergeCell ref="H877:H878"/>
    <mergeCell ref="I865:I867"/>
    <mergeCell ref="J865:J867"/>
    <mergeCell ref="K865:K867"/>
    <mergeCell ref="B868:F868"/>
    <mergeCell ref="M868:P868"/>
    <mergeCell ref="B869:R869"/>
    <mergeCell ref="H861:H862"/>
    <mergeCell ref="I861:I862"/>
    <mergeCell ref="J861:J862"/>
    <mergeCell ref="K861:K862"/>
    <mergeCell ref="C865:C867"/>
    <mergeCell ref="D865:D867"/>
    <mergeCell ref="E865:E867"/>
    <mergeCell ref="F865:F867"/>
    <mergeCell ref="G865:G867"/>
    <mergeCell ref="H865:H867"/>
    <mergeCell ref="N857:N859"/>
    <mergeCell ref="O857:O859"/>
    <mergeCell ref="P857:P859"/>
    <mergeCell ref="Q857:Q859"/>
    <mergeCell ref="R857:R859"/>
    <mergeCell ref="C861:C862"/>
    <mergeCell ref="D861:D862"/>
    <mergeCell ref="E861:E862"/>
    <mergeCell ref="F861:F862"/>
    <mergeCell ref="G861:G862"/>
    <mergeCell ref="D846:D849"/>
    <mergeCell ref="E846:E851"/>
    <mergeCell ref="F846:F849"/>
    <mergeCell ref="G846:G851"/>
    <mergeCell ref="H846:H851"/>
    <mergeCell ref="I846:I851"/>
    <mergeCell ref="J846:J851"/>
    <mergeCell ref="R853:R855"/>
    <mergeCell ref="D856:D859"/>
    <mergeCell ref="F856:F859"/>
    <mergeCell ref="G856:G859"/>
    <mergeCell ref="H856:H859"/>
    <mergeCell ref="I856:I859"/>
    <mergeCell ref="J856:J859"/>
    <mergeCell ref="K856:K859"/>
    <mergeCell ref="L857:L859"/>
    <mergeCell ref="M857:M859"/>
    <mergeCell ref="L853:L855"/>
    <mergeCell ref="M853:M855"/>
    <mergeCell ref="N853:N855"/>
    <mergeCell ref="O853:O855"/>
    <mergeCell ref="P853:P855"/>
    <mergeCell ref="Q853:Q855"/>
    <mergeCell ref="K846:K851"/>
    <mergeCell ref="H838:H839"/>
    <mergeCell ref="I838:I839"/>
    <mergeCell ref="J838:J839"/>
    <mergeCell ref="K838:K839"/>
    <mergeCell ref="D840:D843"/>
    <mergeCell ref="F840:F843"/>
    <mergeCell ref="G840:G845"/>
    <mergeCell ref="H840:H845"/>
    <mergeCell ref="I840:I845"/>
    <mergeCell ref="J840:J845"/>
    <mergeCell ref="K831:K832"/>
    <mergeCell ref="B833:F833"/>
    <mergeCell ref="M833:R833"/>
    <mergeCell ref="B834:R834"/>
    <mergeCell ref="B835:B867"/>
    <mergeCell ref="C838:C839"/>
    <mergeCell ref="D838:D839"/>
    <mergeCell ref="E838:E839"/>
    <mergeCell ref="F838:F839"/>
    <mergeCell ref="G838:G839"/>
    <mergeCell ref="C853:C855"/>
    <mergeCell ref="D853:D855"/>
    <mergeCell ref="E853:E855"/>
    <mergeCell ref="F853:F855"/>
    <mergeCell ref="G853:G855"/>
    <mergeCell ref="H853:H855"/>
    <mergeCell ref="I853:I855"/>
    <mergeCell ref="J853:J855"/>
    <mergeCell ref="K853:K855"/>
    <mergeCell ref="K840:K845"/>
    <mergeCell ref="E843:E845"/>
    <mergeCell ref="C846:C851"/>
    <mergeCell ref="H819:H820"/>
    <mergeCell ref="I819:I820"/>
    <mergeCell ref="J819:J820"/>
    <mergeCell ref="K819:K820"/>
    <mergeCell ref="L819:L820"/>
    <mergeCell ref="C821:C822"/>
    <mergeCell ref="D821:D822"/>
    <mergeCell ref="E821:E822"/>
    <mergeCell ref="F821:F822"/>
    <mergeCell ref="G821:G822"/>
    <mergeCell ref="J827:J829"/>
    <mergeCell ref="K827:K829"/>
    <mergeCell ref="C831:C832"/>
    <mergeCell ref="D831:D832"/>
    <mergeCell ref="E831:E832"/>
    <mergeCell ref="F831:F832"/>
    <mergeCell ref="G831:G832"/>
    <mergeCell ref="H831:H832"/>
    <mergeCell ref="I831:I832"/>
    <mergeCell ref="J831:J832"/>
    <mergeCell ref="I823:I824"/>
    <mergeCell ref="J823:J824"/>
    <mergeCell ref="K823:K824"/>
    <mergeCell ref="C827:C829"/>
    <mergeCell ref="D827:D829"/>
    <mergeCell ref="E827:E829"/>
    <mergeCell ref="F827:F829"/>
    <mergeCell ref="G827:G829"/>
    <mergeCell ref="H827:H829"/>
    <mergeCell ref="I827:I829"/>
    <mergeCell ref="B814:F814"/>
    <mergeCell ref="M814:R814"/>
    <mergeCell ref="B815:N815"/>
    <mergeCell ref="B816:B832"/>
    <mergeCell ref="L817:R817"/>
    <mergeCell ref="C819:C820"/>
    <mergeCell ref="D819:D820"/>
    <mergeCell ref="E819:E820"/>
    <mergeCell ref="F819:F820"/>
    <mergeCell ref="G819:G820"/>
    <mergeCell ref="N807:N808"/>
    <mergeCell ref="O807:O808"/>
    <mergeCell ref="P807:P808"/>
    <mergeCell ref="Q807:Q808"/>
    <mergeCell ref="R807:R808"/>
    <mergeCell ref="L809:R809"/>
    <mergeCell ref="H807:H808"/>
    <mergeCell ref="I807:I808"/>
    <mergeCell ref="J807:J808"/>
    <mergeCell ref="K807:K808"/>
    <mergeCell ref="L807:L808"/>
    <mergeCell ref="M807:M808"/>
    <mergeCell ref="H821:H822"/>
    <mergeCell ref="I821:I822"/>
    <mergeCell ref="J821:J822"/>
    <mergeCell ref="K821:K822"/>
    <mergeCell ref="C823:C824"/>
    <mergeCell ref="D823:D824"/>
    <mergeCell ref="E823:E824"/>
    <mergeCell ref="F823:F824"/>
    <mergeCell ref="G823:G824"/>
    <mergeCell ref="H823:H824"/>
    <mergeCell ref="K802:K803"/>
    <mergeCell ref="B805:F805"/>
    <mergeCell ref="M805:R805"/>
    <mergeCell ref="B806:R806"/>
    <mergeCell ref="B807:B813"/>
    <mergeCell ref="C807:C808"/>
    <mergeCell ref="D807:D808"/>
    <mergeCell ref="E807:E808"/>
    <mergeCell ref="F807:F808"/>
    <mergeCell ref="G807:G808"/>
    <mergeCell ref="J800:J801"/>
    <mergeCell ref="K800:K801"/>
    <mergeCell ref="C802:C803"/>
    <mergeCell ref="D802:D803"/>
    <mergeCell ref="E802:E803"/>
    <mergeCell ref="F802:F803"/>
    <mergeCell ref="G802:G803"/>
    <mergeCell ref="H802:H803"/>
    <mergeCell ref="I802:I803"/>
    <mergeCell ref="J802:J803"/>
    <mergeCell ref="M788:M789"/>
    <mergeCell ref="N788:N789"/>
    <mergeCell ref="I797:I799"/>
    <mergeCell ref="J797:J799"/>
    <mergeCell ref="K797:K799"/>
    <mergeCell ref="C800:C801"/>
    <mergeCell ref="D800:D801"/>
    <mergeCell ref="E800:E801"/>
    <mergeCell ref="F800:F801"/>
    <mergeCell ref="G800:G801"/>
    <mergeCell ref="H800:H801"/>
    <mergeCell ref="I800:I801"/>
    <mergeCell ref="K793:K794"/>
    <mergeCell ref="C795:C796"/>
    <mergeCell ref="D795:D796"/>
    <mergeCell ref="E795:E796"/>
    <mergeCell ref="C797:C799"/>
    <mergeCell ref="D797:D799"/>
    <mergeCell ref="E797:E799"/>
    <mergeCell ref="F797:F799"/>
    <mergeCell ref="G797:G799"/>
    <mergeCell ref="H797:H799"/>
    <mergeCell ref="F788:F789"/>
    <mergeCell ref="G788:G789"/>
    <mergeCell ref="H788:H789"/>
    <mergeCell ref="I786:I787"/>
    <mergeCell ref="J786:J787"/>
    <mergeCell ref="K786:K787"/>
    <mergeCell ref="L786:L787"/>
    <mergeCell ref="M786:M787"/>
    <mergeCell ref="N786:N787"/>
    <mergeCell ref="C786:C787"/>
    <mergeCell ref="D786:D787"/>
    <mergeCell ref="E786:E787"/>
    <mergeCell ref="F786:F787"/>
    <mergeCell ref="G786:G787"/>
    <mergeCell ref="H786:H787"/>
    <mergeCell ref="B792:R792"/>
    <mergeCell ref="B793:B804"/>
    <mergeCell ref="C793:C794"/>
    <mergeCell ref="D793:D794"/>
    <mergeCell ref="E793:E794"/>
    <mergeCell ref="F793:F794"/>
    <mergeCell ref="G793:G794"/>
    <mergeCell ref="H793:H794"/>
    <mergeCell ref="I793:I794"/>
    <mergeCell ref="J793:J794"/>
    <mergeCell ref="O788:O789"/>
    <mergeCell ref="P788:P789"/>
    <mergeCell ref="Q788:Q789"/>
    <mergeCell ref="R788:R789"/>
    <mergeCell ref="B791:F791"/>
    <mergeCell ref="M791:R791"/>
    <mergeCell ref="I788:I789"/>
    <mergeCell ref="J788:J789"/>
    <mergeCell ref="K788:K789"/>
    <mergeCell ref="L788:L789"/>
    <mergeCell ref="C784:C785"/>
    <mergeCell ref="D784:D785"/>
    <mergeCell ref="E784:E785"/>
    <mergeCell ref="F784:F785"/>
    <mergeCell ref="G784:G785"/>
    <mergeCell ref="H784:H785"/>
    <mergeCell ref="I784:I785"/>
    <mergeCell ref="J784:J785"/>
    <mergeCell ref="K784:K785"/>
    <mergeCell ref="I771:I772"/>
    <mergeCell ref="J771:J772"/>
    <mergeCell ref="K771:K772"/>
    <mergeCell ref="B773:F773"/>
    <mergeCell ref="B774:R774"/>
    <mergeCell ref="B775:B790"/>
    <mergeCell ref="C782:C783"/>
    <mergeCell ref="D782:D783"/>
    <mergeCell ref="E782:E783"/>
    <mergeCell ref="F782:F783"/>
    <mergeCell ref="C771:C772"/>
    <mergeCell ref="D771:D772"/>
    <mergeCell ref="E771:E772"/>
    <mergeCell ref="F771:F772"/>
    <mergeCell ref="G771:G772"/>
    <mergeCell ref="H771:H772"/>
    <mergeCell ref="O786:O787"/>
    <mergeCell ref="P786:P787"/>
    <mergeCell ref="Q786:Q787"/>
    <mergeCell ref="R786:R787"/>
    <mergeCell ref="C788:C789"/>
    <mergeCell ref="D788:D789"/>
    <mergeCell ref="E788:E789"/>
    <mergeCell ref="J760:J761"/>
    <mergeCell ref="K760:K761"/>
    <mergeCell ref="C762:C763"/>
    <mergeCell ref="D762:D763"/>
    <mergeCell ref="E762:E763"/>
    <mergeCell ref="F762:F763"/>
    <mergeCell ref="I758:I759"/>
    <mergeCell ref="J758:J759"/>
    <mergeCell ref="K758:K759"/>
    <mergeCell ref="C760:C761"/>
    <mergeCell ref="D760:D761"/>
    <mergeCell ref="E760:E761"/>
    <mergeCell ref="F760:F761"/>
    <mergeCell ref="G760:G761"/>
    <mergeCell ref="H760:H761"/>
    <mergeCell ref="I760:I761"/>
    <mergeCell ref="K782:K783"/>
    <mergeCell ref="E728:E729"/>
    <mergeCell ref="F728:F729"/>
    <mergeCell ref="G728:G729"/>
    <mergeCell ref="H728:H729"/>
    <mergeCell ref="H754:H755"/>
    <mergeCell ref="I754:I755"/>
    <mergeCell ref="J754:J755"/>
    <mergeCell ref="K754:K755"/>
    <mergeCell ref="C758:C759"/>
    <mergeCell ref="D758:D759"/>
    <mergeCell ref="E758:E759"/>
    <mergeCell ref="F758:F759"/>
    <mergeCell ref="G758:G759"/>
    <mergeCell ref="H758:H759"/>
    <mergeCell ref="B745:B747"/>
    <mergeCell ref="B748:F748"/>
    <mergeCell ref="B749:F749"/>
    <mergeCell ref="B750:R750"/>
    <mergeCell ref="B751:B772"/>
    <mergeCell ref="C754:C755"/>
    <mergeCell ref="D754:D755"/>
    <mergeCell ref="E754:E755"/>
    <mergeCell ref="F754:F755"/>
    <mergeCell ref="G754:G755"/>
    <mergeCell ref="C765:C766"/>
    <mergeCell ref="D765:D766"/>
    <mergeCell ref="E765:E766"/>
    <mergeCell ref="F765:F766"/>
    <mergeCell ref="C767:C768"/>
    <mergeCell ref="D767:D768"/>
    <mergeCell ref="E767:E768"/>
    <mergeCell ref="F767:F768"/>
    <mergeCell ref="G719:G721"/>
    <mergeCell ref="H719:H721"/>
    <mergeCell ref="I719:I721"/>
    <mergeCell ref="J719:J721"/>
    <mergeCell ref="K735:K736"/>
    <mergeCell ref="B738:F738"/>
    <mergeCell ref="B739:R739"/>
    <mergeCell ref="B740:B742"/>
    <mergeCell ref="B743:F743"/>
    <mergeCell ref="B744:R744"/>
    <mergeCell ref="K731:K732"/>
    <mergeCell ref="L733:R733"/>
    <mergeCell ref="C735:C736"/>
    <mergeCell ref="D735:D736"/>
    <mergeCell ref="E735:E736"/>
    <mergeCell ref="F735:F736"/>
    <mergeCell ref="G735:G736"/>
    <mergeCell ref="H735:H736"/>
    <mergeCell ref="I735:I736"/>
    <mergeCell ref="J735:J736"/>
    <mergeCell ref="J728:J729"/>
    <mergeCell ref="K728:K729"/>
    <mergeCell ref="C731:C732"/>
    <mergeCell ref="D731:D732"/>
    <mergeCell ref="E731:E732"/>
    <mergeCell ref="F731:F732"/>
    <mergeCell ref="G731:G732"/>
    <mergeCell ref="H731:H732"/>
    <mergeCell ref="I731:I732"/>
    <mergeCell ref="J731:J732"/>
    <mergeCell ref="C728:C729"/>
    <mergeCell ref="D728:D729"/>
    <mergeCell ref="O714:O715"/>
    <mergeCell ref="P714:P715"/>
    <mergeCell ref="Q714:Q715"/>
    <mergeCell ref="R714:R715"/>
    <mergeCell ref="G714:G715"/>
    <mergeCell ref="H714:H715"/>
    <mergeCell ref="I714:I715"/>
    <mergeCell ref="J714:J715"/>
    <mergeCell ref="K714:K715"/>
    <mergeCell ref="L714:L715"/>
    <mergeCell ref="I725:I727"/>
    <mergeCell ref="J725:J727"/>
    <mergeCell ref="K725:K727"/>
    <mergeCell ref="J707:J710"/>
    <mergeCell ref="K707:K710"/>
    <mergeCell ref="I728:I729"/>
    <mergeCell ref="C725:C727"/>
    <mergeCell ref="D725:D727"/>
    <mergeCell ref="E725:E727"/>
    <mergeCell ref="F725:F727"/>
    <mergeCell ref="G725:G727"/>
    <mergeCell ref="H725:H727"/>
    <mergeCell ref="K719:K721"/>
    <mergeCell ref="C722:C724"/>
    <mergeCell ref="D722:D724"/>
    <mergeCell ref="E722:E724"/>
    <mergeCell ref="F722:F724"/>
    <mergeCell ref="G722:G724"/>
    <mergeCell ref="H722:H724"/>
    <mergeCell ref="I722:I724"/>
    <mergeCell ref="J722:J724"/>
    <mergeCell ref="K722:K724"/>
    <mergeCell ref="B712:F712"/>
    <mergeCell ref="M712:R712"/>
    <mergeCell ref="B713:R713"/>
    <mergeCell ref="B714:B737"/>
    <mergeCell ref="C714:C715"/>
    <mergeCell ref="D714:D715"/>
    <mergeCell ref="E714:E715"/>
    <mergeCell ref="F714:F715"/>
    <mergeCell ref="I703:I706"/>
    <mergeCell ref="J703:J706"/>
    <mergeCell ref="K703:K706"/>
    <mergeCell ref="C707:C710"/>
    <mergeCell ref="D707:D710"/>
    <mergeCell ref="E707:E710"/>
    <mergeCell ref="F707:F710"/>
    <mergeCell ref="G707:G710"/>
    <mergeCell ref="H707:H710"/>
    <mergeCell ref="I707:I710"/>
    <mergeCell ref="C703:C706"/>
    <mergeCell ref="D703:D706"/>
    <mergeCell ref="E703:E706"/>
    <mergeCell ref="F703:F706"/>
    <mergeCell ref="G703:G706"/>
    <mergeCell ref="H703:H706"/>
    <mergeCell ref="L716:R716"/>
    <mergeCell ref="L717:R717"/>
    <mergeCell ref="C719:C721"/>
    <mergeCell ref="D719:D721"/>
    <mergeCell ref="E719:E721"/>
    <mergeCell ref="F719:F721"/>
    <mergeCell ref="M714:M715"/>
    <mergeCell ref="N714:N715"/>
    <mergeCell ref="K692:K694"/>
    <mergeCell ref="C697:C701"/>
    <mergeCell ref="D697:D701"/>
    <mergeCell ref="E697:E701"/>
    <mergeCell ref="F697:F701"/>
    <mergeCell ref="G697:G701"/>
    <mergeCell ref="H697:H701"/>
    <mergeCell ref="I697:I701"/>
    <mergeCell ref="J697:J701"/>
    <mergeCell ref="K697:K701"/>
    <mergeCell ref="J689:J691"/>
    <mergeCell ref="K689:K691"/>
    <mergeCell ref="C692:C694"/>
    <mergeCell ref="D692:D694"/>
    <mergeCell ref="E692:E694"/>
    <mergeCell ref="F692:F694"/>
    <mergeCell ref="G692:G694"/>
    <mergeCell ref="H692:H694"/>
    <mergeCell ref="I692:I694"/>
    <mergeCell ref="J692:J694"/>
    <mergeCell ref="I686:I687"/>
    <mergeCell ref="J686:J687"/>
    <mergeCell ref="K686:K687"/>
    <mergeCell ref="C689:C691"/>
    <mergeCell ref="D689:D691"/>
    <mergeCell ref="E689:E691"/>
    <mergeCell ref="F689:F691"/>
    <mergeCell ref="G689:G691"/>
    <mergeCell ref="H689:H691"/>
    <mergeCell ref="I689:I691"/>
    <mergeCell ref="C686:C687"/>
    <mergeCell ref="D686:D687"/>
    <mergeCell ref="E686:E687"/>
    <mergeCell ref="F686:F687"/>
    <mergeCell ref="G686:G687"/>
    <mergeCell ref="H686:H687"/>
    <mergeCell ref="K677:K682"/>
    <mergeCell ref="C683:C685"/>
    <mergeCell ref="D683:D685"/>
    <mergeCell ref="E683:E685"/>
    <mergeCell ref="F683:F685"/>
    <mergeCell ref="G683:G685"/>
    <mergeCell ref="H683:H685"/>
    <mergeCell ref="I683:I685"/>
    <mergeCell ref="J683:J685"/>
    <mergeCell ref="K683:K685"/>
    <mergeCell ref="J675:J676"/>
    <mergeCell ref="K675:K676"/>
    <mergeCell ref="C677:C682"/>
    <mergeCell ref="D677:D682"/>
    <mergeCell ref="E677:E682"/>
    <mergeCell ref="F677:F682"/>
    <mergeCell ref="G677:G682"/>
    <mergeCell ref="H677:H682"/>
    <mergeCell ref="I677:I682"/>
    <mergeCell ref="J677:J682"/>
    <mergeCell ref="J671:J674"/>
    <mergeCell ref="K671:K674"/>
    <mergeCell ref="C675:C676"/>
    <mergeCell ref="D675:D676"/>
    <mergeCell ref="E675:E676"/>
    <mergeCell ref="F675:F676"/>
    <mergeCell ref="G675:G676"/>
    <mergeCell ref="H675:H676"/>
    <mergeCell ref="I675:I676"/>
    <mergeCell ref="L672:L673"/>
    <mergeCell ref="I667:I669"/>
    <mergeCell ref="J667:J669"/>
    <mergeCell ref="K667:K669"/>
    <mergeCell ref="C671:C674"/>
    <mergeCell ref="D671:D674"/>
    <mergeCell ref="E671:E674"/>
    <mergeCell ref="F671:F674"/>
    <mergeCell ref="G671:G674"/>
    <mergeCell ref="H671:H674"/>
    <mergeCell ref="I671:I674"/>
    <mergeCell ref="C667:C669"/>
    <mergeCell ref="D667:D669"/>
    <mergeCell ref="E667:E669"/>
    <mergeCell ref="F667:F669"/>
    <mergeCell ref="G667:G669"/>
    <mergeCell ref="H667:H669"/>
    <mergeCell ref="J655:J660"/>
    <mergeCell ref="K655:K660"/>
    <mergeCell ref="D661:D666"/>
    <mergeCell ref="E661:E666"/>
    <mergeCell ref="F661:F666"/>
    <mergeCell ref="G661:G666"/>
    <mergeCell ref="H661:H666"/>
    <mergeCell ref="I661:I666"/>
    <mergeCell ref="J661:J666"/>
    <mergeCell ref="K661:K666"/>
    <mergeCell ref="I652:I654"/>
    <mergeCell ref="J652:J654"/>
    <mergeCell ref="K652:K654"/>
    <mergeCell ref="C655:C660"/>
    <mergeCell ref="D655:D660"/>
    <mergeCell ref="E655:E660"/>
    <mergeCell ref="F655:F660"/>
    <mergeCell ref="G655:G660"/>
    <mergeCell ref="H655:H660"/>
    <mergeCell ref="I655:I660"/>
    <mergeCell ref="C652:C654"/>
    <mergeCell ref="D652:D654"/>
    <mergeCell ref="E652:E654"/>
    <mergeCell ref="F652:F654"/>
    <mergeCell ref="G652:G654"/>
    <mergeCell ref="H652:H654"/>
    <mergeCell ref="K644:K645"/>
    <mergeCell ref="C646:C650"/>
    <mergeCell ref="E646:E650"/>
    <mergeCell ref="F646:F650"/>
    <mergeCell ref="G646:G650"/>
    <mergeCell ref="H646:H650"/>
    <mergeCell ref="I646:I650"/>
    <mergeCell ref="J646:J650"/>
    <mergeCell ref="K646:K650"/>
    <mergeCell ref="D647:D648"/>
    <mergeCell ref="J642:J643"/>
    <mergeCell ref="K642:K643"/>
    <mergeCell ref="C644:C645"/>
    <mergeCell ref="D644:D645"/>
    <mergeCell ref="E644:E645"/>
    <mergeCell ref="F644:F645"/>
    <mergeCell ref="G644:G645"/>
    <mergeCell ref="H644:H645"/>
    <mergeCell ref="I644:I645"/>
    <mergeCell ref="J644:J645"/>
    <mergeCell ref="I639:I640"/>
    <mergeCell ref="J639:J640"/>
    <mergeCell ref="K639:K640"/>
    <mergeCell ref="C642:C643"/>
    <mergeCell ref="D642:D643"/>
    <mergeCell ref="E642:E643"/>
    <mergeCell ref="F642:F643"/>
    <mergeCell ref="G642:G643"/>
    <mergeCell ref="H642:H643"/>
    <mergeCell ref="I642:I643"/>
    <mergeCell ref="C639:C640"/>
    <mergeCell ref="D639:D640"/>
    <mergeCell ref="E639:E640"/>
    <mergeCell ref="F639:F640"/>
    <mergeCell ref="G639:G640"/>
    <mergeCell ref="H639:H640"/>
    <mergeCell ref="K633:K634"/>
    <mergeCell ref="C635:C637"/>
    <mergeCell ref="D635:D637"/>
    <mergeCell ref="E635:E637"/>
    <mergeCell ref="F635:F637"/>
    <mergeCell ref="G635:G637"/>
    <mergeCell ref="H635:H637"/>
    <mergeCell ref="I635:I637"/>
    <mergeCell ref="J635:J637"/>
    <mergeCell ref="K635:K637"/>
    <mergeCell ref="J610:J618"/>
    <mergeCell ref="J628:J632"/>
    <mergeCell ref="K628:K632"/>
    <mergeCell ref="C633:C634"/>
    <mergeCell ref="D633:D634"/>
    <mergeCell ref="E633:E634"/>
    <mergeCell ref="F633:F634"/>
    <mergeCell ref="G633:G634"/>
    <mergeCell ref="H633:H634"/>
    <mergeCell ref="I633:I634"/>
    <mergeCell ref="J633:J634"/>
    <mergeCell ref="I622:I627"/>
    <mergeCell ref="J622:J627"/>
    <mergeCell ref="K622:K627"/>
    <mergeCell ref="C628:C632"/>
    <mergeCell ref="D628:D632"/>
    <mergeCell ref="E628:E632"/>
    <mergeCell ref="F628:F632"/>
    <mergeCell ref="G628:G632"/>
    <mergeCell ref="H628:H632"/>
    <mergeCell ref="I628:I632"/>
    <mergeCell ref="C622:C627"/>
    <mergeCell ref="D622:D627"/>
    <mergeCell ref="E622:E627"/>
    <mergeCell ref="F622:F627"/>
    <mergeCell ref="G622:G627"/>
    <mergeCell ref="H622:H627"/>
    <mergeCell ref="G595:G599"/>
    <mergeCell ref="H595:H599"/>
    <mergeCell ref="I595:I599"/>
    <mergeCell ref="J595:J599"/>
    <mergeCell ref="K595:K599"/>
    <mergeCell ref="C595:C597"/>
    <mergeCell ref="E595:E597"/>
    <mergeCell ref="H579:H584"/>
    <mergeCell ref="I579:I584"/>
    <mergeCell ref="J579:J584"/>
    <mergeCell ref="K579:K584"/>
    <mergeCell ref="C585:C587"/>
    <mergeCell ref="D585:D587"/>
    <mergeCell ref="F595:F599"/>
    <mergeCell ref="D595:D599"/>
    <mergeCell ref="K610:K618"/>
    <mergeCell ref="C619:C621"/>
    <mergeCell ref="D619:D621"/>
    <mergeCell ref="E619:E621"/>
    <mergeCell ref="F619:F621"/>
    <mergeCell ref="G619:G621"/>
    <mergeCell ref="H619:H621"/>
    <mergeCell ref="I619:I621"/>
    <mergeCell ref="J619:J621"/>
    <mergeCell ref="K619:K621"/>
    <mergeCell ref="C610:C618"/>
    <mergeCell ref="D610:D618"/>
    <mergeCell ref="E610:E618"/>
    <mergeCell ref="F610:F618"/>
    <mergeCell ref="G610:G618"/>
    <mergeCell ref="H610:H618"/>
    <mergeCell ref="I610:I618"/>
    <mergeCell ref="B570:F570"/>
    <mergeCell ref="B571:R571"/>
    <mergeCell ref="B572:B573"/>
    <mergeCell ref="B574:F574"/>
    <mergeCell ref="B575:R575"/>
    <mergeCell ref="C579:C584"/>
    <mergeCell ref="D579:D584"/>
    <mergeCell ref="E579:E584"/>
    <mergeCell ref="F579:F584"/>
    <mergeCell ref="G579:G584"/>
    <mergeCell ref="I553:I554"/>
    <mergeCell ref="J553:J554"/>
    <mergeCell ref="K553:K554"/>
    <mergeCell ref="B558:F558"/>
    <mergeCell ref="B559:R559"/>
    <mergeCell ref="B560:B569"/>
    <mergeCell ref="C553:C554"/>
    <mergeCell ref="D553:D554"/>
    <mergeCell ref="E553:E554"/>
    <mergeCell ref="F553:F554"/>
    <mergeCell ref="G553:G554"/>
    <mergeCell ref="H553:H554"/>
    <mergeCell ref="B576:B711"/>
    <mergeCell ref="K603:K609"/>
    <mergeCell ref="C603:C609"/>
    <mergeCell ref="D603:D609"/>
    <mergeCell ref="E603:E609"/>
    <mergeCell ref="F603:F609"/>
    <mergeCell ref="G603:G609"/>
    <mergeCell ref="H603:H609"/>
    <mergeCell ref="I603:I609"/>
    <mergeCell ref="J603:J609"/>
    <mergeCell ref="B352:F352"/>
    <mergeCell ref="B353:R353"/>
    <mergeCell ref="K540:K541"/>
    <mergeCell ref="C542:C552"/>
    <mergeCell ref="D542:D552"/>
    <mergeCell ref="E542:E552"/>
    <mergeCell ref="F542:F552"/>
    <mergeCell ref="G542:G552"/>
    <mergeCell ref="H542:H552"/>
    <mergeCell ref="I542:I552"/>
    <mergeCell ref="J542:J552"/>
    <mergeCell ref="K542:K552"/>
    <mergeCell ref="J528:J538"/>
    <mergeCell ref="K528:K538"/>
    <mergeCell ref="C540:C541"/>
    <mergeCell ref="D540:D541"/>
    <mergeCell ref="E540:E541"/>
    <mergeCell ref="F540:F541"/>
    <mergeCell ref="G540:G541"/>
    <mergeCell ref="H540:H541"/>
    <mergeCell ref="I540:I541"/>
    <mergeCell ref="J540:J541"/>
    <mergeCell ref="G406:G409"/>
    <mergeCell ref="H406:H409"/>
    <mergeCell ref="I406:I409"/>
    <mergeCell ref="J406:J409"/>
    <mergeCell ref="C410:C412"/>
    <mergeCell ref="D410:D412"/>
    <mergeCell ref="E410:E412"/>
    <mergeCell ref="F410:F412"/>
    <mergeCell ref="G410:G412"/>
    <mergeCell ref="C406:C409"/>
    <mergeCell ref="O333:R333"/>
    <mergeCell ref="O334:R334"/>
    <mergeCell ref="C335:C339"/>
    <mergeCell ref="D335:D339"/>
    <mergeCell ref="E335:E339"/>
    <mergeCell ref="F335:F339"/>
    <mergeCell ref="G335:G339"/>
    <mergeCell ref="C331:C334"/>
    <mergeCell ref="D331:D334"/>
    <mergeCell ref="E331:E334"/>
    <mergeCell ref="F331:F334"/>
    <mergeCell ref="G331:G334"/>
    <mergeCell ref="H331:H334"/>
    <mergeCell ref="B392:F392"/>
    <mergeCell ref="B526:R526"/>
    <mergeCell ref="B527:B557"/>
    <mergeCell ref="C528:C538"/>
    <mergeCell ref="D528:D538"/>
    <mergeCell ref="E528:E538"/>
    <mergeCell ref="F528:F538"/>
    <mergeCell ref="G528:G538"/>
    <mergeCell ref="H528:H538"/>
    <mergeCell ref="I528:I538"/>
    <mergeCell ref="B354:B358"/>
    <mergeCell ref="B359:F359"/>
    <mergeCell ref="M359:R359"/>
    <mergeCell ref="B360:R360"/>
    <mergeCell ref="B361:B390"/>
    <mergeCell ref="B391:F391"/>
    <mergeCell ref="H340:H344"/>
    <mergeCell ref="I340:I344"/>
    <mergeCell ref="J340:J344"/>
    <mergeCell ref="C321:C323"/>
    <mergeCell ref="D321:D323"/>
    <mergeCell ref="E321:E323"/>
    <mergeCell ref="F321:F323"/>
    <mergeCell ref="G321:G323"/>
    <mergeCell ref="H321:H323"/>
    <mergeCell ref="I321:I323"/>
    <mergeCell ref="J321:J323"/>
    <mergeCell ref="H335:H339"/>
    <mergeCell ref="I335:I339"/>
    <mergeCell ref="J335:J339"/>
    <mergeCell ref="K335:K339"/>
    <mergeCell ref="M337:M339"/>
    <mergeCell ref="C340:C344"/>
    <mergeCell ref="D340:D344"/>
    <mergeCell ref="E340:E344"/>
    <mergeCell ref="F340:F344"/>
    <mergeCell ref="G340:G344"/>
    <mergeCell ref="I331:I334"/>
    <mergeCell ref="J331:J334"/>
    <mergeCell ref="K331:K334"/>
    <mergeCell ref="K340:K344"/>
    <mergeCell ref="I315:I318"/>
    <mergeCell ref="J315:J318"/>
    <mergeCell ref="K315:K318"/>
    <mergeCell ref="C319:C320"/>
    <mergeCell ref="D319:D320"/>
    <mergeCell ref="E319:E320"/>
    <mergeCell ref="F319:F320"/>
    <mergeCell ref="G319:G320"/>
    <mergeCell ref="H319:H320"/>
    <mergeCell ref="I319:I320"/>
    <mergeCell ref="B312:F312"/>
    <mergeCell ref="B313:R313"/>
    <mergeCell ref="B314:R314"/>
    <mergeCell ref="B315:B351"/>
    <mergeCell ref="C315:C318"/>
    <mergeCell ref="D315:D318"/>
    <mergeCell ref="E315:E318"/>
    <mergeCell ref="F315:F318"/>
    <mergeCell ref="G315:G318"/>
    <mergeCell ref="H315:H318"/>
    <mergeCell ref="K321:K323"/>
    <mergeCell ref="C324:C327"/>
    <mergeCell ref="D324:D327"/>
    <mergeCell ref="E324:E327"/>
    <mergeCell ref="F324:F327"/>
    <mergeCell ref="G324:G327"/>
    <mergeCell ref="H324:H327"/>
    <mergeCell ref="I324:I327"/>
    <mergeCell ref="J324:J327"/>
    <mergeCell ref="K324:K327"/>
    <mergeCell ref="J319:J320"/>
    <mergeCell ref="K319:K320"/>
    <mergeCell ref="B303:F303"/>
    <mergeCell ref="B304:R304"/>
    <mergeCell ref="B305:B311"/>
    <mergeCell ref="C300:C301"/>
    <mergeCell ref="D300:D301"/>
    <mergeCell ref="E300:E301"/>
    <mergeCell ref="F300:F301"/>
    <mergeCell ref="G300:G301"/>
    <mergeCell ref="H300:H301"/>
    <mergeCell ref="M291:M292"/>
    <mergeCell ref="N291:N292"/>
    <mergeCell ref="O291:O292"/>
    <mergeCell ref="P291:P292"/>
    <mergeCell ref="Q291:Q292"/>
    <mergeCell ref="R291:R292"/>
    <mergeCell ref="G291:G292"/>
    <mergeCell ref="H291:H292"/>
    <mergeCell ref="I291:I292"/>
    <mergeCell ref="J291:J292"/>
    <mergeCell ref="K291:K292"/>
    <mergeCell ref="L291:L292"/>
    <mergeCell ref="B288:F288"/>
    <mergeCell ref="B289:F289"/>
    <mergeCell ref="B290:R290"/>
    <mergeCell ref="B291:B302"/>
    <mergeCell ref="C291:C292"/>
    <mergeCell ref="D291:D292"/>
    <mergeCell ref="E291:E292"/>
    <mergeCell ref="F291:F292"/>
    <mergeCell ref="P282:P283"/>
    <mergeCell ref="Q282:Q283"/>
    <mergeCell ref="R282:R283"/>
    <mergeCell ref="C284:C285"/>
    <mergeCell ref="D284:D285"/>
    <mergeCell ref="E284:E285"/>
    <mergeCell ref="F284:F285"/>
    <mergeCell ref="G284:G285"/>
    <mergeCell ref="H284:H285"/>
    <mergeCell ref="I284:I285"/>
    <mergeCell ref="J282:J283"/>
    <mergeCell ref="K282:K283"/>
    <mergeCell ref="L282:L283"/>
    <mergeCell ref="M282:M283"/>
    <mergeCell ref="N282:N283"/>
    <mergeCell ref="O282:O283"/>
    <mergeCell ref="I300:I301"/>
    <mergeCell ref="J300:J301"/>
    <mergeCell ref="K300:K301"/>
    <mergeCell ref="B280:F280"/>
    <mergeCell ref="B281:P281"/>
    <mergeCell ref="B282:B287"/>
    <mergeCell ref="C282:C283"/>
    <mergeCell ref="D282:D283"/>
    <mergeCell ref="E282:E283"/>
    <mergeCell ref="F282:F283"/>
    <mergeCell ref="G282:G283"/>
    <mergeCell ref="H282:H283"/>
    <mergeCell ref="I282:I283"/>
    <mergeCell ref="B236:B240"/>
    <mergeCell ref="B241:F241"/>
    <mergeCell ref="B242:P242"/>
    <mergeCell ref="B243:B266"/>
    <mergeCell ref="B267:B279"/>
    <mergeCell ref="L272:R272"/>
    <mergeCell ref="O232:O233"/>
    <mergeCell ref="P232:P233"/>
    <mergeCell ref="Q232:Q233"/>
    <mergeCell ref="R232:R233"/>
    <mergeCell ref="B234:F234"/>
    <mergeCell ref="B235:P235"/>
    <mergeCell ref="I232:I233"/>
    <mergeCell ref="J232:J233"/>
    <mergeCell ref="K232:K233"/>
    <mergeCell ref="L232:L233"/>
    <mergeCell ref="M232:M233"/>
    <mergeCell ref="N232:N233"/>
    <mergeCell ref="J284:J285"/>
    <mergeCell ref="K284:K285"/>
    <mergeCell ref="O230:O231"/>
    <mergeCell ref="P230:P231"/>
    <mergeCell ref="Q230:Q231"/>
    <mergeCell ref="R230:R231"/>
    <mergeCell ref="C232:C233"/>
    <mergeCell ref="D232:D233"/>
    <mergeCell ref="E232:E233"/>
    <mergeCell ref="F232:F233"/>
    <mergeCell ref="G232:G233"/>
    <mergeCell ref="H232:H233"/>
    <mergeCell ref="I230:I231"/>
    <mergeCell ref="J230:J231"/>
    <mergeCell ref="K230:K231"/>
    <mergeCell ref="L230:L231"/>
    <mergeCell ref="M230:M231"/>
    <mergeCell ref="N230:N231"/>
    <mergeCell ref="O228:O229"/>
    <mergeCell ref="P228:P229"/>
    <mergeCell ref="Q228:Q229"/>
    <mergeCell ref="R228:R229"/>
    <mergeCell ref="C230:C231"/>
    <mergeCell ref="D230:D231"/>
    <mergeCell ref="E230:E231"/>
    <mergeCell ref="F230:F231"/>
    <mergeCell ref="G230:G231"/>
    <mergeCell ref="H230:H231"/>
    <mergeCell ref="I228:I229"/>
    <mergeCell ref="J228:J229"/>
    <mergeCell ref="K228:K229"/>
    <mergeCell ref="L228:L229"/>
    <mergeCell ref="M228:M229"/>
    <mergeCell ref="N228:N229"/>
    <mergeCell ref="O226:O227"/>
    <mergeCell ref="P226:P227"/>
    <mergeCell ref="Q226:Q227"/>
    <mergeCell ref="R226:R227"/>
    <mergeCell ref="C228:C229"/>
    <mergeCell ref="D228:D229"/>
    <mergeCell ref="E228:E229"/>
    <mergeCell ref="F228:F229"/>
    <mergeCell ref="G228:G229"/>
    <mergeCell ref="H228:H229"/>
    <mergeCell ref="I226:I227"/>
    <mergeCell ref="J226:J227"/>
    <mergeCell ref="K226:K227"/>
    <mergeCell ref="L226:L227"/>
    <mergeCell ref="M226:M227"/>
    <mergeCell ref="N226:N227"/>
    <mergeCell ref="H222:H225"/>
    <mergeCell ref="I222:I225"/>
    <mergeCell ref="J222:J225"/>
    <mergeCell ref="K222:K225"/>
    <mergeCell ref="C226:C227"/>
    <mergeCell ref="D226:D227"/>
    <mergeCell ref="E226:E227"/>
    <mergeCell ref="F226:F227"/>
    <mergeCell ref="G226:G227"/>
    <mergeCell ref="H226:H227"/>
    <mergeCell ref="L220:L221"/>
    <mergeCell ref="M220:M221"/>
    <mergeCell ref="O217:O218"/>
    <mergeCell ref="P217:P218"/>
    <mergeCell ref="Q217:Q218"/>
    <mergeCell ref="R217:R218"/>
    <mergeCell ref="L219:R219"/>
    <mergeCell ref="C220:C221"/>
    <mergeCell ref="D220:D221"/>
    <mergeCell ref="E220:E221"/>
    <mergeCell ref="F220:F221"/>
    <mergeCell ref="G220:G221"/>
    <mergeCell ref="I217:I218"/>
    <mergeCell ref="J217:J218"/>
    <mergeCell ref="K217:K218"/>
    <mergeCell ref="L217:L218"/>
    <mergeCell ref="M217:M218"/>
    <mergeCell ref="N217:N218"/>
    <mergeCell ref="B215:F215"/>
    <mergeCell ref="M215:R215"/>
    <mergeCell ref="B216:P216"/>
    <mergeCell ref="B217:B233"/>
    <mergeCell ref="C217:C218"/>
    <mergeCell ref="D217:D218"/>
    <mergeCell ref="E217:E218"/>
    <mergeCell ref="F217:F218"/>
    <mergeCell ref="G217:G218"/>
    <mergeCell ref="H217:H218"/>
    <mergeCell ref="B182:R182"/>
    <mergeCell ref="B183:B195"/>
    <mergeCell ref="B196:F196"/>
    <mergeCell ref="M196:R196"/>
    <mergeCell ref="B197:R197"/>
    <mergeCell ref="B198:B214"/>
    <mergeCell ref="B181:F181"/>
    <mergeCell ref="M181:R181"/>
    <mergeCell ref="N220:N221"/>
    <mergeCell ref="O220:O221"/>
    <mergeCell ref="P220:P221"/>
    <mergeCell ref="Q220:Q221"/>
    <mergeCell ref="R220:R221"/>
    <mergeCell ref="C222:C225"/>
    <mergeCell ref="D222:D225"/>
    <mergeCell ref="E222:E225"/>
    <mergeCell ref="F222:F225"/>
    <mergeCell ref="G222:G225"/>
    <mergeCell ref="H220:H221"/>
    <mergeCell ref="I220:I221"/>
    <mergeCell ref="J220:J221"/>
    <mergeCell ref="K220:K221"/>
    <mergeCell ref="B146:B149"/>
    <mergeCell ref="B150:F150"/>
    <mergeCell ref="M150:R150"/>
    <mergeCell ref="B151:S151"/>
    <mergeCell ref="B152:B180"/>
    <mergeCell ref="P141:P142"/>
    <mergeCell ref="Q141:Q142"/>
    <mergeCell ref="R141:R142"/>
    <mergeCell ref="B144:F144"/>
    <mergeCell ref="M144:R144"/>
    <mergeCell ref="B145:S145"/>
    <mergeCell ref="J141:J142"/>
    <mergeCell ref="K141:K142"/>
    <mergeCell ref="L141:L142"/>
    <mergeCell ref="M141:M142"/>
    <mergeCell ref="N141:N142"/>
    <mergeCell ref="O141:O142"/>
    <mergeCell ref="I135:I140"/>
    <mergeCell ref="J135:J140"/>
    <mergeCell ref="K135:K140"/>
    <mergeCell ref="C141:C142"/>
    <mergeCell ref="D141:D142"/>
    <mergeCell ref="E141:E142"/>
    <mergeCell ref="F141:F142"/>
    <mergeCell ref="G141:G142"/>
    <mergeCell ref="H141:H142"/>
    <mergeCell ref="I141:I142"/>
    <mergeCell ref="B131:F131"/>
    <mergeCell ref="B132:F132"/>
    <mergeCell ref="B133:S133"/>
    <mergeCell ref="B134:B143"/>
    <mergeCell ref="C135:C140"/>
    <mergeCell ref="D135:D140"/>
    <mergeCell ref="E135:E140"/>
    <mergeCell ref="F135:F140"/>
    <mergeCell ref="G135:G140"/>
    <mergeCell ref="H135:H140"/>
    <mergeCell ref="B88:S88"/>
    <mergeCell ref="B89:B94"/>
    <mergeCell ref="B95:F95"/>
    <mergeCell ref="B96:S96"/>
    <mergeCell ref="B97:B130"/>
    <mergeCell ref="L98:L99"/>
    <mergeCell ref="L104:L106"/>
    <mergeCell ref="B61:B69"/>
    <mergeCell ref="B70:F70"/>
    <mergeCell ref="B71:S71"/>
    <mergeCell ref="B72:B86"/>
    <mergeCell ref="C77:C82"/>
    <mergeCell ref="B87:F87"/>
    <mergeCell ref="I44:I52"/>
    <mergeCell ref="J44:J52"/>
    <mergeCell ref="K44:K52"/>
    <mergeCell ref="B59:F59"/>
    <mergeCell ref="M59:R59"/>
    <mergeCell ref="B60:S60"/>
    <mergeCell ref="C44:C52"/>
    <mergeCell ref="D44:D52"/>
    <mergeCell ref="E44:E52"/>
    <mergeCell ref="F44:F52"/>
    <mergeCell ref="A3:R3"/>
    <mergeCell ref="A5:A7"/>
    <mergeCell ref="B5:B7"/>
    <mergeCell ref="C5:C7"/>
    <mergeCell ref="D5:D7"/>
    <mergeCell ref="E5:E7"/>
    <mergeCell ref="F5:F7"/>
    <mergeCell ref="G5:K5"/>
    <mergeCell ref="L5:L7"/>
    <mergeCell ref="G10:G11"/>
    <mergeCell ref="H10:H11"/>
    <mergeCell ref="I10:I11"/>
    <mergeCell ref="J10:J11"/>
    <mergeCell ref="K10:K11"/>
    <mergeCell ref="B12:B13"/>
    <mergeCell ref="D12:D13"/>
    <mergeCell ref="B22:F22"/>
    <mergeCell ref="M22:R22"/>
    <mergeCell ref="H12:H13"/>
    <mergeCell ref="I12:I13"/>
    <mergeCell ref="J12:J13"/>
    <mergeCell ref="K12:K13"/>
    <mergeCell ref="B14:F14"/>
    <mergeCell ref="E12:E13"/>
    <mergeCell ref="F12:F13"/>
    <mergeCell ref="G12:G13"/>
    <mergeCell ref="M5:M7"/>
    <mergeCell ref="N5:N6"/>
    <mergeCell ref="O5:R6"/>
    <mergeCell ref="G6:K6"/>
    <mergeCell ref="B8:S8"/>
    <mergeCell ref="B10:B11"/>
    <mergeCell ref="C10:C11"/>
    <mergeCell ref="D10:D11"/>
    <mergeCell ref="E10:E11"/>
    <mergeCell ref="F10:F11"/>
    <mergeCell ref="B15:P15"/>
    <mergeCell ref="G44:G52"/>
    <mergeCell ref="H44:H52"/>
    <mergeCell ref="B28:S28"/>
    <mergeCell ref="B30:B58"/>
    <mergeCell ref="C37:C43"/>
    <mergeCell ref="D37:D43"/>
    <mergeCell ref="E37:E43"/>
    <mergeCell ref="F37:F43"/>
    <mergeCell ref="G25:G26"/>
    <mergeCell ref="H25:H26"/>
    <mergeCell ref="I25:I26"/>
    <mergeCell ref="J25:J26"/>
    <mergeCell ref="K25:K26"/>
    <mergeCell ref="B27:F27"/>
    <mergeCell ref="M14:R14"/>
    <mergeCell ref="B16:B21"/>
    <mergeCell ref="B23:S23"/>
    <mergeCell ref="L37:L43"/>
  </mergeCells>
  <printOptions horizontalCentered="1"/>
  <pageMargins left="0.59055118110236227" right="0.59055118110236227" top="0.59055118110236227" bottom="0.59055118110236227" header="0.39370078740157483" footer="0.39370078740157483"/>
  <pageSetup paperSize="9" scale="40" fitToHeight="0" orientation="landscape" r:id="rId1"/>
  <headerFooter>
    <oddFooter>&amp;R&amp;"Times New Roman,обычный"&amp;10&amp;P</oddFooter>
  </headerFooter>
  <rowBreaks count="24" manualBreakCount="24">
    <brk id="34" min="1" max="17" man="1"/>
    <brk id="78" min="1" max="17" man="1"/>
    <brk id="110" min="1" max="17" man="1"/>
    <brk id="134" min="1" max="17" man="1"/>
    <brk id="171" min="1" max="17" man="1"/>
    <brk id="196" min="1" max="17" man="1"/>
    <brk id="241" min="1" max="17" man="1"/>
    <brk id="273" min="1" max="17" man="1"/>
    <brk id="296" min="1" max="17" man="1"/>
    <brk id="334" min="1" max="17" man="1"/>
    <brk id="370" min="1" max="17" man="1"/>
    <brk id="457" min="1" max="17" man="1"/>
    <brk id="541" min="1" max="17" man="1"/>
    <brk id="566" min="1" max="17" man="1"/>
    <brk id="602" min="1" max="17" man="1"/>
    <brk id="643" min="1" max="17" man="1"/>
    <brk id="676" min="1" max="17" man="1"/>
    <brk id="702" min="1" max="17" man="1"/>
    <brk id="733" min="1" max="17" man="1"/>
    <brk id="763" min="1" max="17" man="1"/>
    <brk id="801" min="1" max="17" man="1"/>
    <brk id="833" min="1" max="17" man="1"/>
    <brk id="863" min="1" max="17" man="1"/>
    <brk id="1035" min="1"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FF7E8F56-FCB3-4AB2-8BE5-30028217CFA7}"/>
</file>

<file path=customXml/itemProps2.xml><?xml version="1.0" encoding="utf-8"?>
<ds:datastoreItem xmlns:ds="http://schemas.openxmlformats.org/officeDocument/2006/customXml" ds:itemID="{6DE7F0FE-D344-401F-BCA8-3081F5EA06D9}"/>
</file>

<file path=customXml/itemProps3.xml><?xml version="1.0" encoding="utf-8"?>
<ds:datastoreItem xmlns:ds="http://schemas.openxmlformats.org/officeDocument/2006/customXml" ds:itemID="{04CF74FB-9C68-46FF-9D58-FFFC5BBC184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Тиркеме 11</vt:lpstr>
      <vt:lpstr>'Тиркеме 11'!Заголовки_для_печати</vt:lpstr>
      <vt:lpstr>'Тиркеме 11'!Область_печати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2022-01-21T03:27:48Z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