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25" windowWidth="14805" windowHeight="7590"/>
  </bookViews>
  <sheets>
    <sheet name="Прил 1" sheetId="9" r:id="rId1"/>
  </sheets>
  <definedNames>
    <definedName name="_xlnm.Print_Titles" localSheetId="0">'Прил 1'!$7:$7</definedName>
    <definedName name="_xlnm.Print_Area" localSheetId="0">'Прил 1'!$A$1:$H$122</definedName>
  </definedNames>
  <calcPr calcId="144525"/>
</workbook>
</file>

<file path=xl/calcChain.xml><?xml version="1.0" encoding="utf-8"?>
<calcChain xmlns="http://schemas.openxmlformats.org/spreadsheetml/2006/main">
  <c r="H68" i="9" l="1"/>
  <c r="G68" i="9"/>
  <c r="F64" i="9"/>
  <c r="H56" i="9"/>
  <c r="G56" i="9"/>
  <c r="F56" i="9"/>
  <c r="E118" i="9" l="1"/>
  <c r="E14" i="9"/>
  <c r="F110" i="9" l="1"/>
  <c r="F91" i="9"/>
  <c r="G110" i="9" l="1"/>
  <c r="F103" i="9"/>
  <c r="G91" i="9"/>
  <c r="F113" i="9"/>
  <c r="F94" i="9"/>
  <c r="H121" i="9" l="1"/>
  <c r="H120" i="9" s="1"/>
  <c r="H119" i="9" s="1"/>
  <c r="G121" i="9"/>
  <c r="G120" i="9" s="1"/>
  <c r="G119" i="9" s="1"/>
  <c r="F121" i="9"/>
  <c r="F120" i="9" s="1"/>
  <c r="F119" i="9" s="1"/>
  <c r="E121" i="9"/>
  <c r="E120" i="9" s="1"/>
  <c r="E119" i="9" s="1"/>
  <c r="D120" i="9"/>
  <c r="D119" i="9" s="1"/>
  <c r="H115" i="9"/>
  <c r="G115" i="9"/>
  <c r="F115" i="9"/>
  <c r="E115" i="9"/>
  <c r="D115" i="9"/>
  <c r="H112" i="9"/>
  <c r="G112" i="9"/>
  <c r="F112" i="9"/>
  <c r="E112" i="9"/>
  <c r="D112" i="9"/>
  <c r="H110" i="9"/>
  <c r="H109" i="9" s="1"/>
  <c r="F109" i="9"/>
  <c r="E110" i="9"/>
  <c r="E109" i="9" s="1"/>
  <c r="D110" i="9"/>
  <c r="D109" i="9" s="1"/>
  <c r="G109" i="9"/>
  <c r="H103" i="9"/>
  <c r="H102" i="9" s="1"/>
  <c r="H101" i="9" s="1"/>
  <c r="G103" i="9"/>
  <c r="G102" i="9" s="1"/>
  <c r="G101" i="9" s="1"/>
  <c r="E103" i="9"/>
  <c r="E102" i="9" s="1"/>
  <c r="E101" i="9" s="1"/>
  <c r="F102" i="9"/>
  <c r="F101" i="9" s="1"/>
  <c r="D102" i="9"/>
  <c r="D101" i="9" s="1"/>
  <c r="H98" i="9"/>
  <c r="H97" i="9" s="1"/>
  <c r="G98" i="9"/>
  <c r="F98" i="9"/>
  <c r="F97" i="9" s="1"/>
  <c r="E98" i="9"/>
  <c r="E97" i="9" s="1"/>
  <c r="D98" i="9"/>
  <c r="D97" i="9" s="1"/>
  <c r="G97" i="9"/>
  <c r="H93" i="9"/>
  <c r="G93" i="9"/>
  <c r="F93" i="9"/>
  <c r="E93" i="9"/>
  <c r="D93" i="9"/>
  <c r="H91" i="9"/>
  <c r="F90" i="9"/>
  <c r="F89" i="9" s="1"/>
  <c r="E91" i="9"/>
  <c r="E90" i="9" s="1"/>
  <c r="E89" i="9" s="1"/>
  <c r="D91" i="9"/>
  <c r="D90" i="9" s="1"/>
  <c r="D89" i="9" s="1"/>
  <c r="D88" i="9" s="1"/>
  <c r="H90" i="9"/>
  <c r="G90" i="9"/>
  <c r="H80" i="9"/>
  <c r="G80" i="9"/>
  <c r="F80" i="9"/>
  <c r="D80" i="9"/>
  <c r="D79" i="9"/>
  <c r="H77" i="9"/>
  <c r="G77" i="9"/>
  <c r="F77" i="9"/>
  <c r="D77" i="9"/>
  <c r="D76" i="9"/>
  <c r="D73" i="9" s="1"/>
  <c r="D75" i="9"/>
  <c r="H73" i="9"/>
  <c r="G73" i="9"/>
  <c r="F73" i="9"/>
  <c r="E72" i="9"/>
  <c r="E71" i="9" s="1"/>
  <c r="E85" i="9" s="1"/>
  <c r="D66" i="9"/>
  <c r="D64" i="9"/>
  <c r="H63" i="9"/>
  <c r="H62" i="9" s="1"/>
  <c r="G63" i="9"/>
  <c r="G62" i="9" s="1"/>
  <c r="F63" i="9"/>
  <c r="F62" i="9" s="1"/>
  <c r="E62" i="9"/>
  <c r="D61" i="9"/>
  <c r="H60" i="9"/>
  <c r="G60" i="9"/>
  <c r="F60" i="9"/>
  <c r="D60" i="9"/>
  <c r="D59" i="9"/>
  <c r="D58" i="9" s="1"/>
  <c r="H58" i="9"/>
  <c r="G58" i="9"/>
  <c r="F58" i="9"/>
  <c r="E57" i="9"/>
  <c r="H55" i="9"/>
  <c r="G55" i="9"/>
  <c r="F55" i="9"/>
  <c r="D55" i="9"/>
  <c r="D54" i="9"/>
  <c r="D53" i="9" s="1"/>
  <c r="H53" i="9"/>
  <c r="G53" i="9"/>
  <c r="F53" i="9"/>
  <c r="E52" i="9"/>
  <c r="H48" i="9"/>
  <c r="H47" i="9" s="1"/>
  <c r="G48" i="9"/>
  <c r="F48" i="9"/>
  <c r="F47" i="9" s="1"/>
  <c r="D48" i="9"/>
  <c r="D47" i="9" s="1"/>
  <c r="G47" i="9"/>
  <c r="E47" i="9"/>
  <c r="H44" i="9"/>
  <c r="G44" i="9"/>
  <c r="F44" i="9"/>
  <c r="D44" i="9"/>
  <c r="H42" i="9"/>
  <c r="G42" i="9"/>
  <c r="F42" i="9"/>
  <c r="D42" i="9"/>
  <c r="D41" i="9" s="1"/>
  <c r="E41" i="9"/>
  <c r="D40" i="9"/>
  <c r="D39" i="9"/>
  <c r="H38" i="9"/>
  <c r="G38" i="9"/>
  <c r="F38" i="9"/>
  <c r="D37" i="9"/>
  <c r="D36" i="9"/>
  <c r="D35" i="9"/>
  <c r="D34" i="9"/>
  <c r="D33" i="9"/>
  <c r="D32" i="9"/>
  <c r="D31" i="9"/>
  <c r="H30" i="9"/>
  <c r="G30" i="9"/>
  <c r="F30" i="9"/>
  <c r="D29" i="9"/>
  <c r="D28" i="9"/>
  <c r="D27" i="9"/>
  <c r="D26" i="9"/>
  <c r="D25" i="9"/>
  <c r="D24" i="9"/>
  <c r="D23" i="9"/>
  <c r="D22" i="9"/>
  <c r="D21" i="9"/>
  <c r="H20" i="9"/>
  <c r="G20" i="9"/>
  <c r="F20" i="9"/>
  <c r="E19" i="9"/>
  <c r="D18" i="9"/>
  <c r="D17" i="9"/>
  <c r="H16" i="9"/>
  <c r="G16" i="9"/>
  <c r="F16" i="9"/>
  <c r="E16" i="9"/>
  <c r="H8" i="9"/>
  <c r="G8" i="9"/>
  <c r="F8" i="9"/>
  <c r="E8" i="9"/>
  <c r="D8" i="9"/>
  <c r="D16" i="9" l="1"/>
  <c r="H108" i="9"/>
  <c r="H89" i="9"/>
  <c r="H88" i="9" s="1"/>
  <c r="F57" i="9"/>
  <c r="G88" i="9"/>
  <c r="G89" i="9"/>
  <c r="D108" i="9"/>
  <c r="E108" i="9"/>
  <c r="D38" i="9"/>
  <c r="D19" i="9" s="1"/>
  <c r="D15" i="9" s="1"/>
  <c r="H57" i="9"/>
  <c r="H72" i="9"/>
  <c r="H71" i="9" s="1"/>
  <c r="H85" i="9" s="1"/>
  <c r="D63" i="9"/>
  <c r="D62" i="9" s="1"/>
  <c r="D96" i="9"/>
  <c r="D105" i="9" s="1"/>
  <c r="D30" i="9"/>
  <c r="D52" i="9"/>
  <c r="G57" i="9"/>
  <c r="E96" i="9"/>
  <c r="D20" i="9"/>
  <c r="E15" i="9"/>
  <c r="E13" i="9" s="1"/>
  <c r="D57" i="9"/>
  <c r="G72" i="9"/>
  <c r="G71" i="9" s="1"/>
  <c r="G85" i="9" s="1"/>
  <c r="D72" i="9"/>
  <c r="D71" i="9" s="1"/>
  <c r="D85" i="9" s="1"/>
  <c r="E88" i="9"/>
  <c r="H96" i="9"/>
  <c r="G108" i="9"/>
  <c r="F108" i="9"/>
  <c r="H52" i="9"/>
  <c r="H19" i="9"/>
  <c r="F88" i="9"/>
  <c r="G52" i="9"/>
  <c r="G19" i="9"/>
  <c r="F72" i="9"/>
  <c r="F71" i="9" s="1"/>
  <c r="F85" i="9" s="1"/>
  <c r="F52" i="9"/>
  <c r="F19" i="9"/>
  <c r="G96" i="9"/>
  <c r="G105" i="9" s="1"/>
  <c r="F96" i="9"/>
  <c r="G41" i="9"/>
  <c r="F41" i="9"/>
  <c r="H41" i="9"/>
  <c r="E86" i="9" l="1"/>
  <c r="H105" i="9"/>
  <c r="E69" i="9"/>
  <c r="E105" i="9"/>
  <c r="H15" i="9"/>
  <c r="H69" i="9" s="1"/>
  <c r="G15" i="9"/>
  <c r="G14" i="9" s="1"/>
  <c r="G86" i="9" s="1"/>
  <c r="G106" i="9" s="1"/>
  <c r="G107" i="9" s="1"/>
  <c r="F105" i="9"/>
  <c r="F15" i="9"/>
  <c r="F69" i="9" s="1"/>
  <c r="D14" i="9"/>
  <c r="D86" i="9" s="1"/>
  <c r="D106" i="9" s="1"/>
  <c r="D107" i="9" s="1"/>
  <c r="D13" i="9"/>
  <c r="D69" i="9"/>
  <c r="E106" i="9" l="1"/>
  <c r="E107" i="9" s="1"/>
  <c r="H14" i="9"/>
  <c r="H86" i="9" s="1"/>
  <c r="H106" i="9" s="1"/>
  <c r="H107" i="9" s="1"/>
  <c r="H13" i="9"/>
  <c r="G69" i="9"/>
  <c r="G13" i="9"/>
  <c r="F13" i="9"/>
  <c r="F14" i="9"/>
  <c r="F86" i="9" s="1"/>
  <c r="F106" i="9" s="1"/>
  <c r="F107" i="9" s="1"/>
</calcChain>
</file>

<file path=xl/sharedStrings.xml><?xml version="1.0" encoding="utf-8"?>
<sst xmlns="http://schemas.openxmlformats.org/spreadsheetml/2006/main" count="132" uniqueCount="113">
  <si>
    <t>ПОТОКИ ДЕНЕЖНЫХ СРЕДСТВ В СВЯЗИ С ОПЕРАЦИОННОЙ ДЕЯТЕЛЬНОСТЬЮ</t>
  </si>
  <si>
    <t>Доходы (1)</t>
  </si>
  <si>
    <t>Налоговые доходы</t>
  </si>
  <si>
    <t>Взносы и отчисления на социальные нужды</t>
  </si>
  <si>
    <t>Полученные официальные трансферты</t>
  </si>
  <si>
    <t>Неналоговые доходы</t>
  </si>
  <si>
    <t>Всего расходы (с учетом ФА)</t>
  </si>
  <si>
    <t>Расходы (без учета ФА) (2)</t>
  </si>
  <si>
    <t>Операционные расходы</t>
  </si>
  <si>
    <t>21</t>
  </si>
  <si>
    <t>Оплата труда работников</t>
  </si>
  <si>
    <t>Заработная плата</t>
  </si>
  <si>
    <t>Взносы в Социальный фонд</t>
  </si>
  <si>
    <t>22</t>
  </si>
  <si>
    <t>Приобретение и использование товаров и услуг</t>
  </si>
  <si>
    <t>Использование товаров и услуг</t>
  </si>
  <si>
    <t>Приобретение товаров и услуг</t>
  </si>
  <si>
    <t>Коммунальные услуги</t>
  </si>
  <si>
    <t>24</t>
  </si>
  <si>
    <t>Проценты</t>
  </si>
  <si>
    <t>Проценты нерезидентам</t>
  </si>
  <si>
    <t>Проценты резидентам, кроме сектора госуправления</t>
  </si>
  <si>
    <t>25</t>
  </si>
  <si>
    <t>Субсидии</t>
  </si>
  <si>
    <t>Субсидии государственным предприятиям</t>
  </si>
  <si>
    <t>26</t>
  </si>
  <si>
    <t>Гранты и взносы</t>
  </si>
  <si>
    <t>Гранты международным организациям</t>
  </si>
  <si>
    <t>27</t>
  </si>
  <si>
    <t>Социальные пособия и выплаты</t>
  </si>
  <si>
    <t>Пособия по социальному обеспечению</t>
  </si>
  <si>
    <t>Пособия по социальной помощи населению</t>
  </si>
  <si>
    <t>Другие расходы</t>
  </si>
  <si>
    <t>Различные прочие расходы</t>
  </si>
  <si>
    <t>Чистый приток денежных средств от операционной деятельности</t>
  </si>
  <si>
    <t>ПОТОКИ ДЕНЕЖНЫХ СРЕДСТВ В СВЯЗИ С ВЛОЖЕНИЯМИ В НЕФИНАНСОВЫЕ АКТИВЫ</t>
  </si>
  <si>
    <t>Нефинансовые активы</t>
  </si>
  <si>
    <t>Приобретение</t>
  </si>
  <si>
    <t>Основные фонды</t>
  </si>
  <si>
    <t>Запасы</t>
  </si>
  <si>
    <t>Ценности</t>
  </si>
  <si>
    <t>Драгоценные металлы и камни</t>
  </si>
  <si>
    <t>Активы культурного наследия</t>
  </si>
  <si>
    <t>Земля и другие непроизведенные активы</t>
  </si>
  <si>
    <t>Продажа</t>
  </si>
  <si>
    <t>Чистый отток денежных средств в результате вложений в нефинансовые активы</t>
  </si>
  <si>
    <t>Дефицит (1-2)</t>
  </si>
  <si>
    <t>ПОТОКИ ДЕНЕЖНЫХ СРЕДСТВ В СВЯЗИ С ОПЕРАЦИЯМИ ПО ФИНАНСИРОВАНИЮ</t>
  </si>
  <si>
    <t>32</t>
  </si>
  <si>
    <t>Финансовые активы</t>
  </si>
  <si>
    <t>Внутренние финансовые активы</t>
  </si>
  <si>
    <t>Кредиты, ссуды и займы</t>
  </si>
  <si>
    <t xml:space="preserve">Приобретение </t>
  </si>
  <si>
    <t xml:space="preserve">Погашение </t>
  </si>
  <si>
    <t>Акции и другие формы участия в капитале</t>
  </si>
  <si>
    <t>Обязательства</t>
  </si>
  <si>
    <t>Внутренние обязательства</t>
  </si>
  <si>
    <t>Ценные бумаги, кроме акций</t>
  </si>
  <si>
    <t>Принятие</t>
  </si>
  <si>
    <t>Внешние обязательства</t>
  </si>
  <si>
    <t>Внешние заимствования</t>
  </si>
  <si>
    <t>Погашение</t>
  </si>
  <si>
    <t>Чистый приток денежных средств от операций по финансированию</t>
  </si>
  <si>
    <t>Чистое изменение в запасах денежных средств</t>
  </si>
  <si>
    <t xml:space="preserve">Источники покрытия дефицита </t>
  </si>
  <si>
    <t xml:space="preserve">     Внешние источники финансирования</t>
  </si>
  <si>
    <t>(Расходы по экономической классификации)</t>
  </si>
  <si>
    <t>(тыс. сом.)</t>
  </si>
  <si>
    <t>Внутренние источники финансирования</t>
  </si>
  <si>
    <t>Субсидии частным предприятиям</t>
  </si>
  <si>
    <t>РЕСПУБЛИКАНСКИЙ БЮДЖЕТ КЫРГЫЗСКОЙ РЕСПУБЛИКИ НА 2022 ГОД</t>
  </si>
  <si>
    <t>Расходы на служебные поездки</t>
  </si>
  <si>
    <t>Услуги связи</t>
  </si>
  <si>
    <t>Арендная плата</t>
  </si>
  <si>
    <t>Транспортные услуги</t>
  </si>
  <si>
    <t>Приобретение прочих товаров и услуг</t>
  </si>
  <si>
    <t>Расходы, представленные единой статьей в системе здравоохранения</t>
  </si>
  <si>
    <t>Приобретение медицинских товаров и услуг</t>
  </si>
  <si>
    <t>Приобретение продуктов питания</t>
  </si>
  <si>
    <t>Расходы, представленные единой статьей в системе высшего профессионального образования</t>
  </si>
  <si>
    <t>Расходы на текущий ремонт имущества</t>
  </si>
  <si>
    <t>Приобретение угля и других видов топлива</t>
  </si>
  <si>
    <t>Приобретение услуг охраны</t>
  </si>
  <si>
    <t>Расходы на оплату услуг банков</t>
  </si>
  <si>
    <t>Расходы по оплате услуг по выплате пенсий и пособий</t>
  </si>
  <si>
    <t>Плата за прочие коммунальные услуги</t>
  </si>
  <si>
    <t>Выплата процентов по кредитам и займам, полученным от иностранных государств и международных организаций</t>
  </si>
  <si>
    <t>Выплата процентов по государственным ценным бумагам</t>
  </si>
  <si>
    <t>Погашение задолженности населению по индексированным суммам</t>
  </si>
  <si>
    <t>Субсидии нефинансовым государственным предприятиям</t>
  </si>
  <si>
    <t>Субсидии финансовым государственным предприятиям</t>
  </si>
  <si>
    <t>Текущие взносы международным организациям</t>
  </si>
  <si>
    <t>Текущие гранты другим единицам сектора государственного управления</t>
  </si>
  <si>
    <t>Другие неклассифицированные расходы</t>
  </si>
  <si>
    <t>Капитальные различные прочие расходы</t>
  </si>
  <si>
    <t>Исполнение решений суда</t>
  </si>
  <si>
    <t>Резервные фонды</t>
  </si>
  <si>
    <t>Здания и сооружения</t>
  </si>
  <si>
    <t>Машины и оборудование</t>
  </si>
  <si>
    <t>Другие основные фонды</t>
  </si>
  <si>
    <t>Стратегические запасы</t>
  </si>
  <si>
    <t>Прочие запасы</t>
  </si>
  <si>
    <t>Накопленные финансовые резервы</t>
  </si>
  <si>
    <t xml:space="preserve">Остатки на счетах КМКР </t>
  </si>
  <si>
    <t>2021 год
(утверж. бюджет)</t>
  </si>
  <si>
    <t>2023 год
(прогноз)</t>
  </si>
  <si>
    <t>2024 год
(прогноз)</t>
  </si>
  <si>
    <t>2022 год</t>
  </si>
  <si>
    <t>2020 год
(предв. факт)</t>
  </si>
  <si>
    <t>Приобретение предметов и материалов для текущих хозяйственных целей</t>
  </si>
  <si>
    <t>Приобретение, пошив и ремонт предметов вещевого имущества и другого форменного и специального обмундирования</t>
  </si>
  <si>
    <t>Гранты другим единицам сектора государственного управления</t>
  </si>
  <si>
    <t>Приложение 1
к Закону Кыргызской Республики «О республиканском 
бюджете Кыргызской Республики на 2022 год 
и прогнозе на 2023-2024 годы»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</si>
</sst>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#,##0.0"/>
    <numFmt numFmtId="165" formatCode="#,##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Arial"/>
      <family val="2"/>
      <charset val="1"/>
    </font>
    <font>
      <sz val="8"/>
      <name val="Arial"/>
      <family val="2"/>
      <charset val="204"/>
    </font>
    <font>
      <sz val="10"/>
      <name val="Times New Roman"/>
      <family val="1"/>
    </font>
    <font>
      <sz val="10"/>
      <color indexed="8"/>
      <name val="MS Sans Serif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Times New Roman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3" fillId="0" borderId="0"/>
    <xf numFmtId="0" fontId="4" fillId="0" borderId="0"/>
    <xf numFmtId="164" fontId="5" fillId="0" borderId="0"/>
    <xf numFmtId="0" fontId="6" fillId="0" borderId="0"/>
    <xf numFmtId="44" fontId="2" fillId="0" borderId="0" applyFont="0" applyFill="0" applyBorder="0" applyAlignment="0" applyProtection="0"/>
    <xf numFmtId="0" fontId="1" fillId="0" borderId="0"/>
    <xf numFmtId="0" fontId="7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8" fillId="0" borderId="0"/>
    <xf numFmtId="0" fontId="1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61">
    <xf numFmtId="0" fontId="0" fillId="0" borderId="0" xfId="0"/>
    <xf numFmtId="0" fontId="10" fillId="2" borderId="0" xfId="1" applyFont="1" applyFill="1" applyAlignment="1">
      <alignment vertical="center"/>
    </xf>
    <xf numFmtId="0" fontId="10" fillId="2" borderId="0" xfId="1" applyFont="1" applyFill="1" applyAlignment="1">
      <alignment horizontal="left"/>
    </xf>
    <xf numFmtId="0" fontId="11" fillId="2" borderId="0" xfId="1" applyFont="1" applyFill="1" applyAlignment="1">
      <alignment horizontal="left" vertical="center"/>
    </xf>
    <xf numFmtId="0" fontId="10" fillId="2" borderId="0" xfId="1" applyFont="1" applyFill="1"/>
    <xf numFmtId="0" fontId="11" fillId="2" borderId="0" xfId="1" applyFont="1" applyFill="1"/>
    <xf numFmtId="164" fontId="10" fillId="0" borderId="0" xfId="1" applyNumberFormat="1" applyFont="1" applyFill="1" applyBorder="1" applyAlignment="1">
      <alignment horizontal="right" vertical="top" wrapText="1"/>
    </xf>
    <xf numFmtId="165" fontId="10" fillId="2" borderId="0" xfId="1" applyNumberFormat="1" applyFont="1" applyFill="1"/>
    <xf numFmtId="164" fontId="10" fillId="2" borderId="0" xfId="1" applyNumberFormat="1" applyFont="1" applyFill="1"/>
    <xf numFmtId="0" fontId="10" fillId="0" borderId="0" xfId="1" applyFont="1" applyFill="1"/>
    <xf numFmtId="0" fontId="10" fillId="2" borderId="0" xfId="1" applyFont="1" applyFill="1" applyAlignment="1">
      <alignment horizontal="left" vertical="top"/>
    </xf>
    <xf numFmtId="164" fontId="10" fillId="2" borderId="0" xfId="1" applyNumberFormat="1" applyFont="1" applyFill="1" applyAlignment="1">
      <alignment horizontal="right"/>
    </xf>
    <xf numFmtId="164" fontId="11" fillId="2" borderId="0" xfId="1" applyNumberFormat="1" applyFont="1" applyFill="1" applyBorder="1" applyAlignment="1">
      <alignment horizontal="right" vertical="top"/>
    </xf>
    <xf numFmtId="164" fontId="10" fillId="0" borderId="0" xfId="1" applyNumberFormat="1" applyFont="1" applyFill="1"/>
    <xf numFmtId="0" fontId="10" fillId="0" borderId="0" xfId="1" applyFont="1" applyFill="1" applyAlignment="1">
      <alignment horizontal="left"/>
    </xf>
    <xf numFmtId="164" fontId="10" fillId="0" borderId="0" xfId="1" applyNumberFormat="1" applyFont="1" applyFill="1" applyAlignment="1">
      <alignment horizontal="right"/>
    </xf>
    <xf numFmtId="0" fontId="10" fillId="2" borderId="0" xfId="1" applyFont="1" applyFill="1" applyBorder="1"/>
    <xf numFmtId="0" fontId="11" fillId="2" borderId="0" xfId="0" applyNumberFormat="1" applyFont="1" applyFill="1" applyAlignment="1">
      <alignment horizontal="center" vertical="center" wrapText="1"/>
    </xf>
    <xf numFmtId="0" fontId="10" fillId="2" borderId="0" xfId="1" applyFont="1" applyFill="1" applyBorder="1" applyAlignment="1">
      <alignment horizontal="right" vertical="center"/>
    </xf>
    <xf numFmtId="0" fontId="11" fillId="2" borderId="1" xfId="1" applyFont="1" applyFill="1" applyBorder="1" applyAlignment="1">
      <alignment horizontal="left" vertical="top"/>
    </xf>
    <xf numFmtId="0" fontId="11" fillId="2" borderId="1" xfId="1" applyFont="1" applyFill="1" applyBorder="1" applyAlignment="1">
      <alignment horizontal="center" vertical="center" wrapText="1"/>
    </xf>
    <xf numFmtId="164" fontId="11" fillId="2" borderId="1" xfId="1" applyNumberFormat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left" vertical="center"/>
    </xf>
    <xf numFmtId="0" fontId="11" fillId="2" borderId="1" xfId="1" applyFont="1" applyFill="1" applyBorder="1" applyAlignment="1">
      <alignment horizontal="left" vertical="center" wrapText="1"/>
    </xf>
    <xf numFmtId="164" fontId="11" fillId="0" borderId="1" xfId="1" applyNumberFormat="1" applyFont="1" applyFill="1" applyBorder="1" applyAlignment="1">
      <alignment horizontal="right" vertical="center"/>
    </xf>
    <xf numFmtId="1" fontId="10" fillId="2" borderId="1" xfId="1" applyNumberFormat="1" applyFont="1" applyFill="1" applyBorder="1" applyAlignment="1">
      <alignment horizontal="left" vertical="top" wrapText="1" indent="2"/>
    </xf>
    <xf numFmtId="0" fontId="10" fillId="2" borderId="1" xfId="1" applyFont="1" applyFill="1" applyBorder="1" applyAlignment="1">
      <alignment horizontal="left" vertical="top" wrapText="1"/>
    </xf>
    <xf numFmtId="164" fontId="10" fillId="0" borderId="1" xfId="2" applyNumberFormat="1" applyFont="1" applyFill="1" applyBorder="1" applyAlignment="1">
      <alignment horizontal="right" vertical="top"/>
    </xf>
    <xf numFmtId="0" fontId="11" fillId="2" borderId="1" xfId="1" applyFont="1" applyFill="1" applyBorder="1" applyAlignment="1">
      <alignment horizontal="left" vertical="top" wrapText="1"/>
    </xf>
    <xf numFmtId="0" fontId="10" fillId="2" borderId="1" xfId="1" applyFont="1" applyFill="1" applyBorder="1" applyAlignment="1">
      <alignment horizontal="left" vertical="top"/>
    </xf>
    <xf numFmtId="0" fontId="10" fillId="2" borderId="1" xfId="1" applyFont="1" applyFill="1" applyBorder="1" applyAlignment="1">
      <alignment horizontal="left" vertical="top" wrapText="1" indent="2"/>
    </xf>
    <xf numFmtId="0" fontId="10" fillId="2" borderId="1" xfId="1" applyFont="1" applyFill="1" applyBorder="1" applyAlignment="1">
      <alignment horizontal="center" vertical="top" wrapText="1"/>
    </xf>
    <xf numFmtId="164" fontId="10" fillId="0" borderId="1" xfId="1" applyNumberFormat="1" applyFont="1" applyFill="1" applyBorder="1" applyAlignment="1">
      <alignment horizontal="right" vertical="top" wrapText="1"/>
    </xf>
    <xf numFmtId="0" fontId="10" fillId="0" borderId="1" xfId="1" applyFont="1" applyFill="1" applyBorder="1" applyAlignment="1">
      <alignment horizontal="center" vertical="top" wrapText="1"/>
    </xf>
    <xf numFmtId="0" fontId="10" fillId="0" borderId="1" xfId="1" applyFont="1" applyFill="1" applyBorder="1" applyAlignment="1">
      <alignment horizontal="left" vertical="top" wrapText="1"/>
    </xf>
    <xf numFmtId="164" fontId="10" fillId="0" borderId="1" xfId="1" applyNumberFormat="1" applyFont="1" applyFill="1" applyBorder="1" applyAlignment="1">
      <alignment horizontal="right" vertical="center"/>
    </xf>
    <xf numFmtId="0" fontId="10" fillId="2" borderId="1" xfId="1" applyFont="1" applyFill="1" applyBorder="1" applyAlignment="1">
      <alignment wrapText="1"/>
    </xf>
    <xf numFmtId="0" fontId="11" fillId="2" borderId="1" xfId="1" applyFont="1" applyFill="1" applyBorder="1" applyAlignment="1">
      <alignment horizontal="center" vertical="top" wrapText="1"/>
    </xf>
    <xf numFmtId="164" fontId="10" fillId="0" borderId="1" xfId="1" applyNumberFormat="1" applyFont="1" applyFill="1" applyBorder="1" applyAlignment="1">
      <alignment horizontal="right" vertical="top"/>
    </xf>
    <xf numFmtId="164" fontId="11" fillId="0" borderId="1" xfId="1" applyNumberFormat="1" applyFont="1" applyFill="1" applyBorder="1" applyAlignment="1">
      <alignment horizontal="right" vertical="top"/>
    </xf>
    <xf numFmtId="0" fontId="10" fillId="0" borderId="1" xfId="1" applyFont="1" applyFill="1" applyBorder="1" applyAlignment="1">
      <alignment vertical="top" wrapText="1"/>
    </xf>
    <xf numFmtId="0" fontId="10" fillId="0" borderId="1" xfId="1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top" wrapText="1"/>
    </xf>
    <xf numFmtId="164" fontId="10" fillId="0" borderId="1" xfId="1" applyNumberFormat="1" applyFont="1" applyFill="1" applyBorder="1" applyAlignment="1">
      <alignment vertical="center"/>
    </xf>
    <xf numFmtId="0" fontId="11" fillId="0" borderId="1" xfId="1" applyFont="1" applyFill="1" applyBorder="1" applyAlignment="1">
      <alignment vertical="center" wrapText="1"/>
    </xf>
    <xf numFmtId="164" fontId="11" fillId="0" borderId="1" xfId="1" applyNumberFormat="1" applyFont="1" applyFill="1" applyBorder="1" applyAlignment="1">
      <alignment vertical="center"/>
    </xf>
    <xf numFmtId="0" fontId="10" fillId="2" borderId="1" xfId="1" applyFont="1" applyFill="1" applyBorder="1" applyAlignment="1">
      <alignment horizontal="center" vertical="center"/>
    </xf>
    <xf numFmtId="1" fontId="10" fillId="2" borderId="1" xfId="1" applyNumberFormat="1" applyFont="1" applyFill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left" vertical="center"/>
    </xf>
    <xf numFmtId="0" fontId="11" fillId="0" borderId="1" xfId="1" applyFont="1" applyFill="1" applyBorder="1" applyAlignment="1">
      <alignment horizontal="left" vertical="center" wrapText="1"/>
    </xf>
    <xf numFmtId="0" fontId="10" fillId="2" borderId="0" xfId="1" applyFont="1" applyFill="1" applyAlignment="1">
      <alignment vertical="center" wrapText="1"/>
    </xf>
    <xf numFmtId="0" fontId="10" fillId="2" borderId="0" xfId="1" applyFont="1" applyFill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top"/>
    </xf>
    <xf numFmtId="0" fontId="11" fillId="2" borderId="1" xfId="1" applyFont="1" applyFill="1" applyBorder="1" applyAlignment="1">
      <alignment horizontal="center" vertical="center"/>
    </xf>
    <xf numFmtId="1" fontId="10" fillId="2" borderId="1" xfId="1" applyNumberFormat="1" applyFont="1" applyFill="1" applyBorder="1" applyAlignment="1">
      <alignment horizontal="center" vertical="top" wrapText="1"/>
    </xf>
    <xf numFmtId="0" fontId="10" fillId="2" borderId="1" xfId="1" applyFont="1" applyFill="1" applyBorder="1" applyAlignment="1">
      <alignment horizontal="center" vertical="top"/>
    </xf>
    <xf numFmtId="0" fontId="10" fillId="2" borderId="0" xfId="1" applyFont="1" applyFill="1" applyAlignment="1">
      <alignment horizontal="center" vertical="top"/>
    </xf>
    <xf numFmtId="0" fontId="12" fillId="2" borderId="0" xfId="0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center" vertical="center" wrapText="1"/>
    </xf>
    <xf numFmtId="0" fontId="10" fillId="2" borderId="0" xfId="1" applyFont="1" applyFill="1" applyAlignment="1">
      <alignment horizontal="right" vertical="center" wrapText="1"/>
    </xf>
  </cellXfs>
  <cellStyles count="22">
    <cellStyle name="Normal 4" xfId="3"/>
    <cellStyle name="Normal_Sheet1" xfId="4"/>
    <cellStyle name="Денежный 2" xfId="5"/>
    <cellStyle name="Обычный" xfId="0" builtinId="0"/>
    <cellStyle name="Обычный 10" xfId="6"/>
    <cellStyle name="Обычный 11" xfId="7"/>
    <cellStyle name="Обычный 2" xfId="2"/>
    <cellStyle name="Обычный 2 2" xfId="8"/>
    <cellStyle name="Обычный 2 2 2" xfId="9"/>
    <cellStyle name="Обычный 2 3" xfId="10"/>
    <cellStyle name="Обычный 3" xfId="11"/>
    <cellStyle name="Обычный 3 2" xfId="12"/>
    <cellStyle name="Обычный 4" xfId="13"/>
    <cellStyle name="Обычный 5" xfId="14"/>
    <cellStyle name="Обычный 5 2" xfId="15"/>
    <cellStyle name="Обычный 6" xfId="16"/>
    <cellStyle name="Обычный 7" xfId="17"/>
    <cellStyle name="Обычный 8" xfId="1"/>
    <cellStyle name="Обычный 9" xfId="18"/>
    <cellStyle name="Процентный 2" xfId="19"/>
    <cellStyle name="Финансовый 2" xfId="20"/>
    <cellStyle name="Финансовый 3" xf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6"/>
  <sheetViews>
    <sheetView tabSelected="1" view="pageBreakPreview" topLeftCell="A43" zoomScaleNormal="100" zoomScaleSheetLayoutView="100" workbookViewId="0">
      <selection activeCell="I54" sqref="I54"/>
    </sheetView>
  </sheetViews>
  <sheetFormatPr defaultColWidth="9.140625" defaultRowHeight="15.75" x14ac:dyDescent="0.25"/>
  <cols>
    <col min="1" max="1" width="7.42578125" style="57" customWidth="1"/>
    <col min="2" max="2" width="6.7109375" style="10" customWidth="1"/>
    <col min="3" max="3" width="46.28515625" style="2" customWidth="1"/>
    <col min="4" max="5" width="14.28515625" style="2" bestFit="1" customWidth="1"/>
    <col min="6" max="6" width="14.28515625" style="2" customWidth="1"/>
    <col min="7" max="8" width="14.28515625" style="4" bestFit="1" customWidth="1"/>
    <col min="9" max="9" width="13.140625" style="4" bestFit="1" customWidth="1"/>
    <col min="10" max="10" width="13.7109375" style="4" bestFit="1" customWidth="1"/>
    <col min="11" max="12" width="13.140625" style="4" bestFit="1" customWidth="1"/>
    <col min="13" max="190" width="9.140625" style="4"/>
    <col min="191" max="191" width="15" style="4" customWidth="1"/>
    <col min="192" max="192" width="43.140625" style="4" customWidth="1"/>
    <col min="193" max="193" width="12.28515625" style="4" customWidth="1"/>
    <col min="194" max="194" width="12" style="4" customWidth="1"/>
    <col min="195" max="195" width="11.7109375" style="4" customWidth="1"/>
    <col min="196" max="446" width="9.140625" style="4"/>
    <col min="447" max="447" width="15" style="4" customWidth="1"/>
    <col min="448" max="448" width="43.140625" style="4" customWidth="1"/>
    <col min="449" max="449" width="12.28515625" style="4" customWidth="1"/>
    <col min="450" max="450" width="12" style="4" customWidth="1"/>
    <col min="451" max="451" width="11.7109375" style="4" customWidth="1"/>
    <col min="452" max="702" width="9.140625" style="4"/>
    <col min="703" max="703" width="15" style="4" customWidth="1"/>
    <col min="704" max="704" width="43.140625" style="4" customWidth="1"/>
    <col min="705" max="705" width="12.28515625" style="4" customWidth="1"/>
    <col min="706" max="706" width="12" style="4" customWidth="1"/>
    <col min="707" max="707" width="11.7109375" style="4" customWidth="1"/>
    <col min="708" max="958" width="9.140625" style="4"/>
    <col min="959" max="959" width="15" style="4" customWidth="1"/>
    <col min="960" max="960" width="43.140625" style="4" customWidth="1"/>
    <col min="961" max="961" width="12.28515625" style="4" customWidth="1"/>
    <col min="962" max="962" width="12" style="4" customWidth="1"/>
    <col min="963" max="963" width="11.7109375" style="4" customWidth="1"/>
    <col min="964" max="1214" width="9.140625" style="4"/>
    <col min="1215" max="1215" width="15" style="4" customWidth="1"/>
    <col min="1216" max="1216" width="43.140625" style="4" customWidth="1"/>
    <col min="1217" max="1217" width="12.28515625" style="4" customWidth="1"/>
    <col min="1218" max="1218" width="12" style="4" customWidth="1"/>
    <col min="1219" max="1219" width="11.7109375" style="4" customWidth="1"/>
    <col min="1220" max="1470" width="9.140625" style="4"/>
    <col min="1471" max="1471" width="15" style="4" customWidth="1"/>
    <col min="1472" max="1472" width="43.140625" style="4" customWidth="1"/>
    <col min="1473" max="1473" width="12.28515625" style="4" customWidth="1"/>
    <col min="1474" max="1474" width="12" style="4" customWidth="1"/>
    <col min="1475" max="1475" width="11.7109375" style="4" customWidth="1"/>
    <col min="1476" max="1726" width="9.140625" style="4"/>
    <col min="1727" max="1727" width="15" style="4" customWidth="1"/>
    <col min="1728" max="1728" width="43.140625" style="4" customWidth="1"/>
    <col min="1729" max="1729" width="12.28515625" style="4" customWidth="1"/>
    <col min="1730" max="1730" width="12" style="4" customWidth="1"/>
    <col min="1731" max="1731" width="11.7109375" style="4" customWidth="1"/>
    <col min="1732" max="1982" width="9.140625" style="4"/>
    <col min="1983" max="1983" width="15" style="4" customWidth="1"/>
    <col min="1984" max="1984" width="43.140625" style="4" customWidth="1"/>
    <col min="1985" max="1985" width="12.28515625" style="4" customWidth="1"/>
    <col min="1986" max="1986" width="12" style="4" customWidth="1"/>
    <col min="1987" max="1987" width="11.7109375" style="4" customWidth="1"/>
    <col min="1988" max="2238" width="9.140625" style="4"/>
    <col min="2239" max="2239" width="15" style="4" customWidth="1"/>
    <col min="2240" max="2240" width="43.140625" style="4" customWidth="1"/>
    <col min="2241" max="2241" width="12.28515625" style="4" customWidth="1"/>
    <col min="2242" max="2242" width="12" style="4" customWidth="1"/>
    <col min="2243" max="2243" width="11.7109375" style="4" customWidth="1"/>
    <col min="2244" max="2494" width="9.140625" style="4"/>
    <col min="2495" max="2495" width="15" style="4" customWidth="1"/>
    <col min="2496" max="2496" width="43.140625" style="4" customWidth="1"/>
    <col min="2497" max="2497" width="12.28515625" style="4" customWidth="1"/>
    <col min="2498" max="2498" width="12" style="4" customWidth="1"/>
    <col min="2499" max="2499" width="11.7109375" style="4" customWidth="1"/>
    <col min="2500" max="2750" width="9.140625" style="4"/>
    <col min="2751" max="2751" width="15" style="4" customWidth="1"/>
    <col min="2752" max="2752" width="43.140625" style="4" customWidth="1"/>
    <col min="2753" max="2753" width="12.28515625" style="4" customWidth="1"/>
    <col min="2754" max="2754" width="12" style="4" customWidth="1"/>
    <col min="2755" max="2755" width="11.7109375" style="4" customWidth="1"/>
    <col min="2756" max="3006" width="9.140625" style="4"/>
    <col min="3007" max="3007" width="15" style="4" customWidth="1"/>
    <col min="3008" max="3008" width="43.140625" style="4" customWidth="1"/>
    <col min="3009" max="3009" width="12.28515625" style="4" customWidth="1"/>
    <col min="3010" max="3010" width="12" style="4" customWidth="1"/>
    <col min="3011" max="3011" width="11.7109375" style="4" customWidth="1"/>
    <col min="3012" max="3262" width="9.140625" style="4"/>
    <col min="3263" max="3263" width="15" style="4" customWidth="1"/>
    <col min="3264" max="3264" width="43.140625" style="4" customWidth="1"/>
    <col min="3265" max="3265" width="12.28515625" style="4" customWidth="1"/>
    <col min="3266" max="3266" width="12" style="4" customWidth="1"/>
    <col min="3267" max="3267" width="11.7109375" style="4" customWidth="1"/>
    <col min="3268" max="3518" width="9.140625" style="4"/>
    <col min="3519" max="3519" width="15" style="4" customWidth="1"/>
    <col min="3520" max="3520" width="43.140625" style="4" customWidth="1"/>
    <col min="3521" max="3521" width="12.28515625" style="4" customWidth="1"/>
    <col min="3522" max="3522" width="12" style="4" customWidth="1"/>
    <col min="3523" max="3523" width="11.7109375" style="4" customWidth="1"/>
    <col min="3524" max="3774" width="9.140625" style="4"/>
    <col min="3775" max="3775" width="15" style="4" customWidth="1"/>
    <col min="3776" max="3776" width="43.140625" style="4" customWidth="1"/>
    <col min="3777" max="3777" width="12.28515625" style="4" customWidth="1"/>
    <col min="3778" max="3778" width="12" style="4" customWidth="1"/>
    <col min="3779" max="3779" width="11.7109375" style="4" customWidth="1"/>
    <col min="3780" max="4030" width="9.140625" style="4"/>
    <col min="4031" max="4031" width="15" style="4" customWidth="1"/>
    <col min="4032" max="4032" width="43.140625" style="4" customWidth="1"/>
    <col min="4033" max="4033" width="12.28515625" style="4" customWidth="1"/>
    <col min="4034" max="4034" width="12" style="4" customWidth="1"/>
    <col min="4035" max="4035" width="11.7109375" style="4" customWidth="1"/>
    <col min="4036" max="4286" width="9.140625" style="4"/>
    <col min="4287" max="4287" width="15" style="4" customWidth="1"/>
    <col min="4288" max="4288" width="43.140625" style="4" customWidth="1"/>
    <col min="4289" max="4289" width="12.28515625" style="4" customWidth="1"/>
    <col min="4290" max="4290" width="12" style="4" customWidth="1"/>
    <col min="4291" max="4291" width="11.7109375" style="4" customWidth="1"/>
    <col min="4292" max="4542" width="9.140625" style="4"/>
    <col min="4543" max="4543" width="15" style="4" customWidth="1"/>
    <col min="4544" max="4544" width="43.140625" style="4" customWidth="1"/>
    <col min="4545" max="4545" width="12.28515625" style="4" customWidth="1"/>
    <col min="4546" max="4546" width="12" style="4" customWidth="1"/>
    <col min="4547" max="4547" width="11.7109375" style="4" customWidth="1"/>
    <col min="4548" max="4798" width="9.140625" style="4"/>
    <col min="4799" max="4799" width="15" style="4" customWidth="1"/>
    <col min="4800" max="4800" width="43.140625" style="4" customWidth="1"/>
    <col min="4801" max="4801" width="12.28515625" style="4" customWidth="1"/>
    <col min="4802" max="4802" width="12" style="4" customWidth="1"/>
    <col min="4803" max="4803" width="11.7109375" style="4" customWidth="1"/>
    <col min="4804" max="5054" width="9.140625" style="4"/>
    <col min="5055" max="5055" width="15" style="4" customWidth="1"/>
    <col min="5056" max="5056" width="43.140625" style="4" customWidth="1"/>
    <col min="5057" max="5057" width="12.28515625" style="4" customWidth="1"/>
    <col min="5058" max="5058" width="12" style="4" customWidth="1"/>
    <col min="5059" max="5059" width="11.7109375" style="4" customWidth="1"/>
    <col min="5060" max="5310" width="9.140625" style="4"/>
    <col min="5311" max="5311" width="15" style="4" customWidth="1"/>
    <col min="5312" max="5312" width="43.140625" style="4" customWidth="1"/>
    <col min="5313" max="5313" width="12.28515625" style="4" customWidth="1"/>
    <col min="5314" max="5314" width="12" style="4" customWidth="1"/>
    <col min="5315" max="5315" width="11.7109375" style="4" customWidth="1"/>
    <col min="5316" max="5566" width="9.140625" style="4"/>
    <col min="5567" max="5567" width="15" style="4" customWidth="1"/>
    <col min="5568" max="5568" width="43.140625" style="4" customWidth="1"/>
    <col min="5569" max="5569" width="12.28515625" style="4" customWidth="1"/>
    <col min="5570" max="5570" width="12" style="4" customWidth="1"/>
    <col min="5571" max="5571" width="11.7109375" style="4" customWidth="1"/>
    <col min="5572" max="5822" width="9.140625" style="4"/>
    <col min="5823" max="5823" width="15" style="4" customWidth="1"/>
    <col min="5824" max="5824" width="43.140625" style="4" customWidth="1"/>
    <col min="5825" max="5825" width="12.28515625" style="4" customWidth="1"/>
    <col min="5826" max="5826" width="12" style="4" customWidth="1"/>
    <col min="5827" max="5827" width="11.7109375" style="4" customWidth="1"/>
    <col min="5828" max="6078" width="9.140625" style="4"/>
    <col min="6079" max="6079" width="15" style="4" customWidth="1"/>
    <col min="6080" max="6080" width="43.140625" style="4" customWidth="1"/>
    <col min="6081" max="6081" width="12.28515625" style="4" customWidth="1"/>
    <col min="6082" max="6082" width="12" style="4" customWidth="1"/>
    <col min="6083" max="6083" width="11.7109375" style="4" customWidth="1"/>
    <col min="6084" max="6334" width="9.140625" style="4"/>
    <col min="6335" max="6335" width="15" style="4" customWidth="1"/>
    <col min="6336" max="6336" width="43.140625" style="4" customWidth="1"/>
    <col min="6337" max="6337" width="12.28515625" style="4" customWidth="1"/>
    <col min="6338" max="6338" width="12" style="4" customWidth="1"/>
    <col min="6339" max="6339" width="11.7109375" style="4" customWidth="1"/>
    <col min="6340" max="6590" width="9.140625" style="4"/>
    <col min="6591" max="6591" width="15" style="4" customWidth="1"/>
    <col min="6592" max="6592" width="43.140625" style="4" customWidth="1"/>
    <col min="6593" max="6593" width="12.28515625" style="4" customWidth="1"/>
    <col min="6594" max="6594" width="12" style="4" customWidth="1"/>
    <col min="6595" max="6595" width="11.7109375" style="4" customWidth="1"/>
    <col min="6596" max="6846" width="9.140625" style="4"/>
    <col min="6847" max="6847" width="15" style="4" customWidth="1"/>
    <col min="6848" max="6848" width="43.140625" style="4" customWidth="1"/>
    <col min="6849" max="6849" width="12.28515625" style="4" customWidth="1"/>
    <col min="6850" max="6850" width="12" style="4" customWidth="1"/>
    <col min="6851" max="6851" width="11.7109375" style="4" customWidth="1"/>
    <col min="6852" max="7102" width="9.140625" style="4"/>
    <col min="7103" max="7103" width="15" style="4" customWidth="1"/>
    <col min="7104" max="7104" width="43.140625" style="4" customWidth="1"/>
    <col min="7105" max="7105" width="12.28515625" style="4" customWidth="1"/>
    <col min="7106" max="7106" width="12" style="4" customWidth="1"/>
    <col min="7107" max="7107" width="11.7109375" style="4" customWidth="1"/>
    <col min="7108" max="7358" width="9.140625" style="4"/>
    <col min="7359" max="7359" width="15" style="4" customWidth="1"/>
    <col min="7360" max="7360" width="43.140625" style="4" customWidth="1"/>
    <col min="7361" max="7361" width="12.28515625" style="4" customWidth="1"/>
    <col min="7362" max="7362" width="12" style="4" customWidth="1"/>
    <col min="7363" max="7363" width="11.7109375" style="4" customWidth="1"/>
    <col min="7364" max="7614" width="9.140625" style="4"/>
    <col min="7615" max="7615" width="15" style="4" customWidth="1"/>
    <col min="7616" max="7616" width="43.140625" style="4" customWidth="1"/>
    <col min="7617" max="7617" width="12.28515625" style="4" customWidth="1"/>
    <col min="7618" max="7618" width="12" style="4" customWidth="1"/>
    <col min="7619" max="7619" width="11.7109375" style="4" customWidth="1"/>
    <col min="7620" max="7870" width="9.140625" style="4"/>
    <col min="7871" max="7871" width="15" style="4" customWidth="1"/>
    <col min="7872" max="7872" width="43.140625" style="4" customWidth="1"/>
    <col min="7873" max="7873" width="12.28515625" style="4" customWidth="1"/>
    <col min="7874" max="7874" width="12" style="4" customWidth="1"/>
    <col min="7875" max="7875" width="11.7109375" style="4" customWidth="1"/>
    <col min="7876" max="8126" width="9.140625" style="4"/>
    <col min="8127" max="8127" width="15" style="4" customWidth="1"/>
    <col min="8128" max="8128" width="43.140625" style="4" customWidth="1"/>
    <col min="8129" max="8129" width="12.28515625" style="4" customWidth="1"/>
    <col min="8130" max="8130" width="12" style="4" customWidth="1"/>
    <col min="8131" max="8131" width="11.7109375" style="4" customWidth="1"/>
    <col min="8132" max="8382" width="9.140625" style="4"/>
    <col min="8383" max="8383" width="15" style="4" customWidth="1"/>
    <col min="8384" max="8384" width="43.140625" style="4" customWidth="1"/>
    <col min="8385" max="8385" width="12.28515625" style="4" customWidth="1"/>
    <col min="8386" max="8386" width="12" style="4" customWidth="1"/>
    <col min="8387" max="8387" width="11.7109375" style="4" customWidth="1"/>
    <col min="8388" max="8638" width="9.140625" style="4"/>
    <col min="8639" max="8639" width="15" style="4" customWidth="1"/>
    <col min="8640" max="8640" width="43.140625" style="4" customWidth="1"/>
    <col min="8641" max="8641" width="12.28515625" style="4" customWidth="1"/>
    <col min="8642" max="8642" width="12" style="4" customWidth="1"/>
    <col min="8643" max="8643" width="11.7109375" style="4" customWidth="1"/>
    <col min="8644" max="8894" width="9.140625" style="4"/>
    <col min="8895" max="8895" width="15" style="4" customWidth="1"/>
    <col min="8896" max="8896" width="43.140625" style="4" customWidth="1"/>
    <col min="8897" max="8897" width="12.28515625" style="4" customWidth="1"/>
    <col min="8898" max="8898" width="12" style="4" customWidth="1"/>
    <col min="8899" max="8899" width="11.7109375" style="4" customWidth="1"/>
    <col min="8900" max="9150" width="9.140625" style="4"/>
    <col min="9151" max="9151" width="15" style="4" customWidth="1"/>
    <col min="9152" max="9152" width="43.140625" style="4" customWidth="1"/>
    <col min="9153" max="9153" width="12.28515625" style="4" customWidth="1"/>
    <col min="9154" max="9154" width="12" style="4" customWidth="1"/>
    <col min="9155" max="9155" width="11.7109375" style="4" customWidth="1"/>
    <col min="9156" max="9406" width="9.140625" style="4"/>
    <col min="9407" max="9407" width="15" style="4" customWidth="1"/>
    <col min="9408" max="9408" width="43.140625" style="4" customWidth="1"/>
    <col min="9409" max="9409" width="12.28515625" style="4" customWidth="1"/>
    <col min="9410" max="9410" width="12" style="4" customWidth="1"/>
    <col min="9411" max="9411" width="11.7109375" style="4" customWidth="1"/>
    <col min="9412" max="9662" width="9.140625" style="4"/>
    <col min="9663" max="9663" width="15" style="4" customWidth="1"/>
    <col min="9664" max="9664" width="43.140625" style="4" customWidth="1"/>
    <col min="9665" max="9665" width="12.28515625" style="4" customWidth="1"/>
    <col min="9666" max="9666" width="12" style="4" customWidth="1"/>
    <col min="9667" max="9667" width="11.7109375" style="4" customWidth="1"/>
    <col min="9668" max="9918" width="9.140625" style="4"/>
    <col min="9919" max="9919" width="15" style="4" customWidth="1"/>
    <col min="9920" max="9920" width="43.140625" style="4" customWidth="1"/>
    <col min="9921" max="9921" width="12.28515625" style="4" customWidth="1"/>
    <col min="9922" max="9922" width="12" style="4" customWidth="1"/>
    <col min="9923" max="9923" width="11.7109375" style="4" customWidth="1"/>
    <col min="9924" max="10174" width="9.140625" style="4"/>
    <col min="10175" max="10175" width="15" style="4" customWidth="1"/>
    <col min="10176" max="10176" width="43.140625" style="4" customWidth="1"/>
    <col min="10177" max="10177" width="12.28515625" style="4" customWidth="1"/>
    <col min="10178" max="10178" width="12" style="4" customWidth="1"/>
    <col min="10179" max="10179" width="11.7109375" style="4" customWidth="1"/>
    <col min="10180" max="10430" width="9.140625" style="4"/>
    <col min="10431" max="10431" width="15" style="4" customWidth="1"/>
    <col min="10432" max="10432" width="43.140625" style="4" customWidth="1"/>
    <col min="10433" max="10433" width="12.28515625" style="4" customWidth="1"/>
    <col min="10434" max="10434" width="12" style="4" customWidth="1"/>
    <col min="10435" max="10435" width="11.7109375" style="4" customWidth="1"/>
    <col min="10436" max="10686" width="9.140625" style="4"/>
    <col min="10687" max="10687" width="15" style="4" customWidth="1"/>
    <col min="10688" max="10688" width="43.140625" style="4" customWidth="1"/>
    <col min="10689" max="10689" width="12.28515625" style="4" customWidth="1"/>
    <col min="10690" max="10690" width="12" style="4" customWidth="1"/>
    <col min="10691" max="10691" width="11.7109375" style="4" customWidth="1"/>
    <col min="10692" max="10942" width="9.140625" style="4"/>
    <col min="10943" max="10943" width="15" style="4" customWidth="1"/>
    <col min="10944" max="10944" width="43.140625" style="4" customWidth="1"/>
    <col min="10945" max="10945" width="12.28515625" style="4" customWidth="1"/>
    <col min="10946" max="10946" width="12" style="4" customWidth="1"/>
    <col min="10947" max="10947" width="11.7109375" style="4" customWidth="1"/>
    <col min="10948" max="11198" width="9.140625" style="4"/>
    <col min="11199" max="11199" width="15" style="4" customWidth="1"/>
    <col min="11200" max="11200" width="43.140625" style="4" customWidth="1"/>
    <col min="11201" max="11201" width="12.28515625" style="4" customWidth="1"/>
    <col min="11202" max="11202" width="12" style="4" customWidth="1"/>
    <col min="11203" max="11203" width="11.7109375" style="4" customWidth="1"/>
    <col min="11204" max="11454" width="9.140625" style="4"/>
    <col min="11455" max="11455" width="15" style="4" customWidth="1"/>
    <col min="11456" max="11456" width="43.140625" style="4" customWidth="1"/>
    <col min="11457" max="11457" width="12.28515625" style="4" customWidth="1"/>
    <col min="11458" max="11458" width="12" style="4" customWidth="1"/>
    <col min="11459" max="11459" width="11.7109375" style="4" customWidth="1"/>
    <col min="11460" max="11710" width="9.140625" style="4"/>
    <col min="11711" max="11711" width="15" style="4" customWidth="1"/>
    <col min="11712" max="11712" width="43.140625" style="4" customWidth="1"/>
    <col min="11713" max="11713" width="12.28515625" style="4" customWidth="1"/>
    <col min="11714" max="11714" width="12" style="4" customWidth="1"/>
    <col min="11715" max="11715" width="11.7109375" style="4" customWidth="1"/>
    <col min="11716" max="11966" width="9.140625" style="4"/>
    <col min="11967" max="11967" width="15" style="4" customWidth="1"/>
    <col min="11968" max="11968" width="43.140625" style="4" customWidth="1"/>
    <col min="11969" max="11969" width="12.28515625" style="4" customWidth="1"/>
    <col min="11970" max="11970" width="12" style="4" customWidth="1"/>
    <col min="11971" max="11971" width="11.7109375" style="4" customWidth="1"/>
    <col min="11972" max="12222" width="9.140625" style="4"/>
    <col min="12223" max="12223" width="15" style="4" customWidth="1"/>
    <col min="12224" max="12224" width="43.140625" style="4" customWidth="1"/>
    <col min="12225" max="12225" width="12.28515625" style="4" customWidth="1"/>
    <col min="12226" max="12226" width="12" style="4" customWidth="1"/>
    <col min="12227" max="12227" width="11.7109375" style="4" customWidth="1"/>
    <col min="12228" max="12478" width="9.140625" style="4"/>
    <col min="12479" max="12479" width="15" style="4" customWidth="1"/>
    <col min="12480" max="12480" width="43.140625" style="4" customWidth="1"/>
    <col min="12481" max="12481" width="12.28515625" style="4" customWidth="1"/>
    <col min="12482" max="12482" width="12" style="4" customWidth="1"/>
    <col min="12483" max="12483" width="11.7109375" style="4" customWidth="1"/>
    <col min="12484" max="12734" width="9.140625" style="4"/>
    <col min="12735" max="12735" width="15" style="4" customWidth="1"/>
    <col min="12736" max="12736" width="43.140625" style="4" customWidth="1"/>
    <col min="12737" max="12737" width="12.28515625" style="4" customWidth="1"/>
    <col min="12738" max="12738" width="12" style="4" customWidth="1"/>
    <col min="12739" max="12739" width="11.7109375" style="4" customWidth="1"/>
    <col min="12740" max="12990" width="9.140625" style="4"/>
    <col min="12991" max="12991" width="15" style="4" customWidth="1"/>
    <col min="12992" max="12992" width="43.140625" style="4" customWidth="1"/>
    <col min="12993" max="12993" width="12.28515625" style="4" customWidth="1"/>
    <col min="12994" max="12994" width="12" style="4" customWidth="1"/>
    <col min="12995" max="12995" width="11.7109375" style="4" customWidth="1"/>
    <col min="12996" max="13246" width="9.140625" style="4"/>
    <col min="13247" max="13247" width="15" style="4" customWidth="1"/>
    <col min="13248" max="13248" width="43.140625" style="4" customWidth="1"/>
    <col min="13249" max="13249" width="12.28515625" style="4" customWidth="1"/>
    <col min="13250" max="13250" width="12" style="4" customWidth="1"/>
    <col min="13251" max="13251" width="11.7109375" style="4" customWidth="1"/>
    <col min="13252" max="13502" width="9.140625" style="4"/>
    <col min="13503" max="13503" width="15" style="4" customWidth="1"/>
    <col min="13504" max="13504" width="43.140625" style="4" customWidth="1"/>
    <col min="13505" max="13505" width="12.28515625" style="4" customWidth="1"/>
    <col min="13506" max="13506" width="12" style="4" customWidth="1"/>
    <col min="13507" max="13507" width="11.7109375" style="4" customWidth="1"/>
    <col min="13508" max="13758" width="9.140625" style="4"/>
    <col min="13759" max="13759" width="15" style="4" customWidth="1"/>
    <col min="13760" max="13760" width="43.140625" style="4" customWidth="1"/>
    <col min="13761" max="13761" width="12.28515625" style="4" customWidth="1"/>
    <col min="13762" max="13762" width="12" style="4" customWidth="1"/>
    <col min="13763" max="13763" width="11.7109375" style="4" customWidth="1"/>
    <col min="13764" max="14014" width="9.140625" style="4"/>
    <col min="14015" max="14015" width="15" style="4" customWidth="1"/>
    <col min="14016" max="14016" width="43.140625" style="4" customWidth="1"/>
    <col min="14017" max="14017" width="12.28515625" style="4" customWidth="1"/>
    <col min="14018" max="14018" width="12" style="4" customWidth="1"/>
    <col min="14019" max="14019" width="11.7109375" style="4" customWidth="1"/>
    <col min="14020" max="14270" width="9.140625" style="4"/>
    <col min="14271" max="14271" width="15" style="4" customWidth="1"/>
    <col min="14272" max="14272" width="43.140625" style="4" customWidth="1"/>
    <col min="14273" max="14273" width="12.28515625" style="4" customWidth="1"/>
    <col min="14274" max="14274" width="12" style="4" customWidth="1"/>
    <col min="14275" max="14275" width="11.7109375" style="4" customWidth="1"/>
    <col min="14276" max="14526" width="9.140625" style="4"/>
    <col min="14527" max="14527" width="15" style="4" customWidth="1"/>
    <col min="14528" max="14528" width="43.140625" style="4" customWidth="1"/>
    <col min="14529" max="14529" width="12.28515625" style="4" customWidth="1"/>
    <col min="14530" max="14530" width="12" style="4" customWidth="1"/>
    <col min="14531" max="14531" width="11.7109375" style="4" customWidth="1"/>
    <col min="14532" max="14782" width="9.140625" style="4"/>
    <col min="14783" max="14783" width="15" style="4" customWidth="1"/>
    <col min="14784" max="14784" width="43.140625" style="4" customWidth="1"/>
    <col min="14785" max="14785" width="12.28515625" style="4" customWidth="1"/>
    <col min="14786" max="14786" width="12" style="4" customWidth="1"/>
    <col min="14787" max="14787" width="11.7109375" style="4" customWidth="1"/>
    <col min="14788" max="15038" width="9.140625" style="4"/>
    <col min="15039" max="15039" width="15" style="4" customWidth="1"/>
    <col min="15040" max="15040" width="43.140625" style="4" customWidth="1"/>
    <col min="15041" max="15041" width="12.28515625" style="4" customWidth="1"/>
    <col min="15042" max="15042" width="12" style="4" customWidth="1"/>
    <col min="15043" max="15043" width="11.7109375" style="4" customWidth="1"/>
    <col min="15044" max="15294" width="9.140625" style="4"/>
    <col min="15295" max="15295" width="15" style="4" customWidth="1"/>
    <col min="15296" max="15296" width="43.140625" style="4" customWidth="1"/>
    <col min="15297" max="15297" width="12.28515625" style="4" customWidth="1"/>
    <col min="15298" max="15298" width="12" style="4" customWidth="1"/>
    <col min="15299" max="15299" width="11.7109375" style="4" customWidth="1"/>
    <col min="15300" max="15550" width="9.140625" style="4"/>
    <col min="15551" max="15551" width="15" style="4" customWidth="1"/>
    <col min="15552" max="15552" width="43.140625" style="4" customWidth="1"/>
    <col min="15553" max="15553" width="12.28515625" style="4" customWidth="1"/>
    <col min="15554" max="15554" width="12" style="4" customWidth="1"/>
    <col min="15555" max="15555" width="11.7109375" style="4" customWidth="1"/>
    <col min="15556" max="15806" width="9.140625" style="4"/>
    <col min="15807" max="15807" width="15" style="4" customWidth="1"/>
    <col min="15808" max="15808" width="43.140625" style="4" customWidth="1"/>
    <col min="15809" max="15809" width="12.28515625" style="4" customWidth="1"/>
    <col min="15810" max="15810" width="12" style="4" customWidth="1"/>
    <col min="15811" max="15811" width="11.7109375" style="4" customWidth="1"/>
    <col min="15812" max="16062" width="9.140625" style="4"/>
    <col min="16063" max="16063" width="15" style="4" customWidth="1"/>
    <col min="16064" max="16064" width="43.140625" style="4" customWidth="1"/>
    <col min="16065" max="16065" width="12.28515625" style="4" customWidth="1"/>
    <col min="16066" max="16066" width="12" style="4" customWidth="1"/>
    <col min="16067" max="16067" width="11.7109375" style="4" customWidth="1"/>
    <col min="16068" max="16384" width="9.140625" style="4"/>
  </cols>
  <sheetData>
    <row r="1" spans="1:10" s="1" customFormat="1" ht="69.75" customHeight="1" x14ac:dyDescent="0.25">
      <c r="A1" s="51"/>
      <c r="B1" s="50"/>
      <c r="C1" s="50"/>
      <c r="D1" s="50"/>
      <c r="E1" s="60" t="s">
        <v>112</v>
      </c>
      <c r="F1" s="60"/>
      <c r="G1" s="60"/>
      <c r="H1" s="60"/>
    </row>
    <row r="2" spans="1:10" s="1" customFormat="1" x14ac:dyDescent="0.25">
      <c r="A2" s="51"/>
      <c r="B2" s="50"/>
      <c r="C2" s="50"/>
      <c r="D2" s="50"/>
      <c r="E2" s="50"/>
      <c r="F2" s="50"/>
      <c r="H2" s="50"/>
    </row>
    <row r="3" spans="1:10" s="1" customFormat="1" ht="18.75" x14ac:dyDescent="0.25">
      <c r="A3" s="58" t="s">
        <v>70</v>
      </c>
      <c r="B3" s="58"/>
      <c r="C3" s="58"/>
      <c r="D3" s="58"/>
      <c r="E3" s="58"/>
      <c r="F3" s="58"/>
      <c r="G3" s="58"/>
      <c r="H3" s="58"/>
    </row>
    <row r="4" spans="1:10" s="1" customFormat="1" ht="18.75" x14ac:dyDescent="0.25">
      <c r="A4" s="59" t="s">
        <v>66</v>
      </c>
      <c r="B4" s="59"/>
      <c r="C4" s="59"/>
      <c r="D4" s="59"/>
      <c r="E4" s="59"/>
      <c r="F4" s="59"/>
      <c r="G4" s="59"/>
      <c r="H4" s="59"/>
    </row>
    <row r="5" spans="1:10" s="1" customFormat="1" ht="15" customHeight="1" x14ac:dyDescent="0.25">
      <c r="A5" s="17"/>
      <c r="B5" s="17"/>
      <c r="C5" s="17"/>
      <c r="D5" s="17"/>
      <c r="E5" s="17"/>
      <c r="F5" s="17"/>
    </row>
    <row r="6" spans="1:10" s="1" customFormat="1" ht="15" customHeight="1" x14ac:dyDescent="0.25">
      <c r="A6" s="52"/>
      <c r="B6" s="18"/>
      <c r="C6" s="18"/>
      <c r="D6" s="18"/>
      <c r="E6" s="18"/>
      <c r="F6" s="18"/>
      <c r="H6" s="18" t="s">
        <v>67</v>
      </c>
    </row>
    <row r="7" spans="1:10" s="2" customFormat="1" ht="47.25" x14ac:dyDescent="0.25">
      <c r="A7" s="53"/>
      <c r="B7" s="19"/>
      <c r="C7" s="20" t="s">
        <v>0</v>
      </c>
      <c r="D7" s="21" t="s">
        <v>108</v>
      </c>
      <c r="E7" s="20" t="s">
        <v>104</v>
      </c>
      <c r="F7" s="20" t="s">
        <v>107</v>
      </c>
      <c r="G7" s="20" t="s">
        <v>105</v>
      </c>
      <c r="H7" s="20" t="s">
        <v>106</v>
      </c>
    </row>
    <row r="8" spans="1:10" s="3" customFormat="1" ht="15" customHeight="1" x14ac:dyDescent="0.25">
      <c r="A8" s="54"/>
      <c r="B8" s="22"/>
      <c r="C8" s="23" t="s">
        <v>1</v>
      </c>
      <c r="D8" s="24">
        <f>D9+D11+D12</f>
        <v>134585004.90000001</v>
      </c>
      <c r="E8" s="24">
        <f>E9+E11+E12</f>
        <v>172891648.59999999</v>
      </c>
      <c r="F8" s="24">
        <f>F9+F11+F12</f>
        <v>282112890.59999996</v>
      </c>
      <c r="G8" s="24">
        <f>G9+G11+G12</f>
        <v>295853377</v>
      </c>
      <c r="H8" s="24">
        <f>H9+H11+H12</f>
        <v>312163485.80000001</v>
      </c>
    </row>
    <row r="9" spans="1:10" ht="15" customHeight="1" x14ac:dyDescent="0.25">
      <c r="A9" s="55">
        <v>11</v>
      </c>
      <c r="B9" s="25"/>
      <c r="C9" s="26" t="s">
        <v>2</v>
      </c>
      <c r="D9" s="27">
        <v>91860854.700000003</v>
      </c>
      <c r="E9" s="27">
        <v>127075228</v>
      </c>
      <c r="F9" s="27">
        <v>233052500</v>
      </c>
      <c r="G9" s="27">
        <v>249588152</v>
      </c>
      <c r="H9" s="27">
        <v>270687156</v>
      </c>
    </row>
    <row r="10" spans="1:10" ht="15" customHeight="1" x14ac:dyDescent="0.25">
      <c r="A10" s="55">
        <v>12</v>
      </c>
      <c r="B10" s="25"/>
      <c r="C10" s="26" t="s">
        <v>3</v>
      </c>
      <c r="D10" s="27"/>
      <c r="E10" s="27"/>
      <c r="F10" s="27"/>
      <c r="G10" s="27"/>
      <c r="H10" s="27"/>
    </row>
    <row r="11" spans="1:10" ht="15" customHeight="1" x14ac:dyDescent="0.25">
      <c r="A11" s="55">
        <v>13</v>
      </c>
      <c r="B11" s="25"/>
      <c r="C11" s="26" t="s">
        <v>4</v>
      </c>
      <c r="D11" s="27">
        <v>11818067.9</v>
      </c>
      <c r="E11" s="27">
        <v>18089850.899999999</v>
      </c>
      <c r="F11" s="27">
        <v>16391716.699999999</v>
      </c>
      <c r="G11" s="27">
        <v>14609172.199999999</v>
      </c>
      <c r="H11" s="27">
        <v>9174734.5</v>
      </c>
    </row>
    <row r="12" spans="1:10" ht="15" customHeight="1" x14ac:dyDescent="0.25">
      <c r="A12" s="55">
        <v>14</v>
      </c>
      <c r="B12" s="25"/>
      <c r="C12" s="26" t="s">
        <v>5</v>
      </c>
      <c r="D12" s="27">
        <v>30906082.300000001</v>
      </c>
      <c r="E12" s="27">
        <v>27726569.699999999</v>
      </c>
      <c r="F12" s="27">
        <v>32668673.899999999</v>
      </c>
      <c r="G12" s="27">
        <v>31656052.800000001</v>
      </c>
      <c r="H12" s="27">
        <v>32301595.300000001</v>
      </c>
    </row>
    <row r="13" spans="1:10" ht="15" customHeight="1" x14ac:dyDescent="0.25">
      <c r="A13" s="55"/>
      <c r="B13" s="25"/>
      <c r="C13" s="28" t="s">
        <v>6</v>
      </c>
      <c r="D13" s="24">
        <f>D15+D71+D91</f>
        <v>163549336.64299998</v>
      </c>
      <c r="E13" s="24">
        <f>E15+E71+E91</f>
        <v>194283610.02999997</v>
      </c>
      <c r="F13" s="24">
        <f>F15+F71+F91+F94</f>
        <v>309682277.33499998</v>
      </c>
      <c r="G13" s="24">
        <f t="shared" ref="G13:H13" si="0">G15+G71+G91+G94</f>
        <v>318711886.68400002</v>
      </c>
      <c r="H13" s="24">
        <f t="shared" si="0"/>
        <v>314928637.505</v>
      </c>
      <c r="J13" s="8"/>
    </row>
    <row r="14" spans="1:10" s="5" customFormat="1" ht="15" customHeight="1" x14ac:dyDescent="0.25">
      <c r="A14" s="54"/>
      <c r="B14" s="22"/>
      <c r="C14" s="23" t="s">
        <v>7</v>
      </c>
      <c r="D14" s="24">
        <f>D15+D71</f>
        <v>154448320.71999997</v>
      </c>
      <c r="E14" s="24">
        <f>E15+E71+0.1</f>
        <v>181354848.49999997</v>
      </c>
      <c r="F14" s="24">
        <f>F15+F71</f>
        <v>291234570.97799999</v>
      </c>
      <c r="G14" s="24">
        <f>G15+G71</f>
        <v>303530378.87400001</v>
      </c>
      <c r="H14" s="24">
        <f>H15+H71</f>
        <v>303858291.97500002</v>
      </c>
    </row>
    <row r="15" spans="1:10" s="1" customFormat="1" ht="15" customHeight="1" x14ac:dyDescent="0.25">
      <c r="A15" s="56"/>
      <c r="B15" s="29"/>
      <c r="C15" s="26" t="s">
        <v>8</v>
      </c>
      <c r="D15" s="27">
        <f>D16+D19+D41+D47+D52+D57+D62+418159.1</f>
        <v>133780647.00699998</v>
      </c>
      <c r="E15" s="27">
        <f>E16+E19+E41+E47+E52+E57+E62</f>
        <v>144937830.59999999</v>
      </c>
      <c r="F15" s="27">
        <f>F16+F19+F41+F47+F52+F57+F62</f>
        <v>244995482.83799997</v>
      </c>
      <c r="G15" s="27">
        <f>G16+G19+G41+G47+G52+G57+G62</f>
        <v>252380349.461</v>
      </c>
      <c r="H15" s="27">
        <f>H16+H19+H41+H47+H52+H57+H62</f>
        <v>258214581.25999999</v>
      </c>
    </row>
    <row r="16" spans="1:10" ht="15" customHeight="1" x14ac:dyDescent="0.25">
      <c r="A16" s="31" t="s">
        <v>9</v>
      </c>
      <c r="B16" s="30"/>
      <c r="C16" s="26" t="s">
        <v>10</v>
      </c>
      <c r="D16" s="27">
        <f>D17+D18</f>
        <v>60701363.399999999</v>
      </c>
      <c r="E16" s="27">
        <f>E17+E18</f>
        <v>58607493.5</v>
      </c>
      <c r="F16" s="27">
        <f>F17+F18</f>
        <v>65499070.506999999</v>
      </c>
      <c r="G16" s="27">
        <f>G17+G18</f>
        <v>65760139.611999996</v>
      </c>
      <c r="H16" s="27">
        <f>H17+H18</f>
        <v>66948262.148999996</v>
      </c>
    </row>
    <row r="17" spans="1:8" ht="15" customHeight="1" x14ac:dyDescent="0.25">
      <c r="A17" s="31"/>
      <c r="B17" s="31">
        <v>211</v>
      </c>
      <c r="C17" s="26" t="s">
        <v>11</v>
      </c>
      <c r="D17" s="27">
        <f>48419638.7+5537733.3</f>
        <v>53957372</v>
      </c>
      <c r="E17" s="27">
        <v>52096709</v>
      </c>
      <c r="F17" s="27">
        <v>58465768.171999998</v>
      </c>
      <c r="G17" s="27">
        <v>58679120.318999998</v>
      </c>
      <c r="H17" s="27">
        <v>59697748.877999999</v>
      </c>
    </row>
    <row r="18" spans="1:8" ht="15" customHeight="1" x14ac:dyDescent="0.25">
      <c r="A18" s="31"/>
      <c r="B18" s="31">
        <v>212</v>
      </c>
      <c r="C18" s="26" t="s">
        <v>12</v>
      </c>
      <c r="D18" s="27">
        <f>5997891.6+746099.8</f>
        <v>6743991.3999999994</v>
      </c>
      <c r="E18" s="27">
        <v>6510784.5</v>
      </c>
      <c r="F18" s="27">
        <v>7033302.335</v>
      </c>
      <c r="G18" s="27">
        <v>7081019.2929999996</v>
      </c>
      <c r="H18" s="27">
        <v>7250513.2709999997</v>
      </c>
    </row>
    <row r="19" spans="1:8" ht="31.5" x14ac:dyDescent="0.25">
      <c r="A19" s="31" t="s">
        <v>13</v>
      </c>
      <c r="B19" s="31"/>
      <c r="C19" s="26" t="s">
        <v>14</v>
      </c>
      <c r="D19" s="27">
        <f>D20+D30+D38</f>
        <v>12788905.671</v>
      </c>
      <c r="E19" s="27">
        <f>E20+E30+E38</f>
        <v>21646758</v>
      </c>
      <c r="F19" s="27">
        <f>F20+F30+F38</f>
        <v>27609379.722000003</v>
      </c>
      <c r="G19" s="27">
        <f>G20+G30+G38</f>
        <v>27925535.693</v>
      </c>
      <c r="H19" s="27">
        <f>H20+H30+H38</f>
        <v>28798069.668000005</v>
      </c>
    </row>
    <row r="20" spans="1:8" ht="15" customHeight="1" x14ac:dyDescent="0.25">
      <c r="A20" s="31"/>
      <c r="B20" s="31">
        <v>221</v>
      </c>
      <c r="C20" s="26" t="s">
        <v>15</v>
      </c>
      <c r="D20" s="27">
        <f>SUM(D21:D29)-5064351.6</f>
        <v>9937491.7680000011</v>
      </c>
      <c r="E20" s="27">
        <v>18036521.5</v>
      </c>
      <c r="F20" s="27">
        <f>SUM(F21:F29)</f>
        <v>21819381.752</v>
      </c>
      <c r="G20" s="27">
        <f t="shared" ref="G20:H20" si="1">SUM(G21:G29)</f>
        <v>22061742.693</v>
      </c>
      <c r="H20" s="27">
        <f t="shared" si="1"/>
        <v>22689489.799000002</v>
      </c>
    </row>
    <row r="21" spans="1:8" ht="15" customHeight="1" x14ac:dyDescent="0.25">
      <c r="A21" s="31"/>
      <c r="B21" s="31">
        <v>2211</v>
      </c>
      <c r="C21" s="26" t="s">
        <v>71</v>
      </c>
      <c r="D21" s="27">
        <f>370894.926+69421.991</f>
        <v>440316.91699999996</v>
      </c>
      <c r="E21" s="27"/>
      <c r="F21" s="27">
        <v>1138348.53</v>
      </c>
      <c r="G21" s="27">
        <v>1150622.987</v>
      </c>
      <c r="H21" s="27">
        <v>1186416.2279999999</v>
      </c>
    </row>
    <row r="22" spans="1:8" ht="15" customHeight="1" x14ac:dyDescent="0.25">
      <c r="A22" s="31"/>
      <c r="B22" s="31">
        <v>2212</v>
      </c>
      <c r="C22" s="26" t="s">
        <v>72</v>
      </c>
      <c r="D22" s="27">
        <f>905716.059+34180.047</f>
        <v>939896.10600000003</v>
      </c>
      <c r="E22" s="27"/>
      <c r="F22" s="27">
        <v>907253.36</v>
      </c>
      <c r="G22" s="27">
        <v>905704.576</v>
      </c>
      <c r="H22" s="27">
        <v>939214.91399999999</v>
      </c>
    </row>
    <row r="23" spans="1:8" ht="15" customHeight="1" x14ac:dyDescent="0.25">
      <c r="A23" s="31"/>
      <c r="B23" s="31">
        <v>2213</v>
      </c>
      <c r="C23" s="26" t="s">
        <v>73</v>
      </c>
      <c r="D23" s="27">
        <f>356473.759+10226.892</f>
        <v>366700.65100000001</v>
      </c>
      <c r="E23" s="27"/>
      <c r="F23" s="27">
        <v>628061.52599999995</v>
      </c>
      <c r="G23" s="27">
        <v>639500.81200000003</v>
      </c>
      <c r="H23" s="27">
        <v>684684.80200000003</v>
      </c>
    </row>
    <row r="24" spans="1:8" ht="15" customHeight="1" x14ac:dyDescent="0.25">
      <c r="A24" s="31"/>
      <c r="B24" s="31">
        <v>2214</v>
      </c>
      <c r="C24" s="26" t="s">
        <v>74</v>
      </c>
      <c r="D24" s="27">
        <f>791177.541+96544.786</f>
        <v>887722.32699999993</v>
      </c>
      <c r="E24" s="27"/>
      <c r="F24" s="27">
        <v>1428290.3459999999</v>
      </c>
      <c r="G24" s="27">
        <v>1458255.818</v>
      </c>
      <c r="H24" s="27">
        <v>1559186.2709999999</v>
      </c>
    </row>
    <row r="25" spans="1:8" ht="15" customHeight="1" x14ac:dyDescent="0.25">
      <c r="A25" s="31"/>
      <c r="B25" s="31">
        <v>2215</v>
      </c>
      <c r="C25" s="26" t="s">
        <v>75</v>
      </c>
      <c r="D25" s="27">
        <f>2427784.719+322319.316</f>
        <v>2750104.0350000001</v>
      </c>
      <c r="E25" s="27"/>
      <c r="F25" s="27">
        <v>5314564.5389999999</v>
      </c>
      <c r="G25" s="27">
        <v>5247580.8930000002</v>
      </c>
      <c r="H25" s="27">
        <v>5323393.6210000003</v>
      </c>
    </row>
    <row r="26" spans="1:8" ht="31.5" x14ac:dyDescent="0.25">
      <c r="A26" s="31"/>
      <c r="B26" s="31">
        <v>2216</v>
      </c>
      <c r="C26" s="26" t="s">
        <v>76</v>
      </c>
      <c r="D26" s="27">
        <f>576168.351+174612.548</f>
        <v>750780.89899999998</v>
      </c>
      <c r="E26" s="27"/>
      <c r="F26" s="27">
        <v>806510.9</v>
      </c>
      <c r="G26" s="27">
        <v>784874.4</v>
      </c>
      <c r="H26" s="27">
        <v>791505.9</v>
      </c>
    </row>
    <row r="27" spans="1:8" ht="15" customHeight="1" x14ac:dyDescent="0.25">
      <c r="A27" s="31"/>
      <c r="B27" s="31">
        <v>2217</v>
      </c>
      <c r="C27" s="26" t="s">
        <v>77</v>
      </c>
      <c r="D27" s="27">
        <f>1138811.356+50398.108</f>
        <v>1189209.4639999999</v>
      </c>
      <c r="E27" s="27"/>
      <c r="F27" s="27">
        <v>1178714</v>
      </c>
      <c r="G27" s="27">
        <v>1128230.5</v>
      </c>
      <c r="H27" s="27">
        <v>1134537.5</v>
      </c>
    </row>
    <row r="28" spans="1:8" ht="15" customHeight="1" x14ac:dyDescent="0.25">
      <c r="A28" s="31"/>
      <c r="B28" s="31">
        <v>2218</v>
      </c>
      <c r="C28" s="26" t="s">
        <v>78</v>
      </c>
      <c r="D28" s="27">
        <f>2155299.02+150797.019</f>
        <v>2306096.0389999999</v>
      </c>
      <c r="E28" s="27"/>
      <c r="F28" s="27">
        <v>3456805.051</v>
      </c>
      <c r="G28" s="27">
        <v>3564964.5920000002</v>
      </c>
      <c r="H28" s="27">
        <v>3698286.45</v>
      </c>
    </row>
    <row r="29" spans="1:8" ht="47.25" x14ac:dyDescent="0.25">
      <c r="A29" s="31"/>
      <c r="B29" s="31">
        <v>2219</v>
      </c>
      <c r="C29" s="26" t="s">
        <v>79</v>
      </c>
      <c r="D29" s="27">
        <f>635265.391+4735751.539</f>
        <v>5371016.9299999997</v>
      </c>
      <c r="E29" s="27"/>
      <c r="F29" s="27">
        <v>6960833.5</v>
      </c>
      <c r="G29" s="27">
        <v>7182008.1150000002</v>
      </c>
      <c r="H29" s="27">
        <v>7372264.1129999999</v>
      </c>
    </row>
    <row r="30" spans="1:8" ht="15" customHeight="1" x14ac:dyDescent="0.25">
      <c r="A30" s="31"/>
      <c r="B30" s="31">
        <v>222</v>
      </c>
      <c r="C30" s="26" t="s">
        <v>16</v>
      </c>
      <c r="D30" s="32">
        <f>SUM(D31:D37)-147398.7</f>
        <v>1362187.7029999997</v>
      </c>
      <c r="E30" s="32">
        <v>2155003</v>
      </c>
      <c r="F30" s="32">
        <f>SUM(F31:F37)</f>
        <v>2649138.5150000006</v>
      </c>
      <c r="G30" s="32">
        <f>SUM(G31:G37)</f>
        <v>2673336.7390000005</v>
      </c>
      <c r="H30" s="32">
        <f>SUM(H31:H37)</f>
        <v>2883905.1</v>
      </c>
    </row>
    <row r="31" spans="1:8" ht="15" customHeight="1" x14ac:dyDescent="0.25">
      <c r="A31" s="31"/>
      <c r="B31" s="31">
        <v>2221</v>
      </c>
      <c r="C31" s="26" t="s">
        <v>80</v>
      </c>
      <c r="D31" s="32">
        <f>188599.721+55495.121</f>
        <v>244094.842</v>
      </c>
      <c r="E31" s="32"/>
      <c r="F31" s="32">
        <v>516010.1</v>
      </c>
      <c r="G31" s="32">
        <v>541306.81900000002</v>
      </c>
      <c r="H31" s="32">
        <v>606267.47900000005</v>
      </c>
    </row>
    <row r="32" spans="1:8" ht="31.5" x14ac:dyDescent="0.25">
      <c r="A32" s="31"/>
      <c r="B32" s="31">
        <v>2222</v>
      </c>
      <c r="C32" s="26" t="s">
        <v>109</v>
      </c>
      <c r="D32" s="32">
        <f>460745.681+114806.408</f>
        <v>575552.08899999992</v>
      </c>
      <c r="E32" s="32"/>
      <c r="F32" s="32">
        <v>992256.51500000001</v>
      </c>
      <c r="G32" s="32">
        <v>993452.60199999996</v>
      </c>
      <c r="H32" s="32">
        <v>1091227.152</v>
      </c>
    </row>
    <row r="33" spans="1:11" ht="47.25" x14ac:dyDescent="0.25">
      <c r="A33" s="31"/>
      <c r="B33" s="31">
        <v>2223</v>
      </c>
      <c r="C33" s="26" t="s">
        <v>110</v>
      </c>
      <c r="D33" s="32">
        <f>180290.875+9249.353</f>
        <v>189540.228</v>
      </c>
      <c r="E33" s="32"/>
      <c r="F33" s="32">
        <v>414017.8</v>
      </c>
      <c r="G33" s="32">
        <v>411962.81800000003</v>
      </c>
      <c r="H33" s="32">
        <v>443672.06900000002</v>
      </c>
    </row>
    <row r="34" spans="1:11" ht="15" customHeight="1" x14ac:dyDescent="0.25">
      <c r="A34" s="31"/>
      <c r="B34" s="31">
        <v>2224</v>
      </c>
      <c r="C34" s="26" t="s">
        <v>81</v>
      </c>
      <c r="D34" s="32">
        <f>169198.602+3337.052</f>
        <v>172535.65400000001</v>
      </c>
      <c r="E34" s="32"/>
      <c r="F34" s="32">
        <v>279416.7</v>
      </c>
      <c r="G34" s="32">
        <v>283028.2</v>
      </c>
      <c r="H34" s="32">
        <v>289738.3</v>
      </c>
    </row>
    <row r="35" spans="1:11" ht="15" customHeight="1" x14ac:dyDescent="0.25">
      <c r="A35" s="31"/>
      <c r="B35" s="31">
        <v>2225</v>
      </c>
      <c r="C35" s="26" t="s">
        <v>82</v>
      </c>
      <c r="D35" s="32">
        <f>218155.512+16022.205</f>
        <v>234177.71699999998</v>
      </c>
      <c r="E35" s="32"/>
      <c r="F35" s="32">
        <v>274180.09999999998</v>
      </c>
      <c r="G35" s="32">
        <v>270395</v>
      </c>
      <c r="H35" s="32">
        <v>279776.09999999998</v>
      </c>
    </row>
    <row r="36" spans="1:11" ht="15" customHeight="1" x14ac:dyDescent="0.25">
      <c r="A36" s="31"/>
      <c r="B36" s="31">
        <v>2226</v>
      </c>
      <c r="C36" s="26" t="s">
        <v>83</v>
      </c>
      <c r="D36" s="32">
        <f>31012.502+148.428</f>
        <v>31160.93</v>
      </c>
      <c r="E36" s="32"/>
      <c r="F36" s="32">
        <v>45201.2</v>
      </c>
      <c r="G36" s="32">
        <v>45216.2</v>
      </c>
      <c r="H36" s="32">
        <v>45379</v>
      </c>
    </row>
    <row r="37" spans="1:11" ht="31.5" x14ac:dyDescent="0.25">
      <c r="A37" s="31"/>
      <c r="B37" s="31">
        <v>2227</v>
      </c>
      <c r="C37" s="26" t="s">
        <v>84</v>
      </c>
      <c r="D37" s="32">
        <f>62524.81+0.133</f>
        <v>62524.942999999999</v>
      </c>
      <c r="E37" s="32"/>
      <c r="F37" s="32">
        <v>128056.1</v>
      </c>
      <c r="G37" s="32">
        <v>127975.1</v>
      </c>
      <c r="H37" s="32">
        <v>127845</v>
      </c>
    </row>
    <row r="38" spans="1:11" ht="15" customHeight="1" x14ac:dyDescent="0.25">
      <c r="A38" s="31"/>
      <c r="B38" s="31">
        <v>223</v>
      </c>
      <c r="C38" s="26" t="s">
        <v>17</v>
      </c>
      <c r="D38" s="32">
        <f>D39+D40+170181.5</f>
        <v>1489226.2000000002</v>
      </c>
      <c r="E38" s="32">
        <v>1455233.5</v>
      </c>
      <c r="F38" s="32">
        <f>SUM(F39:F40)</f>
        <v>3140859.4550000001</v>
      </c>
      <c r="G38" s="32">
        <f t="shared" ref="G38:H38" si="2">SUM(G39:G40)</f>
        <v>3190456.2609999999</v>
      </c>
      <c r="H38" s="32">
        <f t="shared" si="2"/>
        <v>3224674.7689999999</v>
      </c>
    </row>
    <row r="39" spans="1:11" ht="15" customHeight="1" x14ac:dyDescent="0.25">
      <c r="A39" s="31"/>
      <c r="B39" s="31">
        <v>2231</v>
      </c>
      <c r="C39" s="26" t="s">
        <v>17</v>
      </c>
      <c r="D39" s="32">
        <f>1223899.323+46285.046</f>
        <v>1270184.3690000002</v>
      </c>
      <c r="E39" s="32"/>
      <c r="F39" s="32">
        <v>3089117.0890000002</v>
      </c>
      <c r="G39" s="32">
        <v>3138825.9750000001</v>
      </c>
      <c r="H39" s="32">
        <v>3171753.818</v>
      </c>
    </row>
    <row r="40" spans="1:11" ht="15" customHeight="1" x14ac:dyDescent="0.25">
      <c r="A40" s="31"/>
      <c r="B40" s="31">
        <v>2235</v>
      </c>
      <c r="C40" s="26" t="s">
        <v>85</v>
      </c>
      <c r="D40" s="32">
        <f>48277.004+583.327</f>
        <v>48860.330999999998</v>
      </c>
      <c r="E40" s="32"/>
      <c r="F40" s="32">
        <v>51742.366000000002</v>
      </c>
      <c r="G40" s="32">
        <v>51630.286</v>
      </c>
      <c r="H40" s="32">
        <v>52920.951000000001</v>
      </c>
    </row>
    <row r="41" spans="1:11" ht="15" customHeight="1" x14ac:dyDescent="0.25">
      <c r="A41" s="31" t="s">
        <v>18</v>
      </c>
      <c r="B41" s="31"/>
      <c r="C41" s="26" t="s">
        <v>19</v>
      </c>
      <c r="D41" s="27">
        <f>D42+D44</f>
        <v>8354893.716</v>
      </c>
      <c r="E41" s="27">
        <f>E42+E44</f>
        <v>9788127.6999999993</v>
      </c>
      <c r="F41" s="27">
        <f>F42+F44</f>
        <v>11408117.681</v>
      </c>
      <c r="G41" s="27">
        <f>G42+G44</f>
        <v>12895543.706</v>
      </c>
      <c r="H41" s="27">
        <f>H42+H44</f>
        <v>13857518.706999999</v>
      </c>
    </row>
    <row r="42" spans="1:11" ht="15" customHeight="1" x14ac:dyDescent="0.25">
      <c r="A42" s="31"/>
      <c r="B42" s="31">
        <v>241</v>
      </c>
      <c r="C42" s="26" t="s">
        <v>20</v>
      </c>
      <c r="D42" s="27">
        <f>D43</f>
        <v>4297507.7450000001</v>
      </c>
      <c r="E42" s="27">
        <v>5254654.3</v>
      </c>
      <c r="F42" s="27">
        <f>F43</f>
        <v>5736856.7209999999</v>
      </c>
      <c r="G42" s="27">
        <f t="shared" ref="G42:H42" si="3">G43</f>
        <v>5971292.2800000003</v>
      </c>
      <c r="H42" s="27">
        <f t="shared" si="3"/>
        <v>5891867.7529999996</v>
      </c>
    </row>
    <row r="43" spans="1:11" ht="47.25" x14ac:dyDescent="0.25">
      <c r="A43" s="31"/>
      <c r="B43" s="31">
        <v>2411</v>
      </c>
      <c r="C43" s="26" t="s">
        <v>86</v>
      </c>
      <c r="D43" s="27">
        <v>4297507.7450000001</v>
      </c>
      <c r="E43" s="27"/>
      <c r="F43" s="27">
        <v>5736856.7209999999</v>
      </c>
      <c r="G43" s="27">
        <v>5971292.2800000003</v>
      </c>
      <c r="H43" s="27">
        <v>5891867.7529999996</v>
      </c>
      <c r="J43" s="16"/>
      <c r="K43" s="16"/>
    </row>
    <row r="44" spans="1:11" ht="31.5" x14ac:dyDescent="0.25">
      <c r="A44" s="31"/>
      <c r="B44" s="31">
        <v>242</v>
      </c>
      <c r="C44" s="26" t="s">
        <v>21</v>
      </c>
      <c r="D44" s="32">
        <f>D45</f>
        <v>4057385.9709999999</v>
      </c>
      <c r="E44" s="32">
        <v>4533473.4000000004</v>
      </c>
      <c r="F44" s="32">
        <f>F45+F46</f>
        <v>5671260.96</v>
      </c>
      <c r="G44" s="32">
        <f>G45+G46</f>
        <v>6924251.426</v>
      </c>
      <c r="H44" s="32">
        <f>H45+H46</f>
        <v>7965650.9539999999</v>
      </c>
      <c r="I44" s="6"/>
      <c r="J44" s="6"/>
      <c r="K44" s="6"/>
    </row>
    <row r="45" spans="1:11" ht="31.5" x14ac:dyDescent="0.25">
      <c r="A45" s="31"/>
      <c r="B45" s="31">
        <v>2421</v>
      </c>
      <c r="C45" s="26" t="s">
        <v>87</v>
      </c>
      <c r="D45" s="32">
        <v>4057385.9709999999</v>
      </c>
      <c r="E45" s="32"/>
      <c r="F45" s="32">
        <v>5670730.96</v>
      </c>
      <c r="G45" s="32">
        <v>6923721.426</v>
      </c>
      <c r="H45" s="32">
        <v>7965120.9539999999</v>
      </c>
      <c r="J45" s="16"/>
      <c r="K45" s="16"/>
    </row>
    <row r="46" spans="1:11" ht="31.5" x14ac:dyDescent="0.25">
      <c r="A46" s="31"/>
      <c r="B46" s="31">
        <v>2422</v>
      </c>
      <c r="C46" s="26" t="s">
        <v>88</v>
      </c>
      <c r="D46" s="32"/>
      <c r="E46" s="32"/>
      <c r="F46" s="32">
        <v>530</v>
      </c>
      <c r="G46" s="32">
        <v>530</v>
      </c>
      <c r="H46" s="32">
        <v>530</v>
      </c>
    </row>
    <row r="47" spans="1:11" ht="15" customHeight="1" x14ac:dyDescent="0.25">
      <c r="A47" s="31" t="s">
        <v>22</v>
      </c>
      <c r="B47" s="31"/>
      <c r="C47" s="26" t="s">
        <v>23</v>
      </c>
      <c r="D47" s="27">
        <f>D48+D51</f>
        <v>1573915.5960000001</v>
      </c>
      <c r="E47" s="27">
        <f>E48+E51</f>
        <v>3574829.3</v>
      </c>
      <c r="F47" s="27">
        <f>F48+F51</f>
        <v>2522513.2999999998</v>
      </c>
      <c r="G47" s="27">
        <f>G48+G51</f>
        <v>2593614.2000000002</v>
      </c>
      <c r="H47" s="27">
        <f>H48+H51</f>
        <v>2631654.2000000002</v>
      </c>
    </row>
    <row r="48" spans="1:11" ht="15" customHeight="1" x14ac:dyDescent="0.25">
      <c r="A48" s="31"/>
      <c r="B48" s="31">
        <v>251</v>
      </c>
      <c r="C48" s="26" t="s">
        <v>24</v>
      </c>
      <c r="D48" s="27">
        <f>D49+D50</f>
        <v>1573915.5960000001</v>
      </c>
      <c r="E48" s="27">
        <v>2321613.2999999998</v>
      </c>
      <c r="F48" s="27">
        <f>F49+F50</f>
        <v>2522513.2999999998</v>
      </c>
      <c r="G48" s="27">
        <f t="shared" ref="G48:H48" si="4">G49+G50</f>
        <v>2593614.2000000002</v>
      </c>
      <c r="H48" s="27">
        <f t="shared" si="4"/>
        <v>2631654.2000000002</v>
      </c>
    </row>
    <row r="49" spans="1:11" ht="31.5" x14ac:dyDescent="0.25">
      <c r="A49" s="31"/>
      <c r="B49" s="31">
        <v>2511</v>
      </c>
      <c r="C49" s="26" t="s">
        <v>89</v>
      </c>
      <c r="D49" s="27">
        <v>1326043.2960000001</v>
      </c>
      <c r="E49" s="27"/>
      <c r="F49" s="27">
        <v>1410513.3</v>
      </c>
      <c r="G49" s="27">
        <v>1481614.2</v>
      </c>
      <c r="H49" s="27">
        <v>1519654.2</v>
      </c>
    </row>
    <row r="50" spans="1:11" ht="31.5" x14ac:dyDescent="0.25">
      <c r="A50" s="31"/>
      <c r="B50" s="31">
        <v>2512</v>
      </c>
      <c r="C50" s="26" t="s">
        <v>90</v>
      </c>
      <c r="D50" s="27">
        <v>247872.3</v>
      </c>
      <c r="E50" s="27"/>
      <c r="F50" s="27">
        <v>1112000</v>
      </c>
      <c r="G50" s="27">
        <v>1112000</v>
      </c>
      <c r="H50" s="27">
        <v>1112000</v>
      </c>
    </row>
    <row r="51" spans="1:11" ht="15" customHeight="1" x14ac:dyDescent="0.25">
      <c r="A51" s="31"/>
      <c r="B51" s="33">
        <v>252</v>
      </c>
      <c r="C51" s="34" t="s">
        <v>69</v>
      </c>
      <c r="D51" s="27"/>
      <c r="E51" s="27">
        <v>1253216</v>
      </c>
      <c r="F51" s="27"/>
      <c r="G51" s="27"/>
      <c r="H51" s="27"/>
    </row>
    <row r="52" spans="1:11" ht="15" customHeight="1" x14ac:dyDescent="0.25">
      <c r="A52" s="31" t="s">
        <v>25</v>
      </c>
      <c r="B52" s="31"/>
      <c r="C52" s="26" t="s">
        <v>26</v>
      </c>
      <c r="D52" s="27">
        <f>D53+D55</f>
        <v>38846843.348999999</v>
      </c>
      <c r="E52" s="27">
        <f>E53+E55</f>
        <v>38503503.200000003</v>
      </c>
      <c r="F52" s="27">
        <f>F53+F55</f>
        <v>48417576.713</v>
      </c>
      <c r="G52" s="27">
        <f>G53+G55</f>
        <v>49784265.479999997</v>
      </c>
      <c r="H52" s="27">
        <f>H53+H55</f>
        <v>51079802.312999994</v>
      </c>
    </row>
    <row r="53" spans="1:11" ht="15" customHeight="1" x14ac:dyDescent="0.25">
      <c r="A53" s="31"/>
      <c r="B53" s="31">
        <v>262</v>
      </c>
      <c r="C53" s="26" t="s">
        <v>27</v>
      </c>
      <c r="D53" s="27">
        <f>D54</f>
        <v>312957.34900000005</v>
      </c>
      <c r="E53" s="27">
        <v>535338.19999999995</v>
      </c>
      <c r="F53" s="27">
        <f>F54</f>
        <v>825606.21299999999</v>
      </c>
      <c r="G53" s="27">
        <f t="shared" ref="G53:H53" si="5">G54</f>
        <v>790263.82299999997</v>
      </c>
      <c r="H53" s="27">
        <f t="shared" si="5"/>
        <v>786781.95600000001</v>
      </c>
    </row>
    <row r="54" spans="1:11" ht="15" customHeight="1" x14ac:dyDescent="0.25">
      <c r="A54" s="31"/>
      <c r="B54" s="31">
        <v>2621</v>
      </c>
      <c r="C54" s="26" t="s">
        <v>91</v>
      </c>
      <c r="D54" s="27">
        <f>311982.916+974.433</f>
        <v>312957.34900000005</v>
      </c>
      <c r="E54" s="27"/>
      <c r="F54" s="27">
        <v>825606.21299999999</v>
      </c>
      <c r="G54" s="27">
        <v>790263.82299999997</v>
      </c>
      <c r="H54" s="27">
        <v>786781.95600000001</v>
      </c>
    </row>
    <row r="55" spans="1:11" ht="31.5" x14ac:dyDescent="0.25">
      <c r="A55" s="31"/>
      <c r="B55" s="31">
        <v>263</v>
      </c>
      <c r="C55" s="26" t="s">
        <v>111</v>
      </c>
      <c r="D55" s="27">
        <f>D56</f>
        <v>38533886</v>
      </c>
      <c r="E55" s="27">
        <v>37968165</v>
      </c>
      <c r="F55" s="27">
        <f>F56</f>
        <v>47591970.5</v>
      </c>
      <c r="G55" s="27">
        <f t="shared" ref="G55:H55" si="6">G56</f>
        <v>48994001.656999998</v>
      </c>
      <c r="H55" s="27">
        <f t="shared" si="6"/>
        <v>50293020.356999993</v>
      </c>
    </row>
    <row r="56" spans="1:11" ht="31.5" x14ac:dyDescent="0.25">
      <c r="A56" s="31"/>
      <c r="B56" s="31">
        <v>2631</v>
      </c>
      <c r="C56" s="26" t="s">
        <v>92</v>
      </c>
      <c r="D56" s="27">
        <v>38533886</v>
      </c>
      <c r="E56" s="27"/>
      <c r="F56" s="27">
        <f>47591945.2+25.3</f>
        <v>47591970.5</v>
      </c>
      <c r="G56" s="27">
        <f>48993976.357+25.3</f>
        <v>48994001.656999998</v>
      </c>
      <c r="H56" s="27">
        <f>50292995.057+25.3</f>
        <v>50293020.356999993</v>
      </c>
    </row>
    <row r="57" spans="1:11" ht="15" customHeight="1" x14ac:dyDescent="0.25">
      <c r="A57" s="31" t="s">
        <v>28</v>
      </c>
      <c r="B57" s="31"/>
      <c r="C57" s="26" t="s">
        <v>29</v>
      </c>
      <c r="D57" s="27">
        <f>D58+D60</f>
        <v>10610019.536</v>
      </c>
      <c r="E57" s="27">
        <f>E58+E60</f>
        <v>10019556.299999999</v>
      </c>
      <c r="F57" s="27">
        <f>F58+F60</f>
        <v>14482904.1</v>
      </c>
      <c r="G57" s="27">
        <f>G58+G60</f>
        <v>14711506.4</v>
      </c>
      <c r="H57" s="27">
        <f>H58+H60</f>
        <v>15068831.5</v>
      </c>
    </row>
    <row r="58" spans="1:11" ht="15" customHeight="1" x14ac:dyDescent="0.25">
      <c r="A58" s="31"/>
      <c r="B58" s="31">
        <v>271</v>
      </c>
      <c r="C58" s="26" t="s">
        <v>30</v>
      </c>
      <c r="D58" s="27">
        <f>D59</f>
        <v>377065.08</v>
      </c>
      <c r="E58" s="27">
        <v>51580.6</v>
      </c>
      <c r="F58" s="27">
        <f>F59</f>
        <v>106533.1</v>
      </c>
      <c r="G58" s="27">
        <f t="shared" ref="G58:H58" si="7">G59</f>
        <v>110040.9</v>
      </c>
      <c r="H58" s="27">
        <f t="shared" si="7"/>
        <v>114011.9</v>
      </c>
    </row>
    <row r="59" spans="1:11" ht="15" customHeight="1" x14ac:dyDescent="0.25">
      <c r="A59" s="31"/>
      <c r="B59" s="31">
        <v>2711</v>
      </c>
      <c r="C59" s="26" t="s">
        <v>30</v>
      </c>
      <c r="D59" s="27">
        <f>376975.115+89.965</f>
        <v>377065.08</v>
      </c>
      <c r="E59" s="27"/>
      <c r="F59" s="27">
        <v>106533.1</v>
      </c>
      <c r="G59" s="27">
        <v>110040.9</v>
      </c>
      <c r="H59" s="27">
        <v>114011.9</v>
      </c>
    </row>
    <row r="60" spans="1:11" ht="15" customHeight="1" x14ac:dyDescent="0.25">
      <c r="A60" s="31"/>
      <c r="B60" s="31">
        <v>272</v>
      </c>
      <c r="C60" s="26" t="s">
        <v>31</v>
      </c>
      <c r="D60" s="27">
        <f>D61</f>
        <v>10232954.456</v>
      </c>
      <c r="E60" s="27">
        <v>9967975.6999999993</v>
      </c>
      <c r="F60" s="27">
        <f>F61</f>
        <v>14376371</v>
      </c>
      <c r="G60" s="27">
        <f t="shared" ref="G60:H60" si="8">G61</f>
        <v>14601465.5</v>
      </c>
      <c r="H60" s="27">
        <f t="shared" si="8"/>
        <v>14954819.6</v>
      </c>
    </row>
    <row r="61" spans="1:11" ht="15" customHeight="1" x14ac:dyDescent="0.25">
      <c r="A61" s="31"/>
      <c r="B61" s="31">
        <v>2721</v>
      </c>
      <c r="C61" s="26" t="s">
        <v>31</v>
      </c>
      <c r="D61" s="27">
        <f>10221587.59+11366.866</f>
        <v>10232954.456</v>
      </c>
      <c r="E61" s="27"/>
      <c r="F61" s="27">
        <v>14376371</v>
      </c>
      <c r="G61" s="27">
        <v>14601465.5</v>
      </c>
      <c r="H61" s="27">
        <v>14954819.6</v>
      </c>
    </row>
    <row r="62" spans="1:11" ht="15" customHeight="1" x14ac:dyDescent="0.25">
      <c r="A62" s="31">
        <v>28</v>
      </c>
      <c r="B62" s="31"/>
      <c r="C62" s="26" t="s">
        <v>32</v>
      </c>
      <c r="D62" s="32">
        <f>D63</f>
        <v>486546.63900000008</v>
      </c>
      <c r="E62" s="32">
        <f>E63</f>
        <v>2797562.6</v>
      </c>
      <c r="F62" s="32">
        <f>F63</f>
        <v>75055920.814999998</v>
      </c>
      <c r="G62" s="32">
        <f>G63</f>
        <v>78709744.370000005</v>
      </c>
      <c r="H62" s="32">
        <f>H63</f>
        <v>79830442.723000005</v>
      </c>
    </row>
    <row r="63" spans="1:11" ht="15" customHeight="1" x14ac:dyDescent="0.25">
      <c r="A63" s="31"/>
      <c r="B63" s="31">
        <v>282</v>
      </c>
      <c r="C63" s="26" t="s">
        <v>33</v>
      </c>
      <c r="D63" s="27">
        <f>SUM(D64:D68)</f>
        <v>486546.63900000008</v>
      </c>
      <c r="E63" s="27">
        <v>2797562.6</v>
      </c>
      <c r="F63" s="27">
        <f>SUM(F64:F68)</f>
        <v>75055920.814999998</v>
      </c>
      <c r="G63" s="27">
        <f>SUM(G64:G68)</f>
        <v>78709744.370000005</v>
      </c>
      <c r="H63" s="27">
        <f>SUM(H64:H68)</f>
        <v>79830442.723000005</v>
      </c>
      <c r="K63" s="7"/>
    </row>
    <row r="64" spans="1:11" x14ac:dyDescent="0.25">
      <c r="A64" s="31"/>
      <c r="B64" s="31">
        <v>2821</v>
      </c>
      <c r="C64" s="26" t="s">
        <v>93</v>
      </c>
      <c r="D64" s="27">
        <f>302335.794+1328.906</f>
        <v>303664.7</v>
      </c>
      <c r="E64" s="27"/>
      <c r="F64" s="27">
        <f>4858013.815-25.3</f>
        <v>4857988.5150000006</v>
      </c>
      <c r="G64" s="27">
        <v>5078029.4460000005</v>
      </c>
      <c r="H64" s="27">
        <v>5619992.227</v>
      </c>
      <c r="I64" s="9"/>
      <c r="K64" s="7"/>
    </row>
    <row r="65" spans="1:11" ht="15" customHeight="1" x14ac:dyDescent="0.25">
      <c r="A65" s="31"/>
      <c r="B65" s="31">
        <v>2822</v>
      </c>
      <c r="C65" s="26" t="s">
        <v>94</v>
      </c>
      <c r="D65" s="27">
        <v>287.50400000000002</v>
      </c>
      <c r="E65" s="27"/>
      <c r="F65" s="27">
        <v>47.4</v>
      </c>
      <c r="G65" s="27">
        <v>48.4</v>
      </c>
      <c r="H65" s="27">
        <v>49.8</v>
      </c>
      <c r="K65" s="7"/>
    </row>
    <row r="66" spans="1:11" ht="15" customHeight="1" x14ac:dyDescent="0.25">
      <c r="A66" s="31"/>
      <c r="B66" s="31">
        <v>2823</v>
      </c>
      <c r="C66" s="26" t="s">
        <v>95</v>
      </c>
      <c r="D66" s="27">
        <f>15925.768+5351.752</f>
        <v>21277.52</v>
      </c>
      <c r="E66" s="27"/>
      <c r="F66" s="27">
        <v>37884.9</v>
      </c>
      <c r="G66" s="27">
        <v>38522.6</v>
      </c>
      <c r="H66" s="27">
        <v>39497.300000000003</v>
      </c>
      <c r="K66" s="7"/>
    </row>
    <row r="67" spans="1:11" ht="15" customHeight="1" x14ac:dyDescent="0.25">
      <c r="A67" s="31"/>
      <c r="B67" s="31">
        <v>2824</v>
      </c>
      <c r="C67" s="26" t="s">
        <v>96</v>
      </c>
      <c r="D67" s="27">
        <v>161316.91500000001</v>
      </c>
      <c r="E67" s="27"/>
      <c r="F67" s="27">
        <v>160000</v>
      </c>
      <c r="G67" s="27">
        <v>161163</v>
      </c>
      <c r="H67" s="27">
        <v>162992.6</v>
      </c>
    </row>
    <row r="68" spans="1:11" ht="15" customHeight="1" x14ac:dyDescent="0.25">
      <c r="A68" s="31"/>
      <c r="B68" s="31">
        <v>2829</v>
      </c>
      <c r="C68" s="34" t="s">
        <v>102</v>
      </c>
      <c r="D68" s="27"/>
      <c r="E68" s="27"/>
      <c r="F68" s="27">
        <v>70000000</v>
      </c>
      <c r="G68" s="27">
        <f>73432006.224-25.3</f>
        <v>73431980.92400001</v>
      </c>
      <c r="H68" s="27">
        <f>74007936.096-25.3</f>
        <v>74007910.796000004</v>
      </c>
    </row>
    <row r="69" spans="1:11" ht="31.5" x14ac:dyDescent="0.25">
      <c r="A69" s="56"/>
      <c r="B69" s="31"/>
      <c r="C69" s="26" t="s">
        <v>34</v>
      </c>
      <c r="D69" s="35">
        <f>D8-D15</f>
        <v>804357.89300002158</v>
      </c>
      <c r="E69" s="35">
        <f>E8-E15</f>
        <v>27953818</v>
      </c>
      <c r="F69" s="35">
        <f>F8-F15</f>
        <v>37117407.761999995</v>
      </c>
      <c r="G69" s="35">
        <f>G8-G15</f>
        <v>43473027.539000005</v>
      </c>
      <c r="H69" s="35">
        <f>H8-H15</f>
        <v>53948904.540000021</v>
      </c>
    </row>
    <row r="70" spans="1:11" ht="47.25" x14ac:dyDescent="0.25">
      <c r="A70" s="56"/>
      <c r="B70" s="31"/>
      <c r="C70" s="26" t="s">
        <v>35</v>
      </c>
      <c r="D70" s="35"/>
      <c r="E70" s="35"/>
      <c r="F70" s="35"/>
      <c r="G70" s="35"/>
      <c r="H70" s="35"/>
    </row>
    <row r="71" spans="1:11" ht="15" customHeight="1" x14ac:dyDescent="0.25">
      <c r="A71" s="56">
        <v>31</v>
      </c>
      <c r="B71" s="31"/>
      <c r="C71" s="26" t="s">
        <v>36</v>
      </c>
      <c r="D71" s="35">
        <f>D72-D84</f>
        <v>20667673.713</v>
      </c>
      <c r="E71" s="35">
        <f>E72</f>
        <v>36417017.799999997</v>
      </c>
      <c r="F71" s="35">
        <f>F72</f>
        <v>46239088.140000001</v>
      </c>
      <c r="G71" s="35">
        <f>G72</f>
        <v>51150029.413000003</v>
      </c>
      <c r="H71" s="35">
        <f>H72</f>
        <v>45643710.715000004</v>
      </c>
    </row>
    <row r="72" spans="1:11" ht="15" customHeight="1" x14ac:dyDescent="0.25">
      <c r="A72" s="56"/>
      <c r="B72" s="31"/>
      <c r="C72" s="36" t="s">
        <v>37</v>
      </c>
      <c r="D72" s="35">
        <f>D73+D77+D80</f>
        <v>20669929.713</v>
      </c>
      <c r="E72" s="35">
        <f>E73+E77+E80</f>
        <v>36417017.799999997</v>
      </c>
      <c r="F72" s="35">
        <f>F73+F77+F80</f>
        <v>46239088.140000001</v>
      </c>
      <c r="G72" s="35">
        <f>G73+G77+G80</f>
        <v>51150029.413000003</v>
      </c>
      <c r="H72" s="35">
        <f>H73+H77+H80</f>
        <v>45643710.715000004</v>
      </c>
    </row>
    <row r="73" spans="1:11" ht="15" customHeight="1" x14ac:dyDescent="0.25">
      <c r="A73" s="56"/>
      <c r="B73" s="31">
        <v>311</v>
      </c>
      <c r="C73" s="36" t="s">
        <v>38</v>
      </c>
      <c r="D73" s="27">
        <f>SUM(D74:D76)</f>
        <v>19558633.217999998</v>
      </c>
      <c r="E73" s="27">
        <v>36166546.799999997</v>
      </c>
      <c r="F73" s="27">
        <f>F74+F75+F76</f>
        <v>45791617.140000001</v>
      </c>
      <c r="G73" s="27">
        <f t="shared" ref="G73:H73" si="9">G74+G75+G76</f>
        <v>50865384.313000001</v>
      </c>
      <c r="H73" s="27">
        <f t="shared" si="9"/>
        <v>45349251.115000002</v>
      </c>
      <c r="K73" s="7"/>
    </row>
    <row r="74" spans="1:11" ht="15" customHeight="1" x14ac:dyDescent="0.25">
      <c r="A74" s="56"/>
      <c r="B74" s="31">
        <v>3111</v>
      </c>
      <c r="C74" s="36" t="s">
        <v>97</v>
      </c>
      <c r="D74" s="27">
        <v>18657156.100000001</v>
      </c>
      <c r="E74" s="27"/>
      <c r="F74" s="27">
        <v>38607218.539999999</v>
      </c>
      <c r="G74" s="27">
        <v>46537983.358000003</v>
      </c>
      <c r="H74" s="27">
        <v>41005062.072999999</v>
      </c>
      <c r="K74" s="7"/>
    </row>
    <row r="75" spans="1:11" ht="15" customHeight="1" x14ac:dyDescent="0.25">
      <c r="A75" s="56"/>
      <c r="B75" s="31">
        <v>3112</v>
      </c>
      <c r="C75" s="36" t="s">
        <v>98</v>
      </c>
      <c r="D75" s="27">
        <f>642177.037+197045.828</f>
        <v>839222.86499999999</v>
      </c>
      <c r="E75" s="27"/>
      <c r="F75" s="27">
        <v>7174390.7000000002</v>
      </c>
      <c r="G75" s="27">
        <v>4317432.6550000003</v>
      </c>
      <c r="H75" s="27">
        <v>4334121.0420000004</v>
      </c>
      <c r="K75" s="7"/>
    </row>
    <row r="76" spans="1:11" ht="15" customHeight="1" x14ac:dyDescent="0.25">
      <c r="A76" s="56"/>
      <c r="B76" s="31">
        <v>3113</v>
      </c>
      <c r="C76" s="36" t="s">
        <v>99</v>
      </c>
      <c r="D76" s="27">
        <f>24220.45+38033.803</f>
        <v>62254.252999999997</v>
      </c>
      <c r="E76" s="27"/>
      <c r="F76" s="27">
        <v>10007.9</v>
      </c>
      <c r="G76" s="27">
        <v>9968.2999999999993</v>
      </c>
      <c r="H76" s="27">
        <v>10068</v>
      </c>
      <c r="K76" s="7"/>
    </row>
    <row r="77" spans="1:11" ht="15" customHeight="1" x14ac:dyDescent="0.25">
      <c r="A77" s="31"/>
      <c r="B77" s="31">
        <v>312</v>
      </c>
      <c r="C77" s="26" t="s">
        <v>39</v>
      </c>
      <c r="D77" s="27">
        <f>D78+D79</f>
        <v>1111296.4950000001</v>
      </c>
      <c r="E77" s="27">
        <v>250000</v>
      </c>
      <c r="F77" s="27">
        <f>F78+F79</f>
        <v>447000</v>
      </c>
      <c r="G77" s="27">
        <f t="shared" ref="G77:H77" si="10">G78+G79</f>
        <v>284165</v>
      </c>
      <c r="H77" s="27">
        <f t="shared" si="10"/>
        <v>293965.09999999998</v>
      </c>
    </row>
    <row r="78" spans="1:11" ht="15" customHeight="1" x14ac:dyDescent="0.25">
      <c r="A78" s="31"/>
      <c r="B78" s="31">
        <v>3121</v>
      </c>
      <c r="C78" s="26" t="s">
        <v>100</v>
      </c>
      <c r="D78" s="27">
        <v>1009957.7290000001</v>
      </c>
      <c r="E78" s="27"/>
      <c r="F78" s="27">
        <v>390000</v>
      </c>
      <c r="G78" s="27">
        <v>224180</v>
      </c>
      <c r="H78" s="27">
        <v>230905.4</v>
      </c>
    </row>
    <row r="79" spans="1:11" ht="15" customHeight="1" x14ac:dyDescent="0.25">
      <c r="A79" s="31"/>
      <c r="B79" s="31">
        <v>3122</v>
      </c>
      <c r="C79" s="26" t="s">
        <v>101</v>
      </c>
      <c r="D79" s="27">
        <f>101338.766</f>
        <v>101338.766</v>
      </c>
      <c r="E79" s="27"/>
      <c r="F79" s="27">
        <v>57000</v>
      </c>
      <c r="G79" s="27">
        <v>59985</v>
      </c>
      <c r="H79" s="27">
        <v>63059.7</v>
      </c>
    </row>
    <row r="80" spans="1:11" ht="15" customHeight="1" x14ac:dyDescent="0.25">
      <c r="A80" s="31"/>
      <c r="B80" s="31">
        <v>313</v>
      </c>
      <c r="C80" s="26" t="s">
        <v>40</v>
      </c>
      <c r="D80" s="27">
        <f>D81</f>
        <v>0</v>
      </c>
      <c r="E80" s="27">
        <v>471</v>
      </c>
      <c r="F80" s="27">
        <f>F81</f>
        <v>471</v>
      </c>
      <c r="G80" s="27">
        <f t="shared" ref="G80:H80" si="11">G81</f>
        <v>480.1</v>
      </c>
      <c r="H80" s="27">
        <f t="shared" si="11"/>
        <v>494.5</v>
      </c>
    </row>
    <row r="81" spans="1:12" ht="15" customHeight="1" x14ac:dyDescent="0.25">
      <c r="A81" s="31"/>
      <c r="B81" s="31">
        <v>3131</v>
      </c>
      <c r="C81" s="26" t="s">
        <v>41</v>
      </c>
      <c r="D81" s="27"/>
      <c r="E81" s="27">
        <v>471</v>
      </c>
      <c r="F81" s="27">
        <v>471</v>
      </c>
      <c r="G81" s="27">
        <v>480.1</v>
      </c>
      <c r="H81" s="27">
        <v>494.5</v>
      </c>
    </row>
    <row r="82" spans="1:12" ht="15" customHeight="1" x14ac:dyDescent="0.25">
      <c r="A82" s="31"/>
      <c r="B82" s="31"/>
      <c r="C82" s="26" t="s">
        <v>42</v>
      </c>
      <c r="D82" s="27"/>
      <c r="E82" s="27"/>
      <c r="F82" s="27"/>
      <c r="G82" s="27"/>
      <c r="H82" s="27"/>
    </row>
    <row r="83" spans="1:12" ht="15" customHeight="1" x14ac:dyDescent="0.25">
      <c r="A83" s="31"/>
      <c r="B83" s="31">
        <v>314</v>
      </c>
      <c r="C83" s="26" t="s">
        <v>43</v>
      </c>
      <c r="D83" s="27"/>
      <c r="E83" s="27">
        <v>0</v>
      </c>
      <c r="F83" s="27"/>
      <c r="G83" s="27"/>
      <c r="H83" s="27"/>
    </row>
    <row r="84" spans="1:12" ht="15" customHeight="1" x14ac:dyDescent="0.25">
      <c r="A84" s="31"/>
      <c r="B84" s="31"/>
      <c r="C84" s="26" t="s">
        <v>44</v>
      </c>
      <c r="D84" s="27">
        <v>2256</v>
      </c>
      <c r="E84" s="27"/>
      <c r="F84" s="27"/>
      <c r="G84" s="27"/>
      <c r="H84" s="27"/>
    </row>
    <row r="85" spans="1:12" ht="47.25" x14ac:dyDescent="0.25">
      <c r="A85" s="56"/>
      <c r="B85" s="31"/>
      <c r="C85" s="26" t="s">
        <v>45</v>
      </c>
      <c r="D85" s="27">
        <f>D71</f>
        <v>20667673.713</v>
      </c>
      <c r="E85" s="27">
        <f>E71</f>
        <v>36417017.799999997</v>
      </c>
      <c r="F85" s="27">
        <f>F71</f>
        <v>46239088.140000001</v>
      </c>
      <c r="G85" s="27">
        <f>G71</f>
        <v>51150029.413000003</v>
      </c>
      <c r="H85" s="27">
        <f>H71</f>
        <v>45643710.715000004</v>
      </c>
    </row>
    <row r="86" spans="1:12" s="5" customFormat="1" ht="15" customHeight="1" x14ac:dyDescent="0.25">
      <c r="A86" s="53"/>
      <c r="B86" s="37"/>
      <c r="C86" s="20" t="s">
        <v>46</v>
      </c>
      <c r="D86" s="24">
        <f>D8-D14</f>
        <v>-19863315.819999963</v>
      </c>
      <c r="E86" s="24">
        <f>E8-E14</f>
        <v>-8463199.8999999762</v>
      </c>
      <c r="F86" s="24">
        <f>F8-F14</f>
        <v>-9121680.378000021</v>
      </c>
      <c r="G86" s="24">
        <f>G8-G14</f>
        <v>-7677001.8740000129</v>
      </c>
      <c r="H86" s="24">
        <f>H8-H14</f>
        <v>8305193.8249999881</v>
      </c>
    </row>
    <row r="87" spans="1:12" ht="47.25" x14ac:dyDescent="0.25">
      <c r="A87" s="56"/>
      <c r="B87" s="31"/>
      <c r="C87" s="26" t="s">
        <v>47</v>
      </c>
      <c r="D87" s="38"/>
      <c r="E87" s="32"/>
      <c r="F87" s="32"/>
      <c r="G87" s="32"/>
      <c r="H87" s="32"/>
      <c r="I87" s="8"/>
    </row>
    <row r="88" spans="1:12" ht="15" customHeight="1" x14ac:dyDescent="0.25">
      <c r="A88" s="31" t="s">
        <v>48</v>
      </c>
      <c r="B88" s="31"/>
      <c r="C88" s="28" t="s">
        <v>49</v>
      </c>
      <c r="D88" s="39">
        <f>D89</f>
        <v>5787226.3420000002</v>
      </c>
      <c r="E88" s="39">
        <f>E89</f>
        <v>8949011.1300000008</v>
      </c>
      <c r="F88" s="39">
        <f>F89</f>
        <v>11645107.656999998</v>
      </c>
      <c r="G88" s="39">
        <f>G89</f>
        <v>11036745.109999999</v>
      </c>
      <c r="H88" s="39">
        <f>H89</f>
        <v>6920345.5299999993</v>
      </c>
    </row>
    <row r="89" spans="1:12" ht="15" customHeight="1" x14ac:dyDescent="0.25">
      <c r="A89" s="31"/>
      <c r="B89" s="31">
        <v>321</v>
      </c>
      <c r="C89" s="28" t="s">
        <v>50</v>
      </c>
      <c r="D89" s="39">
        <f>D90+D93</f>
        <v>5787226.3420000002</v>
      </c>
      <c r="E89" s="39">
        <f>E90+E93</f>
        <v>8949011.1300000008</v>
      </c>
      <c r="F89" s="39">
        <f>F90+F93</f>
        <v>11645107.656999998</v>
      </c>
      <c r="G89" s="39">
        <f>G90+G93</f>
        <v>11036745.109999999</v>
      </c>
      <c r="H89" s="39">
        <f>H90+H93</f>
        <v>6920345.5299999993</v>
      </c>
    </row>
    <row r="90" spans="1:12" ht="15" customHeight="1" x14ac:dyDescent="0.25">
      <c r="A90" s="31"/>
      <c r="B90" s="31"/>
      <c r="C90" s="26" t="s">
        <v>51</v>
      </c>
      <c r="D90" s="38">
        <f>D91-D92</f>
        <v>5787226.3420000002</v>
      </c>
      <c r="E90" s="38">
        <f>E91-E92</f>
        <v>9449011.1300000008</v>
      </c>
      <c r="F90" s="38">
        <f>F91-F92</f>
        <v>13745107.656999998</v>
      </c>
      <c r="G90" s="38">
        <f>G91-G92</f>
        <v>11236745.109999999</v>
      </c>
      <c r="H90" s="38">
        <f>H91-H92</f>
        <v>7120345.5299999993</v>
      </c>
      <c r="L90" s="8"/>
    </row>
    <row r="91" spans="1:12" ht="15" customHeight="1" x14ac:dyDescent="0.25">
      <c r="A91" s="31"/>
      <c r="B91" s="31">
        <v>3214</v>
      </c>
      <c r="C91" s="40" t="s">
        <v>52</v>
      </c>
      <c r="D91" s="35">
        <f>9101015.923</f>
        <v>9101015.9230000004</v>
      </c>
      <c r="E91" s="38">
        <f>12428761.63+500000</f>
        <v>12928761.630000001</v>
      </c>
      <c r="F91" s="38">
        <f>9564049.04+7683057.406+599.911</f>
        <v>17247706.356999997</v>
      </c>
      <c r="G91" s="38">
        <f>11521493.41+3660014.4</f>
        <v>15181507.810000001</v>
      </c>
      <c r="H91" s="38">
        <f>9907267.03+1163078.5</f>
        <v>11070345.529999999</v>
      </c>
      <c r="J91" s="13"/>
      <c r="K91" s="13"/>
      <c r="L91" s="13"/>
    </row>
    <row r="92" spans="1:12" ht="15" customHeight="1" x14ac:dyDescent="0.25">
      <c r="A92" s="31"/>
      <c r="B92" s="31">
        <v>3217</v>
      </c>
      <c r="C92" s="40" t="s">
        <v>53</v>
      </c>
      <c r="D92" s="35">
        <v>3313789.5809999998</v>
      </c>
      <c r="E92" s="38">
        <v>3479750.5</v>
      </c>
      <c r="F92" s="38">
        <v>3502598.7</v>
      </c>
      <c r="G92" s="38">
        <v>3944762.7</v>
      </c>
      <c r="H92" s="38">
        <v>3950000</v>
      </c>
    </row>
    <row r="93" spans="1:12" x14ac:dyDescent="0.25">
      <c r="A93" s="31"/>
      <c r="B93" s="31"/>
      <c r="C93" s="41" t="s">
        <v>54</v>
      </c>
      <c r="D93" s="35">
        <f>D94-D95</f>
        <v>0</v>
      </c>
      <c r="E93" s="35">
        <f>E94-E95</f>
        <v>-500000</v>
      </c>
      <c r="F93" s="35">
        <f>F94-F95</f>
        <v>-2100000</v>
      </c>
      <c r="G93" s="35">
        <f>G94-G95</f>
        <v>-200000</v>
      </c>
      <c r="H93" s="35">
        <f>H94-H95</f>
        <v>-200000</v>
      </c>
      <c r="K93" s="8"/>
    </row>
    <row r="94" spans="1:12" x14ac:dyDescent="0.25">
      <c r="A94" s="31"/>
      <c r="B94" s="31"/>
      <c r="C94" s="41" t="s">
        <v>37</v>
      </c>
      <c r="D94" s="38"/>
      <c r="E94" s="35"/>
      <c r="F94" s="35">
        <f>300000+900000</f>
        <v>1200000</v>
      </c>
      <c r="G94" s="35"/>
      <c r="H94" s="35"/>
      <c r="K94" s="8"/>
    </row>
    <row r="95" spans="1:12" ht="15" customHeight="1" x14ac:dyDescent="0.25">
      <c r="A95" s="31"/>
      <c r="B95" s="31">
        <v>3215</v>
      </c>
      <c r="C95" s="41" t="s">
        <v>44</v>
      </c>
      <c r="D95" s="38"/>
      <c r="E95" s="35">
        <v>500000</v>
      </c>
      <c r="F95" s="35">
        <v>3300000</v>
      </c>
      <c r="G95" s="35">
        <v>200000</v>
      </c>
      <c r="H95" s="35">
        <v>200000</v>
      </c>
    </row>
    <row r="96" spans="1:12" ht="15" customHeight="1" x14ac:dyDescent="0.25">
      <c r="A96" s="56">
        <v>33</v>
      </c>
      <c r="B96" s="31"/>
      <c r="C96" s="42" t="s">
        <v>55</v>
      </c>
      <c r="D96" s="39">
        <f>D97+D101</f>
        <v>23586802.509000003</v>
      </c>
      <c r="E96" s="39">
        <f>E97+E101</f>
        <v>13864754.799999999</v>
      </c>
      <c r="F96" s="39">
        <f>F97+F101</f>
        <v>19416788.03492</v>
      </c>
      <c r="G96" s="39">
        <f>G97+G101</f>
        <v>17349822.083610002</v>
      </c>
      <c r="H96" s="39">
        <f>H97+H101</f>
        <v>-3645692.895829998</v>
      </c>
    </row>
    <row r="97" spans="1:12" ht="15" customHeight="1" x14ac:dyDescent="0.25">
      <c r="A97" s="31"/>
      <c r="B97" s="31">
        <v>331</v>
      </c>
      <c r="C97" s="42" t="s">
        <v>56</v>
      </c>
      <c r="D97" s="39">
        <f>D98</f>
        <v>3503088.0710000005</v>
      </c>
      <c r="E97" s="39">
        <f>E98</f>
        <v>4269701.5999999996</v>
      </c>
      <c r="F97" s="39">
        <f>F98</f>
        <v>8443108.3632900007</v>
      </c>
      <c r="G97" s="39">
        <f>G98</f>
        <v>6904557.3334799996</v>
      </c>
      <c r="H97" s="39">
        <f>H98</f>
        <v>2558260.8478900008</v>
      </c>
    </row>
    <row r="98" spans="1:12" ht="15" customHeight="1" x14ac:dyDescent="0.25">
      <c r="A98" s="31"/>
      <c r="B98" s="31"/>
      <c r="C98" s="34" t="s">
        <v>57</v>
      </c>
      <c r="D98" s="38">
        <f>D99-D100</f>
        <v>3503088.0710000005</v>
      </c>
      <c r="E98" s="38">
        <f>E99-E100</f>
        <v>4269701.5999999996</v>
      </c>
      <c r="F98" s="38">
        <f>F99-F100</f>
        <v>8443108.3632900007</v>
      </c>
      <c r="G98" s="38">
        <f>G99-G100</f>
        <v>6904557.3334799996</v>
      </c>
      <c r="H98" s="38">
        <f>H99-H100</f>
        <v>2558260.8478900008</v>
      </c>
      <c r="K98" s="8"/>
    </row>
    <row r="99" spans="1:12" ht="15" customHeight="1" x14ac:dyDescent="0.25">
      <c r="A99" s="31"/>
      <c r="B99" s="31">
        <v>3313</v>
      </c>
      <c r="C99" s="40" t="s">
        <v>58</v>
      </c>
      <c r="D99" s="38">
        <v>14041554.15</v>
      </c>
      <c r="E99" s="38">
        <v>15400000</v>
      </c>
      <c r="F99" s="38">
        <v>15618600</v>
      </c>
      <c r="G99" s="38">
        <v>14000000</v>
      </c>
      <c r="H99" s="38">
        <v>14000000</v>
      </c>
    </row>
    <row r="100" spans="1:12" ht="15" customHeight="1" x14ac:dyDescent="0.25">
      <c r="A100" s="31"/>
      <c r="B100" s="31"/>
      <c r="C100" s="40" t="s">
        <v>53</v>
      </c>
      <c r="D100" s="38">
        <v>10538466.079</v>
      </c>
      <c r="E100" s="38">
        <v>11130298.4</v>
      </c>
      <c r="F100" s="38">
        <v>7175491.6367100002</v>
      </c>
      <c r="G100" s="38">
        <v>7095442.6665200004</v>
      </c>
      <c r="H100" s="38">
        <v>11441739.152109999</v>
      </c>
    </row>
    <row r="101" spans="1:12" ht="15" customHeight="1" x14ac:dyDescent="0.25">
      <c r="A101" s="31"/>
      <c r="B101" s="37">
        <v>332</v>
      </c>
      <c r="C101" s="42" t="s">
        <v>59</v>
      </c>
      <c r="D101" s="39">
        <f>D102</f>
        <v>20083714.438000001</v>
      </c>
      <c r="E101" s="39">
        <f>E102</f>
        <v>9595053.1999999993</v>
      </c>
      <c r="F101" s="39">
        <f>F102</f>
        <v>10973679.671629999</v>
      </c>
      <c r="G101" s="39">
        <f>G102</f>
        <v>10445264.750130001</v>
      </c>
      <c r="H101" s="39">
        <f>H102</f>
        <v>-6203953.7437199987</v>
      </c>
    </row>
    <row r="102" spans="1:12" ht="15" customHeight="1" x14ac:dyDescent="0.25">
      <c r="A102" s="31"/>
      <c r="B102" s="31"/>
      <c r="C102" s="34" t="s">
        <v>60</v>
      </c>
      <c r="D102" s="38">
        <f>D103-D104</f>
        <v>20083714.438000001</v>
      </c>
      <c r="E102" s="38">
        <f>E103-E104</f>
        <v>9595053.1999999993</v>
      </c>
      <c r="F102" s="38">
        <f>F103-F104</f>
        <v>10973679.671629999</v>
      </c>
      <c r="G102" s="38">
        <f>G103-G104</f>
        <v>10445264.750130001</v>
      </c>
      <c r="H102" s="38">
        <f>H103-H104</f>
        <v>-6203953.7437199987</v>
      </c>
    </row>
    <row r="103" spans="1:12" ht="15" customHeight="1" x14ac:dyDescent="0.25">
      <c r="A103" s="31"/>
      <c r="B103" s="31">
        <v>3324</v>
      </c>
      <c r="C103" s="40" t="s">
        <v>58</v>
      </c>
      <c r="D103" s="38">
        <v>31719869.100000001</v>
      </c>
      <c r="E103" s="38">
        <f>25188594+637500</f>
        <v>25826094</v>
      </c>
      <c r="F103" s="38">
        <f>21917984.4+9945000</f>
        <v>31862984.399999999</v>
      </c>
      <c r="G103" s="38">
        <f>31301943.81+7264000</f>
        <v>38565943.810000002</v>
      </c>
      <c r="H103" s="38">
        <f>26717035.18</f>
        <v>26717035.18</v>
      </c>
      <c r="J103" s="9"/>
    </row>
    <row r="104" spans="1:12" ht="15" customHeight="1" x14ac:dyDescent="0.25">
      <c r="A104" s="31"/>
      <c r="B104" s="31"/>
      <c r="C104" s="40" t="s">
        <v>61</v>
      </c>
      <c r="D104" s="43">
        <v>11636154.662</v>
      </c>
      <c r="E104" s="38">
        <v>16231040.800000001</v>
      </c>
      <c r="F104" s="38">
        <v>20889304.72837</v>
      </c>
      <c r="G104" s="38">
        <v>28120679.059870001</v>
      </c>
      <c r="H104" s="38">
        <v>32920988.923719998</v>
      </c>
    </row>
    <row r="105" spans="1:12" ht="31.5" x14ac:dyDescent="0.25">
      <c r="A105" s="56"/>
      <c r="B105" s="31"/>
      <c r="C105" s="34" t="s">
        <v>62</v>
      </c>
      <c r="D105" s="38">
        <f>D96-D88</f>
        <v>17799576.167000003</v>
      </c>
      <c r="E105" s="38">
        <f>E96-E88</f>
        <v>4915743.6699999981</v>
      </c>
      <c r="F105" s="38">
        <f>F96-F88</f>
        <v>7771680.3779200017</v>
      </c>
      <c r="G105" s="38">
        <f>G96-G88</f>
        <v>6313076.9736100025</v>
      </c>
      <c r="H105" s="38">
        <f>H96-H88</f>
        <v>-10566038.425829997</v>
      </c>
    </row>
    <row r="106" spans="1:12" ht="31.5" x14ac:dyDescent="0.25">
      <c r="A106" s="56"/>
      <c r="B106" s="31"/>
      <c r="C106" s="42" t="s">
        <v>63</v>
      </c>
      <c r="D106" s="39">
        <f>D86+D105</f>
        <v>-2063739.6529999599</v>
      </c>
      <c r="E106" s="39">
        <f>E86+E105</f>
        <v>-3547456.2299999781</v>
      </c>
      <c r="F106" s="39">
        <f>F86+F105</f>
        <v>-1350000.0000800192</v>
      </c>
      <c r="G106" s="39">
        <f>G86+G105</f>
        <v>-1363924.9003900103</v>
      </c>
      <c r="H106" s="39">
        <f>H86+H105</f>
        <v>-2260844.6008300092</v>
      </c>
      <c r="K106" s="8"/>
    </row>
    <row r="107" spans="1:12" ht="15" customHeight="1" x14ac:dyDescent="0.25">
      <c r="A107" s="46"/>
      <c r="B107" s="31"/>
      <c r="C107" s="44" t="s">
        <v>64</v>
      </c>
      <c r="D107" s="45">
        <f>D105-D106</f>
        <v>19863315.819999963</v>
      </c>
      <c r="E107" s="45">
        <f>E105-E106</f>
        <v>8463199.8999999762</v>
      </c>
      <c r="F107" s="45">
        <f>F105-F106</f>
        <v>9121680.378000021</v>
      </c>
      <c r="G107" s="45">
        <f>G105-G106</f>
        <v>7677001.8740000129</v>
      </c>
      <c r="H107" s="45">
        <f>H105-H106</f>
        <v>-8305193.8249999881</v>
      </c>
      <c r="I107" s="8"/>
      <c r="J107" s="8"/>
      <c r="K107" s="8"/>
    </row>
    <row r="108" spans="1:12" ht="15" customHeight="1" x14ac:dyDescent="0.25">
      <c r="A108" s="46"/>
      <c r="B108" s="31"/>
      <c r="C108" s="44" t="s">
        <v>68</v>
      </c>
      <c r="D108" s="24">
        <f>D109+D112+D115+D118</f>
        <v>6150610.7290000003</v>
      </c>
      <c r="E108" s="24">
        <f>E109+E112+E115+E118</f>
        <v>-1131853.330000001</v>
      </c>
      <c r="F108" s="24">
        <f>F109+F112+F115+F118</f>
        <v>-1851999.2937099971</v>
      </c>
      <c r="G108" s="24">
        <f>G109+G112+G115+G118</f>
        <v>-2768262.8765199999</v>
      </c>
      <c r="H108" s="24">
        <f>H109+H112+H115+H118</f>
        <v>-2101240.0821099984</v>
      </c>
      <c r="J108" s="8"/>
      <c r="K108" s="8"/>
      <c r="L108" s="8"/>
    </row>
    <row r="109" spans="1:12" ht="15" customHeight="1" x14ac:dyDescent="0.25">
      <c r="A109" s="46"/>
      <c r="B109" s="31">
        <v>321</v>
      </c>
      <c r="C109" s="41" t="s">
        <v>51</v>
      </c>
      <c r="D109" s="35">
        <f>D111-D110</f>
        <v>-5787226.3420000002</v>
      </c>
      <c r="E109" s="35">
        <f>E111-E110</f>
        <v>-9449011.1300000008</v>
      </c>
      <c r="F109" s="35">
        <f>F111-F110</f>
        <v>-13745107.656999998</v>
      </c>
      <c r="G109" s="35">
        <f>G111-G110</f>
        <v>-11236745.109999999</v>
      </c>
      <c r="H109" s="35">
        <f>H111-H110</f>
        <v>-7120345.5299999993</v>
      </c>
      <c r="J109" s="8"/>
      <c r="K109" s="8"/>
    </row>
    <row r="110" spans="1:12" ht="15" customHeight="1" x14ac:dyDescent="0.25">
      <c r="A110" s="46"/>
      <c r="B110" s="31"/>
      <c r="C110" s="40" t="s">
        <v>52</v>
      </c>
      <c r="D110" s="35">
        <f>9101015.923</f>
        <v>9101015.9230000004</v>
      </c>
      <c r="E110" s="38">
        <f>12428761.63+500000</f>
        <v>12928761.630000001</v>
      </c>
      <c r="F110" s="38">
        <f>9564049.04+7683057.406+599.911</f>
        <v>17247706.356999997</v>
      </c>
      <c r="G110" s="38">
        <f>11521493.41+3660014.4</f>
        <v>15181507.810000001</v>
      </c>
      <c r="H110" s="38">
        <f>9907267.03+1163078.5</f>
        <v>11070345.529999999</v>
      </c>
      <c r="J110" s="9"/>
      <c r="L110" s="8"/>
    </row>
    <row r="111" spans="1:12" ht="15" customHeight="1" x14ac:dyDescent="0.25">
      <c r="A111" s="46"/>
      <c r="B111" s="31">
        <v>3217</v>
      </c>
      <c r="C111" s="40" t="s">
        <v>53</v>
      </c>
      <c r="D111" s="35">
        <v>3313789.5809999998</v>
      </c>
      <c r="E111" s="38">
        <v>3479750.5</v>
      </c>
      <c r="F111" s="38">
        <v>3502598.7</v>
      </c>
      <c r="G111" s="38">
        <v>3944762.7</v>
      </c>
      <c r="H111" s="38">
        <v>3950000</v>
      </c>
      <c r="K111" s="8"/>
    </row>
    <row r="112" spans="1:12" x14ac:dyDescent="0.25">
      <c r="A112" s="46"/>
      <c r="B112" s="31"/>
      <c r="C112" s="41" t="s">
        <v>54</v>
      </c>
      <c r="D112" s="35">
        <f>D114-D113</f>
        <v>0</v>
      </c>
      <c r="E112" s="35">
        <f>E114-E113</f>
        <v>500000</v>
      </c>
      <c r="F112" s="35">
        <f>F114-F113</f>
        <v>2100000</v>
      </c>
      <c r="G112" s="35">
        <f>G114-G113</f>
        <v>200000</v>
      </c>
      <c r="H112" s="35">
        <f>H114-H113</f>
        <v>200000</v>
      </c>
      <c r="J112" s="8"/>
    </row>
    <row r="113" spans="1:10" ht="15" customHeight="1" x14ac:dyDescent="0.25">
      <c r="A113" s="46"/>
      <c r="B113" s="31"/>
      <c r="C113" s="41" t="s">
        <v>37</v>
      </c>
      <c r="D113" s="38"/>
      <c r="E113" s="35"/>
      <c r="F113" s="35">
        <f>300000+900000</f>
        <v>1200000</v>
      </c>
      <c r="G113" s="35"/>
      <c r="H113" s="35"/>
    </row>
    <row r="114" spans="1:10" ht="15" customHeight="1" x14ac:dyDescent="0.25">
      <c r="A114" s="46"/>
      <c r="B114" s="31">
        <v>3215</v>
      </c>
      <c r="C114" s="41" t="s">
        <v>44</v>
      </c>
      <c r="D114" s="38"/>
      <c r="E114" s="35">
        <v>500000</v>
      </c>
      <c r="F114" s="35">
        <v>3300000</v>
      </c>
      <c r="G114" s="35">
        <v>200000</v>
      </c>
      <c r="H114" s="35">
        <v>200000</v>
      </c>
    </row>
    <row r="115" spans="1:10" ht="15" customHeight="1" x14ac:dyDescent="0.25">
      <c r="A115" s="46"/>
      <c r="B115" s="31">
        <v>331</v>
      </c>
      <c r="C115" s="41" t="s">
        <v>57</v>
      </c>
      <c r="D115" s="35">
        <f>D116-D117</f>
        <v>3503088.0710000005</v>
      </c>
      <c r="E115" s="35">
        <f>E116-E117</f>
        <v>4269701.5999999996</v>
      </c>
      <c r="F115" s="35">
        <f>F116-F117</f>
        <v>8443108.3632900007</v>
      </c>
      <c r="G115" s="35">
        <f>G116-G117</f>
        <v>6904557.3334799996</v>
      </c>
      <c r="H115" s="35">
        <f>H116-H117</f>
        <v>2558260.8478900008</v>
      </c>
    </row>
    <row r="116" spans="1:10" ht="15" customHeight="1" x14ac:dyDescent="0.25">
      <c r="A116" s="47"/>
      <c r="B116" s="31">
        <v>3313</v>
      </c>
      <c r="C116" s="40" t="s">
        <v>58</v>
      </c>
      <c r="D116" s="38">
        <v>14041554.15</v>
      </c>
      <c r="E116" s="38">
        <v>15400000</v>
      </c>
      <c r="F116" s="38">
        <v>15618600</v>
      </c>
      <c r="G116" s="38">
        <v>14000000</v>
      </c>
      <c r="H116" s="38">
        <v>14000000</v>
      </c>
    </row>
    <row r="117" spans="1:10" ht="15" customHeight="1" x14ac:dyDescent="0.25">
      <c r="A117" s="46"/>
      <c r="B117" s="31"/>
      <c r="C117" s="40" t="s">
        <v>53</v>
      </c>
      <c r="D117" s="38">
        <v>10538466.079</v>
      </c>
      <c r="E117" s="38">
        <v>11130298.4</v>
      </c>
      <c r="F117" s="38">
        <v>7175491.6367100002</v>
      </c>
      <c r="G117" s="38">
        <v>7095442.6665200004</v>
      </c>
      <c r="H117" s="38">
        <v>11441739.152109999</v>
      </c>
    </row>
    <row r="118" spans="1:10" ht="15" customHeight="1" x14ac:dyDescent="0.25">
      <c r="A118" s="46"/>
      <c r="B118" s="31"/>
      <c r="C118" s="48" t="s">
        <v>103</v>
      </c>
      <c r="D118" s="39">
        <v>8434749</v>
      </c>
      <c r="E118" s="24">
        <f>3547456.1+0.1</f>
        <v>3547456.2</v>
      </c>
      <c r="F118" s="24">
        <v>1350000</v>
      </c>
      <c r="G118" s="24">
        <v>1363924.9</v>
      </c>
      <c r="H118" s="24">
        <v>2260844.6</v>
      </c>
      <c r="I118" s="12"/>
    </row>
    <row r="119" spans="1:10" ht="15" customHeight="1" x14ac:dyDescent="0.25">
      <c r="A119" s="46"/>
      <c r="B119" s="31"/>
      <c r="C119" s="49" t="s">
        <v>65</v>
      </c>
      <c r="D119" s="24">
        <f>D120</f>
        <v>20083714.438000001</v>
      </c>
      <c r="E119" s="24">
        <f>E120</f>
        <v>9595053.1999999993</v>
      </c>
      <c r="F119" s="24">
        <f>F120</f>
        <v>10973679.671629999</v>
      </c>
      <c r="G119" s="24">
        <f>G120</f>
        <v>10445264.750130001</v>
      </c>
      <c r="H119" s="24">
        <f>H120</f>
        <v>-6203953.7437199987</v>
      </c>
    </row>
    <row r="120" spans="1:10" ht="15" customHeight="1" x14ac:dyDescent="0.25">
      <c r="A120" s="46"/>
      <c r="B120" s="31">
        <v>332</v>
      </c>
      <c r="C120" s="41" t="s">
        <v>60</v>
      </c>
      <c r="D120" s="35">
        <f>D121-D122</f>
        <v>20083714.438000001</v>
      </c>
      <c r="E120" s="35">
        <f>E121-E122</f>
        <v>9595053.1999999993</v>
      </c>
      <c r="F120" s="35">
        <f>F121-F122</f>
        <v>10973679.671629999</v>
      </c>
      <c r="G120" s="35">
        <f>G121-G122</f>
        <v>10445264.750130001</v>
      </c>
      <c r="H120" s="35">
        <f>H121-H122</f>
        <v>-6203953.7437199987</v>
      </c>
    </row>
    <row r="121" spans="1:10" ht="15" customHeight="1" x14ac:dyDescent="0.25">
      <c r="A121" s="47"/>
      <c r="B121" s="31">
        <v>3324</v>
      </c>
      <c r="C121" s="40" t="s">
        <v>58</v>
      </c>
      <c r="D121" s="38">
        <v>31719869.100000001</v>
      </c>
      <c r="E121" s="38">
        <f>25188594+637500</f>
        <v>25826094</v>
      </c>
      <c r="F121" s="38">
        <f>21917984.4+9945000</f>
        <v>31862984.399999999</v>
      </c>
      <c r="G121" s="38">
        <f>31301943.81+7264000</f>
        <v>38565943.810000002</v>
      </c>
      <c r="H121" s="38">
        <f>26717035.18</f>
        <v>26717035.18</v>
      </c>
      <c r="J121" s="9"/>
    </row>
    <row r="122" spans="1:10" ht="15" customHeight="1" x14ac:dyDescent="0.25">
      <c r="A122" s="47"/>
      <c r="B122" s="47"/>
      <c r="C122" s="40" t="s">
        <v>53</v>
      </c>
      <c r="D122" s="43">
        <v>11636154.662</v>
      </c>
      <c r="E122" s="38">
        <v>16231040.800000001</v>
      </c>
      <c r="F122" s="38">
        <v>20889304.72837</v>
      </c>
      <c r="G122" s="38">
        <v>28120679.059870001</v>
      </c>
      <c r="H122" s="38">
        <v>32920988.923719998</v>
      </c>
    </row>
    <row r="123" spans="1:10" ht="15" customHeight="1" x14ac:dyDescent="0.25">
      <c r="C123" s="14"/>
      <c r="D123" s="14"/>
      <c r="E123" s="15"/>
      <c r="F123" s="15"/>
      <c r="G123" s="9"/>
      <c r="H123" s="9"/>
    </row>
    <row r="126" spans="1:10" ht="15" customHeight="1" x14ac:dyDescent="0.25">
      <c r="D126" s="11"/>
    </row>
    <row r="127" spans="1:10" ht="15" customHeight="1" x14ac:dyDescent="0.25">
      <c r="D127" s="11"/>
    </row>
    <row r="136" spans="1:6" s="10" customFormat="1" ht="15" customHeight="1" x14ac:dyDescent="0.25">
      <c r="A136" s="57"/>
      <c r="C136" s="2"/>
      <c r="D136" s="2"/>
      <c r="E136" s="2"/>
      <c r="F136" s="2"/>
    </row>
  </sheetData>
  <mergeCells count="3">
    <mergeCell ref="A3:H3"/>
    <mergeCell ref="A4:H4"/>
    <mergeCell ref="E1:H1"/>
  </mergeCells>
  <printOptions horizontalCentered="1"/>
  <pageMargins left="0.59055118110236227" right="0.59055118110236227" top="0.59055118110236227" bottom="0.59055118110236227" header="0.39370078740157483" footer="0.39370078740157483"/>
  <pageSetup paperSize="9" scale="68" fitToHeight="0" orientation="portrait" r:id="rId1"/>
  <headerFooter>
    <oddFooter>&amp;R&amp;"Times New Roman,обычный"&amp;10&amp;P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B03C03E5-BB12-483A-99B4-FF224BAE029F}"/>
</file>

<file path=customXml/itemProps2.xml><?xml version="1.0" encoding="utf-8"?>
<ds:datastoreItem xmlns:ds="http://schemas.openxmlformats.org/officeDocument/2006/customXml" ds:itemID="{DAF750BE-C8CF-4B9C-8DAC-E71CB2B3B169}"/>
</file>

<file path=customXml/itemProps3.xml><?xml version="1.0" encoding="utf-8"?>
<ds:datastoreItem xmlns:ds="http://schemas.openxmlformats.org/officeDocument/2006/customXml" ds:itemID="{707623D5-D02A-4D24-BD3F-24E318D270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Прил 1</vt:lpstr>
      <vt:lpstr>'Прил 1'!Заголовки_для_печати</vt:lpstr>
      <vt:lpstr>'Прил 1'!Область_печати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2022-01-21T03:23:56Z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