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1910" yWindow="-15" windowWidth="16890" windowHeight="12855"/>
  </bookViews>
  <sheets>
    <sheet name="Прил 11" sheetId="1" r:id="rId1"/>
  </sheets>
  <externalReferences>
    <externalReference r:id="rId2"/>
  </externalReferences>
  <definedNames>
    <definedName name="_xlnm.Print_Titles" localSheetId="0">'Прил 11'!$5:$6</definedName>
    <definedName name="_xlnm.Print_Area" localSheetId="0">'Прил 11'!$A$1:$Q$1139</definedName>
  </definedNames>
  <calcPr calcId="144525"/>
</workbook>
</file>

<file path=xl/calcChain.xml><?xml version="1.0" encoding="utf-8"?>
<calcChain xmlns="http://schemas.openxmlformats.org/spreadsheetml/2006/main">
  <c r="I399" i="1" l="1"/>
  <c r="J399" i="1"/>
  <c r="J390" i="1"/>
  <c r="I390" i="1"/>
  <c r="H398" i="1" l="1"/>
  <c r="H1041" i="1" l="1"/>
  <c r="I1041" i="1"/>
  <c r="J1041" i="1"/>
  <c r="H1119" i="1"/>
  <c r="I1119" i="1"/>
  <c r="J1119" i="1"/>
  <c r="G1138" i="1"/>
  <c r="H1138" i="1"/>
  <c r="I1138" i="1"/>
  <c r="J1138" i="1"/>
  <c r="F395" i="1"/>
  <c r="F406" i="1" s="1"/>
  <c r="G395" i="1"/>
  <c r="H395" i="1"/>
  <c r="G406" i="1" l="1"/>
  <c r="J395" i="1"/>
  <c r="I395" i="1"/>
  <c r="J374" i="1"/>
  <c r="I374" i="1"/>
  <c r="H374" i="1"/>
  <c r="H406" i="1" l="1"/>
  <c r="J406" i="1"/>
  <c r="I406" i="1"/>
  <c r="I720" i="1"/>
  <c r="J487" i="1"/>
  <c r="J496" i="1"/>
  <c r="J492" i="1"/>
  <c r="J489" i="1"/>
  <c r="J488" i="1"/>
  <c r="I496" i="1"/>
  <c r="I492" i="1"/>
  <c r="I489" i="1"/>
  <c r="I488" i="1"/>
  <c r="I487" i="1"/>
  <c r="H496" i="1"/>
  <c r="H492" i="1"/>
  <c r="H489" i="1"/>
  <c r="H488" i="1"/>
  <c r="H487" i="1"/>
  <c r="H432" i="1"/>
  <c r="H428" i="1"/>
  <c r="H504" i="1"/>
  <c r="H503" i="1" s="1"/>
  <c r="I504" i="1"/>
  <c r="I503" i="1" s="1"/>
  <c r="J504" i="1"/>
  <c r="J503" i="1" s="1"/>
  <c r="H506" i="1"/>
  <c r="I506" i="1"/>
  <c r="J506" i="1"/>
  <c r="I518" i="1"/>
  <c r="J518" i="1"/>
  <c r="H523" i="1"/>
  <c r="H518" i="1" s="1"/>
  <c r="H525" i="1"/>
  <c r="I525" i="1"/>
  <c r="J525" i="1"/>
  <c r="H534" i="1"/>
  <c r="I534" i="1"/>
  <c r="J534" i="1"/>
  <c r="H537" i="1"/>
  <c r="I537" i="1"/>
  <c r="J537" i="1"/>
  <c r="F409" i="1"/>
  <c r="G409" i="1"/>
  <c r="H409" i="1"/>
  <c r="T410" i="1"/>
  <c r="I411" i="1"/>
  <c r="I409" i="1" s="1"/>
  <c r="J411" i="1"/>
  <c r="F412" i="1"/>
  <c r="G412" i="1"/>
  <c r="H413" i="1"/>
  <c r="I413" i="1"/>
  <c r="J413" i="1"/>
  <c r="H416" i="1"/>
  <c r="I416" i="1"/>
  <c r="J416" i="1"/>
  <c r="H417" i="1"/>
  <c r="I417" i="1"/>
  <c r="J417" i="1"/>
  <c r="H418" i="1"/>
  <c r="I418" i="1"/>
  <c r="J418" i="1"/>
  <c r="H419" i="1"/>
  <c r="I419" i="1"/>
  <c r="J419" i="1"/>
  <c r="H421" i="1"/>
  <c r="I421" i="1"/>
  <c r="J421" i="1"/>
  <c r="H425" i="1"/>
  <c r="I425" i="1"/>
  <c r="J425" i="1"/>
  <c r="I428" i="1"/>
  <c r="J428" i="1"/>
  <c r="F429" i="1"/>
  <c r="G429" i="1"/>
  <c r="H431" i="1"/>
  <c r="I431" i="1"/>
  <c r="J431" i="1"/>
  <c r="I432" i="1"/>
  <c r="J432" i="1"/>
  <c r="F433" i="1"/>
  <c r="G435" i="1"/>
  <c r="G433" i="1" s="1"/>
  <c r="H435" i="1"/>
  <c r="I435" i="1"/>
  <c r="J435" i="1"/>
  <c r="H442" i="1"/>
  <c r="I442" i="1"/>
  <c r="J442" i="1"/>
  <c r="F445" i="1"/>
  <c r="G445" i="1"/>
  <c r="H445" i="1"/>
  <c r="I445" i="1"/>
  <c r="J445" i="1"/>
  <c r="F448" i="1"/>
  <c r="G448" i="1"/>
  <c r="H450" i="1"/>
  <c r="I450" i="1"/>
  <c r="J450" i="1"/>
  <c r="H451" i="1"/>
  <c r="I451" i="1"/>
  <c r="J451" i="1"/>
  <c r="F453" i="1"/>
  <c r="G453" i="1"/>
  <c r="H453" i="1"/>
  <c r="I453" i="1"/>
  <c r="J453" i="1"/>
  <c r="F455" i="1"/>
  <c r="G455" i="1"/>
  <c r="H455" i="1"/>
  <c r="I455" i="1"/>
  <c r="J455" i="1"/>
  <c r="F457" i="1"/>
  <c r="G457" i="1"/>
  <c r="H457" i="1"/>
  <c r="I457" i="1"/>
  <c r="J457" i="1"/>
  <c r="F458" i="1"/>
  <c r="G458" i="1"/>
  <c r="H458" i="1"/>
  <c r="I458" i="1"/>
  <c r="J458" i="1"/>
  <c r="F461" i="1"/>
  <c r="G461" i="1"/>
  <c r="H461" i="1"/>
  <c r="I461" i="1"/>
  <c r="J461" i="1"/>
  <c r="F462" i="1"/>
  <c r="G462" i="1"/>
  <c r="H462" i="1"/>
  <c r="I462" i="1"/>
  <c r="J462" i="1"/>
  <c r="F464" i="1"/>
  <c r="G464" i="1"/>
  <c r="H466" i="1"/>
  <c r="I466" i="1"/>
  <c r="J466" i="1"/>
  <c r="H468" i="1"/>
  <c r="I468" i="1"/>
  <c r="J468" i="1"/>
  <c r="N469" i="1"/>
  <c r="O469" i="1"/>
  <c r="P469" i="1"/>
  <c r="Q469" i="1"/>
  <c r="H472" i="1"/>
  <c r="I472" i="1"/>
  <c r="J472" i="1"/>
  <c r="H475" i="1"/>
  <c r="I475" i="1"/>
  <c r="J475" i="1"/>
  <c r="I477" i="1"/>
  <c r="J477" i="1"/>
  <c r="H479" i="1"/>
  <c r="K484" i="1"/>
  <c r="N484" i="1"/>
  <c r="O484" i="1" s="1"/>
  <c r="P484" i="1" s="1"/>
  <c r="Q484" i="1" s="1"/>
  <c r="F486" i="1"/>
  <c r="G486" i="1"/>
  <c r="H499" i="1"/>
  <c r="I499" i="1"/>
  <c r="J499" i="1"/>
  <c r="J448" i="1" l="1"/>
  <c r="J443" i="1" s="1"/>
  <c r="I448" i="1"/>
  <c r="I443" i="1" s="1"/>
  <c r="J433" i="1"/>
  <c r="H486" i="1"/>
  <c r="H464" i="1"/>
  <c r="J429" i="1"/>
  <c r="I486" i="1"/>
  <c r="I540" i="1"/>
  <c r="I464" i="1"/>
  <c r="J464" i="1"/>
  <c r="H448" i="1"/>
  <c r="H443" i="1" s="1"/>
  <c r="I433" i="1"/>
  <c r="I429" i="1"/>
  <c r="J486" i="1"/>
  <c r="H452" i="1"/>
  <c r="I452" i="1"/>
  <c r="J452" i="1"/>
  <c r="F452" i="1"/>
  <c r="G452" i="1"/>
  <c r="H433" i="1"/>
  <c r="H429" i="1"/>
  <c r="J412" i="1"/>
  <c r="I412" i="1"/>
  <c r="H540" i="1"/>
  <c r="G443" i="1"/>
  <c r="F443" i="1"/>
  <c r="J540" i="1"/>
  <c r="G501" i="1" l="1"/>
  <c r="H501" i="1"/>
  <c r="F501" i="1"/>
  <c r="I501" i="1"/>
  <c r="J501" i="1"/>
  <c r="F22" i="1" l="1"/>
  <c r="G22" i="1"/>
  <c r="G16" i="1"/>
  <c r="F16" i="1"/>
  <c r="J774" i="1" l="1"/>
  <c r="I774" i="1"/>
  <c r="J729" i="1" l="1"/>
  <c r="I729" i="1"/>
  <c r="H758" i="1"/>
  <c r="H729" i="1"/>
  <c r="J309" i="1"/>
  <c r="H307" i="1"/>
  <c r="H310" i="1" l="1"/>
  <c r="H312" i="1"/>
  <c r="I308" i="1"/>
  <c r="H318" i="1"/>
  <c r="J745" i="1" l="1"/>
  <c r="I745" i="1"/>
  <c r="J317" i="1" l="1"/>
  <c r="I317" i="1"/>
  <c r="J318" i="1" l="1"/>
  <c r="I318" i="1"/>
  <c r="H1136" i="1" l="1"/>
  <c r="G1136" i="1"/>
  <c r="J1136" i="1"/>
  <c r="I1136" i="1"/>
  <c r="F1136" i="1"/>
  <c r="G1135" i="1"/>
  <c r="J1134" i="1"/>
  <c r="J1133" i="1" s="1"/>
  <c r="J1139" i="1" s="1"/>
  <c r="I1134" i="1"/>
  <c r="I1133" i="1" s="1"/>
  <c r="H1134" i="1"/>
  <c r="H1133" i="1" s="1"/>
  <c r="G1134" i="1"/>
  <c r="G1133" i="1" s="1"/>
  <c r="F1134" i="1"/>
  <c r="F1133" i="1" s="1"/>
  <c r="J1129" i="1"/>
  <c r="I1129" i="1"/>
  <c r="H1129" i="1"/>
  <c r="J1125" i="1"/>
  <c r="I1125" i="1"/>
  <c r="H1125" i="1"/>
  <c r="J1123" i="1"/>
  <c r="I1123" i="1"/>
  <c r="H1123" i="1"/>
  <c r="J1121" i="1"/>
  <c r="I1121" i="1"/>
  <c r="H1121" i="1"/>
  <c r="J1117" i="1"/>
  <c r="I1117" i="1"/>
  <c r="H1117" i="1"/>
  <c r="G1115" i="1"/>
  <c r="F1115" i="1"/>
  <c r="J1112" i="1"/>
  <c r="I1112" i="1"/>
  <c r="H1112" i="1"/>
  <c r="G1112" i="1"/>
  <c r="F1112" i="1"/>
  <c r="J1108" i="1"/>
  <c r="J1107" i="1" s="1"/>
  <c r="J1109" i="1" s="1"/>
  <c r="I1107" i="1"/>
  <c r="I1109" i="1" s="1"/>
  <c r="H1107" i="1"/>
  <c r="H1109" i="1" s="1"/>
  <c r="G1099" i="1"/>
  <c r="F1099" i="1"/>
  <c r="G1092" i="1"/>
  <c r="F1092" i="1"/>
  <c r="H1089" i="1"/>
  <c r="H1087" i="1" s="1"/>
  <c r="J1087" i="1"/>
  <c r="I1087" i="1"/>
  <c r="G1087" i="1"/>
  <c r="F1087" i="1"/>
  <c r="J1085" i="1"/>
  <c r="I1085" i="1"/>
  <c r="H1085" i="1"/>
  <c r="G1085" i="1"/>
  <c r="F1085" i="1"/>
  <c r="J1082" i="1"/>
  <c r="J1081" i="1" s="1"/>
  <c r="I1081" i="1"/>
  <c r="H1081" i="1"/>
  <c r="G1081" i="1"/>
  <c r="F1081" i="1"/>
  <c r="J1078" i="1"/>
  <c r="J1076" i="1" s="1"/>
  <c r="I1078" i="1"/>
  <c r="I1076" i="1" s="1"/>
  <c r="H1078" i="1"/>
  <c r="H1076" i="1" s="1"/>
  <c r="G1076" i="1"/>
  <c r="F1076" i="1"/>
  <c r="J1072" i="1"/>
  <c r="J1070" i="1" s="1"/>
  <c r="I1072" i="1"/>
  <c r="I1070" i="1" s="1"/>
  <c r="H1072" i="1"/>
  <c r="H1070" i="1" s="1"/>
  <c r="G1070" i="1"/>
  <c r="F1070" i="1"/>
  <c r="J1068" i="1"/>
  <c r="J1067" i="1" s="1"/>
  <c r="I1068" i="1"/>
  <c r="I1067" i="1" s="1"/>
  <c r="H1068" i="1"/>
  <c r="H1067" i="1" s="1"/>
  <c r="G1067" i="1"/>
  <c r="F1067" i="1"/>
  <c r="J1062" i="1"/>
  <c r="J1064" i="1" s="1"/>
  <c r="I1062" i="1"/>
  <c r="I1064" i="1" s="1"/>
  <c r="H1062" i="1"/>
  <c r="H1064" i="1" s="1"/>
  <c r="G1062" i="1"/>
  <c r="G1064" i="1" s="1"/>
  <c r="F1062" i="1"/>
  <c r="F1064" i="1" s="1"/>
  <c r="J1053" i="1"/>
  <c r="I1053" i="1"/>
  <c r="H1053" i="1"/>
  <c r="G1053" i="1"/>
  <c r="F1053" i="1"/>
  <c r="J1044" i="1"/>
  <c r="I1044" i="1"/>
  <c r="H1044" i="1"/>
  <c r="G1044" i="1"/>
  <c r="F1044" i="1"/>
  <c r="J1039" i="1"/>
  <c r="J1042" i="1" s="1"/>
  <c r="I1039" i="1"/>
  <c r="I1042" i="1" s="1"/>
  <c r="H1039" i="1"/>
  <c r="H1042" i="1" s="1"/>
  <c r="G1039" i="1"/>
  <c r="G1042" i="1" s="1"/>
  <c r="F1039" i="1"/>
  <c r="F1042" i="1" s="1"/>
  <c r="J1035" i="1"/>
  <c r="I1035" i="1"/>
  <c r="H1035" i="1"/>
  <c r="J1033" i="1"/>
  <c r="I1033" i="1"/>
  <c r="H1033" i="1"/>
  <c r="J1031" i="1"/>
  <c r="I1031" i="1"/>
  <c r="H1031" i="1"/>
  <c r="G1029" i="1"/>
  <c r="F1029" i="1"/>
  <c r="J1027" i="1"/>
  <c r="I1027" i="1"/>
  <c r="H1027" i="1"/>
  <c r="J1025" i="1"/>
  <c r="I1025" i="1"/>
  <c r="H1025" i="1"/>
  <c r="J1023" i="1"/>
  <c r="I1023" i="1"/>
  <c r="H1023" i="1"/>
  <c r="G1021" i="1"/>
  <c r="F1021" i="1"/>
  <c r="J1020" i="1"/>
  <c r="I1020" i="1"/>
  <c r="H1020" i="1"/>
  <c r="J1018" i="1"/>
  <c r="I1018" i="1"/>
  <c r="H1018" i="1"/>
  <c r="J1016" i="1"/>
  <c r="I1016" i="1"/>
  <c r="H1016" i="1"/>
  <c r="J1014" i="1"/>
  <c r="I1014" i="1"/>
  <c r="H1014" i="1"/>
  <c r="G1012" i="1"/>
  <c r="F1012" i="1"/>
  <c r="J1008" i="1"/>
  <c r="I1008" i="1"/>
  <c r="H1008" i="1"/>
  <c r="G1008" i="1"/>
  <c r="F1008" i="1"/>
  <c r="J1003" i="1"/>
  <c r="J1006" i="1" s="1"/>
  <c r="I1003" i="1"/>
  <c r="I1006" i="1" s="1"/>
  <c r="H1003" i="1"/>
  <c r="H1006" i="1" s="1"/>
  <c r="G1003" i="1"/>
  <c r="G1006" i="1" s="1"/>
  <c r="F1003" i="1"/>
  <c r="F1006" i="1" s="1"/>
  <c r="I985" i="1"/>
  <c r="I984" i="1" s="1"/>
  <c r="J984" i="1"/>
  <c r="H984" i="1"/>
  <c r="G984" i="1"/>
  <c r="F984" i="1"/>
  <c r="H982" i="1"/>
  <c r="H980" i="1" s="1"/>
  <c r="J980" i="1"/>
  <c r="I980" i="1"/>
  <c r="G980" i="1"/>
  <c r="F980" i="1"/>
  <c r="H979" i="1"/>
  <c r="H976" i="1" s="1"/>
  <c r="J976" i="1"/>
  <c r="I976" i="1"/>
  <c r="G976" i="1"/>
  <c r="F976" i="1"/>
  <c r="J973" i="1"/>
  <c r="I973" i="1"/>
  <c r="H973" i="1"/>
  <c r="G973" i="1"/>
  <c r="F973" i="1"/>
  <c r="F970" i="1"/>
  <c r="F967" i="1"/>
  <c r="F964" i="1"/>
  <c r="J961" i="1"/>
  <c r="I961" i="1"/>
  <c r="H961" i="1"/>
  <c r="G961" i="1"/>
  <c r="J959" i="1"/>
  <c r="I959" i="1"/>
  <c r="H959" i="1"/>
  <c r="G959" i="1"/>
  <c r="F959" i="1"/>
  <c r="J957" i="1"/>
  <c r="H955" i="1"/>
  <c r="H957" i="1" s="1"/>
  <c r="G955" i="1"/>
  <c r="F955" i="1"/>
  <c r="I954" i="1"/>
  <c r="I953" i="1" s="1"/>
  <c r="I957" i="1" s="1"/>
  <c r="H954" i="1"/>
  <c r="G953" i="1"/>
  <c r="G957" i="1" s="1"/>
  <c r="F953" i="1"/>
  <c r="F957" i="1" s="1"/>
  <c r="J949" i="1"/>
  <c r="I949" i="1"/>
  <c r="H949" i="1"/>
  <c r="P948" i="1"/>
  <c r="Q948" i="1" s="1"/>
  <c r="J948" i="1"/>
  <c r="I948" i="1"/>
  <c r="P947" i="1"/>
  <c r="Q947" i="1" s="1"/>
  <c r="M947" i="1"/>
  <c r="M946" i="1" s="1"/>
  <c r="J947" i="1"/>
  <c r="I947" i="1"/>
  <c r="G947" i="1"/>
  <c r="G946" i="1" s="1"/>
  <c r="O946" i="1"/>
  <c r="N946" i="1"/>
  <c r="I946" i="1"/>
  <c r="H946" i="1"/>
  <c r="F946" i="1"/>
  <c r="F945" i="1"/>
  <c r="F944" i="1"/>
  <c r="J943" i="1"/>
  <c r="I943" i="1"/>
  <c r="I945" i="1" s="1"/>
  <c r="H943" i="1"/>
  <c r="H945" i="1" s="1"/>
  <c r="G943" i="1"/>
  <c r="G945" i="1" s="1"/>
  <c r="F942" i="1"/>
  <c r="F941" i="1"/>
  <c r="J940" i="1"/>
  <c r="J941" i="1" s="1"/>
  <c r="I940" i="1"/>
  <c r="I941" i="1" s="1"/>
  <c r="H940" i="1"/>
  <c r="G940" i="1"/>
  <c r="G942" i="1" s="1"/>
  <c r="J937" i="1"/>
  <c r="J936" i="1" s="1"/>
  <c r="I936" i="1"/>
  <c r="H936" i="1"/>
  <c r="J934" i="1"/>
  <c r="I934" i="1"/>
  <c r="H934" i="1"/>
  <c r="J933" i="1"/>
  <c r="J932" i="1" s="1"/>
  <c r="I933" i="1"/>
  <c r="H933" i="1"/>
  <c r="G933" i="1"/>
  <c r="G932" i="1" s="1"/>
  <c r="G951" i="1" s="1"/>
  <c r="F933" i="1"/>
  <c r="F932" i="1" s="1"/>
  <c r="F951" i="1" s="1"/>
  <c r="I932" i="1"/>
  <c r="H932" i="1"/>
  <c r="J929" i="1"/>
  <c r="J928" i="1" s="1"/>
  <c r="J930" i="1" s="1"/>
  <c r="I929" i="1"/>
  <c r="H929" i="1"/>
  <c r="H928" i="1" s="1"/>
  <c r="H930" i="1" s="1"/>
  <c r="G929" i="1"/>
  <c r="G928" i="1" s="1"/>
  <c r="G930" i="1" s="1"/>
  <c r="F929" i="1"/>
  <c r="F928" i="1" s="1"/>
  <c r="F930" i="1" s="1"/>
  <c r="I928" i="1"/>
  <c r="I930" i="1" s="1"/>
  <c r="J924" i="1"/>
  <c r="I924" i="1"/>
  <c r="H924" i="1"/>
  <c r="G924" i="1"/>
  <c r="F924" i="1"/>
  <c r="J921" i="1"/>
  <c r="I921" i="1"/>
  <c r="H921" i="1"/>
  <c r="G921" i="1"/>
  <c r="F921" i="1"/>
  <c r="J908" i="1"/>
  <c r="I908" i="1"/>
  <c r="H908" i="1"/>
  <c r="J904" i="1"/>
  <c r="J894" i="1" s="1"/>
  <c r="I894" i="1"/>
  <c r="H894" i="1"/>
  <c r="J890" i="1"/>
  <c r="I890" i="1"/>
  <c r="H890" i="1"/>
  <c r="J887" i="1"/>
  <c r="I887" i="1"/>
  <c r="H887" i="1"/>
  <c r="Q882" i="1"/>
  <c r="P882" i="1"/>
  <c r="O882" i="1"/>
  <c r="N882" i="1"/>
  <c r="M882" i="1"/>
  <c r="J882" i="1"/>
  <c r="J888" i="1" s="1"/>
  <c r="I882" i="1"/>
  <c r="I888" i="1" s="1"/>
  <c r="H882" i="1"/>
  <c r="H888" i="1" s="1"/>
  <c r="G882" i="1"/>
  <c r="G888" i="1" s="1"/>
  <c r="F882" i="1"/>
  <c r="F888" i="1" s="1"/>
  <c r="J879" i="1"/>
  <c r="I879" i="1"/>
  <c r="H879" i="1"/>
  <c r="J877" i="1"/>
  <c r="I877" i="1"/>
  <c r="H877" i="1"/>
  <c r="G877" i="1"/>
  <c r="F877" i="1"/>
  <c r="J876" i="1"/>
  <c r="J875" i="1" s="1"/>
  <c r="I876" i="1"/>
  <c r="I875" i="1" s="1"/>
  <c r="H876" i="1"/>
  <c r="H875" i="1" s="1"/>
  <c r="G875" i="1"/>
  <c r="F875" i="1"/>
  <c r="H870" i="1"/>
  <c r="H869" i="1"/>
  <c r="J869" i="1" s="1"/>
  <c r="H868" i="1"/>
  <c r="I868" i="1" s="1"/>
  <c r="H866" i="1"/>
  <c r="J866" i="1" s="1"/>
  <c r="H865" i="1"/>
  <c r="H863" i="1"/>
  <c r="J863" i="1" s="1"/>
  <c r="H862" i="1"/>
  <c r="I862" i="1" s="1"/>
  <c r="H861" i="1"/>
  <c r="J861" i="1" s="1"/>
  <c r="H855" i="1"/>
  <c r="H849" i="1"/>
  <c r="J849" i="1" s="1"/>
  <c r="H847" i="1"/>
  <c r="I847" i="1" s="1"/>
  <c r="G846" i="1"/>
  <c r="F846" i="1"/>
  <c r="G845" i="1"/>
  <c r="H845" i="1" s="1"/>
  <c r="J845" i="1" s="1"/>
  <c r="J844" i="1" s="1"/>
  <c r="F845" i="1"/>
  <c r="F844" i="1" s="1"/>
  <c r="Q836" i="1"/>
  <c r="P836" i="1"/>
  <c r="O836" i="1"/>
  <c r="N836" i="1"/>
  <c r="M836" i="1"/>
  <c r="J836" i="1"/>
  <c r="I836" i="1"/>
  <c r="H836" i="1"/>
  <c r="G836" i="1"/>
  <c r="F836" i="1"/>
  <c r="J829" i="1"/>
  <c r="I829" i="1"/>
  <c r="H829" i="1"/>
  <c r="G829" i="1"/>
  <c r="F829" i="1"/>
  <c r="J826" i="1"/>
  <c r="I826" i="1"/>
  <c r="H826" i="1"/>
  <c r="G826" i="1"/>
  <c r="F826" i="1"/>
  <c r="I824" i="1"/>
  <c r="F824" i="1"/>
  <c r="G820" i="1"/>
  <c r="G824" i="1" s="1"/>
  <c r="J816" i="1"/>
  <c r="J824" i="1" s="1"/>
  <c r="H816" i="1"/>
  <c r="H824" i="1" s="1"/>
  <c r="J811" i="1"/>
  <c r="J809" i="1" s="1"/>
  <c r="I811" i="1"/>
  <c r="I809" i="1" s="1"/>
  <c r="H809" i="1"/>
  <c r="G809" i="1"/>
  <c r="F809" i="1"/>
  <c r="J806" i="1"/>
  <c r="H806" i="1"/>
  <c r="G806" i="1"/>
  <c r="F806" i="1"/>
  <c r="J803" i="1"/>
  <c r="J801" i="1" s="1"/>
  <c r="I803" i="1"/>
  <c r="I801" i="1" s="1"/>
  <c r="H803" i="1"/>
  <c r="G803" i="1"/>
  <c r="F803" i="1"/>
  <c r="J793" i="1"/>
  <c r="J792" i="1" s="1"/>
  <c r="I793" i="1"/>
  <c r="I792" i="1" s="1"/>
  <c r="H793" i="1"/>
  <c r="H792" i="1" s="1"/>
  <c r="G792" i="1"/>
  <c r="F792" i="1"/>
  <c r="J788" i="1"/>
  <c r="J787" i="1" s="1"/>
  <c r="I788" i="1"/>
  <c r="I787" i="1" s="1"/>
  <c r="H788" i="1"/>
  <c r="H787" i="1" s="1"/>
  <c r="G787" i="1"/>
  <c r="F787" i="1"/>
  <c r="J783" i="1"/>
  <c r="H783" i="1"/>
  <c r="H781" i="1" s="1"/>
  <c r="I782" i="1"/>
  <c r="Q781" i="1"/>
  <c r="P781" i="1"/>
  <c r="O781" i="1"/>
  <c r="N781" i="1"/>
  <c r="M781" i="1"/>
  <c r="I779" i="1"/>
  <c r="J779" i="1" s="1"/>
  <c r="I777" i="1"/>
  <c r="Q776" i="1"/>
  <c r="P776" i="1"/>
  <c r="O776" i="1"/>
  <c r="N776" i="1"/>
  <c r="M776" i="1"/>
  <c r="H776" i="1"/>
  <c r="G776" i="1"/>
  <c r="F776" i="1"/>
  <c r="H775" i="1"/>
  <c r="F775" i="1"/>
  <c r="H774" i="1"/>
  <c r="H772" i="1"/>
  <c r="I772" i="1" s="1"/>
  <c r="J772" i="1" s="1"/>
  <c r="H770" i="1"/>
  <c r="G770" i="1"/>
  <c r="G769" i="1" s="1"/>
  <c r="F770" i="1"/>
  <c r="I766" i="1"/>
  <c r="I765" i="1" s="1"/>
  <c r="H765" i="1"/>
  <c r="G765" i="1"/>
  <c r="F765" i="1"/>
  <c r="I764" i="1"/>
  <c r="J758" i="1"/>
  <c r="I758" i="1"/>
  <c r="G758" i="1"/>
  <c r="F758" i="1"/>
  <c r="J756" i="1"/>
  <c r="J755" i="1" s="1"/>
  <c r="J760" i="1" s="1"/>
  <c r="I756" i="1"/>
  <c r="H756" i="1"/>
  <c r="H755" i="1" s="1"/>
  <c r="H760" i="1" s="1"/>
  <c r="G756" i="1"/>
  <c r="F756" i="1"/>
  <c r="J750" i="1"/>
  <c r="J753" i="1" s="1"/>
  <c r="I750" i="1"/>
  <c r="I753" i="1" s="1"/>
  <c r="H750" i="1"/>
  <c r="H753" i="1" s="1"/>
  <c r="G750" i="1"/>
  <c r="G753" i="1" s="1"/>
  <c r="F750" i="1"/>
  <c r="F753" i="1" s="1"/>
  <c r="H745" i="1"/>
  <c r="H744" i="1" s="1"/>
  <c r="J744" i="1"/>
  <c r="I744" i="1"/>
  <c r="G744" i="1"/>
  <c r="F744" i="1"/>
  <c r="H743" i="1"/>
  <c r="H741" i="1"/>
  <c r="J740" i="1"/>
  <c r="I740" i="1"/>
  <c r="G740" i="1"/>
  <c r="F740" i="1"/>
  <c r="J738" i="1"/>
  <c r="I738" i="1"/>
  <c r="I728" i="1" s="1"/>
  <c r="H738" i="1"/>
  <c r="H728" i="1" s="1"/>
  <c r="G728" i="1"/>
  <c r="F728" i="1"/>
  <c r="J724" i="1"/>
  <c r="I724" i="1"/>
  <c r="H724" i="1"/>
  <c r="G724" i="1"/>
  <c r="F724" i="1"/>
  <c r="J720" i="1"/>
  <c r="H720" i="1"/>
  <c r="J716" i="1"/>
  <c r="I716" i="1"/>
  <c r="H716" i="1"/>
  <c r="G710" i="1"/>
  <c r="F710" i="1"/>
  <c r="J702" i="1"/>
  <c r="J699" i="1" s="1"/>
  <c r="I702" i="1"/>
  <c r="I699" i="1" s="1"/>
  <c r="H702" i="1"/>
  <c r="H699" i="1" s="1"/>
  <c r="G699" i="1"/>
  <c r="F699" i="1"/>
  <c r="J674" i="1"/>
  <c r="J670" i="1" s="1"/>
  <c r="I674" i="1"/>
  <c r="I670" i="1" s="1"/>
  <c r="H674" i="1"/>
  <c r="H670" i="1" s="1"/>
  <c r="G670" i="1"/>
  <c r="F670" i="1"/>
  <c r="H669" i="1"/>
  <c r="J664" i="1"/>
  <c r="I664" i="1"/>
  <c r="H664" i="1"/>
  <c r="J662" i="1"/>
  <c r="I662" i="1"/>
  <c r="H662" i="1"/>
  <c r="G655" i="1"/>
  <c r="F655" i="1"/>
  <c r="J642" i="1"/>
  <c r="J618" i="1" s="1"/>
  <c r="I642" i="1"/>
  <c r="I618" i="1" s="1"/>
  <c r="F642" i="1"/>
  <c r="F618" i="1" s="1"/>
  <c r="H618" i="1"/>
  <c r="G618" i="1"/>
  <c r="J597" i="1"/>
  <c r="I597" i="1"/>
  <c r="H597" i="1"/>
  <c r="G597" i="1"/>
  <c r="F597" i="1"/>
  <c r="J595" i="1"/>
  <c r="J593" i="1" s="1"/>
  <c r="I595" i="1"/>
  <c r="I593" i="1" s="1"/>
  <c r="H595" i="1"/>
  <c r="H593" i="1" s="1"/>
  <c r="G594" i="1"/>
  <c r="G593" i="1" s="1"/>
  <c r="F594" i="1"/>
  <c r="F593" i="1" s="1"/>
  <c r="H591" i="1"/>
  <c r="J585" i="1"/>
  <c r="J584" i="1" s="1"/>
  <c r="I585" i="1"/>
  <c r="I584" i="1" s="1"/>
  <c r="H585" i="1"/>
  <c r="H584" i="1" s="1"/>
  <c r="G584" i="1"/>
  <c r="F584" i="1"/>
  <c r="J582" i="1"/>
  <c r="I582" i="1"/>
  <c r="F582" i="1"/>
  <c r="J579" i="1"/>
  <c r="I579" i="1"/>
  <c r="H579" i="1"/>
  <c r="G579" i="1"/>
  <c r="G587" i="1" s="1"/>
  <c r="F579" i="1"/>
  <c r="J576" i="1"/>
  <c r="I576" i="1"/>
  <c r="H576" i="1"/>
  <c r="G576" i="1"/>
  <c r="F576" i="1"/>
  <c r="J571" i="1"/>
  <c r="I571" i="1"/>
  <c r="H571" i="1"/>
  <c r="G571" i="1"/>
  <c r="F571" i="1"/>
  <c r="J554" i="1"/>
  <c r="I554" i="1"/>
  <c r="H554" i="1"/>
  <c r="G554" i="1"/>
  <c r="F554" i="1"/>
  <c r="J542" i="1"/>
  <c r="I542" i="1"/>
  <c r="H542" i="1"/>
  <c r="G542" i="1"/>
  <c r="F542" i="1"/>
  <c r="J371" i="1"/>
  <c r="I371" i="1"/>
  <c r="H371" i="1"/>
  <c r="F371" i="1"/>
  <c r="F368" i="1" s="1"/>
  <c r="F373" i="1" s="1"/>
  <c r="H370" i="1"/>
  <c r="J369" i="1"/>
  <c r="I369" i="1"/>
  <c r="H369" i="1"/>
  <c r="G368" i="1"/>
  <c r="G373" i="1" s="1"/>
  <c r="J365" i="1"/>
  <c r="J364" i="1" s="1"/>
  <c r="F365" i="1"/>
  <c r="F364" i="1" s="1"/>
  <c r="I364" i="1"/>
  <c r="H364" i="1"/>
  <c r="G364" i="1"/>
  <c r="J362" i="1"/>
  <c r="I362" i="1"/>
  <c r="H362" i="1"/>
  <c r="J361" i="1"/>
  <c r="I361" i="1"/>
  <c r="H361" i="1"/>
  <c r="J360" i="1"/>
  <c r="I360" i="1"/>
  <c r="H360" i="1"/>
  <c r="J359" i="1"/>
  <c r="I359" i="1"/>
  <c r="H359" i="1"/>
  <c r="J354" i="1"/>
  <c r="I354" i="1"/>
  <c r="H354" i="1"/>
  <c r="G354" i="1"/>
  <c r="G349" i="1" s="1"/>
  <c r="F354" i="1"/>
  <c r="F349" i="1" s="1"/>
  <c r="J348" i="1"/>
  <c r="I348" i="1"/>
  <c r="G348" i="1"/>
  <c r="F348" i="1"/>
  <c r="H329" i="1"/>
  <c r="H348" i="1" s="1"/>
  <c r="J325" i="1"/>
  <c r="I325" i="1"/>
  <c r="G325" i="1"/>
  <c r="F325" i="1"/>
  <c r="J322" i="1"/>
  <c r="I322" i="1"/>
  <c r="G322" i="1"/>
  <c r="F322" i="1"/>
  <c r="H317" i="1"/>
  <c r="J315" i="1"/>
  <c r="I315" i="1"/>
  <c r="G315" i="1"/>
  <c r="F315" i="1"/>
  <c r="G312" i="1"/>
  <c r="G309" i="1" s="1"/>
  <c r="F312" i="1"/>
  <c r="F309" i="1" s="1"/>
  <c r="I309" i="1"/>
  <c r="H309" i="1"/>
  <c r="J307" i="1"/>
  <c r="G308" i="1"/>
  <c r="G307" i="1" s="1"/>
  <c r="F308" i="1"/>
  <c r="F307" i="1" s="1"/>
  <c r="I307" i="1"/>
  <c r="J306" i="1"/>
  <c r="J305" i="1" s="1"/>
  <c r="I306" i="1"/>
  <c r="I305" i="1" s="1"/>
  <c r="G306" i="1"/>
  <c r="G305" i="1" s="1"/>
  <c r="F306" i="1"/>
  <c r="F305" i="1" s="1"/>
  <c r="H305" i="1"/>
  <c r="J304" i="1"/>
  <c r="I304" i="1"/>
  <c r="H304" i="1"/>
  <c r="G304" i="1"/>
  <c r="F304" i="1"/>
  <c r="J303" i="1"/>
  <c r="I303" i="1"/>
  <c r="H303" i="1"/>
  <c r="G303" i="1"/>
  <c r="F303" i="1"/>
  <c r="J296" i="1"/>
  <c r="I296" i="1"/>
  <c r="H296" i="1"/>
  <c r="J294" i="1"/>
  <c r="I294" i="1"/>
  <c r="H294" i="1"/>
  <c r="G292" i="1"/>
  <c r="G298" i="1" s="1"/>
  <c r="F292" i="1"/>
  <c r="F298" i="1" s="1"/>
  <c r="G289" i="1"/>
  <c r="J282" i="1"/>
  <c r="I282" i="1"/>
  <c r="H282" i="1"/>
  <c r="G282" i="1"/>
  <c r="F282" i="1"/>
  <c r="J281" i="1"/>
  <c r="I281" i="1"/>
  <c r="H281" i="1"/>
  <c r="G281" i="1"/>
  <c r="J280" i="1"/>
  <c r="I280" i="1"/>
  <c r="I277" i="1" s="1"/>
  <c r="H280" i="1"/>
  <c r="H277" i="1" s="1"/>
  <c r="G280" i="1"/>
  <c r="G279" i="1"/>
  <c r="J278" i="1"/>
  <c r="G278" i="1"/>
  <c r="F277" i="1"/>
  <c r="F273" i="1"/>
  <c r="F272" i="1" s="1"/>
  <c r="G272" i="1"/>
  <c r="G269" i="1"/>
  <c r="G268" i="1" s="1"/>
  <c r="F269" i="1"/>
  <c r="F268" i="1" s="1"/>
  <c r="G260" i="1"/>
  <c r="F260" i="1"/>
  <c r="G256" i="1"/>
  <c r="G255" i="1" s="1"/>
  <c r="F256" i="1"/>
  <c r="F255" i="1" s="1"/>
  <c r="G252" i="1"/>
  <c r="F252" i="1"/>
  <c r="J249" i="1"/>
  <c r="J248" i="1" s="1"/>
  <c r="I249" i="1"/>
  <c r="I248" i="1" s="1"/>
  <c r="H249" i="1"/>
  <c r="H248" i="1" s="1"/>
  <c r="G248" i="1"/>
  <c r="F248" i="1"/>
  <c r="J245" i="1"/>
  <c r="I245" i="1"/>
  <c r="H245" i="1"/>
  <c r="G245" i="1"/>
  <c r="F245" i="1"/>
  <c r="Q239" i="1"/>
  <c r="P239" i="1"/>
  <c r="O239" i="1"/>
  <c r="N239" i="1"/>
  <c r="M239" i="1"/>
  <c r="J239" i="1"/>
  <c r="I239" i="1"/>
  <c r="H239" i="1"/>
  <c r="G239" i="1"/>
  <c r="F239" i="1"/>
  <c r="J235" i="1"/>
  <c r="I235" i="1"/>
  <c r="H235" i="1"/>
  <c r="G235" i="1"/>
  <c r="F235" i="1"/>
  <c r="O234" i="1"/>
  <c r="P234" i="1" s="1"/>
  <c r="Q234" i="1" s="1"/>
  <c r="O233" i="1"/>
  <c r="P233" i="1" s="1"/>
  <c r="Q233" i="1" s="1"/>
  <c r="O232" i="1"/>
  <c r="P232" i="1" s="1"/>
  <c r="Q232" i="1" s="1"/>
  <c r="O231" i="1"/>
  <c r="P231" i="1" s="1"/>
  <c r="N229" i="1"/>
  <c r="M229" i="1"/>
  <c r="J229" i="1"/>
  <c r="I229" i="1"/>
  <c r="H229" i="1"/>
  <c r="G229" i="1"/>
  <c r="F229" i="1"/>
  <c r="J226" i="1"/>
  <c r="I226" i="1"/>
  <c r="H226" i="1"/>
  <c r="G226" i="1"/>
  <c r="I202" i="1"/>
  <c r="J199" i="1"/>
  <c r="I199" i="1"/>
  <c r="J195" i="1"/>
  <c r="I195" i="1"/>
  <c r="J192" i="1"/>
  <c r="I192" i="1"/>
  <c r="J189" i="1"/>
  <c r="J188" i="1"/>
  <c r="J187" i="1"/>
  <c r="I187" i="1"/>
  <c r="I186" i="1" s="1"/>
  <c r="H187" i="1"/>
  <c r="H186" i="1" s="1"/>
  <c r="G186" i="1"/>
  <c r="F186" i="1"/>
  <c r="J185" i="1"/>
  <c r="H185" i="1"/>
  <c r="J184" i="1"/>
  <c r="H184" i="1"/>
  <c r="I183" i="1"/>
  <c r="G183" i="1"/>
  <c r="F183" i="1"/>
  <c r="F182" i="1"/>
  <c r="J181" i="1"/>
  <c r="J180" i="1" s="1"/>
  <c r="I181" i="1"/>
  <c r="I180" i="1" s="1"/>
  <c r="H181" i="1"/>
  <c r="H180" i="1" s="1"/>
  <c r="G181" i="1"/>
  <c r="G180" i="1" s="1"/>
  <c r="F181" i="1"/>
  <c r="I179" i="1"/>
  <c r="F179" i="1"/>
  <c r="J178" i="1"/>
  <c r="J177" i="1" s="1"/>
  <c r="I178" i="1"/>
  <c r="H178" i="1"/>
  <c r="H177" i="1" s="1"/>
  <c r="G178" i="1"/>
  <c r="G177" i="1" s="1"/>
  <c r="F178" i="1"/>
  <c r="I176" i="1"/>
  <c r="H176" i="1"/>
  <c r="G176" i="1"/>
  <c r="F176" i="1"/>
  <c r="J175" i="1"/>
  <c r="I175" i="1"/>
  <c r="H175" i="1"/>
  <c r="G175" i="1"/>
  <c r="F175" i="1"/>
  <c r="J174" i="1"/>
  <c r="I174" i="1"/>
  <c r="H174" i="1"/>
  <c r="G174" i="1"/>
  <c r="F174" i="1"/>
  <c r="J172" i="1"/>
  <c r="I172" i="1"/>
  <c r="H172" i="1"/>
  <c r="J171" i="1"/>
  <c r="I171" i="1"/>
  <c r="H171" i="1"/>
  <c r="F171" i="1"/>
  <c r="J170" i="1"/>
  <c r="I170" i="1"/>
  <c r="H170" i="1"/>
  <c r="F170" i="1"/>
  <c r="J169" i="1"/>
  <c r="I169" i="1"/>
  <c r="H169" i="1"/>
  <c r="G169" i="1"/>
  <c r="G168" i="1" s="1"/>
  <c r="F169" i="1"/>
  <c r="F167" i="1"/>
  <c r="G166" i="1"/>
  <c r="F166" i="1"/>
  <c r="G165" i="1"/>
  <c r="F165" i="1"/>
  <c r="G164" i="1"/>
  <c r="F164" i="1"/>
  <c r="J163" i="1"/>
  <c r="I163" i="1"/>
  <c r="H163" i="1"/>
  <c r="G163" i="1"/>
  <c r="F163" i="1"/>
  <c r="J162" i="1"/>
  <c r="I162" i="1"/>
  <c r="H162" i="1"/>
  <c r="G162" i="1"/>
  <c r="F162" i="1"/>
  <c r="J157" i="1"/>
  <c r="I157" i="1"/>
  <c r="H157" i="1"/>
  <c r="G157" i="1"/>
  <c r="J155" i="1"/>
  <c r="J159" i="1" s="1"/>
  <c r="I155" i="1"/>
  <c r="I159" i="1" s="1"/>
  <c r="H155" i="1"/>
  <c r="H159" i="1" s="1"/>
  <c r="G155" i="1"/>
  <c r="J148" i="1"/>
  <c r="I148" i="1"/>
  <c r="H148" i="1"/>
  <c r="G148" i="1"/>
  <c r="F148" i="1"/>
  <c r="J141" i="1"/>
  <c r="I141" i="1"/>
  <c r="H141" i="1"/>
  <c r="G141" i="1"/>
  <c r="F141" i="1"/>
  <c r="J124" i="1"/>
  <c r="I124" i="1"/>
  <c r="H124" i="1"/>
  <c r="G124" i="1"/>
  <c r="F124" i="1"/>
  <c r="J119" i="1"/>
  <c r="I119" i="1"/>
  <c r="H119" i="1"/>
  <c r="G119" i="1"/>
  <c r="F119" i="1"/>
  <c r="J102" i="1"/>
  <c r="I102" i="1"/>
  <c r="H102" i="1"/>
  <c r="G102" i="1"/>
  <c r="F102" i="1"/>
  <c r="J97" i="1"/>
  <c r="I97" i="1"/>
  <c r="H97" i="1"/>
  <c r="G97" i="1"/>
  <c r="F97" i="1"/>
  <c r="J91" i="1"/>
  <c r="I91" i="1"/>
  <c r="H91" i="1"/>
  <c r="G91" i="1"/>
  <c r="F91" i="1"/>
  <c r="J89" i="1"/>
  <c r="I89" i="1"/>
  <c r="H89" i="1"/>
  <c r="G89" i="1"/>
  <c r="F89" i="1"/>
  <c r="J83" i="1"/>
  <c r="I83" i="1"/>
  <c r="H83" i="1"/>
  <c r="G83" i="1"/>
  <c r="F83" i="1"/>
  <c r="J82" i="1"/>
  <c r="J75" i="1" s="1"/>
  <c r="I75" i="1"/>
  <c r="H75" i="1"/>
  <c r="G75" i="1"/>
  <c r="F75" i="1"/>
  <c r="J72" i="1"/>
  <c r="I72" i="1"/>
  <c r="H72" i="1"/>
  <c r="G72" i="1"/>
  <c r="F72" i="1"/>
  <c r="J62" i="1"/>
  <c r="J61" i="1" s="1"/>
  <c r="J70" i="1" s="1"/>
  <c r="I62" i="1"/>
  <c r="I61" i="1" s="1"/>
  <c r="I70" i="1" s="1"/>
  <c r="H62" i="1"/>
  <c r="H61" i="1" s="1"/>
  <c r="H70" i="1" s="1"/>
  <c r="G61" i="1"/>
  <c r="G70" i="1" s="1"/>
  <c r="F61" i="1"/>
  <c r="F70" i="1" s="1"/>
  <c r="J58" i="1"/>
  <c r="I58" i="1"/>
  <c r="H58" i="1"/>
  <c r="G58" i="1"/>
  <c r="F58" i="1"/>
  <c r="J57" i="1"/>
  <c r="I57" i="1"/>
  <c r="H57" i="1"/>
  <c r="G57" i="1"/>
  <c r="F57" i="1"/>
  <c r="Q56" i="1"/>
  <c r="P56" i="1"/>
  <c r="O56" i="1"/>
  <c r="N56" i="1"/>
  <c r="M56" i="1"/>
  <c r="Q55" i="1"/>
  <c r="P55" i="1"/>
  <c r="O55" i="1"/>
  <c r="N55" i="1"/>
  <c r="M55" i="1"/>
  <c r="Q54" i="1"/>
  <c r="P54" i="1"/>
  <c r="O54" i="1"/>
  <c r="N54" i="1"/>
  <c r="M54" i="1"/>
  <c r="O52" i="1"/>
  <c r="O49" i="1" s="1"/>
  <c r="N52" i="1"/>
  <c r="N49" i="1" s="1"/>
  <c r="Q49" i="1"/>
  <c r="P49" i="1"/>
  <c r="M49" i="1"/>
  <c r="Q48" i="1"/>
  <c r="P48" i="1"/>
  <c r="O48" i="1"/>
  <c r="N48" i="1"/>
  <c r="Q45" i="1"/>
  <c r="Q44" i="1" s="1"/>
  <c r="P45" i="1"/>
  <c r="P44" i="1" s="1"/>
  <c r="O45" i="1"/>
  <c r="O44" i="1" s="1"/>
  <c r="N45" i="1"/>
  <c r="N44" i="1" s="1"/>
  <c r="M45" i="1"/>
  <c r="M44" i="1" s="1"/>
  <c r="J44" i="1"/>
  <c r="I44" i="1"/>
  <c r="H44" i="1"/>
  <c r="G44" i="1"/>
  <c r="F44" i="1"/>
  <c r="Q43" i="1"/>
  <c r="P43" i="1"/>
  <c r="O43" i="1"/>
  <c r="N43" i="1"/>
  <c r="M43" i="1"/>
  <c r="J43" i="1"/>
  <c r="I43" i="1"/>
  <c r="H43" i="1"/>
  <c r="G43" i="1"/>
  <c r="F43" i="1"/>
  <c r="Q42" i="1"/>
  <c r="P42" i="1"/>
  <c r="O42" i="1"/>
  <c r="N42" i="1"/>
  <c r="M42" i="1"/>
  <c r="J42" i="1"/>
  <c r="I42" i="1"/>
  <c r="H42" i="1"/>
  <c r="G42" i="1"/>
  <c r="F42" i="1"/>
  <c r="Q41" i="1"/>
  <c r="P41" i="1"/>
  <c r="O41" i="1"/>
  <c r="N41" i="1"/>
  <c r="M41" i="1"/>
  <c r="J41" i="1"/>
  <c r="I41" i="1"/>
  <c r="H41" i="1"/>
  <c r="G41" i="1"/>
  <c r="F41" i="1"/>
  <c r="Q40" i="1"/>
  <c r="P40" i="1"/>
  <c r="O40" i="1"/>
  <c r="N40" i="1"/>
  <c r="M40" i="1"/>
  <c r="J40" i="1"/>
  <c r="I40" i="1"/>
  <c r="H40" i="1"/>
  <c r="G40" i="1"/>
  <c r="F40" i="1"/>
  <c r="Q39" i="1"/>
  <c r="P39" i="1"/>
  <c r="O39" i="1"/>
  <c r="N39" i="1"/>
  <c r="M39" i="1"/>
  <c r="J39" i="1"/>
  <c r="I39" i="1"/>
  <c r="H39" i="1"/>
  <c r="G39" i="1"/>
  <c r="F39" i="1"/>
  <c r="Q38" i="1"/>
  <c r="P38" i="1"/>
  <c r="O38" i="1"/>
  <c r="N38" i="1"/>
  <c r="M38" i="1"/>
  <c r="J38" i="1"/>
  <c r="I38" i="1"/>
  <c r="H38" i="1"/>
  <c r="G38" i="1"/>
  <c r="F38" i="1"/>
  <c r="J35" i="1"/>
  <c r="I35" i="1"/>
  <c r="H35" i="1"/>
  <c r="J31" i="1"/>
  <c r="I31" i="1"/>
  <c r="H31" i="1"/>
  <c r="J30" i="1"/>
  <c r="I30" i="1"/>
  <c r="H30" i="1"/>
  <c r="G30" i="1"/>
  <c r="F30" i="1"/>
  <c r="N21" i="1"/>
  <c r="O21" i="1" s="1"/>
  <c r="P21" i="1" s="1"/>
  <c r="Q21" i="1" s="1"/>
  <c r="G27" i="1"/>
  <c r="F27" i="1"/>
  <c r="J25" i="1"/>
  <c r="J24" i="1" s="1"/>
  <c r="I25" i="1"/>
  <c r="I27" i="1" s="1"/>
  <c r="H25" i="1"/>
  <c r="H27" i="1" s="1"/>
  <c r="G24" i="1"/>
  <c r="F24" i="1"/>
  <c r="J20" i="1"/>
  <c r="I20" i="1"/>
  <c r="H20" i="1"/>
  <c r="N19" i="1"/>
  <c r="O19" i="1" s="1"/>
  <c r="P19" i="1" s="1"/>
  <c r="Q19" i="1" s="1"/>
  <c r="N17" i="1"/>
  <c r="Q17" i="1" s="1"/>
  <c r="M17" i="1"/>
  <c r="J12" i="1"/>
  <c r="I12" i="1"/>
  <c r="G12" i="1"/>
  <c r="F12" i="1"/>
  <c r="J9" i="1"/>
  <c r="J14" i="1" s="1"/>
  <c r="I9" i="1"/>
  <c r="I14" i="1" s="1"/>
  <c r="H9" i="1"/>
  <c r="H14" i="1" s="1"/>
  <c r="G9" i="1"/>
  <c r="F9" i="1"/>
  <c r="F769" i="1" l="1"/>
  <c r="G1090" i="1"/>
  <c r="J277" i="1"/>
  <c r="J290" i="1" s="1"/>
  <c r="H1060" i="1"/>
  <c r="I290" i="1"/>
  <c r="F801" i="1"/>
  <c r="F814" i="1" s="1"/>
  <c r="P946" i="1"/>
  <c r="J986" i="1"/>
  <c r="F873" i="1"/>
  <c r="J1029" i="1"/>
  <c r="J53" i="1"/>
  <c r="H183" i="1"/>
  <c r="G53" i="1"/>
  <c r="I168" i="1"/>
  <c r="H368" i="1"/>
  <c r="H373" i="1" s="1"/>
  <c r="F53" i="1"/>
  <c r="F153" i="1"/>
  <c r="J153" i="1"/>
  <c r="H168" i="1"/>
  <c r="F173" i="1"/>
  <c r="J173" i="1"/>
  <c r="J368" i="1"/>
  <c r="J373" i="1" s="1"/>
  <c r="J880" i="1"/>
  <c r="G926" i="1"/>
  <c r="G29" i="1"/>
  <c r="G59" i="1" s="1"/>
  <c r="G159" i="1"/>
  <c r="J168" i="1"/>
  <c r="I919" i="1"/>
  <c r="I173" i="1"/>
  <c r="I205" i="1"/>
  <c r="I95" i="1"/>
  <c r="F574" i="1"/>
  <c r="F587" i="1"/>
  <c r="G880" i="1"/>
  <c r="I292" i="1"/>
  <c r="I298" i="1" s="1"/>
  <c r="J710" i="1"/>
  <c r="G755" i="1"/>
  <c r="G760" i="1" s="1"/>
  <c r="G986" i="1"/>
  <c r="F1037" i="1"/>
  <c r="I799" i="1"/>
  <c r="G842" i="1"/>
  <c r="H1021" i="1"/>
  <c r="F1109" i="1"/>
  <c r="F1139" i="1"/>
  <c r="H292" i="1"/>
  <c r="H298" i="1" s="1"/>
  <c r="G301" i="1"/>
  <c r="G313" i="1" s="1"/>
  <c r="I368" i="1"/>
  <c r="I373" i="1" s="1"/>
  <c r="F755" i="1"/>
  <c r="F760" i="1" s="1"/>
  <c r="F799" i="1"/>
  <c r="G801" i="1"/>
  <c r="G814" i="1" s="1"/>
  <c r="F1090" i="1"/>
  <c r="J1090" i="1"/>
  <c r="G1139" i="1"/>
  <c r="G8" i="1"/>
  <c r="F95" i="1"/>
  <c r="J95" i="1"/>
  <c r="H95" i="1"/>
  <c r="H325" i="1"/>
  <c r="H740" i="1"/>
  <c r="H748" i="1" s="1"/>
  <c r="H761" i="1" s="1"/>
  <c r="H87" i="1"/>
  <c r="G138" i="1"/>
  <c r="I710" i="1"/>
  <c r="G153" i="1"/>
  <c r="I161" i="1"/>
  <c r="I776" i="1"/>
  <c r="H349" i="1"/>
  <c r="H250" i="1"/>
  <c r="G277" i="1"/>
  <c r="F168" i="1"/>
  <c r="H173" i="1"/>
  <c r="F177" i="1"/>
  <c r="H8" i="1"/>
  <c r="O17" i="1"/>
  <c r="H29" i="1"/>
  <c r="J8" i="1"/>
  <c r="H16" i="1"/>
  <c r="H22" i="1"/>
  <c r="F87" i="1"/>
  <c r="G95" i="1"/>
  <c r="I153" i="1"/>
  <c r="F161" i="1"/>
  <c r="I301" i="1"/>
  <c r="I313" i="1" s="1"/>
  <c r="H301" i="1"/>
  <c r="H313" i="1" s="1"/>
  <c r="I349" i="1"/>
  <c r="I366" i="1" s="1"/>
  <c r="O325" i="1" s="1"/>
  <c r="I16" i="1"/>
  <c r="I22" i="1"/>
  <c r="H587" i="1"/>
  <c r="F8" i="1"/>
  <c r="J22" i="1"/>
  <c r="J16" i="1"/>
  <c r="J868" i="1"/>
  <c r="I814" i="1"/>
  <c r="H801" i="1"/>
  <c r="H814" i="1" s="1"/>
  <c r="F842" i="1"/>
  <c r="J842" i="1"/>
  <c r="H842" i="1"/>
  <c r="G844" i="1"/>
  <c r="G873" i="1" s="1"/>
  <c r="F880" i="1"/>
  <c r="I880" i="1"/>
  <c r="H926" i="1"/>
  <c r="J1012" i="1"/>
  <c r="H1012" i="1"/>
  <c r="I1012" i="1"/>
  <c r="H1029" i="1"/>
  <c r="G1060" i="1"/>
  <c r="G1083" i="1"/>
  <c r="J161" i="1"/>
  <c r="H243" i="1"/>
  <c r="G243" i="1"/>
  <c r="I926" i="1"/>
  <c r="H944" i="1"/>
  <c r="I971" i="1"/>
  <c r="J250" i="1"/>
  <c r="J349" i="1"/>
  <c r="J366" i="1" s="1"/>
  <c r="P325" i="1" s="1"/>
  <c r="H574" i="1"/>
  <c r="I655" i="1"/>
  <c r="I722" i="1" s="1"/>
  <c r="J777" i="1"/>
  <c r="J776" i="1" s="1"/>
  <c r="I986" i="1"/>
  <c r="H53" i="1"/>
  <c r="G173" i="1"/>
  <c r="F722" i="1"/>
  <c r="H710" i="1"/>
  <c r="J782" i="1"/>
  <c r="J781" i="1" s="1"/>
  <c r="I781" i="1"/>
  <c r="G799" i="1"/>
  <c r="J847" i="1"/>
  <c r="I861" i="1"/>
  <c r="I942" i="1"/>
  <c r="H1083" i="1"/>
  <c r="H971" i="1"/>
  <c r="I29" i="1"/>
  <c r="J87" i="1"/>
  <c r="I138" i="1"/>
  <c r="G161" i="1"/>
  <c r="J183" i="1"/>
  <c r="F250" i="1"/>
  <c r="G574" i="1"/>
  <c r="I574" i="1"/>
  <c r="J587" i="1"/>
  <c r="F748" i="1"/>
  <c r="J766" i="1"/>
  <c r="J765" i="1" s="1"/>
  <c r="J799" i="1"/>
  <c r="J862" i="1"/>
  <c r="I866" i="1"/>
  <c r="H951" i="1"/>
  <c r="I1021" i="1"/>
  <c r="J1021" i="1"/>
  <c r="J1037" i="1" s="1"/>
  <c r="I1029" i="1"/>
  <c r="G1109" i="1"/>
  <c r="F1131" i="1"/>
  <c r="I8" i="1"/>
  <c r="J27" i="1"/>
  <c r="G87" i="1"/>
  <c r="F138" i="1"/>
  <c r="J138" i="1"/>
  <c r="H161" i="1"/>
  <c r="F180" i="1"/>
  <c r="J186" i="1"/>
  <c r="G250" i="1"/>
  <c r="H290" i="1"/>
  <c r="F301" i="1"/>
  <c r="F313" i="1" s="1"/>
  <c r="J301" i="1"/>
  <c r="J313" i="1" s="1"/>
  <c r="G748" i="1"/>
  <c r="J728" i="1"/>
  <c r="J748" i="1" s="1"/>
  <c r="J761" i="1" s="1"/>
  <c r="G785" i="1"/>
  <c r="I842" i="1"/>
  <c r="H880" i="1"/>
  <c r="F926" i="1"/>
  <c r="J926" i="1"/>
  <c r="G944" i="1"/>
  <c r="J946" i="1"/>
  <c r="J951" i="1" s="1"/>
  <c r="G971" i="1"/>
  <c r="F986" i="1"/>
  <c r="G1037" i="1"/>
  <c r="F1060" i="1"/>
  <c r="J1060" i="1"/>
  <c r="J1083" i="1"/>
  <c r="H1090" i="1"/>
  <c r="I1139" i="1"/>
  <c r="F29" i="1"/>
  <c r="J29" i="1"/>
  <c r="I53" i="1"/>
  <c r="I87" i="1"/>
  <c r="H138" i="1"/>
  <c r="H153" i="1"/>
  <c r="I177" i="1"/>
  <c r="I243" i="1"/>
  <c r="F243" i="1"/>
  <c r="J243" i="1"/>
  <c r="I250" i="1"/>
  <c r="F276" i="1"/>
  <c r="F290" i="1" s="1"/>
  <c r="J292" i="1"/>
  <c r="J298" i="1" s="1"/>
  <c r="I587" i="1"/>
  <c r="J655" i="1"/>
  <c r="H655" i="1"/>
  <c r="I755" i="1"/>
  <c r="I760" i="1" s="1"/>
  <c r="H919" i="1"/>
  <c r="G941" i="1"/>
  <c r="J942" i="1"/>
  <c r="I944" i="1"/>
  <c r="Q946" i="1"/>
  <c r="F961" i="1"/>
  <c r="F971" i="1" s="1"/>
  <c r="F1083" i="1"/>
  <c r="H1115" i="1"/>
  <c r="H1131" i="1" s="1"/>
  <c r="I1115" i="1"/>
  <c r="I1131" i="1" s="1"/>
  <c r="J1115" i="1"/>
  <c r="J1131" i="1" s="1"/>
  <c r="Q231" i="1"/>
  <c r="Q229" i="1" s="1"/>
  <c r="P229" i="1"/>
  <c r="G276" i="1"/>
  <c r="I763" i="1"/>
  <c r="J764" i="1"/>
  <c r="J763" i="1" s="1"/>
  <c r="J865" i="1"/>
  <c r="I865" i="1"/>
  <c r="G14" i="1"/>
  <c r="P17" i="1"/>
  <c r="H24" i="1"/>
  <c r="O229" i="1"/>
  <c r="F366" i="1"/>
  <c r="F407" i="1" s="1"/>
  <c r="G722" i="1"/>
  <c r="F785" i="1"/>
  <c r="H799" i="1"/>
  <c r="H986" i="1"/>
  <c r="I1083" i="1"/>
  <c r="I1090" i="1"/>
  <c r="F14" i="1"/>
  <c r="H322" i="1"/>
  <c r="H315" i="1"/>
  <c r="I24" i="1"/>
  <c r="G366" i="1"/>
  <c r="M325" i="1" s="1"/>
  <c r="J574" i="1"/>
  <c r="H769" i="1"/>
  <c r="H785" i="1" s="1"/>
  <c r="I770" i="1"/>
  <c r="I769" i="1" s="1"/>
  <c r="J814" i="1"/>
  <c r="I845" i="1"/>
  <c r="I844" i="1" s="1"/>
  <c r="H844" i="1"/>
  <c r="H846" i="1"/>
  <c r="J855" i="1"/>
  <c r="I855" i="1"/>
  <c r="J870" i="1"/>
  <c r="I870" i="1"/>
  <c r="I951" i="1"/>
  <c r="J971" i="1"/>
  <c r="G1131" i="1"/>
  <c r="H1139" i="1"/>
  <c r="J919" i="1"/>
  <c r="H942" i="1"/>
  <c r="H941" i="1"/>
  <c r="J945" i="1"/>
  <c r="J944" i="1"/>
  <c r="I1060" i="1"/>
  <c r="I849" i="1"/>
  <c r="I863" i="1"/>
  <c r="I869" i="1"/>
  <c r="I748" i="1"/>
  <c r="J59" i="1" l="1"/>
  <c r="G190" i="1"/>
  <c r="F59" i="1"/>
  <c r="H190" i="1"/>
  <c r="F761" i="1"/>
  <c r="H59" i="1"/>
  <c r="I761" i="1"/>
  <c r="H366" i="1"/>
  <c r="N325" i="1" s="1"/>
  <c r="F1110" i="1"/>
  <c r="F139" i="1"/>
  <c r="I190" i="1"/>
  <c r="J722" i="1"/>
  <c r="J139" i="1"/>
  <c r="J1110" i="1"/>
  <c r="J190" i="1"/>
  <c r="H139" i="1"/>
  <c r="G761" i="1"/>
  <c r="I139" i="1"/>
  <c r="H722" i="1"/>
  <c r="J407" i="1"/>
  <c r="G290" i="1"/>
  <c r="G299" i="1" s="1"/>
  <c r="H299" i="1"/>
  <c r="F299" i="1"/>
  <c r="F190" i="1"/>
  <c r="G139" i="1"/>
  <c r="G1110" i="1"/>
  <c r="H1037" i="1"/>
  <c r="J299" i="1"/>
  <c r="I1110" i="1"/>
  <c r="I1037" i="1"/>
  <c r="I299" i="1"/>
  <c r="G407" i="1"/>
  <c r="I59" i="1"/>
  <c r="I846" i="1"/>
  <c r="I873" i="1" s="1"/>
  <c r="H1110" i="1"/>
  <c r="J846" i="1"/>
  <c r="J873" i="1" s="1"/>
  <c r="H873" i="1"/>
  <c r="I407" i="1"/>
  <c r="J770" i="1"/>
  <c r="J769" i="1" s="1"/>
  <c r="J785" i="1" s="1"/>
  <c r="I785" i="1"/>
  <c r="H407" i="1" l="1"/>
</calcChain>
</file>

<file path=xl/sharedStrings.xml><?xml version="1.0" encoding="utf-8"?>
<sst xmlns="http://schemas.openxmlformats.org/spreadsheetml/2006/main" count="3366" uniqueCount="1720">
  <si>
    <t>Код прогр.</t>
  </si>
  <si>
    <t>Код меры</t>
  </si>
  <si>
    <t>Код иниц.</t>
  </si>
  <si>
    <t>Бюджетные программы/
Бюджетные меры</t>
  </si>
  <si>
    <t>Индикаторы результативности</t>
  </si>
  <si>
    <t>Ед. изм-я</t>
  </si>
  <si>
    <t>Базовый год</t>
  </si>
  <si>
    <t>Целевые значения</t>
  </si>
  <si>
    <t>001</t>
  </si>
  <si>
    <t>Индекс доверия населения</t>
  </si>
  <si>
    <t>балл.</t>
  </si>
  <si>
    <t>Управление и администрирование отрасли на центральном уровне</t>
  </si>
  <si>
    <t>Администрирование на региональном уровне</t>
  </si>
  <si>
    <t xml:space="preserve"> Количество стран, в которые разрешен безвизовый въезд  гражданам КР</t>
  </si>
  <si>
    <t>ед.</t>
  </si>
  <si>
    <t>Деятельность Посольств и Постоянных представительств, генеральных консульств, консульских агентств и визовых пунктов</t>
  </si>
  <si>
    <t>Количество проведенных внешнеполитических мероприятий за рубежом</t>
  </si>
  <si>
    <t>шт.</t>
  </si>
  <si>
    <t>Процент трудоустройства и удержания в профессии выпускников академии</t>
  </si>
  <si>
    <t>%</t>
  </si>
  <si>
    <t>Предоставление высшего профессонального, послевузовского и дополнительного профессионального  образования в области международных отношений</t>
  </si>
  <si>
    <t xml:space="preserve">Доля студентов, обучающихся на  основе государственного образовательного гранта  в области магистрского образования </t>
  </si>
  <si>
    <t xml:space="preserve">23. Министерство иностранных дел Кыргызской Республики </t>
  </si>
  <si>
    <t>ВСЕГО (контрольные цифры)</t>
  </si>
  <si>
    <t>Качественный контроль и эффективное управление за деятельностью органов Военной прокуратуры Кыргызской Республики</t>
  </si>
  <si>
    <t xml:space="preserve">Управление и администрирование отрасли на центральном уровне                                                                                                                             </t>
  </si>
  <si>
    <t>Управление и администрирование отрасли на территроиальном уровне</t>
  </si>
  <si>
    <t>Осуществление общего надзора за соблюдением военного законодательства</t>
  </si>
  <si>
    <t>Уменьшение правонарушений по военному законодательству</t>
  </si>
  <si>
    <t>Надзор за точным и единообразным исполнением законодательства Кыргызской Республики</t>
  </si>
  <si>
    <t>Количество проведённых проверок по несоблюдению военного законодательства</t>
  </si>
  <si>
    <t>410/6964793</t>
  </si>
  <si>
    <t>335/6496179</t>
  </si>
  <si>
    <t>500/7000,0</t>
  </si>
  <si>
    <t>600/8000,0</t>
  </si>
  <si>
    <t>Надзор за исполнением законов и воинских уставов</t>
  </si>
  <si>
    <t>Количество жалоб и заявлений на действия командиров и начальников</t>
  </si>
  <si>
    <t>03</t>
  </si>
  <si>
    <t xml:space="preserve">Надзор за соответствием издаваемых Вооруженных силах нормативных актов </t>
  </si>
  <si>
    <t>Количество нормативных актов, возвращенных на доработку от общего числа разработанных нормативных актов</t>
  </si>
  <si>
    <t>Количество</t>
  </si>
  <si>
    <t>Предупреждение и раскрытия уголовных дел в Вооруженных силах</t>
  </si>
  <si>
    <t>Увеличение процента раскрываемости преступлений в Вооруженных силах</t>
  </si>
  <si>
    <t>01</t>
  </si>
  <si>
    <t>Уголовное преследование лиц, совершивших преступление в Вооруженных силах</t>
  </si>
  <si>
    <t>Количество раскрытых уголовных дел в Вооруженных силах</t>
  </si>
  <si>
    <t>178/10161840</t>
  </si>
  <si>
    <t>156/212460371</t>
  </si>
  <si>
    <t>02</t>
  </si>
  <si>
    <t>Предупреждение преступлений в Вооруженных силах</t>
  </si>
  <si>
    <t>Количество военнослужащих, прошедших занятия по профилактике преступлений (к общему количеству военнослужащих)</t>
  </si>
  <si>
    <t>Поддержание государственного обвинения в судах</t>
  </si>
  <si>
    <t>Количество государственных обвинений, поддержанных решением военного суда</t>
  </si>
  <si>
    <t>Участие в судебных процессах</t>
  </si>
  <si>
    <t>Количество рассмотренных уголовных дел судами</t>
  </si>
  <si>
    <t>99/2220000</t>
  </si>
  <si>
    <t>65/3160000</t>
  </si>
  <si>
    <t>150/18000,0</t>
  </si>
  <si>
    <t>160/19000,0</t>
  </si>
  <si>
    <t>170/20000,0</t>
  </si>
  <si>
    <t>Подготовка и предъявление государственного обвинения в судах</t>
  </si>
  <si>
    <t>Количество государственные обвинения поддержанные решением суда</t>
  </si>
  <si>
    <t xml:space="preserve">Количество </t>
  </si>
  <si>
    <t>203</t>
  </si>
  <si>
    <t>204</t>
  </si>
  <si>
    <t>200/31000</t>
  </si>
  <si>
    <t>250/32000</t>
  </si>
  <si>
    <t>3000/33000</t>
  </si>
  <si>
    <t>700/9000</t>
  </si>
  <si>
    <t>коэф.</t>
  </si>
  <si>
    <t xml:space="preserve"> </t>
  </si>
  <si>
    <t>Управление человеческими ресурсами</t>
  </si>
  <si>
    <t>Отношение выигранных судебных дел к их общему количеству</t>
  </si>
  <si>
    <t>04</t>
  </si>
  <si>
    <t>Правовая поддержка</t>
  </si>
  <si>
    <t>Доля жалоб обращения граждан  по правам человека в регионах</t>
  </si>
  <si>
    <t>05</t>
  </si>
  <si>
    <t>Поддержка внешных связей и связей с общественностью</t>
  </si>
  <si>
    <t>Количество положительных упоминаний мин-ва/вед-ва в средствах массовой информации</t>
  </si>
  <si>
    <t>06</t>
  </si>
  <si>
    <t>Оргонизация деятельности и службы обеспечения</t>
  </si>
  <si>
    <t>Доля положительных решений государственными органами и органами МСУ по актам реагирования</t>
  </si>
  <si>
    <t>07</t>
  </si>
  <si>
    <t>08</t>
  </si>
  <si>
    <t>Общая  координация на региональном уровне</t>
  </si>
  <si>
    <t>Улучшение защиты прав,сбоводы человека</t>
  </si>
  <si>
    <t>Контроль за соблюдением свобод, прав человека и всех форм дискриминаций</t>
  </si>
  <si>
    <t>Быстрое реагирование на жалоб  по защите прав и свободы человека</t>
  </si>
  <si>
    <t>Защита прав свободы человека</t>
  </si>
  <si>
    <t>Защита прав поциентов,находящихся в писихиатрических стационарах</t>
  </si>
  <si>
    <t>Доля жалоб по нарушению прав поциентов находящихся в писихиатрических стационарах</t>
  </si>
  <si>
    <t>Защита прав детей и молодежи</t>
  </si>
  <si>
    <t>Соблюдение прав человека правоохранительными органами в местах лищения и ограничения свободы</t>
  </si>
  <si>
    <t>Из обращений граждан положительно решенных вопросов в местах лишения и ограничения сбоводы</t>
  </si>
  <si>
    <t>Защита социально-экономических и культурных прав</t>
  </si>
  <si>
    <t>Доля жалоб по нарушению гендерной дискриминации социально-экономических прав (к общему количеству всех заявлений и жалоб)</t>
  </si>
  <si>
    <t>Защита гражданско-политических прав,прав мигирантов и иностранных граждан</t>
  </si>
  <si>
    <t>Доля жалоб по нарушению прав  мигрантов и иностранных граждан</t>
  </si>
  <si>
    <t>Обеспечение материально-технической базы</t>
  </si>
  <si>
    <t>Процент исполнения бюджета без нарушений</t>
  </si>
  <si>
    <t xml:space="preserve">21. Аппарат Омбудсмена (Акыйкатчы) </t>
  </si>
  <si>
    <r>
      <t>Улучшение и увеличение колич. удовлетворенных заявителей услугами Аппарата Омбудсмена КР (к общему количеству заявителей (</t>
    </r>
    <r>
      <rPr>
        <sz val="11"/>
        <color indexed="8"/>
        <rFont val="Times New Roman"/>
        <family val="1"/>
        <charset val="204"/>
      </rPr>
      <t>целевой индикатор по Программе)</t>
    </r>
  </si>
  <si>
    <r>
      <t>Улучшение и увеличение колич. удовлетворенных заявителей услугами Аппарата Омбудсмена КР региональном уровне (к общему количеству заявителей (</t>
    </r>
    <r>
      <rPr>
        <sz val="11"/>
        <color indexed="8"/>
        <rFont val="Times New Roman"/>
        <family val="1"/>
        <charset val="204"/>
      </rPr>
      <t>целевой индикатор по Программе)</t>
    </r>
  </si>
  <si>
    <t>212</t>
  </si>
  <si>
    <t>232</t>
  </si>
  <si>
    <t>233</t>
  </si>
  <si>
    <t>234</t>
  </si>
  <si>
    <t>002</t>
  </si>
  <si>
    <t>Количество возвращенных дел по причине некачественного правосудия в местных судах</t>
  </si>
  <si>
    <t>Осуществление правосудия по гражданским, уголовным и административно-экономическим делам</t>
  </si>
  <si>
    <t>Количество отмененных дел по причине некачественного правосудия в местных судах</t>
  </si>
  <si>
    <t>ед</t>
  </si>
  <si>
    <t>640</t>
  </si>
  <si>
    <t>630</t>
  </si>
  <si>
    <t>Обеспечение ВС зданием, соответствующего стандарта</t>
  </si>
  <si>
    <t>Соответствие здания ВС КР установленным стандартам по площади: да / нет</t>
  </si>
  <si>
    <t>да</t>
  </si>
  <si>
    <t>Оснащение здания ВС современным оборудованием (мебель, ПК и др.)/ Выделение финансов на их приобретение</t>
  </si>
  <si>
    <t>Оснащенность оборудованием – 0-100%</t>
  </si>
  <si>
    <t>Поддержание рабочего состояния технического оборудования ( мебель, ПК, МФУ, ксерокопии)</t>
  </si>
  <si>
    <t>Поддержание оборудования</t>
  </si>
  <si>
    <t>Проведение регулярного обучения судей и работников аппарата, семинаров по повышению квалификации (за исключением плана УЦС ВС КР)</t>
  </si>
  <si>
    <t>Охват сотрудников аппарата ВС КР семинарами и др.</t>
  </si>
  <si>
    <t>чел</t>
  </si>
  <si>
    <t>Обобщение и совершенствование судебной практики</t>
  </si>
  <si>
    <t>Количество обобщений судебной практики</t>
  </si>
  <si>
    <t>Работа с законопроектами</t>
  </si>
  <si>
    <t>Количество законопроектов по которым внесены предложения</t>
  </si>
  <si>
    <t>Сбор материалов для Бюллетеня ВС КР</t>
  </si>
  <si>
    <t>Количество собранных материалов</t>
  </si>
  <si>
    <t>Конституционная палата Верховного суда Кыргызской Республики</t>
  </si>
  <si>
    <t>Отношение расходов на заработную плату по программе 001 к расходам по всем программам КП ВС КР</t>
  </si>
  <si>
    <t>Количество обращений, поступивщих в КП и мероприятий, направленных на повышение профессионального уровня судей и сотрудников аппарата КП</t>
  </si>
  <si>
    <t>Осуществление конституционного правосудия</t>
  </si>
  <si>
    <t>Количество рассмотренных дел по обеспечению конституционности</t>
  </si>
  <si>
    <t>Обеспечение деятельности судей по осуществлению конституционного правосудия</t>
  </si>
  <si>
    <t>Интеграция Конституционной палаты в систему международного правосудия</t>
  </si>
  <si>
    <t>Количество участий представителей КП на международных мероприятиях</t>
  </si>
  <si>
    <t>Количество участий в мероприятиях, организованных по линии международных и региональных организаций и объединений по конституционному правосудию (Всемирная конференция по конституционному правосудию, Венецианская комиссия Совета Европы, Ассоциация азиатских конституционных судов и эквивалентных институтов, Конференция органов конституционного контроля стран новой демократии)</t>
  </si>
  <si>
    <t>Проведение международных конференций, посвяшенных актуальным вопросам конституционализма</t>
  </si>
  <si>
    <t xml:space="preserve">Проведение международной конференции 1 раз в два года. </t>
  </si>
  <si>
    <t>Проведение национальных научно-практических конференций, посвященных актуальным вопросам конституционализма в Кыргызстане</t>
  </si>
  <si>
    <t xml:space="preserve">Проведение национальной конференции 1 раз в два года. </t>
  </si>
  <si>
    <t>Количество прошедших стажировки работников.</t>
  </si>
  <si>
    <t>003</t>
  </si>
  <si>
    <r>
      <t xml:space="preserve">Обеспечение открытости и прозрачности деятельности Коституционной палаты                    </t>
    </r>
    <r>
      <rPr>
        <i/>
        <sz val="11"/>
        <color theme="1"/>
        <rFont val="Times New Roman"/>
        <family val="1"/>
        <charset val="204"/>
      </rPr>
      <t>Цель программы: Повышение доверия общества к КП</t>
    </r>
  </si>
  <si>
    <t>Количество мероприятий, направленных на обеспечение открытости и празрачности деятельности КП и участников данных мероприятий</t>
  </si>
  <si>
    <t>Организация и проведение летних школ конституциализма, конкурсов среди студентов гостевых лекций</t>
  </si>
  <si>
    <t>Количество слушателей и участников</t>
  </si>
  <si>
    <t xml:space="preserve">Выпуск Вестника, публикация годового доклада, профайла, календаря, создание видеороликов и трансляции на ТВ </t>
  </si>
  <si>
    <t>Количество выпущенной продукции</t>
  </si>
  <si>
    <t>Обеспечение системы аудио-видеофиксации судебных заседаний, сайта КП</t>
  </si>
  <si>
    <t>Функционирование всех систем автоматизации конституционного правосудия</t>
  </si>
  <si>
    <t>да/нет</t>
  </si>
  <si>
    <t xml:space="preserve">Высшая школа правосудия при Верховном суде Кыргызской Республики </t>
  </si>
  <si>
    <t>Отношение расходов на заработную плату по программе 001 к расходам по всем программам УЦ при ВС КР</t>
  </si>
  <si>
    <t>Количество нарушений, связанных с должностными обязанностями сотрудников аппарата ВШП ВС КР</t>
  </si>
  <si>
    <t>Усиление прозрачности и профессионализма судейского корпуса</t>
  </si>
  <si>
    <t>Укрепление кадрового потенциала в судебной системе Кыргызской Республики</t>
  </si>
  <si>
    <t>Повышение уровня профессионализма</t>
  </si>
  <si>
    <t>Внедрение практики совместного обучения судей, прокуроров и адвокатов</t>
  </si>
  <si>
    <t>Развитие международных связей (СНГ, страны дальнего зарубежья) Высшей школы правосудия и Совета судей в сфере профессиональной подготовки судей, проведение тематических конференций и семинаров</t>
  </si>
  <si>
    <t xml:space="preserve">Повышение уровня профессиональной культуры работников судебной системы </t>
  </si>
  <si>
    <t>кол-во</t>
  </si>
  <si>
    <t>Обеспечение бесперебойной работы процесса судопроизводства по местным судам КР и Судебному департаменту</t>
  </si>
  <si>
    <t>Общая координация на региональном уровне</t>
  </si>
  <si>
    <t>Управление и администрирование отрасли на территориальном уровне</t>
  </si>
  <si>
    <t>Процент исполнения бюджета Судебного департамента при ВС КР  без нарушений и неоправданных задержек</t>
  </si>
  <si>
    <t>Поддержание внешних связей и связей с общественностью</t>
  </si>
  <si>
    <t>Организация деятельности и службы обеспечения</t>
  </si>
  <si>
    <t>Доля сотрудников служб обеспечения от общей численности сотрудников центрального аппарата</t>
  </si>
  <si>
    <t>индекс</t>
  </si>
  <si>
    <t>Независимый отбор судей Советом по отбору судей КР</t>
  </si>
  <si>
    <t>Внедрение автоматизированной информационной системы (АИС)</t>
  </si>
  <si>
    <t>Создание государственного реестра судебных актов</t>
  </si>
  <si>
    <t>Создание электронного архива</t>
  </si>
  <si>
    <t>Обеспечение безопасности и охрана зданий судов</t>
  </si>
  <si>
    <t xml:space="preserve">Обеспечение безопасности для участников сторон судебных процессов </t>
  </si>
  <si>
    <t>Обеспечение деятельности Совета судей КР и Дисциплинарной комиссии при Совете судей</t>
  </si>
  <si>
    <t>Внедрение системы аудио видеофиксации судебных процессов</t>
  </si>
  <si>
    <t>Осуществление правосудия</t>
  </si>
  <si>
    <t>09</t>
  </si>
  <si>
    <t>Обеспечение надлежащего профессионального уровня судей, работников местных судов</t>
  </si>
  <si>
    <t>2058</t>
  </si>
  <si>
    <t>10</t>
  </si>
  <si>
    <t>Обеспечение деятельности служб судебных приставов</t>
  </si>
  <si>
    <t>Внедрение технических средств и системы безопасности зданий судов</t>
  </si>
  <si>
    <t>11</t>
  </si>
  <si>
    <t>Обеспечение деятельности института исполнительного производства</t>
  </si>
  <si>
    <r>
      <rPr>
        <b/>
        <sz val="11"/>
        <color theme="1"/>
        <rFont val="Times New Roman"/>
        <family val="1"/>
        <charset val="204"/>
      </rPr>
      <t>Совершенствование взаимодействия модели исполнения судебных решений</t>
    </r>
    <r>
      <rPr>
        <sz val="11"/>
        <color theme="1"/>
        <rFont val="Times New Roman"/>
        <family val="1"/>
        <charset val="204"/>
      </rPr>
      <t xml:space="preserve"> / Увеличение доли исполнения судебных решений</t>
    </r>
  </si>
  <si>
    <t>12</t>
  </si>
  <si>
    <t xml:space="preserve">Создание необходимых условий труда для осуществления правосудия </t>
  </si>
  <si>
    <t>Доля граждан, считающих организацию работы судов неудовлетворительной, в том числе опрошенных</t>
  </si>
  <si>
    <t>13</t>
  </si>
  <si>
    <t>Обеспечение оперативности процесса судопроизводства</t>
  </si>
  <si>
    <t>Обеспечен реальный доступ граждан к квалифицированной юридической помощи</t>
  </si>
  <si>
    <t>14</t>
  </si>
  <si>
    <t>Разработка и внедрение системы для получения судебных актов в удаленном режиме (система электронного правосудия)</t>
  </si>
  <si>
    <t>Улучшение качества отправления правосудия</t>
  </si>
  <si>
    <t>15</t>
  </si>
  <si>
    <t>Автоматизированное распределение судебных актов (АРД)</t>
  </si>
  <si>
    <t>16</t>
  </si>
  <si>
    <t>Внедрение института присяжных заседателей</t>
  </si>
  <si>
    <t>Количество межрайонных судов, рассматривающие судебные дела с участием присяжных заседателей</t>
  </si>
  <si>
    <t>Доля прозрачности судебной системы и расширение возможности доступа лиц к правосудию</t>
  </si>
  <si>
    <t>Внедрение института следственных судей и аппарата судов</t>
  </si>
  <si>
    <t>Доля совершенствования специализации судей</t>
  </si>
  <si>
    <t xml:space="preserve">Внедрение института судебных исполнителей и судебных приставов </t>
  </si>
  <si>
    <t>Количество административных судов рассмотривающие судебные дела с участием присяжных заседателей</t>
  </si>
  <si>
    <t>Внедрение единой корпоративной почтовой системы</t>
  </si>
  <si>
    <t>Внедрение единого цифрового паспорта сотрудника судебной системы КР и электронной подписи (единая система авторизации и аутентификации)</t>
  </si>
  <si>
    <t>Внедрение системы контроля, управления доступа и обеспечения безопасности зданий судов, ПССИ и других субъектов судебной системы КР</t>
  </si>
  <si>
    <t>Внедрение системы внутреннего и внешнего видеонаблюдения для обеспечения безопасности судов и других субъектов судебной системы КР</t>
  </si>
  <si>
    <t>Развитие и модернизация технической инфраструктуры судов, ПССИ и других субъектов системы КР</t>
  </si>
  <si>
    <t>Разработка и внедрение портала электронных сервисов судебной системы КР с поддержкой электронных платежей (включая личный кабинет гражданина и участника судебного процесса)</t>
  </si>
  <si>
    <t>Создание Call-центра судебной системы КР и внедрение корпоративной системы ip-телефонии</t>
  </si>
  <si>
    <t>Создание ситуационного центра для обеспечения контроля, мониторинга, управления информационно- технической инфраструктуры судебной системы КР</t>
  </si>
  <si>
    <t>Внедрение системы дистанционного правосудия</t>
  </si>
  <si>
    <t>Обеспечения информационной безопасности в судебной системы КР</t>
  </si>
  <si>
    <t>ИТОГО (контрольные цифры)</t>
  </si>
  <si>
    <t>Код ГРБС.</t>
  </si>
  <si>
    <t xml:space="preserve">16. Верховный суд Кыргызской Республики </t>
  </si>
  <si>
    <t>20. Военная прокуратура Кыргызской Республики</t>
  </si>
  <si>
    <t>Финансирование (тыс. сом)</t>
  </si>
  <si>
    <t>Отношение расходов на заработную плату по Программе 001 к сумме расходов на заработную плату по всем программам</t>
  </si>
  <si>
    <t>26%</t>
  </si>
  <si>
    <t xml:space="preserve"> Управление и администрирование отрасли на центральном уровне (Обеспечение общего руководства)</t>
  </si>
  <si>
    <t>Администрирование на региональном уровне (Обеспечение финансового менеджмента и учета)</t>
  </si>
  <si>
    <t>аудит не проведен</t>
  </si>
  <si>
    <t xml:space="preserve">Доля выигранных судебных процессов по трудовым спорам </t>
  </si>
  <si>
    <t>Проведение внутренних расследований</t>
  </si>
  <si>
    <t>Количество проведенных расследований, количество рассмотренных жалоб, количество возбужденных уголовных дел</t>
  </si>
  <si>
    <t>0                                        111                                 0</t>
  </si>
  <si>
    <t>0                                                            111                                 0</t>
  </si>
  <si>
    <t>192</t>
  </si>
  <si>
    <t>Надзор за точным и единообразным исполнением законов оганами исполнительной власти, органами местного самоуправления, их должностными лицами, а также другими государственными органами, перечень которых определяется конституционным законом.</t>
  </si>
  <si>
    <t>кол.</t>
  </si>
  <si>
    <t>Всего:32648           19018                   8049                      5581         388945321 сом</t>
  </si>
  <si>
    <t>Надзор за законностью издаваемых органами исполнительной власти НПА и исполнением законов.</t>
  </si>
  <si>
    <t>Всего:16402        8170                    5210                          3022                    332291628 сом</t>
  </si>
  <si>
    <t>Противодействие коррупции. Координация деятельности госорганов по противодействию коррупции.</t>
  </si>
  <si>
    <t>Всего: 7544                                                                      4124                                                         1892                                    1528                  56653693 сом</t>
  </si>
  <si>
    <t>Всего:7544           4124                1892                 1528                  56653693 сом</t>
  </si>
  <si>
    <t>Всего:7544                 4124                1892                 1528                  56653693 сом</t>
  </si>
  <si>
    <t>Надзор за исполнением законов по защите прав детей.</t>
  </si>
  <si>
    <t xml:space="preserve">Всего:  8702         6724                      947                   1031             </t>
  </si>
  <si>
    <t>Отдел по надзору за соблюдением прав предпринимателей и защиты инвесторов</t>
  </si>
  <si>
    <t>Всего: 36                                          5                                  18                           5                                     8                                      0</t>
  </si>
  <si>
    <t>193</t>
  </si>
  <si>
    <t xml:space="preserve">Надзор за соблюдением законов органами, осуществляющими оперативно-розыскную деятельность, следствие. </t>
  </si>
  <si>
    <t xml:space="preserve">Всего:53766               473                         44975                        159                        7386                        494                                245                                  34 </t>
  </si>
  <si>
    <t>Надзор за следствием и оперативно-розыскной деятельностью в органах внутренних дел и исполнения наказания.</t>
  </si>
  <si>
    <t xml:space="preserve">Всего:49366               428                         42142                        148                         5951                        453                                222                                   22 </t>
  </si>
  <si>
    <t>Всего:3899          33                               2689                     9                          1118                             29                            21                             0</t>
  </si>
  <si>
    <t>Надзор за следствием и оперативно-розыскной деятельностью в органах государственной службы по экономическим преступлениям и таможни</t>
  </si>
  <si>
    <t>Всего:501                   12                            144                           2                              317                            12                             2                               12</t>
  </si>
  <si>
    <t>194</t>
  </si>
  <si>
    <t>Обеспечение поддержания гособвинения и представительство в судах</t>
  </si>
  <si>
    <t>Количество принятых участий на судебных процессах.                                             Количество обвинительных приговоров первой инстанции.                                                                                          Количество внесенных аппеляционных, кассационных и надзорных представлений. Сумма возмещенного по искам ущерба.</t>
  </si>
  <si>
    <t xml:space="preserve">Всего:15409        10208                       2818                           1034                        684                       665                        45850555                       </t>
  </si>
  <si>
    <t>Поддержание гособвинения в судах</t>
  </si>
  <si>
    <t>Количество принятых участий на судебных процессах. Количество обвинительных приговоров первой инстанции. Количество внесенных представлений. Сумма возмещенного по искам ущерба</t>
  </si>
  <si>
    <t xml:space="preserve">Всего:13441          8390                    2818                    934                           634                   665              </t>
  </si>
  <si>
    <t>Представительство прокуратуры в гражданских, административных и экономических делах в интересах государства</t>
  </si>
  <si>
    <t xml:space="preserve">Количество принятых участий на судебных процессах. Количество обвинительных приговоров. Количество внесенных аппеляционных, кассационных и надзорных представлений. </t>
  </si>
  <si>
    <t xml:space="preserve">Всего:1968              1818                   100                          50                           0                            45850555             </t>
  </si>
  <si>
    <t>195</t>
  </si>
  <si>
    <t>Обеспечение правовой статистики</t>
  </si>
  <si>
    <t>Всего: 113                                                                               41                                           10                                             62</t>
  </si>
  <si>
    <t>Надзор и формирование (свод статистики по всей правоохранительной системе) уголовно-правовой статистики о преступности, лиц их совершивших и следственной работы правоохранительных органов, Разработка, внедрение и модернизация автоматизированной информационной системы «Единый реестр преступлений и проступков» для правоохранительной системы</t>
  </si>
  <si>
    <t xml:space="preserve"> Разработка, внедрение и модернизация автоматизированной информационной системы «Единый реестр преступлений и проступков» для правоохранительной системы</t>
  </si>
  <si>
    <t>196</t>
  </si>
  <si>
    <t>Всего: 139 490, в т.ч. преступ. - 78254                                      проступ. - 61 236</t>
  </si>
  <si>
    <t>Всего: 139 490, в т.ч. преступ. - 78254                                      проступ.- 61 236</t>
  </si>
  <si>
    <t xml:space="preserve"> преступ. - 78254                                   </t>
  </si>
  <si>
    <t xml:space="preserve"> преступ. - 78254                                    </t>
  </si>
  <si>
    <t xml:space="preserve">преступ. - 78254                                     </t>
  </si>
  <si>
    <t>Единый реестр нарушений</t>
  </si>
  <si>
    <t xml:space="preserve">Количество зарегистрированных преступлений и нарушений </t>
  </si>
  <si>
    <t xml:space="preserve">  проступ. -                61 236</t>
  </si>
  <si>
    <t xml:space="preserve">  проступ. -      61 236</t>
  </si>
  <si>
    <t>197</t>
  </si>
  <si>
    <t>Следственное управление</t>
  </si>
  <si>
    <t xml:space="preserve">Количество показателей направленных дел суд,  сумма возмещение ущерба </t>
  </si>
  <si>
    <t>Следственное управление №1</t>
  </si>
  <si>
    <t>Следственное управление №2</t>
  </si>
  <si>
    <t>Следственное управление №3</t>
  </si>
  <si>
    <t>19. Генеральная прокуратура</t>
  </si>
  <si>
    <t>Судебный департамент при Верховном суде Кыргызской Республики</t>
  </si>
  <si>
    <t>Представление отчета СП КР в ЖК КР</t>
  </si>
  <si>
    <t>Обеспечение финансирования мероприятия</t>
  </si>
  <si>
    <t>Материально-техническое обеспечение</t>
  </si>
  <si>
    <t>Доля сотрудников, прошедших оценку деятельности с высоким баллом (4,1-5) от общего количества сотрудников</t>
  </si>
  <si>
    <t>Доля сотрудников, повысивших квалификацию от общего количества сотрудников</t>
  </si>
  <si>
    <t>Количество, рассмотренных проектов нормативно-правовых актов, проектов межведомственных соглашений</t>
  </si>
  <si>
    <t>Количество, рассмотренных проектов постановлений Совета Счетной палаты</t>
  </si>
  <si>
    <t>172</t>
  </si>
  <si>
    <t>Количество запланированных аудиторских мероприятий</t>
  </si>
  <si>
    <t>% фактического исполнения запланированных аудиторских мероприятий</t>
  </si>
  <si>
    <t>17. Счетная палата</t>
  </si>
  <si>
    <t>17</t>
  </si>
  <si>
    <t>Определение приоритетных направлений развития судебной системы Кыргызской Республики / Усилен потенциал органов судейского самоуправления</t>
  </si>
  <si>
    <t xml:space="preserve">Создание условий для участников сторон судебных процессов / количество модернизированных и построенных новых зданий для местных судов Кыргызской Республики отвечающих утвержденным нормативам для служебных помещений судов </t>
  </si>
  <si>
    <t>Управление и администрирование</t>
  </si>
  <si>
    <t>коэфф.</t>
  </si>
  <si>
    <t>Доля принятых в архив  новых документов (в общем кол-ве док-в Архивного фонда)</t>
  </si>
  <si>
    <t>13. Архив Президента Кыргызской Республики</t>
  </si>
  <si>
    <t>Управление и администирование отрасли на центральном уровне</t>
  </si>
  <si>
    <t>Количество принятых законопроектов на 100 депутато-дней</t>
  </si>
  <si>
    <t>Ознакомление населения с текущей деятельностью парламента (доля законопроектов, доступных для предварительного ознакомления)</t>
  </si>
  <si>
    <t>Количество подписанных документов о сотрудничестве в текущем году к общему количеству соглашений (отношение подписанных соглашений к общему числу действующих соглашений)</t>
  </si>
  <si>
    <t>Администрирование на территориальном уровне</t>
  </si>
  <si>
    <t>Отношение количества депутатов к общему числу занятых работников в парламенте</t>
  </si>
  <si>
    <r>
      <t xml:space="preserve">Управление и администрирование                                                                                         </t>
    </r>
    <r>
      <rPr>
        <i/>
        <sz val="11"/>
        <rFont val="Times New Roman"/>
        <family val="1"/>
        <charset val="204"/>
      </rPr>
      <t xml:space="preserve"> Цель программы: координирующее и организационное воздействие на реализацию других программ </t>
    </r>
  </si>
  <si>
    <t>11. Жогорку Кенеш Кыргызской Республики</t>
  </si>
  <si>
    <t xml:space="preserve">Осуществление государственной регистрации и координации нотариальной деятельности </t>
  </si>
  <si>
    <t>Количество апостил-х документов</t>
  </si>
  <si>
    <t>Количество легализованных документов</t>
  </si>
  <si>
    <t>Количество гос.нот. действий</t>
  </si>
  <si>
    <t xml:space="preserve">Количество гос.регистрации, пере регистрации и прекращение                   </t>
  </si>
  <si>
    <t>Оказание государственной юридической помощи гражданам Кыргызской Республики</t>
  </si>
  <si>
    <t>Доля обработанных запросов от количества поступивших запросов</t>
  </si>
  <si>
    <t>Количество обработанных запросов</t>
  </si>
  <si>
    <t>Исполнение уголовных наказаний, не связанных с изоляцией от общества</t>
  </si>
  <si>
    <t>Обеспечение прозрачности деятельности ГСИН при ПКР</t>
  </si>
  <si>
    <t>Организация порядка и условий отбывания наказаний в УИС</t>
  </si>
  <si>
    <t>Привлечение осужденных к труду и создание условий для их моральной и материальной заинтересованности в результатах труда</t>
  </si>
  <si>
    <t>Организация деятельности по исполнения наказаний осужденных на местах лишения свободы</t>
  </si>
  <si>
    <t>Количество осужденных, количество беглецов, количество убийств</t>
  </si>
  <si>
    <t>Обеспечение инфракструктуры учреждений и привлечение осужденных к труду</t>
  </si>
  <si>
    <t>Строительство, реконструкция, ремонтно-восстановительные работы</t>
  </si>
  <si>
    <t>Обеспечение осужденных продуктами питания</t>
  </si>
  <si>
    <t>Нормы питания по категориям на количество осужденных</t>
  </si>
  <si>
    <t xml:space="preserve">Завершение строительства для осужденных к ПЛС </t>
  </si>
  <si>
    <t>Завершение строительства 2-го корпуса ПЛС</t>
  </si>
  <si>
    <t>Судебно-правовая реформа:</t>
  </si>
  <si>
    <t>Строительство тюрьмы для содержания осужденных-злостных нарушителей установленного порядка отбывания наказания, переведенных из исправительных колоний</t>
  </si>
  <si>
    <t>Градация условий содержания осужденных</t>
  </si>
  <si>
    <t>Обеспечение права осужденных на получение образования</t>
  </si>
  <si>
    <t>Организационное и методическое обеспечение учебного процесса</t>
  </si>
  <si>
    <t>Реконструкция и оснащение (повышение безопасности) ИУ и СИЗО современными ИТСО</t>
  </si>
  <si>
    <t xml:space="preserve">Оснащенность исправительных учреждений и следственных изоляторов современными инженерно-техническими средствами охраны (радио-лучевыми </t>
  </si>
  <si>
    <t>Строительство и реконструкция объектов социально-культурного и коммунально-бытового назначения</t>
  </si>
  <si>
    <t>Организация социальной помощи лицам, освободившимся из мест лишения свободы</t>
  </si>
  <si>
    <t>Организация исполнения наказаний осужденных в лечебных учреждениях</t>
  </si>
  <si>
    <t>Оказание первичной медико-санитарной помощи осужденным</t>
  </si>
  <si>
    <t>Обеспечение осужденных продуктами питания в лечебных учреждений</t>
  </si>
  <si>
    <t>Поддержание дошкольных учреждений и ее расширение</t>
  </si>
  <si>
    <t>Повышение программы дошкольной подготовки детей от 2-х до 7-ми лет</t>
  </si>
  <si>
    <t>Улучшение материально-технической базы образовательных учреждений</t>
  </si>
  <si>
    <t>Разшерение вариативных дошкольных образовательных учреждений</t>
  </si>
  <si>
    <t>Обеспечение доступа к качественным услугам дошкольного образования</t>
  </si>
  <si>
    <t>Судебно-правовая реформа КР:</t>
  </si>
  <si>
    <t>228</t>
  </si>
  <si>
    <t xml:space="preserve">Охрана и оборона  исправительных учреждений и конвоирование осужденных </t>
  </si>
  <si>
    <t>Обеспечение конвоированием судебных учреждений</t>
  </si>
  <si>
    <t xml:space="preserve">Управление и администрирование отрасли на центральном уровне                                                                                                                       
</t>
  </si>
  <si>
    <t xml:space="preserve">Администрирование отрасли на региональном уровне                                                                                                                       
</t>
  </si>
  <si>
    <t>Осуществление судебных экспертиз</t>
  </si>
  <si>
    <t>Кол-во проведенных судебных экспертиз</t>
  </si>
  <si>
    <t>22. Министерство юстиции Кыргызской Республики</t>
  </si>
  <si>
    <t>22</t>
  </si>
  <si>
    <t>222</t>
  </si>
  <si>
    <t>223</t>
  </si>
  <si>
    <t>224</t>
  </si>
  <si>
    <t>225</t>
  </si>
  <si>
    <t>Количество проведенных закупок</t>
  </si>
  <si>
    <t xml:space="preserve">Количество сотрудников ведомства прошедших обучающие курсы и стажировки </t>
  </si>
  <si>
    <t>Количество судебных дел по защите объектов интеллектуальной собственности</t>
  </si>
  <si>
    <t xml:space="preserve">Количество разработанных проектов НПА в сфере развития интеллектуальной собственнности и нноваций </t>
  </si>
  <si>
    <t xml:space="preserve">Количество подписанных договоров, меморандумов,  соглашений и планов мероприятий с патентными ведомствами зарубежных стран </t>
  </si>
  <si>
    <t xml:space="preserve">ед. </t>
  </si>
  <si>
    <t>Количество положительных упоминаний ведомства в СМИ или количество материалов, опубликованных на web-ресурсе ведомства</t>
  </si>
  <si>
    <t>Количество медиапродуктов о деятельности Кыргызпатента (видео, баннеры и т.д.)</t>
  </si>
  <si>
    <t xml:space="preserve">Доля сотрудников служб обеспечения от общей численности сотрудников ЦА </t>
  </si>
  <si>
    <t>Оценка деятельности Кыргызпатента и его руководителя</t>
  </si>
  <si>
    <t xml:space="preserve">Реализация Государственной программы развития системы интеллектуальной собственности в КР                                                                                                                                                                             </t>
  </si>
  <si>
    <t>Стимулирование и вовлечение авторов к созданию новых результатов интеллектуальной деятельности и повышению престижа изобретателей, авторов, научных работников  и частные предприятия</t>
  </si>
  <si>
    <t>Количество наград  изобретателям, авторам и научным работникам</t>
  </si>
  <si>
    <t xml:space="preserve">Доля заявок на служебные изобретения </t>
  </si>
  <si>
    <t xml:space="preserve">Развитие инфраструктуры для создания интеллектуальной собственности и поддержка деятельности по использованию интеллектуальной собственности,  создание демонстрационно-опытных площадок для взаимодействия авторов интеллектуальной собственности и бизнес-структур
</t>
  </si>
  <si>
    <t xml:space="preserve">Количество филиалов Центра поддержки технологий и инноваций </t>
  </si>
  <si>
    <t xml:space="preserve">Количество обученных координаторов Центра поддержки технологий и инноваций  по патентному поиску </t>
  </si>
  <si>
    <t>Количество пользователей услуг Центра поддержки технологий и инноваций   в количестве не менее 500 человек в год</t>
  </si>
  <si>
    <t xml:space="preserve">Доля электронных ресурсов Государственой патентно-технической библиотеки </t>
  </si>
  <si>
    <t xml:space="preserve">Количество  премий в области научно-технического творчества детей и молодежи </t>
  </si>
  <si>
    <t>Количество республиканских и областных конкурсов, олимпиад, выставок  научно-технического и творческого направления</t>
  </si>
  <si>
    <t>Количество кружков научно-технического творчества детей</t>
  </si>
  <si>
    <t xml:space="preserve">Охват детей научно-техническим творчеством </t>
  </si>
  <si>
    <t>0,4</t>
  </si>
  <si>
    <t>Количество обученных специалистов - патентоведов для предприятий и бюджетных организаций</t>
  </si>
  <si>
    <t>Количество созданных коммуникационных площадок (электронные форумы, технопарки, бизнес-инкубаторы, стартапы)</t>
  </si>
  <si>
    <t xml:space="preserve">Система электронного документооборота
</t>
  </si>
  <si>
    <t>Расширение использования IT-технологий при подаче и рассмотрении заявок</t>
  </si>
  <si>
    <t>Доля заявок на объекты интеллектуальной собственности поданных в электронном формате</t>
  </si>
  <si>
    <t>Создание условий для финансовой поддержки развития инновационной деятельности</t>
  </si>
  <si>
    <t xml:space="preserve">Государственный  инновационный фонд </t>
  </si>
  <si>
    <t xml:space="preserve">Организация процесса профессиональной подготовки и повышения квалификации кадров по инновационным специальностям  </t>
  </si>
  <si>
    <t xml:space="preserve">Количество обученных специалистов в сфере развития инноваций </t>
  </si>
  <si>
    <t>Процент от общего числа населения вовлеченных в культурный и информационный процесс страны</t>
  </si>
  <si>
    <t>Повышение доступности  и качества услуг библиотек, музеев, ТЗУ, НКЦ, ДК</t>
  </si>
  <si>
    <t xml:space="preserve">Процент посетилелей библиотек, ТЗУ, домов культур, фестивальных и юбилейных мероприятий от общего числа населения </t>
  </si>
  <si>
    <t>в том числе процент посетилей библиотек, ТЗУ, домов культур, музеев, фестивальных и других мероприятий в районах от общего числа населения страны</t>
  </si>
  <si>
    <t xml:space="preserve">Количество посетивших зрителей  театральных постановок, книжных и музейных выставок, мероприятий от общего числа населения </t>
  </si>
  <si>
    <t>Создание условий по обеспечению сохранности и защите объектов ИКН (Инспекция)</t>
  </si>
  <si>
    <t>Процент  утвержденных проектов охранной зоны территории объектов историко-культурного наследия от общего их числа</t>
  </si>
  <si>
    <t>% отреставрированных памятников истории и культуры от общего числа памятников истории и культуры</t>
  </si>
  <si>
    <t>%  обследованных (исследованных) и документированных объектов историко-культурного наследия от общего их числа</t>
  </si>
  <si>
    <t>Сохранение, развитие и популяризация национальной  кинематографии</t>
  </si>
  <si>
    <t>% населения от общего числа населения посетивших киносеансы в год</t>
  </si>
  <si>
    <t>% отечественных фильмов  участвоваших в межународных кинофестивалях от общего числа проведенных национальнных фильмов в год</t>
  </si>
  <si>
    <t>Развитие информационной среды</t>
  </si>
  <si>
    <t>% подписчиков печатниых изданий, сайта, социальных страниц медиацентров от общего числа населения страны в год</t>
  </si>
  <si>
    <t>% обученных сотрудников государственных медиаорганизаций медиаграмотности от общего числа работников в медиацентрах</t>
  </si>
  <si>
    <t>чел.</t>
  </si>
  <si>
    <t>% выпускников учебных заведений культуры и искусства от общего количества выпускников учебных заведений</t>
  </si>
  <si>
    <t xml:space="preserve">Повышение квалификации педагогического состава учебных заведений </t>
  </si>
  <si>
    <t xml:space="preserve">% аттестованных педагогов от общего числа педагогов образовательных учреждений культуры и искусства </t>
  </si>
  <si>
    <t>доля лауреатов и дипломантов от числа обучающихся в образовательных учреждениях и организациях культуры и искусства</t>
  </si>
  <si>
    <t xml:space="preserve">Поддержка дошкольных образовательных организаций культуры и искусства </t>
  </si>
  <si>
    <t>% охвата населения от общего числа населения занятых любительским спортом</t>
  </si>
  <si>
    <t xml:space="preserve">Развитие физической культуры и массового спорта </t>
  </si>
  <si>
    <t xml:space="preserve">ед.  </t>
  </si>
  <si>
    <t xml:space="preserve">Количество завоеванных призовых мест на спортивной арене </t>
  </si>
  <si>
    <t>Реализация молодежной политики</t>
  </si>
  <si>
    <t>Количество проведенных мероприятий по развитию молодежной политики страны</t>
  </si>
  <si>
    <t>44. Министерство культуры, информации, спорта и молодежной политики Кыргызской Республики</t>
  </si>
  <si>
    <t xml:space="preserve">35. Государственное агентство интеллектуальной собственности и инноваций Кыргызской Республики </t>
  </si>
  <si>
    <t>162</t>
  </si>
  <si>
    <r>
      <t xml:space="preserve">Управление и администрирование 
</t>
    </r>
    <r>
      <rPr>
        <i/>
        <sz val="11"/>
        <color theme="1"/>
        <rFont val="Times New Roman"/>
        <family val="1"/>
        <charset val="204"/>
      </rPr>
      <t xml:space="preserve">Цель программы: Координирующее и организационное воздействие на реализацию других программ
</t>
    </r>
  </si>
  <si>
    <r>
      <t xml:space="preserve">Проведение государственного аудита.
</t>
    </r>
    <r>
      <rPr>
        <i/>
        <sz val="11"/>
        <color theme="1"/>
        <rFont val="Times New Roman"/>
        <family val="1"/>
        <charset val="204"/>
      </rPr>
      <t>Цель программы: Аудит и аудит эффективности</t>
    </r>
  </si>
  <si>
    <t>Оценка исполнения республиканского бюджета, составления и исполнения местных бюджетов, внебюджетных и специальных средств, использования государственной и муниципальной собственности, обеспечение и реализация международных стандартов аудита</t>
  </si>
  <si>
    <t xml:space="preserve">Взаимодействие  с администрациями исправительных учреждений , судами, органами внутренных дел и национальной безопапасности, учреждений Министертво обороны </t>
  </si>
  <si>
    <r>
      <t xml:space="preserve">Планирование, управление и администрирование                                                                                                                              
</t>
    </r>
    <r>
      <rPr>
        <i/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</si>
  <si>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r>
      <t xml:space="preserve">Реализация Концепции  научно-инновационного развития  КР на период до 2022 года                                                                                                                                                      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Выстраивание системы целей, приоритетов и инструментов государственной инновационной политики</t>
    </r>
  </si>
  <si>
    <t>442</t>
  </si>
  <si>
    <r>
      <t xml:space="preserve">Сохранение, развитие культуры, искусства и информационной среды    
</t>
    </r>
    <r>
      <rPr>
        <i/>
        <sz val="11"/>
        <color theme="1"/>
        <rFont val="Times New Roman"/>
        <family val="1"/>
        <charset val="204"/>
      </rPr>
      <t>Цель программы: Развитие духовно-нравственного, культурного потенциала населения и обеспечение благоприятной информационной среды</t>
    </r>
  </si>
  <si>
    <t>443</t>
  </si>
  <si>
    <t>444</t>
  </si>
  <si>
    <t>Экспертно-аналитическое, информационное, правовое, протокольное, организационное, документационное обеспечение функционирования Президента КР</t>
  </si>
  <si>
    <t>Отношение расходов по бюджетной мере к общим расходам республиканского бюджета</t>
  </si>
  <si>
    <t>Полнота обеспеченности</t>
  </si>
  <si>
    <t>Оказание государственной поддержки в случае возникновения непредвиденных расходов по экономическим, социально-культурным и другими мероприятиями, а также чрезвычайным событиям</t>
  </si>
  <si>
    <t>Количество изданных распоряжений на оказание финансовой помощи</t>
  </si>
  <si>
    <t>Координация и принятие решений в вопросах делимитации и демаркации государственной границы КР</t>
  </si>
  <si>
    <t>Количество проведенных встреч по вопросам делимитации и демаркации госграниц</t>
  </si>
  <si>
    <t>12. Администрация Президента КР</t>
  </si>
  <si>
    <t>122</t>
  </si>
  <si>
    <t>Администраия Президента КР</t>
  </si>
  <si>
    <t>Оказание государственной поддержки в случае возникновения непредвиденных расходов, связанных с социально-культурными и другими мероприятиями, проводимыми в республике</t>
  </si>
  <si>
    <t xml:space="preserve">Обеспечение деятельности Президента КР, Премьер-министра КР, Аппарата Президента КР и Кабинета Министров КР  </t>
  </si>
  <si>
    <t>Количество обслуживаемых смет</t>
  </si>
  <si>
    <t>Обеспечение высокого уровня предоставления государственных услуг, а также обеспечение государственного протокола</t>
  </si>
  <si>
    <t>Количество организованных протокольных мероприятий</t>
  </si>
  <si>
    <t>Программное и техническое обеспечение единиго канала связи государственных учреждений и обеспечение прозрачности выборов референдумов</t>
  </si>
  <si>
    <t>Количество  государственных учреждений</t>
  </si>
  <si>
    <t>Обеспечение и организация мероприятий по награждению государственными наградами лиц, внесших вклад в защиту и укрепление государства и демократического общества, единства народа, а также заслуг в различных видах деятельности перед государством и народом</t>
  </si>
  <si>
    <t>Кол-во изготовленных наград</t>
  </si>
  <si>
    <t>Транспортное обеспечение  экс-Президента КР и бывших руководителей Кыргызской ССР</t>
  </si>
  <si>
    <t>Количество лиц</t>
  </si>
  <si>
    <t>Обеспечение и организация  саммитов и других госзначимых мероприятий</t>
  </si>
  <si>
    <t>Количество мероприятий гос.значимых</t>
  </si>
  <si>
    <t>Удельный вес  в % от общей суммы годового бюджета</t>
  </si>
  <si>
    <t>Обеспечение деятельности должностных лиц, возложенных на УДПКР</t>
  </si>
  <si>
    <t>Обеспечение высокого уровня предоставления государственных услуг</t>
  </si>
  <si>
    <t>Доля спецсредств к общей сумме организации</t>
  </si>
  <si>
    <t>Предоставление транспортных услуг в государственном секторе</t>
  </si>
  <si>
    <t>- Аппарат Президента КР</t>
  </si>
  <si>
    <t>- Апп. Прав-ва КР / Кабмин КР</t>
  </si>
  <si>
    <t>- Управление делами ПКР</t>
  </si>
  <si>
    <t>- АТО и гостевые</t>
  </si>
  <si>
    <t>Количество обслуживаемых автомашин за счет специальных средств, в т.ч.</t>
  </si>
  <si>
    <t>- министерства и ведомства</t>
  </si>
  <si>
    <t>- КБ УД</t>
  </si>
  <si>
    <t>Поддержание существующей сети государственных дошкольных образовательных организаций</t>
  </si>
  <si>
    <t>Количество детей</t>
  </si>
  <si>
    <t xml:space="preserve">Повышение  качества  услуг и приобщение населения к профессиональному искусству </t>
  </si>
  <si>
    <t>Количество обслуживаемых мероприятий государственного протокола</t>
  </si>
  <si>
    <t>15. Управление делами Президента Кыргызской республики</t>
  </si>
  <si>
    <t>Поддержка инициатив в области образования и науки и других проектов, направленных на развитие личностных качеств молодежи</t>
  </si>
  <si>
    <t>40. Общественное объединение «Организация ветеранов (пенсионеров) войны, труда, Вооруженных Сил, правоохранительных органов Кыргызской Республики»</t>
  </si>
  <si>
    <t>Внесение предложений по защите материальных и социальных прав ветеранов и ветеранских организаций</t>
  </si>
  <si>
    <t>Внесение предложений в государственные органы по повышению жизненного уровня ветеранов, а также совершенствованию законодательства в области социальной защиты ветеранов и ветеранских организаций</t>
  </si>
  <si>
    <t>По обеспечению и по повышению жизненного уровня ветеранов, ветеранских организаций</t>
  </si>
  <si>
    <t>402</t>
  </si>
  <si>
    <t>Организация подготовки и проведение выборов Президента, депутатов Жогорку Кенеша Кыргызской Республики, депутатов местных кенешей, глав исполнительных органов местного самоуправления и референдумов.</t>
  </si>
  <si>
    <t>Подведение итого голосований и определения результата выборов</t>
  </si>
  <si>
    <t>18. Центральная комиссия по выборам и проведению референдумов Кыргызской Республики</t>
  </si>
  <si>
    <t>182</t>
  </si>
  <si>
    <t>Количество нарушений по задержке выплаты пенсий, финансируемых за счёт республиканского бюджета.</t>
  </si>
  <si>
    <t>Обеспечение базовой части пенсии</t>
  </si>
  <si>
    <t>Выплата компенсации за электроэнергию пенсионерам</t>
  </si>
  <si>
    <t>Пенсионное обеспечение военнослужащих, выплата военнослужащим и членам их семей единовременного пособия</t>
  </si>
  <si>
    <t>Льготное (досрочное) пенсионное обеспечение отдельных категорий населения и выплата надбавок к пенсиям</t>
  </si>
  <si>
    <t>балл</t>
  </si>
  <si>
    <t>шт</t>
  </si>
  <si>
    <t>345</t>
  </si>
  <si>
    <r>
      <t xml:space="preserve">Предоставление высшего профессионального образования Академией Государственного управления при Президенте Кыргызской Республики
</t>
    </r>
    <r>
      <rPr>
        <i/>
        <sz val="11"/>
        <color theme="1"/>
        <rFont val="Times New Roman"/>
        <family val="1"/>
        <charset val="204"/>
      </rPr>
      <t>Цель программы:</t>
    </r>
    <r>
      <rPr>
        <b/>
        <sz val="11"/>
        <color theme="1"/>
        <rFont val="Times New Roman"/>
        <family val="1"/>
        <charset val="204"/>
      </rPr>
      <t xml:space="preserve"> </t>
    </r>
    <r>
      <rPr>
        <i/>
        <sz val="11"/>
        <color theme="1"/>
        <rFont val="Times New Roman"/>
        <family val="1"/>
        <charset val="204"/>
      </rPr>
      <t>Подготовка кадров с высшим профессиональным образованием в соответствии с потребностями рынка труда</t>
    </r>
  </si>
  <si>
    <t xml:space="preserve">Доля выпускников высшего профессионального образования, успешно окончивших академию </t>
  </si>
  <si>
    <t>6%</t>
  </si>
  <si>
    <t>Реализация учебных программ</t>
  </si>
  <si>
    <t>Годовой обьем обучающихся студентов</t>
  </si>
  <si>
    <t>Подготовка квалифицированного кадрового персонала ВПО</t>
  </si>
  <si>
    <t>Доля студентов, занявших призовые места на соревнованиях, конкурсах республиканского и международного уровней</t>
  </si>
  <si>
    <r>
      <t xml:space="preserve">Повышение квалификации государственных и муниципальных служащих
</t>
    </r>
    <r>
      <rPr>
        <i/>
        <sz val="11"/>
        <color theme="1"/>
        <rFont val="Times New Roman"/>
        <family val="1"/>
        <charset val="204"/>
      </rPr>
      <t>Цель программы: Подготовка, переподготовка и повышение квалификации государственных и муниципальных служащих</t>
    </r>
  </si>
  <si>
    <t>Количество государственных и муниципальных служащих, получивших сертификаты</t>
  </si>
  <si>
    <t>100%</t>
  </si>
  <si>
    <t>Проведение тренингов</t>
  </si>
  <si>
    <t>Количество привлеченных государственных служащих на повышение квалификации</t>
  </si>
  <si>
    <t>Доля выпускников среднего профессионального образования, успешно окончивших техникум</t>
  </si>
  <si>
    <t>Подготовка квалифицированного кадрового персонала СПО</t>
  </si>
  <si>
    <t>Доля обучающихся, занявших призовые места на соревнованиях, конкурсах республиканского и международного уровней</t>
  </si>
  <si>
    <t>39. Государственная академия управления при Президенте Кыргызской Республики</t>
  </si>
  <si>
    <r>
      <t xml:space="preserve">Предоставление среднего профессионального образования Академией Государственного управления при Президенте Кыргызской Республики
</t>
    </r>
    <r>
      <rPr>
        <i/>
        <sz val="11"/>
        <color theme="1"/>
        <rFont val="Times New Roman"/>
        <family val="1"/>
        <charset val="204"/>
      </rPr>
      <t>Цель программы: Подготовка кадров с средне-профессиональным образованием в соответствии с потребностями рынка труда</t>
    </r>
  </si>
  <si>
    <t>Индекс производительности труда в сельском хозяйстве</t>
  </si>
  <si>
    <t>Индекс доверия населения государственному органу</t>
  </si>
  <si>
    <t>Индекс доверия населения территориальным подразделениям</t>
  </si>
  <si>
    <t>Производства  продукции животноводства</t>
  </si>
  <si>
    <t>млн.сом</t>
  </si>
  <si>
    <t>Индекс физического обьема, в % к предыдущему году</t>
  </si>
  <si>
    <t>Поголовье КРС</t>
  </si>
  <si>
    <t>голов</t>
  </si>
  <si>
    <t>Производства продукции рыболовства</t>
  </si>
  <si>
    <t>Общая площадь пастбищ  по республике</t>
  </si>
  <si>
    <t>тыс.га</t>
  </si>
  <si>
    <t>412</t>
  </si>
  <si>
    <t>Поддержка развития племенного дела в животноводстве</t>
  </si>
  <si>
    <t>темп реального роста КРС в % к предыдущему году</t>
  </si>
  <si>
    <t>Осеменение КРС</t>
  </si>
  <si>
    <t>Осеменение МРС</t>
  </si>
  <si>
    <t>Организация и осуществление мониторинга над состоянием и использованием пастбищ и пастбищного хозяйства</t>
  </si>
  <si>
    <t>Площадь пастбищ земель сельскохозяйственного назначения</t>
  </si>
  <si>
    <t xml:space="preserve">Средства поступившие от пастбищепользователей </t>
  </si>
  <si>
    <t>тыс.сом</t>
  </si>
  <si>
    <t>Количество экологически устойчивых жайыт комитетов</t>
  </si>
  <si>
    <t>Научно-исследовательская работа в области животноводства</t>
  </si>
  <si>
    <t>Количество исследований по научно-технической программе в области пастбищ и животноводства</t>
  </si>
  <si>
    <t>тема</t>
  </si>
  <si>
    <t>Сохранение и увеличение рыбных запасов</t>
  </si>
  <si>
    <t>Объем производства товарной рыбы (аквакультура), всего</t>
  </si>
  <si>
    <t>тонн</t>
  </si>
  <si>
    <t>Объемы вылова товарной рыбы (рыболовство), всего</t>
  </si>
  <si>
    <t>Выпуск молоди (зарыбление) в водоемы Кыргызской Республики</t>
  </si>
  <si>
    <t>Количество проведенных мероприятий по выявлениям факта наруш.</t>
  </si>
  <si>
    <t>Количество выданных рыболовных карточек</t>
  </si>
  <si>
    <t>Средний годовой надой молока от одной коровы</t>
  </si>
  <si>
    <t>кг.</t>
  </si>
  <si>
    <t>413</t>
  </si>
  <si>
    <t>143 786,9 1</t>
  </si>
  <si>
    <t>Увеличение посевной площади сельхозкультур</t>
  </si>
  <si>
    <t>Уменьшение невостребованных земель сельхозназначения</t>
  </si>
  <si>
    <t>Площадь сельскохозяйственного угодья</t>
  </si>
  <si>
    <t>Обеспечения сельских товаропроизводителей высококачественными сертифицированными семенами посадочным материалом (дотация)</t>
  </si>
  <si>
    <t>Обеспечение безопасного обращения с пестицидами и агрохимикатами, сокращение потерь сельскохозяйственного производства, наносимых некарантинными вредными организмами, а также повышение продуктивности растениеводства и качества растительной продукции</t>
  </si>
  <si>
    <t>Площади химической обработки сельскохозяйственных угодий против саранчовых вредителей</t>
  </si>
  <si>
    <t>Площади химической обработки сельскохозяйственных угодий против карантинного вредителя АББ</t>
  </si>
  <si>
    <t>тыс.тонн</t>
  </si>
  <si>
    <t>395/144</t>
  </si>
  <si>
    <t>93,8</t>
  </si>
  <si>
    <t>Площадь обследования сельхозугодий на выявление карантинного  вредителя АББ</t>
  </si>
  <si>
    <t>Потребность и обеспеченность в пестицидах</t>
  </si>
  <si>
    <t>тыс.литр</t>
  </si>
  <si>
    <t>559,8/654,1</t>
  </si>
  <si>
    <t>Площадь карантинных фитосанитарных обследований подкарантинных обьектов</t>
  </si>
  <si>
    <t>Количество пунктов фитосанитарного контроля</t>
  </si>
  <si>
    <t>Количество выданных карантинных, реэкспортных и фитосанитарных сертификатов</t>
  </si>
  <si>
    <t xml:space="preserve">Обеспечение карантинной фитосанитарной безопасности и мониторинга карантинного фитосанитарного состояния </t>
  </si>
  <si>
    <t>Количество поступивших образцов</t>
  </si>
  <si>
    <t>Количество проведенных экспертиз</t>
  </si>
  <si>
    <t>Развитие органического сельского хозяйства и  производства  сельскохозяйственной биотехнологии</t>
  </si>
  <si>
    <t>18044</t>
  </si>
  <si>
    <t>20974,3</t>
  </si>
  <si>
    <t>Биолигнин</t>
  </si>
  <si>
    <t>Триходермин</t>
  </si>
  <si>
    <t>Амблисейус</t>
  </si>
  <si>
    <t>Трихограмма</t>
  </si>
  <si>
    <t>Проведение полевой инспекции семенных посевов и насаждений, грунтового контроля партий семян</t>
  </si>
  <si>
    <t>Общая посевная площадь сельскохозяйственных культур</t>
  </si>
  <si>
    <t>Площадь полевых инспекций семенных посевов</t>
  </si>
  <si>
    <t>Удельный вес, площади, засеваемой элитными семенами</t>
  </si>
  <si>
    <t>Наличие сертифицированных семян</t>
  </si>
  <si>
    <t>Объем сертифицированных семян</t>
  </si>
  <si>
    <t>Проведение экспертизы и мониторинга качества зерна сельскохозяйственных культур и продуктов его переработки</t>
  </si>
  <si>
    <t>Сортоопыт, официальные испытания, сохранение генетических ресурсов растений</t>
  </si>
  <si>
    <t>Проведение официальных испытаний сортов и гибридов с/х культур</t>
  </si>
  <si>
    <t>сорто-опыт</t>
  </si>
  <si>
    <t>Проведение качественной  оценки испытываемых сортов и гибридов с/х культур</t>
  </si>
  <si>
    <t>анализ</t>
  </si>
  <si>
    <t>Сохранение генетических ресурсов растений</t>
  </si>
  <si>
    <t>образец</t>
  </si>
  <si>
    <t xml:space="preserve">Научно-исследовательская работа в области земледелия, почвоведения, агрохимии и растениеводства </t>
  </si>
  <si>
    <t xml:space="preserve">Количество исследований по научно-технической программе в области земледелия, почвоведения, агрохимии и растениеводства </t>
  </si>
  <si>
    <t>Развитие механизации сельского хозяйства</t>
  </si>
  <si>
    <t>414</t>
  </si>
  <si>
    <t>Надзор, контроль за организацией ветеринарно-санитарной экспертизы продуктов животного и растительного происхождения, обеспечение ветеринарной и фитосанитарной безопасности и обеспечение соблюдения требований технических регламентов ЕАЭС.</t>
  </si>
  <si>
    <t>Учет и контроль за качеством и безопасностью ветеринарных  лекарственных средств</t>
  </si>
  <si>
    <t>Количество государственных регистраций  ветеринарных лекарственных средств</t>
  </si>
  <si>
    <t>кол</t>
  </si>
  <si>
    <t>Количество экспертизы качества ветеринарных лекарственных средств</t>
  </si>
  <si>
    <t>Осуществление государственного надзора за соблюдением ветеринарных и фитосанитарных норм</t>
  </si>
  <si>
    <t>Включение новых предприятий Кыргызской Республики (в том числе убойных пунктов) в реестр предприятий ЕАЭС и третьих стран.</t>
  </si>
  <si>
    <t>Обеспечение эпизоотического благополучия, пищевой безопасности, а также контроля болезней, общих для человека и животных.</t>
  </si>
  <si>
    <t>Кол-во пров-х суьектов</t>
  </si>
  <si>
    <t>Противоэпизоотические мероприятия по ликвидации  заболеваний животных и проведение ветеринарной диагностики и экспертизы животных, и продуктов животного происхождения</t>
  </si>
  <si>
    <t>Снижение кол-ва зарегистрированных вспышек заболевании животных</t>
  </si>
  <si>
    <t>Кол-во вспышек</t>
  </si>
  <si>
    <t>Количество провакцинированных животных</t>
  </si>
  <si>
    <t>млн.голов</t>
  </si>
  <si>
    <t>Количество проведенных ветеринарно-диагностических исследований</t>
  </si>
  <si>
    <t>тыс. голов</t>
  </si>
  <si>
    <t>Не допускать заболеваемости особо опасных болезней животных и птиц в КР</t>
  </si>
  <si>
    <t>кол-во исслед. (млн)</t>
  </si>
  <si>
    <t>Обеспечение пищевой безопасности, предотвращение пищевых отравлении</t>
  </si>
  <si>
    <t>экспертиз</t>
  </si>
  <si>
    <t>Проведение идентификации сельскохозяйственных животных</t>
  </si>
  <si>
    <t>Обеспечение учета сельскохозяйственных животных и повышение экспортного потенциала</t>
  </si>
  <si>
    <t>415</t>
  </si>
  <si>
    <t>Площадь орошаемых земель</t>
  </si>
  <si>
    <t>Ремонт и восстановление ирригационных обьектов (ГТС/ГП/насос/канал)</t>
  </si>
  <si>
    <t>шт/км</t>
  </si>
  <si>
    <t>680/475/82/420</t>
  </si>
  <si>
    <t>Подача поливной воды</t>
  </si>
  <si>
    <t>Регулирование отношении в сфере управления и использования водных ресурсов и водных обьектов</t>
  </si>
  <si>
    <t>Содержание и капитальный ремонт государственных водохозяйственных объектов</t>
  </si>
  <si>
    <t>Улучшение мелиоративного состояние земель</t>
  </si>
  <si>
    <t>га</t>
  </si>
  <si>
    <t>Восстановление ирригационных каналов</t>
  </si>
  <si>
    <t>км</t>
  </si>
  <si>
    <t>Ремонт  ГТС, улучшение урегулирования объема подачи воды</t>
  </si>
  <si>
    <t>Ремонт ГП улучшения учета объема воды</t>
  </si>
  <si>
    <t>Капитальный ремонт и замена насосных агрегатов</t>
  </si>
  <si>
    <t>Подача поливной воды на орошение</t>
  </si>
  <si>
    <t xml:space="preserve">Осуществление надзора и контроля за использованием водных ресурсов и объектов </t>
  </si>
  <si>
    <t>Количество объектов нарушивших в процессе контроля и надзора водными ресурсами и объектами</t>
  </si>
  <si>
    <t>Количество пунктов предписаний по предупреждению и недопущению в области водных ресурсов и объектов</t>
  </si>
  <si>
    <t>Мониторинг по водным ресурсам и объектам по обеспечению безопасности жизнедеятельности населения и консультация граждан</t>
  </si>
  <si>
    <t>Создание Бассейновых управлений водных ресурсов в структуре ГАВР</t>
  </si>
  <si>
    <t>кол.ед.</t>
  </si>
  <si>
    <t xml:space="preserve">Повышение производительности сельскохозяйственных культур </t>
  </si>
  <si>
    <t>Количество водопользователей, имеющих доступ к улучшенным услугам ирригации и дренажа</t>
  </si>
  <si>
    <t>Повышение доли женщин в возрасте от 15 до 49 лет, потребляющих продукты как минимум 5 из 9 продовольственных групп</t>
  </si>
  <si>
    <t xml:space="preserve">Строительство внутрихозяйственной сети </t>
  </si>
  <si>
    <t>Реализация  проекта «Повышение устойчивости водных ресурсов к изменению климата и стихийным бедствиям» (АБР)</t>
  </si>
  <si>
    <t>Выполнение модернизационных и реабилитационных работ на внутрихозяйственных каналах АВП 4 подпроектов</t>
  </si>
  <si>
    <t>Примерно 15 селесбросных сооружений построено или модернизовано с конструкцией повышенной защиты (базовый показатель 2018 года= не применимо).</t>
  </si>
  <si>
    <t>Для каждого из примерно 4 подпронктов разработан и одобрены планы АВП по внутрихозяйственному управлению водными ресурсами и сельским хозяйством с гендерными аспектами</t>
  </si>
  <si>
    <t>Примерно 6 000 фермеров и жителей сообщества (из которых 30% женщин) информируют об улучшении знании в области устойчивости к стихийным бедствиям и последствия изменения климата, а также практики ведения сельского хозяйства (базовый показатель 2017 года = 0)</t>
  </si>
  <si>
    <t xml:space="preserve">Строительство 4-х БСР </t>
  </si>
  <si>
    <t>Улучшение сети орошения</t>
  </si>
  <si>
    <t>Строительство скаладов хранения сельскохозяйственной продукции</t>
  </si>
  <si>
    <t>416</t>
  </si>
  <si>
    <t>Площадь проведения геобанических и почвенных обследований, инвентаризация</t>
  </si>
  <si>
    <t>Создание современной картографической основы территории Кыргызской Республики для обеспечения нужд силовых структур, хозяйственной деятельности</t>
  </si>
  <si>
    <t xml:space="preserve">Регулирование отношений в области земельных ресурсов и земельных правоотношений, государственной регистрации прав на недвижимое имущество, геодезии и картографии, развития рынка земли и недвижимости </t>
  </si>
  <si>
    <t>Реконструкция и поддержание государственной геодезической сети и обоснование и издание топографических картмасштабного ряда</t>
  </si>
  <si>
    <t>Пункты GPS-сети второго порядка и исходные пункты нулевого и первого порядка повышенной точности</t>
  </si>
  <si>
    <t>пункт</t>
  </si>
  <si>
    <t>Каталоги координат и высот геодезических пунктов в системах координат СК-42, СК-95 и Kyrg-06 на листы карты масштаба 1:200 000</t>
  </si>
  <si>
    <t>каталог</t>
  </si>
  <si>
    <t>Количество созданных и обновленных государственных топографических карт масштабного ряда</t>
  </si>
  <si>
    <t>лист</t>
  </si>
  <si>
    <t>Обеспечение работ по делимитации и демаркации государственной границы</t>
  </si>
  <si>
    <t xml:space="preserve">Пограничные знаки по линии государственной границы Кыргызской Республики </t>
  </si>
  <si>
    <t>знак</t>
  </si>
  <si>
    <t>Площадь выполнения планово-высотной привязки космических снимков</t>
  </si>
  <si>
    <t>кв.км</t>
  </si>
  <si>
    <t>Корректировка почвенных обследований, мотиторинг пахотных земель, проектно-ызыскательские, обследовательские работы по землеустройству</t>
  </si>
  <si>
    <t>Геоботаническое и почвенное  обследование пастбищных  угодий, инвентаризация  населенных пунктов</t>
  </si>
  <si>
    <t>кол-во район/айыл аймак</t>
  </si>
  <si>
    <t>3 области (Ошская, Дж-Аб., И-К.)</t>
  </si>
  <si>
    <t>3 области (Чуйская, Нарын., Талас.)</t>
  </si>
  <si>
    <t>г. Токмок,       1 район,     10 а/окмоту,     38 поселков Чуйского района</t>
  </si>
  <si>
    <t>г. К-Балта,       1 район,     10 а/окмоту,     36 поселков Чуйского района</t>
  </si>
  <si>
    <t xml:space="preserve">Осуществление надзора, контроля и охрана земель </t>
  </si>
  <si>
    <t>417</t>
  </si>
  <si>
    <t xml:space="preserve">Покрытая лесом площадь государственного лесного фонда </t>
  </si>
  <si>
    <t>Площадь ежегодной посадки лесных культур</t>
  </si>
  <si>
    <t>Численность населения, получающая доход от леса</t>
  </si>
  <si>
    <t>тыс.чел-к</t>
  </si>
  <si>
    <t>Координирование и формирование условий в сфере лесного хозяйства</t>
  </si>
  <si>
    <t>Воспроизводство лесных ресурсов, охрана лесов от лесонарушений</t>
  </si>
  <si>
    <t xml:space="preserve">Кол-во выращенных посадочных материалов </t>
  </si>
  <si>
    <t>млн.шт</t>
  </si>
  <si>
    <t>Отношение площади обработанных против вредителей лесов к общей площади зараженных вредителями лесов</t>
  </si>
  <si>
    <t>Приживаемость культур</t>
  </si>
  <si>
    <t>Проведение лесоустройство, охотоустройства, камеральных работ,инвентаризации лесов</t>
  </si>
  <si>
    <t>41. Министерство сельского, водного хозяйства и развития регионов</t>
  </si>
  <si>
    <t>-</t>
  </si>
  <si>
    <t>сом</t>
  </si>
  <si>
    <t>005</t>
  </si>
  <si>
    <t>место</t>
  </si>
  <si>
    <t>12.  Администрация Президента Кыргызской Республики</t>
  </si>
  <si>
    <t>13. Архив Президента Кыргызской республики</t>
  </si>
  <si>
    <t>15. Управление делами Президента Кыргызской Республики</t>
  </si>
  <si>
    <t>16. Верховный суд Кыргызской республики</t>
  </si>
  <si>
    <t>19. Генеральная прокуратура Кыргызской республики</t>
  </si>
  <si>
    <t>21. Аппарат Омбудсмена (Акыйкатчы) Кыргызской Республики</t>
  </si>
  <si>
    <t xml:space="preserve">22. Министерство юстиции Кыргызской Республики </t>
  </si>
  <si>
    <t>Итого</t>
  </si>
  <si>
    <t>004</t>
  </si>
  <si>
    <t xml:space="preserve"> Государственная судебно-экспертная служба при Министерстве юстиции Кыргызской Республики</t>
  </si>
  <si>
    <t>23. Министерство иностранных дел Кыргызской Республики</t>
  </si>
  <si>
    <t>24. Резервные и другие фонды территорий</t>
  </si>
  <si>
    <t xml:space="preserve"> общее количество выпускаемых информаций агентством</t>
  </si>
  <si>
    <t>хронометраж созданных ежедневных информаций, выпускаемых каждым журналистом 9-12 информаций на кыргызском и русском языках</t>
  </si>
  <si>
    <t>44</t>
  </si>
  <si>
    <t>446</t>
  </si>
  <si>
    <t xml:space="preserve">Предоставление государственных премий в области литературы, искусства и архитектуры                                   </t>
  </si>
  <si>
    <t xml:space="preserve">Обеспечение общего руководства, финансового менеджмента и учета </t>
  </si>
  <si>
    <t>Отношение расходов на заработную плату по Программе 001 к сумме расходов на заработную плату по всему Комитету</t>
  </si>
  <si>
    <t>Вручение государственной премии Кыргызской Республики им. Токтогула в области литературы, искусства и архитектуры</t>
  </si>
  <si>
    <t>Количество участников, получивших государственную премию</t>
  </si>
  <si>
    <t>445</t>
  </si>
  <si>
    <t>Комитет по  государственным премиям КР по имени Токтогула</t>
  </si>
  <si>
    <t>Цели программы: Координирующее и организационное воздействие на реализацию других программ и обеспечение,достижение поставленных задач</t>
  </si>
  <si>
    <t>тыс. сом</t>
  </si>
  <si>
    <t>Резервные и другие фонды территорий</t>
  </si>
  <si>
    <t>Фонд развития Иссык-Кульской области</t>
  </si>
  <si>
    <t>Фонды развития районов</t>
  </si>
  <si>
    <t>Фонды развития областей</t>
  </si>
  <si>
    <t>Резервный фонд полномочного представителя Правительства Кыргызской Республики в областях</t>
  </si>
  <si>
    <t>Резервный фонд акимов</t>
  </si>
  <si>
    <t>262</t>
  </si>
  <si>
    <t>Общегосударственные программы</t>
  </si>
  <si>
    <t>Реализация Национальной программы развития государственного языка и совершенствования языковой политики в КР</t>
  </si>
  <si>
    <t>Цифровая экономика</t>
  </si>
  <si>
    <t>Безопасный город</t>
  </si>
  <si>
    <t>Взносы в международные организации</t>
  </si>
  <si>
    <t>Государственный долг</t>
  </si>
  <si>
    <t>Возмещение и возврат НДС</t>
  </si>
  <si>
    <t>Исполнение решений суда</t>
  </si>
  <si>
    <t>Оплата услуг банков</t>
  </si>
  <si>
    <t>Развитие приграничных территорий</t>
  </si>
  <si>
    <t>Фискализация</t>
  </si>
  <si>
    <t>19</t>
  </si>
  <si>
    <t>Финансирование проектов экономического развития</t>
  </si>
  <si>
    <t>20</t>
  </si>
  <si>
    <t>Государственные программы, мероприятия и выплаты</t>
  </si>
  <si>
    <t>Капитальные вложения</t>
  </si>
  <si>
    <t>Мероприятия по ликвидации стихийных бедствий</t>
  </si>
  <si>
    <t>Повышение социальных выплат</t>
  </si>
  <si>
    <t>Выравнивающие трансферты</t>
  </si>
  <si>
    <t>Целевые трансферты</t>
  </si>
  <si>
    <t>Стимулирующие гранты</t>
  </si>
  <si>
    <t>Государственный бюджетный резерв</t>
  </si>
  <si>
    <t>Спецсчет МЧС КР</t>
  </si>
  <si>
    <t>Финансирование экспортоориентированных и импортозамещающих предприятий</t>
  </si>
  <si>
    <t>Содействие в трудоустройстве граждан КР на внешнем рынке, выплата компенсаций расходов , связанных с возвращением на родину;</t>
  </si>
  <si>
    <r>
      <t xml:space="preserve">Управление и администрирование     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программ, включенных в данную стратегию.</t>
    </r>
    <r>
      <rPr>
        <sz val="11"/>
        <color theme="1"/>
        <rFont val="Times New Roman"/>
        <family val="1"/>
        <charset val="204"/>
      </rPr>
      <t xml:space="preserve">
</t>
    </r>
  </si>
  <si>
    <r>
      <t>Количество проведенных проверок (</t>
    </r>
    <r>
      <rPr>
        <b/>
        <u/>
        <sz val="11"/>
        <color theme="1"/>
        <rFont val="Times New Roman"/>
        <family val="1"/>
        <charset val="204"/>
      </rPr>
      <t>выявлено нарушений в 2020 году</t>
    </r>
    <r>
      <rPr>
        <b/>
        <sz val="11"/>
        <color theme="1"/>
        <rFont val="Times New Roman"/>
        <family val="1"/>
        <charset val="204"/>
      </rPr>
      <t>): ,                  внесенных актов прокурорского реагирования,                                                      наказанных в административном,                              дисциплинарном порядке лиц,                                          сумма возмещенного по актам реагирования ущерба.</t>
    </r>
  </si>
  <si>
    <r>
      <t>Количество проведенных проверок (</t>
    </r>
    <r>
      <rPr>
        <u/>
        <sz val="11"/>
        <color theme="1"/>
        <rFont val="Times New Roman"/>
        <family val="1"/>
        <charset val="204"/>
      </rPr>
      <t>выявлено нарушений в 2020 году</t>
    </r>
    <r>
      <rPr>
        <sz val="11"/>
        <color theme="1"/>
        <rFont val="Times New Roman"/>
        <family val="1"/>
        <charset val="204"/>
      </rPr>
      <t>), внесенных актов прокурорского реагирования,                                             наказанных в административном и дисциплинарном порядке лиц                                                                             и сумма возмещенного по актам реагирования ущерба.</t>
    </r>
  </si>
  <si>
    <t>Фонд финансирования проектов ГЧП</t>
  </si>
  <si>
    <t>Субсидирование процентных ставок коммерческих банков</t>
  </si>
  <si>
    <t>99</t>
  </si>
  <si>
    <t>Название бюджетной меры</t>
  </si>
  <si>
    <t>Постоянное хранение и использование документов архивного фонда Президена КР</t>
  </si>
  <si>
    <t>153</t>
  </si>
  <si>
    <r>
      <t xml:space="preserve">Развитие спорта и молодежной политики 
</t>
    </r>
    <r>
      <rPr>
        <i/>
        <sz val="11"/>
        <color theme="1"/>
        <rFont val="Times New Roman"/>
        <family val="1"/>
        <charset val="204"/>
      </rPr>
      <t>Цель программы:</t>
    </r>
    <r>
      <rPr>
        <sz val="11"/>
        <color theme="1"/>
        <rFont val="Times New Roman"/>
        <family val="1"/>
        <charset val="204"/>
      </rPr>
      <t xml:space="preserve"> </t>
    </r>
    <r>
      <rPr>
        <i/>
        <sz val="11"/>
        <color theme="1"/>
        <rFont val="Times New Roman"/>
        <family val="1"/>
        <charset val="204"/>
      </rPr>
      <t>Развитие массового спорта, физической культуры, пропаганда здорового образа жизни и формирование новой генерации активной молодежи</t>
    </r>
  </si>
  <si>
    <r>
      <t xml:space="preserve">Образование в сфере культуры и искусства   
</t>
    </r>
    <r>
      <rPr>
        <i/>
        <sz val="11"/>
        <color theme="1"/>
        <rFont val="Times New Roman"/>
        <family val="1"/>
        <charset val="204"/>
      </rPr>
      <t>Цель программы: Подготовка професиональных кадров в области культуры и искусства</t>
    </r>
  </si>
  <si>
    <t>166</t>
  </si>
  <si>
    <t>Реализация проектов государственных инвестиций</t>
  </si>
  <si>
    <t>Доля расходов на ПМСП в общих расходах по другим программам</t>
  </si>
  <si>
    <t>Количество посещений к врачам ГСВ на 1 жителя</t>
  </si>
  <si>
    <t>Уровень удовлетворенности пациентов (по оценочной карте)</t>
  </si>
  <si>
    <t>Обеспечение доступности экстренной (скорой) медицинской помощи населению республики</t>
  </si>
  <si>
    <t>Процент соответствия количества фактически функционирующих бригад СМП к утвержденному количеству</t>
  </si>
  <si>
    <t>Количество обслуженных вызовов ЭМП на 1000 населения</t>
  </si>
  <si>
    <t>случаев</t>
  </si>
  <si>
    <t>Обеспечение доступности базовых медицинских услуг на уровне первичной медико-санитарной помощи (ПМСП) населению республики</t>
  </si>
  <si>
    <t>Доля женщин, вставших на учет по поводу беременности в сроке до  12 недель, %</t>
  </si>
  <si>
    <t xml:space="preserve">Доля беременных женщин, получивших базовый пакет антенатальных услуг на уровне ПМСП </t>
  </si>
  <si>
    <t>Обеспечение доступности стоматологической помощи населению в рамках Программы государственных гарантий по обеспечению граждан медико-санитарной помощью (далее – Программа государственных гарантий)</t>
  </si>
  <si>
    <t>абс ч.</t>
  </si>
  <si>
    <t>Доля детей до 10 лет, прошедших профилактический осмотр из числа организованной группы (школы, детсады)</t>
  </si>
  <si>
    <t>Доля детей до 10 лет, прошедших санацию полости рта из числа выявленных при профилактическом осмотре</t>
  </si>
  <si>
    <t xml:space="preserve">Обеспечение доступности к медицинской помощи по борьбе с туберкулезом, оказываемой организациями ПМСП </t>
  </si>
  <si>
    <t xml:space="preserve">Количество случаев туберкулеза, успешно завершивших  лечение на амбулаторном уровне в пилотных ОЗ ПМСП   </t>
  </si>
  <si>
    <t xml:space="preserve">Обеспечение доступа  населению республики к льготному лекарственному обеспечению по ПГГ (онкологическим больным в терминальной стадии; больным параноидной шизофренией и хроническими бредовыми расстройствами; аффективными расстройствами различного генеза; эпилепсией; бронхиальной астмой) </t>
  </si>
  <si>
    <t xml:space="preserve">Уровень возмещения реализованных лекарств по рецептам ПГГ на амбулаторном  уровне </t>
  </si>
  <si>
    <t>не менее 94%</t>
  </si>
  <si>
    <t>не менее 95%</t>
  </si>
  <si>
    <t>Обеспечение доступа  застрахованному населению республики к льготному лекарственному обеспечению по ОМС</t>
  </si>
  <si>
    <t>Оказание населению платных медицинских услуг сверх обьема ПГГ (сооплата)</t>
  </si>
  <si>
    <t xml:space="preserve">Оказание немедицинских и иных услуг организациями здравоохранения, работающих в системе Единого плательщика (поступление от арендной платы помещений) </t>
  </si>
  <si>
    <t>Улучшение качества предоставления медицинской помощи населению путем стимулирования групп семейных врачей за достижение целевых показателей качества деятельности (повышение зарплаты медицинским работникам ПМСП)</t>
  </si>
  <si>
    <t>Уровень снижения неинфекционных заболеваний на уровне ПМСП</t>
  </si>
  <si>
    <t>лет м/ж</t>
  </si>
  <si>
    <t>67,8/76</t>
  </si>
  <si>
    <t>68/76,2</t>
  </si>
  <si>
    <t>68,2/76,4</t>
  </si>
  <si>
    <t>68,4/76,6</t>
  </si>
  <si>
    <t>68,6/76,8</t>
  </si>
  <si>
    <t>фактическое количество получателей стимулирующих выплат</t>
  </si>
  <si>
    <t>Процент освоения средств доноров к проценту снижения уровня неинфекционных заболеваний</t>
  </si>
  <si>
    <t>в зависимости от снижения уровня снижения НИЗ</t>
  </si>
  <si>
    <t>Итого по Программе 2</t>
  </si>
  <si>
    <t>Уровень госпитализаций на 100 тыс. населения</t>
  </si>
  <si>
    <t>не более 13,6%</t>
  </si>
  <si>
    <t>не более 13,5%</t>
  </si>
  <si>
    <t>не более 13,4%</t>
  </si>
  <si>
    <t>не более 13,2%</t>
  </si>
  <si>
    <t>Уровень удовлетворенности (по оценочной карте)</t>
  </si>
  <si>
    <t>не менее 85,0%</t>
  </si>
  <si>
    <t>Доля прямых расходов на пациента в общих расходах консолидированного бюджета стационаров:</t>
  </si>
  <si>
    <t>медикаменты</t>
  </si>
  <si>
    <t>питание</t>
  </si>
  <si>
    <t>Обеспечение доступности медицинских услуг на уровне стационарной помощи в рамках ПГГ населению республики</t>
  </si>
  <si>
    <t xml:space="preserve">Доля   населения, получивших лечение по социальным льготам </t>
  </si>
  <si>
    <t>не менее 50%</t>
  </si>
  <si>
    <t>Соотношение фактически пролеченных случаев к согласованному плану</t>
  </si>
  <si>
    <t>не менее 20%</t>
  </si>
  <si>
    <t>не более 100,0%</t>
  </si>
  <si>
    <t xml:space="preserve">Обеспечение доступности к медицинской помощи по борьбе с туберкулезом, оказываемой  организациями здравоохранения стационарного уровня </t>
  </si>
  <si>
    <t xml:space="preserve">Обеспечение доступности к медицинским услугам на уровне специализированной онкологической и гематологической помощи </t>
  </si>
  <si>
    <t xml:space="preserve">Обеспечение доступности к медицинским услугам на уровне специализированной кардиохирургической помощи </t>
  </si>
  <si>
    <t>Обеспечение доступности к медицинским услугам на уровне специализированной психиатрической помощи</t>
  </si>
  <si>
    <t>Улучшение качества предоставления стационарной медицинской помощи населению путем повышения  с 1 июля 2021 года размера заработной платы работникам ОЗ</t>
  </si>
  <si>
    <t>Количество ОЗ , в которых проведена оценка качества деятельности ОЗ по оценочной карте для стимулирующих выплат</t>
  </si>
  <si>
    <t xml:space="preserve">Соотношение  пациентов с терминальной стадией хронической почечной недостаточности охваченых льготным гемодиализным лечением к общему числу пациентов состоящих на учете </t>
  </si>
  <si>
    <t xml:space="preserve">Количество пациентов с терминальной стадией хронической почечной недостаточности, получающих платное лечение в частных медицинских центрах и ожидающих перевода на полный бюджетный гемодиализ в государственных организациях здравоохранения, а также в целях сокращения бремени затрат пациентами при получении услуг гемодиализа  </t>
  </si>
  <si>
    <t>Мероприятия Программы ориентированной на результат (ПОР)</t>
  </si>
  <si>
    <r>
      <t xml:space="preserve">Обеспечение доступа к льготному </t>
    </r>
    <r>
      <rPr>
        <b/>
        <u/>
        <sz val="11"/>
        <rFont val="Times New Roman"/>
        <family val="1"/>
        <charset val="204"/>
      </rPr>
      <t>гемодиализному</t>
    </r>
    <r>
      <rPr>
        <sz val="11"/>
        <rFont val="Times New Roman"/>
        <family val="1"/>
        <charset val="204"/>
      </rPr>
      <t xml:space="preserve"> лечению остронуждающихся пациентов с терминальной стадией хронической почечной недостаточности пятой стадии</t>
    </r>
  </si>
  <si>
    <r>
      <rPr>
        <b/>
        <sz val="11"/>
        <rFont val="Times New Roman"/>
        <family val="1"/>
        <charset val="204"/>
      </rPr>
      <t xml:space="preserve">Предоставление услуг первичной медико-санитарной помощи           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1"/>
        <rFont val="Times New Roman"/>
        <family val="1"/>
        <charset val="204"/>
      </rPr>
      <t>Цели программы: Раннее выявление, диагностика заболеваний, повышение качества и эффективности предоставления медицинской и профилактической помощи на уровне ПМСП</t>
    </r>
  </si>
  <si>
    <t>265</t>
  </si>
  <si>
    <r>
      <rPr>
        <b/>
        <sz val="11"/>
        <rFont val="Times New Roman"/>
        <family val="1"/>
        <charset val="204"/>
      </rPr>
      <t xml:space="preserve">Предоставление услуг медицинскими учреждениями на стационарном уровне    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1"/>
        <rFont val="Times New Roman"/>
        <family val="1"/>
        <charset val="204"/>
      </rPr>
      <t>Цель программы: Повышение качества и эффективности предоставления гарантированной медицинской помощи на стационарном уровне</t>
    </r>
  </si>
  <si>
    <t>167</t>
  </si>
  <si>
    <t>163</t>
  </si>
  <si>
    <t>23</t>
  </si>
  <si>
    <t>45. Министерство чрезвычайных ситуаций Кыргызской Республики</t>
  </si>
  <si>
    <t>баллов</t>
  </si>
  <si>
    <t>452</t>
  </si>
  <si>
    <t>Оправдываемость прогноза</t>
  </si>
  <si>
    <t xml:space="preserve">Осуществление мониторинга и анализа опасных природных, техногенных процессов и явлений, выполнение научно-исследовательской работы на отдельных опасных участках </t>
  </si>
  <si>
    <t>Оправдываемость прогнозов по проведению мониторинга первоочередных, предупредительных работ</t>
  </si>
  <si>
    <t>Оправдываемость прогнозов опасных природных явлений и процессов</t>
  </si>
  <si>
    <t>80</t>
  </si>
  <si>
    <t>83</t>
  </si>
  <si>
    <t>85</t>
  </si>
  <si>
    <t>87</t>
  </si>
  <si>
    <t>Реализация проекта государственных инвестиций: Повышение устойчивости к рискам стихийным бедствиям КР.</t>
  </si>
  <si>
    <t xml:space="preserve">Освоение </t>
  </si>
  <si>
    <t>453</t>
  </si>
  <si>
    <t xml:space="preserve">Количество защищенных жилых домов         Количество  сельхозугодий (га)/ год
</t>
  </si>
  <si>
    <t>7959/3376</t>
  </si>
  <si>
    <t>7493/5205</t>
  </si>
  <si>
    <t>Проведение первоочередных  превентивных, аварийно-восстановительных, защитных мероприятий; строительство и эксплуатация селезащитных инженерных сооружений.</t>
  </si>
  <si>
    <t xml:space="preserve">Количество защищенных жилых домов/год     
</t>
  </si>
  <si>
    <t>7959</t>
  </si>
  <si>
    <t>7493</t>
  </si>
  <si>
    <t xml:space="preserve">Количество  сельхозугодий (га)/ год
</t>
  </si>
  <si>
    <t>3376</t>
  </si>
  <si>
    <t>5205</t>
  </si>
  <si>
    <t>Проведение комплексного мониторинга хвостохранилищ и горных отвалов бывшего уранодобывающего производства, предупредительных защитных аварийно-восстановительных и реабилитационных работ.</t>
  </si>
  <si>
    <t>Проведение мониторинга и содержание объектов</t>
  </si>
  <si>
    <t>0</t>
  </si>
  <si>
    <t>50</t>
  </si>
  <si>
    <t>70</t>
  </si>
  <si>
    <t>Количество реабилитированных объектов урановых хвостохранилищ</t>
  </si>
  <si>
    <t>2</t>
  </si>
  <si>
    <t>7</t>
  </si>
  <si>
    <t>3</t>
  </si>
  <si>
    <t>Процент укомплектованности служб ЧС оборудованием, необходимым для своевременной ликвидации чрезвычайных ситуаций</t>
  </si>
  <si>
    <t>Снижения уровня материального ущерба</t>
  </si>
  <si>
    <t>71,6</t>
  </si>
  <si>
    <t>454</t>
  </si>
  <si>
    <t>Доля местных органов власти, принявших и осуществляющих  местные стратегии снижения риска бедствий  в соответствии с национальными стратегиями снижения риска бедствий</t>
  </si>
  <si>
    <t>Подготовка и переподготовка специалистов ГЗ, органов самоуправления и населения к действиям в ЧС.</t>
  </si>
  <si>
    <t>Кол-во подготовленных специалистов по ГЗ</t>
  </si>
  <si>
    <t>12277</t>
  </si>
  <si>
    <t>12000</t>
  </si>
  <si>
    <t>20000</t>
  </si>
  <si>
    <t>23000</t>
  </si>
  <si>
    <t>27000</t>
  </si>
  <si>
    <t>Подготовка и переподготовка специалистов по водолазному делу, проведение подводно-технических, поисково-спасательных, научно-исследовательских и экспертных работ на всех водных объектах.</t>
  </si>
  <si>
    <t>Кол-во подготовленных специалистов по водолазному делу</t>
  </si>
  <si>
    <t>96</t>
  </si>
  <si>
    <t>150</t>
  </si>
  <si>
    <t>200</t>
  </si>
  <si>
    <t>Управление материальными ценностями государственного и мобилизационного резерва</t>
  </si>
  <si>
    <t>Обеспечение мобилизационных нужд Кыргызской Республики</t>
  </si>
  <si>
    <t>Управление материальными ценностями государственного и мобилизационного резерва (администрирование)</t>
  </si>
  <si>
    <t>Организация закладок, накопления, хранения и использования госматрезервов</t>
  </si>
  <si>
    <t>Накопления материальных ценностей (гос.резерв)</t>
  </si>
  <si>
    <t>Накопления материальных ценностей (моб.резерв)</t>
  </si>
  <si>
    <t>46. Центрально-Азиатский институт прикладных исследований Земли</t>
  </si>
  <si>
    <t xml:space="preserve">Управление и администрирование отрасли на центральном уровне                                                                                                             
</t>
  </si>
  <si>
    <t>Отношение расходов на заработную плату по Программе 00101 к сумме расходов на заработную плату по всем программам</t>
  </si>
  <si>
    <t>Обеспечение общего руководства</t>
  </si>
  <si>
    <t>Обеспечение финансового менеджмента и учета</t>
  </si>
  <si>
    <t>Количество  разрешенных   трудовых спорах</t>
  </si>
  <si>
    <t>462</t>
  </si>
  <si>
    <t>Исследование геодинамических процессов и георисков в Кыргызстане и трансграничных регионах со странами Центрально-Азиатскими странами</t>
  </si>
  <si>
    <t>1  Данные публикации</t>
  </si>
  <si>
    <t>Публ.</t>
  </si>
  <si>
    <t>2  Данные мониторинга</t>
  </si>
  <si>
    <t>Реком.</t>
  </si>
  <si>
    <t>Изучение опорных ледников Кыргызстана  и бассейна озера Иссык-Куль</t>
  </si>
  <si>
    <t xml:space="preserve">3 Тренинги и семинары </t>
  </si>
  <si>
    <t>Конф.</t>
  </si>
  <si>
    <t>4  Расширение и модернизация  сети мониторинга(станции)</t>
  </si>
  <si>
    <t xml:space="preserve">Станция </t>
  </si>
  <si>
    <t>Разработка системы мониторинга и базы геоданных опасных природных процессов</t>
  </si>
  <si>
    <t>5-Пополнение базы данных в реальном времени</t>
  </si>
  <si>
    <t>БД</t>
  </si>
  <si>
    <t>Обеспечение книжного фонда для инвалидов по зрению и слуху спецбиблиотеки КОС и КОГ, что позволяет их обучению и трудоустройству.</t>
  </si>
  <si>
    <t>Общий книжный фонд, в т.ч. обеспеченность спецбиблиотеки необходимой литературой по системе Брайля рельефно-точечным шрифтом.</t>
  </si>
  <si>
    <t>шт.         шт.</t>
  </si>
  <si>
    <t>24680   10462</t>
  </si>
  <si>
    <t>26400          10500</t>
  </si>
  <si>
    <t>26500           10500</t>
  </si>
  <si>
    <t>27000    10500</t>
  </si>
  <si>
    <t>27500         10500</t>
  </si>
  <si>
    <t xml:space="preserve">Содержание библиотеки </t>
  </si>
  <si>
    <t>Создание передвижных спецбиблиотек по Кыргызскому обществу слепых и глухих</t>
  </si>
  <si>
    <t xml:space="preserve">шт.        </t>
  </si>
  <si>
    <t>Посещение цифрового зала</t>
  </si>
  <si>
    <t xml:space="preserve">Коммунальные услуги </t>
  </si>
  <si>
    <t xml:space="preserve"> Приобретение тифлосурдосредств инвалидам по зрению и слуху для реабилитации  и интеграции в здоровое общество </t>
  </si>
  <si>
    <t xml:space="preserve">т.шт.        </t>
  </si>
  <si>
    <t>Студия звукозаписи создание  книжного фонда аудио книгами на СД и жестких дисках на кыргызском и русском языках</t>
  </si>
  <si>
    <t>Обеспеченность тифлосурдосредствами -тифлоплеерами инвалидов по зрению и слуху</t>
  </si>
  <si>
    <t>492</t>
  </si>
  <si>
    <t>Занятость инвалидов работой на учебно-производственных предприятиях Кыргызского общества слепых и глухих</t>
  </si>
  <si>
    <t>Рост объемов  производства на учебно-производственных предприятиях Кыргызского общества слепых и глухих к фактически выпущенному объему производства  в 2020 году</t>
  </si>
  <si>
    <t>Возмещение налогов и сборов, НДС по Кыргызскому обществу слепых и глухих 2215</t>
  </si>
  <si>
    <t>Рост среднемесячной оплата труда инвалидов по зрению и слуху  к 2020 году</t>
  </si>
  <si>
    <t>Получение прибыли от производства в учебно-производственных предприятиях Кыргызского общества слепых и глухих</t>
  </si>
  <si>
    <t>Возмещение отчислений в Социальный фонд от работодателя (17,25%) по Кыргызскому обществу слепых и глухих 2121</t>
  </si>
  <si>
    <t>502</t>
  </si>
  <si>
    <t>согласно программы</t>
  </si>
  <si>
    <t>Перевод на государственный язык новых образцов мировой литературы и их издание: произведения лауреатов Нобелевской премии, классическая литература Востока и Запада, лингвистический справочник кыргызского языка</t>
  </si>
  <si>
    <t>1000 экз</t>
  </si>
  <si>
    <t>Выпуск методических изданий по стилистическим нормам и реквизитам деловых бумаг на госязыке</t>
  </si>
  <si>
    <t>500 экз</t>
  </si>
  <si>
    <t>Издание учебно-методической литературы по изучению языка: кыргызский язык для русскоязычных групп, издание на конкурсной основе детской и юношеской литературы на госязыке, литература для детей 5-6 лет, киига Кыргыз эл жомоктору</t>
  </si>
  <si>
    <t>57. Министерство инвестиций Кыргызской Республики</t>
  </si>
  <si>
    <t>572</t>
  </si>
  <si>
    <t>Объем привлеченных прямых иностранных инвестиций ежегодно</t>
  </si>
  <si>
    <t>млн.долл. США</t>
  </si>
  <si>
    <t xml:space="preserve">Планирование политики привлечения прямых иностранных инвестиций и повышение инвестиционной привлекательности </t>
  </si>
  <si>
    <t>Привлечение, продвижение и сопровождение прямых иностранных инвестиций</t>
  </si>
  <si>
    <t>Количество инвестиционных проектов ежегодно</t>
  </si>
  <si>
    <t xml:space="preserve">Темп роста количество инвестиционных проектов </t>
  </si>
  <si>
    <t>Инициирование и координация проектов государственно-частного партнёрства (ГЧП), распространение механизма ГЧП в КР</t>
  </si>
  <si>
    <t>Количество новых проектов ГЧП</t>
  </si>
  <si>
    <t>Привлечение дополнительных средств в фонд финансирования проектов ГЧП ежегодно</t>
  </si>
  <si>
    <t>Повышение эффективности процедур банкротства</t>
  </si>
  <si>
    <t>Рассмотрение заключительных отчетов и подготовка заключении в суды</t>
  </si>
  <si>
    <t>573</t>
  </si>
  <si>
    <t xml:space="preserve">Поступление доходов от управления государственным имуществом </t>
  </si>
  <si>
    <t xml:space="preserve">Управление объектами государственного имущества и систематизированный учет объектов государственной собственности </t>
  </si>
  <si>
    <t>Поступление дивидендов на государственный пакет акций акционерных обществ с государственным участием в республиканский бюджет</t>
  </si>
  <si>
    <t>Поступление чистой прибыли государственных предприятий в республиканский бюджет</t>
  </si>
  <si>
    <t>Поступление средств от приватизации государственного имущества</t>
  </si>
  <si>
    <t>Совершенствование нормативно-правовой базы, регулирующей проведение процедур банкротства и управление государственным имуществом в Кыргызской Республике</t>
  </si>
  <si>
    <t xml:space="preserve">Предоставление государственного имущества в аренду путем проведения электронных аукционов и торгов </t>
  </si>
  <si>
    <t xml:space="preserve">Поступление средств от аренды государственного имущества </t>
  </si>
  <si>
    <t>59. Государственная кадровая служба Кыргызской Республики</t>
  </si>
  <si>
    <t>индекс эффективности исполнения задач</t>
  </si>
  <si>
    <t>Управление администрирование на центральном уровне</t>
  </si>
  <si>
    <t>% исполнения плана ГКС</t>
  </si>
  <si>
    <t>592</t>
  </si>
  <si>
    <t>Совершенствование нормативной  правовой базы в сфере государственной и муниципальной службы</t>
  </si>
  <si>
    <t>Анализ действия нормативно-правовых актов и выработка предложений по совершенствованию</t>
  </si>
  <si>
    <t xml:space="preserve">по факту </t>
  </si>
  <si>
    <t>Экпертиза внутренних и внешних НПА на соответствие законодательству о государственной гражданской службе и муниципальной службе</t>
  </si>
  <si>
    <t>Обеспечение равного доступа при поступлении и прохождении  государственной гражданской службы</t>
  </si>
  <si>
    <t>Доля вакантных административных государственных должностей, замещенных в соответствии с законодательством</t>
  </si>
  <si>
    <t>Доля вакантных административных государственных должностей, замещенных в рамках карьерного продвижения</t>
  </si>
  <si>
    <t>Доля  государственных органов, утвердивших квалификационные требования и должностные инструкции к административным государственным должностям, и своевременное внесение изменений</t>
  </si>
  <si>
    <t>Доля  государственных органов, внедривших систему оценки деятельности служащих</t>
  </si>
  <si>
    <t>х</t>
  </si>
  <si>
    <t xml:space="preserve">Свод и анализ квартальной и годовой статистической информации о качественном составе государственных служащих </t>
  </si>
  <si>
    <t xml:space="preserve">Доля государственных органов, предоставивш. статист. данные </t>
  </si>
  <si>
    <t>Внедрение антикоррупционных мер на государственной гражданской службе</t>
  </si>
  <si>
    <t>Доля государственных органов, в которых действует комиссия по этике</t>
  </si>
  <si>
    <t>Обеспечение равного доступа при поступлении и прохождении  муниципальной службы</t>
  </si>
  <si>
    <t>Доля вакантных административных муниципальных  должностей, замещенных в соответствии с законодательством</t>
  </si>
  <si>
    <t>Доля вакантных административных муниципальных  должностей, замещенных в рамках карьерного продвижения</t>
  </si>
  <si>
    <t>Доля  органов МСУ, утвердивших квалификационные требования и должностные инструкции к административным муниципальным должностям, и своевременное внесение изменений</t>
  </si>
  <si>
    <t>Доля  органов МСУ, применивших систему оценки деятельности служащих</t>
  </si>
  <si>
    <t xml:space="preserve">Доля органов МСУ, предоставивш. статист. данные </t>
  </si>
  <si>
    <t>Доля органов МСУ, в которых действует комиссия по этике</t>
  </si>
  <si>
    <t>Обеспечение объективного и прозрачного компьютерного тестирования на знание законодательства при поступлении и прохождении ГМС</t>
  </si>
  <si>
    <t xml:space="preserve">Доля участников  тестирования  удовлетворенных системой тестирования </t>
  </si>
  <si>
    <t>Внедрение (анализ, поддержка и сопрвождение)  информационной системы управления человеческими ресурсами в сфере государственной гражданской службы и муниципальной службы КР</t>
  </si>
  <si>
    <t>Карьерное планирование</t>
  </si>
  <si>
    <t>% обеспечения кадровым резервом государственной службы на замещение выших адм.должностей (соотношение количества резевистов/ общему числу высших административных должностей</t>
  </si>
  <si>
    <t>% обеспечения кадровым резервом государственной службы на замещение главных должн (соотношение количества резевистов/ общему числу высших административных должностей</t>
  </si>
  <si>
    <t>Реализация Госзаказа на обучение  государственных и муниципальных служащих за счет средств госбюджета</t>
  </si>
  <si>
    <t>% охвата государственных служащих для обучения(соотношение запланированного количества к общему числу государственных служащих)</t>
  </si>
  <si>
    <t xml:space="preserve">% </t>
  </si>
  <si>
    <t>Мониторинг соблюдения законодательства в сфере государственной гражданской службы и муниципальной службы</t>
  </si>
  <si>
    <t>Доля государственных органов и органов МСУ, где проведен мониторинг, согласно утвержденному плану</t>
  </si>
  <si>
    <t>Доля рассмотренных жалоб и заявлений, от числа поступивших</t>
  </si>
  <si>
    <t>Реализация Национальных (государственных) программ в сфере государственной и муниципальной службы</t>
  </si>
  <si>
    <t>Доля реализованных мероприятий национальных (государственных) программ(НПА) в сфере государственной и муниципальной службы</t>
  </si>
  <si>
    <t>Координация деяательности ГКС по реализации государственной политики в сфере предупреждения коррупции</t>
  </si>
  <si>
    <t>Доля исполненных мероприятий Плана по противодействию коррупции</t>
  </si>
  <si>
    <t>Реализация кадровой политики на территориальном уровне (ЦТП,ЮТП,СТП)</t>
  </si>
  <si>
    <t>Доля органов МСУ, где проведен мониторинг, согласно утвержденному плану</t>
  </si>
  <si>
    <t>Доля проведенных обучающих и практических семинаров от числа запланированных</t>
  </si>
  <si>
    <t>Доля расммотренных жалоб и заявлений от числа поступивших</t>
  </si>
  <si>
    <t>Управление администрирование отрасли на центральном уровне</t>
  </si>
  <si>
    <t>602</t>
  </si>
  <si>
    <t>Разработка Генеральной схемы Иссык-Кульской курортно-рекрационной зоны</t>
  </si>
  <si>
    <t>Создание условий для устойчивого  развития питьевого водоснабжения и водоотведения населенных пунктов</t>
  </si>
  <si>
    <t>201</t>
  </si>
  <si>
    <t>64. Государственная комиссия по делам религий Кыргызской Республики</t>
  </si>
  <si>
    <t>Проведение систематических профилактических мероприятий по вопросам предупреждения дискриминации, экстремизма и конфликтов на религиозной почве в регионах с участием местного сообщества</t>
  </si>
  <si>
    <t>Проведение систематических профилактических мероприятий для представителей религиозных организаций и местного сообщества по вопросам здравоохранения (охрана материнства и здоровья семьи, вакцинация и др.), предупреждения насилия в семье и ранних браков</t>
  </si>
  <si>
    <t>Проведение мониторинга деятельности религиозных учебных заведений (медресе, воскресные школы, семинарии и др.) на предмет соответствия учебно-методическим и техническим требованиям</t>
  </si>
  <si>
    <t>65. Государственный комитет по экологии и климату Кыргызской Республики</t>
  </si>
  <si>
    <t xml:space="preserve">Управление и администрирование                                                                                                        </t>
  </si>
  <si>
    <t>16,3</t>
  </si>
  <si>
    <t>17,3</t>
  </si>
  <si>
    <t>21</t>
  </si>
  <si>
    <t xml:space="preserve">Администрирование на региональном уровне
</t>
  </si>
  <si>
    <t>652</t>
  </si>
  <si>
    <t>Обеспечение экологического контроля, безопасности, мониторинга и развитие гидрометеослужбы</t>
  </si>
  <si>
    <t xml:space="preserve">Позиция Кыргызской Республики в рейтинге «Индекс экологической эффективности» </t>
  </si>
  <si>
    <t>Цель программы: Предотвращение воздействия возможных негативных последствий от хозяйственной и иной деятельности на здоровье населения и окружающую среду, в том числе с учетом изменения климата в Кыргызской Республике</t>
  </si>
  <si>
    <t>Осуществление надзора и контроля охраны окружающей среды и рациональное использование природных ресурсов</t>
  </si>
  <si>
    <t>Количество приведенных в нормативное состояние обьектов размещения отходов</t>
  </si>
  <si>
    <t>Количество измененных категорий земель под свалками и полигонами</t>
  </si>
  <si>
    <t>Количество приведенных в нормативное состояние обьектов в области радиационной безопасности</t>
  </si>
  <si>
    <t xml:space="preserve">Координация деятельности по химической, биологической, радиационной и ядерной безопасности
</t>
  </si>
  <si>
    <t>Снижение рисков для окружающей среды и здоровья населения от опасных, токсичных химических веществ и источников ионизирующего излучения</t>
  </si>
  <si>
    <t>Соотношение  заявлений на выдачу лицензий и выданные лицензии.</t>
  </si>
  <si>
    <t>Соотношение заявлений на экспертное заключение к выданным экспертным заключениям на ввоз/вывоз товаров двойного назначения</t>
  </si>
  <si>
    <t>Развитие системы мониторинга за состоянием окружающей среды</t>
  </si>
  <si>
    <t>Количество отобранных проб на качество компонентов окружающей среды</t>
  </si>
  <si>
    <t>Количество проведенных лабораторных исследований.</t>
  </si>
  <si>
    <t xml:space="preserve">Количество проведенных исследований на качество радиационного фона </t>
  </si>
  <si>
    <t>Выпуск всех видов прогнозов, предоставление специализированной гидрометеорологической информации и информации о загрязнении окружающей среды</t>
  </si>
  <si>
    <t>Увеличения заблаговременности выпускаемых гидрометеорологических прогнозов</t>
  </si>
  <si>
    <t>сутки</t>
  </si>
  <si>
    <t>653</t>
  </si>
  <si>
    <t>Доля особо охраняемых природных территорий к общей площади страны</t>
  </si>
  <si>
    <t>Координация деятельности ООПТ и пропаганда вопросов по сохранению экосистем, мероприятия по сохранению биразнообразия на территории ООПТ, а также проведение научной деятельности, сохранение и воспроизводство обьектов биоразнообразия</t>
  </si>
  <si>
    <t>Площадь особо охраняемых природных территорий</t>
  </si>
  <si>
    <t>тыс. га</t>
  </si>
  <si>
    <t>Количество устроенных солонцов для диких животных в ООПТ</t>
  </si>
  <si>
    <t xml:space="preserve">Количество проведенных научных работ </t>
  </si>
  <si>
    <t xml:space="preserve">Количество мероприятий по выявлению и предотвращению распространения заболеваний диких животных. </t>
  </si>
  <si>
    <t>Количество установленных информационных  аншлагов и панно за год/всего. Для информированности местного населения, в целях предупреждения и минимизации фактов нарушений природоохранного законодательства</t>
  </si>
  <si>
    <t>17/34</t>
  </si>
  <si>
    <t>18/52</t>
  </si>
  <si>
    <t>18/70</t>
  </si>
  <si>
    <t>20/90</t>
  </si>
  <si>
    <t>Количество выданных государственных охотничьих удостоверений, Для упорядочения количества охотников с ведением базы данных охотников в республике</t>
  </si>
  <si>
    <t>662</t>
  </si>
  <si>
    <t>Защита и представление прав и интересов Кабинета Министров Кыргызской Республики, а также интересов Кыргызской Республики в международных и местных судебных органах</t>
  </si>
  <si>
    <t>по факту</t>
  </si>
  <si>
    <t>Принятие участие в международных и местных судах для наиболее благоприятного разрешения споров</t>
  </si>
  <si>
    <t>Количество выигранных судебных дел</t>
  </si>
  <si>
    <t>68. Секретариат Национальной комиссии Кыргызской Республики по делам ЮНЕСКО</t>
  </si>
  <si>
    <t>69. Министерство цифрового развития Кыргызской Республики</t>
  </si>
  <si>
    <t>Отношение текущих расходов по Программе 1 к сумме текущих расходов по другим программам</t>
  </si>
  <si>
    <t>Количество функционирующих информационных систем, порталов</t>
  </si>
  <si>
    <t>Создание, модернизация, эксплуатация и техническая поддержка информационных систем</t>
  </si>
  <si>
    <t>Количество управленческих процессов государственных органов модернизированных путем цифровой трансформации</t>
  </si>
  <si>
    <t>Средний охват услугами связи (сотовая) населенных пунктов Кыргызстана %</t>
  </si>
  <si>
    <t>Осуществление регулирования в области электрической и почтовой связи</t>
  </si>
  <si>
    <t>Количество лицензиатов в области электрической и почтовой связи</t>
  </si>
  <si>
    <t>330</t>
  </si>
  <si>
    <t>335</t>
  </si>
  <si>
    <t>340</t>
  </si>
  <si>
    <t>Выдача сертификатов соответствия на оборудование и услуги связи</t>
  </si>
  <si>
    <t>Количество выданных сертификатов соответствия за год</t>
  </si>
  <si>
    <t>Подбор радиочастот доступных к выделению</t>
  </si>
  <si>
    <t>Количество подобранных запросов на получение информации по подбору радиочастот доступных к выделению</t>
  </si>
  <si>
    <t>Регистрация населения и актов гражданского состояния</t>
  </si>
  <si>
    <t>Индикатор результативности</t>
  </si>
  <si>
    <t>Регистрация населения</t>
  </si>
  <si>
    <t>Кол-во персонифицированных паспортов</t>
  </si>
  <si>
    <t>тыс. шт.</t>
  </si>
  <si>
    <t>Регистрация актов гражданского состояния</t>
  </si>
  <si>
    <t>Количество зарегистрированных актов гражданского состояния</t>
  </si>
  <si>
    <t>Регистрация транспортных средств и водительского состава</t>
  </si>
  <si>
    <t>Регистрация транспортных средств</t>
  </si>
  <si>
    <t>Зарегистрировано транспортных средств</t>
  </si>
  <si>
    <t>Регистрация водительского состава</t>
  </si>
  <si>
    <t>Выдано водительских удостоверений</t>
  </si>
  <si>
    <t>Обеспечение сохранности документов архивного фонда КР</t>
  </si>
  <si>
    <t>Формирование, комплектование, сохранение и использование Национального архивного фонда КР в интересах государства и общества</t>
  </si>
  <si>
    <t>ед. хранения</t>
  </si>
  <si>
    <t>Повышение качества и безопасности при хранении архивных документов</t>
  </si>
  <si>
    <t>Прием и хранение архивных документов. Закартанировано документов</t>
  </si>
  <si>
    <t>ед.хранения</t>
  </si>
  <si>
    <t>Оцифровка архивных документов</t>
  </si>
  <si>
    <t>Оцифровано документов</t>
  </si>
  <si>
    <t>70. Национальный институт стратегических исследований Кыргызской Республики</t>
  </si>
  <si>
    <t>Процент исполнения индикаторов результативности программ НИСИ КР</t>
  </si>
  <si>
    <t xml:space="preserve">Аналитическая,научная и информационная поддержка деятельности высших органов власти </t>
  </si>
  <si>
    <t>Количество исследовательских продуктов (отчеты,аналитические записки,справки,рекомендации,статьи,доклады(тезисы к докладам) методические вклады и.т.д.)в области  социально экономической сферы, внутренней и внешней политики</t>
  </si>
  <si>
    <t>Проведение исследований в приоритетных  сферах экономики, внутренней и внешной политики</t>
  </si>
  <si>
    <r>
      <t xml:space="preserve">Управление и администрирование                                                                                                                              
</t>
    </r>
    <r>
      <rPr>
        <i/>
        <sz val="14"/>
        <color theme="1"/>
        <rFont val="Times New Roman"/>
        <family val="1"/>
        <charset val="204"/>
      </rPr>
      <t/>
    </r>
  </si>
  <si>
    <t>Эффективное использование бюджетных средств</t>
  </si>
  <si>
    <t xml:space="preserve">Управление и администрирование отрасли на центральном уровне. </t>
  </si>
  <si>
    <t>712</t>
  </si>
  <si>
    <t>Противодействие финансированию террористической деятельности и легализации (отмыванию) преступных доходов.</t>
  </si>
  <si>
    <t>Сумма возмещенного ущерба в бюджет государства</t>
  </si>
  <si>
    <t>Оценка рисков и отраслевая политика.</t>
  </si>
  <si>
    <t>Количество разработанных типологий (схем) финансирования террористической деятельности и легализации (отмывания) преступных доходов.</t>
  </si>
  <si>
    <t>Количество сформированных и направленных обобщенных материалов и информации в компетентные органы.</t>
  </si>
  <si>
    <t>Проведение оперативного и стратегического анализа и применение целевых финансовых санкций.</t>
  </si>
  <si>
    <t xml:space="preserve">Количество обработанных сообщений о подозрительных операциях                                                </t>
  </si>
  <si>
    <t>тыс.шт</t>
  </si>
  <si>
    <t>Количество полученных и обработанных запросов из правоохранительных органов</t>
  </si>
  <si>
    <t>Количество сформированных и направленных обобщенных материалов и информации в компетентные органы</t>
  </si>
  <si>
    <t>Осуществление междунаровного сотрудничества.</t>
  </si>
  <si>
    <t xml:space="preserve">Количество обработанных международных запросов. </t>
  </si>
  <si>
    <t>74. Национальный статистический комитет Кыргызской Республики</t>
  </si>
  <si>
    <t>Индекс доверия населения                (в разрезе министерств)</t>
  </si>
  <si>
    <t>Управление и администрирование отрасли на центральном уровне.</t>
  </si>
  <si>
    <t>Управление и администрироование отрасли на территориальном уровне.</t>
  </si>
  <si>
    <t>Индекс  удовлетворенности  пользователей к официальной статистической информации</t>
  </si>
  <si>
    <t>Сбор и техническая обработка статистических показателей (ЦИД НСК КР)</t>
  </si>
  <si>
    <t>тыс. ед.</t>
  </si>
  <si>
    <t>Доля вновь созданных хозяйствующих субъектов к общему числу хозяйствующих субъектов включенных в базу данных в ЕГРСЕ</t>
  </si>
  <si>
    <t>Подготовка и проведение государственных статистических переписей</t>
  </si>
  <si>
    <t>Количество собираемой информации (субъектов переписи)</t>
  </si>
  <si>
    <t>числен. населен.тыс. ед.</t>
  </si>
  <si>
    <t>Внедрение новых современных методов статистического наблюдения для сбора статистической информации</t>
  </si>
  <si>
    <t>Совершенствование методики сбора, обработки и анализа статистической информации</t>
  </si>
  <si>
    <t>Доля новых методик, внедренных в повседневную работу стат.органов от общего количества разработанных методик и предложений</t>
  </si>
  <si>
    <t>Повышение квалификации  работников статистических органов</t>
  </si>
  <si>
    <t>Модернизация национальной статистической системы</t>
  </si>
  <si>
    <t>Улучшения подготовки специалистов в области статистики  и обновления системы, обновление базовой ИТ-инфраструктуры аппаратного и программного обеспечения.</t>
  </si>
  <si>
    <t>__</t>
  </si>
  <si>
    <t xml:space="preserve">Процент исполнения бюджета без нарушений/организация кадрового учета с проведением без нарушений процедур по приему/перемещению/увольнению сотрудников/процент рассмотрения в установленные сроки поданных апелляций на решения Президиума ВАК </t>
  </si>
  <si>
    <t xml:space="preserve">Доля выигранных судебных процессов по трудовым спорам/организация кадрового учета с проведением без нарушений процедур по приему/перемещению/увольнению сотрудников </t>
  </si>
  <si>
    <t xml:space="preserve">Отношение выигранных судебных дел к их общему количеству/процент рассмотрения в установленные сроки поданных апелляций на решения Президиума ВАК </t>
  </si>
  <si>
    <t>ед/ед  %</t>
  </si>
  <si>
    <t>1 --1</t>
  </si>
  <si>
    <t>1 --1 100%</t>
  </si>
  <si>
    <t>772</t>
  </si>
  <si>
    <t xml:space="preserve">Организация работы диссертационных и экспертных советов, присуждение ученых степеней, присвоение ученых званий </t>
  </si>
  <si>
    <t>Отношение количества рассмотренных в срок диссертационных работ и аттестационных дел к общему количеству поступивших дел</t>
  </si>
  <si>
    <t>Подготовка и заключение международных договоров по вопросам аттестации научных и научно-педагогических кадров.</t>
  </si>
  <si>
    <t>Количество заключенных международных договоров</t>
  </si>
  <si>
    <t>ЕИ/%</t>
  </si>
  <si>
    <t>3000 /100</t>
  </si>
  <si>
    <t>79. Секретариат Совета безопасности Кыргызской Республики</t>
  </si>
  <si>
    <t>Секретариат Совета безопасности КР</t>
  </si>
  <si>
    <t>Обеспечение деятельности Совета безопасности КР по проведению единой государственной политики в сфере обеспечения национальной безопасности</t>
  </si>
  <si>
    <t>Количество вопросов рассмотренных на заседании Совета безопасности КР</t>
  </si>
  <si>
    <t>Количество двухстрононних и многосторонних встреч в рамках сотрудничества со странами ШОС, ОДКБ и СНГ</t>
  </si>
  <si>
    <t>80. Национальная академия наук Кыргызской Республики</t>
  </si>
  <si>
    <t>Управление и администрирование  на центральном уровне</t>
  </si>
  <si>
    <t xml:space="preserve">Управление и администрирование на региональном уровне </t>
  </si>
  <si>
    <t>802</t>
  </si>
  <si>
    <t>Развитие физико-технических, математических и горно-геологических исследований</t>
  </si>
  <si>
    <t>Внедрение технологических разработок в производство</t>
  </si>
  <si>
    <t xml:space="preserve">Количество проведенных землетрясений </t>
  </si>
  <si>
    <t>Изучение водных ресурсов и создание методов и средств контроля управления водными ресурсами. Научные основы рационального освоения гидроэнергетических ресурсов р.Сары-Джаз</t>
  </si>
  <si>
    <t>Количество проведенных экспертиз по расчету гидроэнергетического потенциала с учетом изменения климата для различных сценариев по отдельным рекам</t>
  </si>
  <si>
    <t xml:space="preserve">Разработка автоматизированной системы мониторинга оборудования высоковольтных энергетических объектов. Исследование и разработка структур и методов </t>
  </si>
  <si>
    <t>Количество полученных патентов на разработанные  методы и средства контроля состояния геоэкосферы. Обработка аэрокосмической информации для конкретных народнохозяйственных задач</t>
  </si>
  <si>
    <t>Количество внедрений геологические карты</t>
  </si>
  <si>
    <t>803</t>
  </si>
  <si>
    <t>Развитие химико-технологических, медико-биологических и сельскохозяйственных исследований</t>
  </si>
  <si>
    <t xml:space="preserve">Количество лабораторных исследований </t>
  </si>
  <si>
    <t>Количество реализованной продукции (посадочный материал, эфирные масла) / Пополнение коллекционного гербарного фонда</t>
  </si>
  <si>
    <t>Проведение биоаттестации коров. Пополнение коллекционных фондов.</t>
  </si>
  <si>
    <t xml:space="preserve">Разработка инновационных технологий комплексной переработки минерального и органического сырья; поиск средств оптимизации адаптационных возможностей и повышения качества жизни населения гор </t>
  </si>
  <si>
    <t>Количество проведенных госэкспертиз и международных региональных проектов по разработке нового способа активизации карбонизатов (угля-сырца) с получением активированного угля, получению топливных брикетов из рисовой шелухи</t>
  </si>
  <si>
    <t>Развитие гуманитарных исследований</t>
  </si>
  <si>
    <t>Публикации (статьи, монографии, учебные пособии)</t>
  </si>
  <si>
    <t>Изучение истории кыргызов и Кыргызстана с древности до современности; проблемыизучения,использования культурного наследия Кыргызстана Особенности развития и проблемы совершенствования рыночных институтов Кыргызской Республики</t>
  </si>
  <si>
    <t>Проведение госэкспертиз законов, нормативных актов</t>
  </si>
  <si>
    <t>Исследование вопросов методологии наук и  проведение социологических исследований в горных районах. Развитие гуманитарных исследований</t>
  </si>
  <si>
    <t>Исследование региональных историко-философских, этно-лингвистических и социально-экономических проблем</t>
  </si>
  <si>
    <t>Количество проведенных научных конференций и мероприятий , гос экспертиз</t>
  </si>
  <si>
    <t>812</t>
  </si>
  <si>
    <t>Число пролеченных больных</t>
  </si>
  <si>
    <t>Оптимизация системы предоставления медицинских услуг, оказываемых КБ УД П КР.</t>
  </si>
  <si>
    <t>82. Национальный центр Кыргызской Республики по предупреждению пыток  и  других  жестоких,   бесчеловечных  или  унижающих  достоинство  видов обращения и наказания</t>
  </si>
  <si>
    <t>Администрирова-ние на региональном уровне</t>
  </si>
  <si>
    <t>Обеспечение мониторинга, анализа и стратегического планирования</t>
  </si>
  <si>
    <t>Доля результатов мониторинга принятых к исполнению в официальных внутренних документах от общего количества результатов мониторинга</t>
  </si>
  <si>
    <t>Процентное соотношение количества превентивных посещений в регионах к посещениям в ЦА Национального центра</t>
  </si>
  <si>
    <t>Динамика снижения (увеличения) фактов пыток в местах лишения и ограничения свободы, детских учреждениях и психоневрологических диспансерах</t>
  </si>
  <si>
    <t>Формирование в обществе нетерпимости к пыткам и жестокому обращению</t>
  </si>
  <si>
    <t>Количество проведенных мероприятий (круглых столов, семинаров, тренингов)</t>
  </si>
  <si>
    <t>Обеспечение законных прав в местах лишения и ограничения свободы</t>
  </si>
  <si>
    <t>Содействие улучшению условий содержания в местах лишения и ограничения свободы, детских учреждениях и психоневрологических диспансерах</t>
  </si>
  <si>
    <t>Обеспечение проведения регулярных превентивных посещений мест лишения и ограничения свободы, детских учреждений и психоневрологических диспансеров</t>
  </si>
  <si>
    <t>Общее количество превентивных посещений по республике по сообщениям, заявлениям</t>
  </si>
  <si>
    <t>Из них количество превентивных посещений согласно ежегодному плану Национального центра</t>
  </si>
  <si>
    <t>Мониторинг и анализ исполнения КР требований международных конвенций в области искоренения пыток и жесткого обращения</t>
  </si>
  <si>
    <t>Процент исполнения требований международных договоров в области предупреждения пыток</t>
  </si>
  <si>
    <t>852</t>
  </si>
  <si>
    <t>Создание программ ТВ</t>
  </si>
  <si>
    <t>Объем вещания</t>
  </si>
  <si>
    <t>час</t>
  </si>
  <si>
    <t>Качество оказываемых технических услуг</t>
  </si>
  <si>
    <t>853</t>
  </si>
  <si>
    <t>Создание программ РВ</t>
  </si>
  <si>
    <t>Распространение РВ программ на всю республику</t>
  </si>
  <si>
    <t>Охват населения</t>
  </si>
  <si>
    <t>Техническое обеспечение РВ  программ     (РРТЦ)</t>
  </si>
  <si>
    <t>854</t>
  </si>
  <si>
    <t xml:space="preserve">Производство художественных,  хроникально-документальных телефильмов, телепередач                    </t>
  </si>
  <si>
    <t>Количество фильмов, телепередач</t>
  </si>
  <si>
    <t xml:space="preserve">Управление и адмнистрирование отрасли на центральном уровне </t>
  </si>
  <si>
    <t>855</t>
  </si>
  <si>
    <t>Индикатор результативности: Охват телевещанием в % от общего числа населения</t>
  </si>
  <si>
    <t>Производство и выпуск в эфир телерадиопрограмм</t>
  </si>
  <si>
    <t>Рейтинг телепрограмм</t>
  </si>
  <si>
    <t>Техническое обеспечение телевещания</t>
  </si>
  <si>
    <t>Удельный вес территории КР, охваченной телевещанием</t>
  </si>
  <si>
    <t>Охват ТВ и РВ вещанием населения КР</t>
  </si>
  <si>
    <t>Организация деятельности службы обеспечения</t>
  </si>
  <si>
    <t>Производство телевизионных и радио программи их распространение</t>
  </si>
  <si>
    <t>541ч06м20</t>
  </si>
  <si>
    <t>Создание ТВ программ</t>
  </si>
  <si>
    <t>41ч46м20с</t>
  </si>
  <si>
    <t>Создание РВ программ</t>
  </si>
  <si>
    <t>Техническое обеспечение и распространение ТВ и РВ программ</t>
  </si>
  <si>
    <t>856</t>
  </si>
  <si>
    <t>Создание и распространени ТВ И РВ программ</t>
  </si>
  <si>
    <t>Создание и распространени ТВ И РВ программ и их техническое обеспечение</t>
  </si>
  <si>
    <t>872</t>
  </si>
  <si>
    <t>Создание и введение в Кыргызской Республике системы Кыргызтест - как единого измерительного инструмента по определению уровня владения государственным, официальным и международным языками</t>
  </si>
  <si>
    <t>Проведение тестирования  по республике</t>
  </si>
  <si>
    <t>Количество протестированных</t>
  </si>
  <si>
    <t>Разработка и изданий нормативно-методических документов по оценке уровня владения официальным языком</t>
  </si>
  <si>
    <t>Разработка тестовых заданий и экспертиза по государственному и официальным языкам</t>
  </si>
  <si>
    <t>Разработка электронного учебника по государственному языку</t>
  </si>
  <si>
    <t>Количество наименований учебников</t>
  </si>
  <si>
    <t>Разработано программное обеспечение системы оценки уровня владения государственным, официальным языками (части)</t>
  </si>
  <si>
    <t>часть</t>
  </si>
  <si>
    <t>Применение Интернет-ресурсов для пробного тестирования  владения государственным, официальным языками</t>
  </si>
  <si>
    <t>Обеспечение финансового менеджмента и  учета</t>
  </si>
  <si>
    <t>882</t>
  </si>
  <si>
    <t>Бюджеты министерств и ведомств на программной основе</t>
  </si>
  <si>
    <r>
      <t xml:space="preserve">Управление и администрирование                                                                                                                              
</t>
    </r>
    <r>
      <rPr>
        <i/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</si>
  <si>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r>
      <t xml:space="preserve">Прогнозирование опасных природных процессов и явлений 
</t>
    </r>
    <r>
      <rPr>
        <i/>
        <sz val="11"/>
        <rFont val="Times New Roman"/>
        <family val="1"/>
        <charset val="204"/>
      </rPr>
      <t>Цель программы: Совершенствование оценки рисков и раннего предупреждения чрезвычайных ситуаций в Кыргызкой Республике</t>
    </r>
  </si>
  <si>
    <r>
      <t xml:space="preserve">Предупреждение и ликвидация ЧС
</t>
    </r>
    <r>
      <rPr>
        <i/>
        <sz val="11"/>
        <rFont val="Times New Roman"/>
        <family val="1"/>
        <charset val="204"/>
      </rPr>
      <t>Цель программы: Минимизация рисков и негативных последствий чрезвычайных ситуаций с помощью проведения плановых превентивных и защитных мероприятий.Своевременное реагирование на чрезвычайные ситуации, проведение поисковых, аварийно-спасательных работ по ликвидации последствий ЧС.</t>
    </r>
  </si>
  <si>
    <r>
      <t xml:space="preserve">Подготовка органов самоуправления, сил Гражданской защиты и населения к действиям в чрезвычайных ситуациях.
</t>
    </r>
    <r>
      <rPr>
        <i/>
        <sz val="11"/>
        <rFont val="Times New Roman"/>
        <family val="1"/>
        <charset val="204"/>
      </rPr>
      <t>Цель программы: Минимизация рисков и негативных последствий чрезвычайных ситуаций за счет повышения уровня осведомленности и подготовки органов управления, сил Гражданской защиты и населения.</t>
    </r>
  </si>
  <si>
    <r>
      <rPr>
        <b/>
        <sz val="11"/>
        <color theme="1"/>
        <rFont val="Times New Roman"/>
        <family val="1"/>
        <charset val="204"/>
      </rPr>
      <t xml:space="preserve">Индикатор результативности </t>
    </r>
    <r>
      <rPr>
        <sz val="11"/>
        <color theme="1"/>
        <rFont val="Times New Roman"/>
        <family val="1"/>
        <charset val="204"/>
      </rPr>
      <t>(</t>
    </r>
    <r>
      <rPr>
        <i/>
        <sz val="11"/>
        <color indexed="8"/>
        <rFont val="Times New Roman"/>
        <family val="1"/>
        <charset val="204"/>
      </rPr>
      <t>целевой индикатор по Программе</t>
    </r>
    <r>
      <rPr>
        <sz val="11"/>
        <color indexed="8"/>
        <rFont val="Times New Roman"/>
        <family val="1"/>
        <charset val="204"/>
      </rPr>
      <t>)</t>
    </r>
  </si>
  <si>
    <r>
      <t xml:space="preserve">Обеспечение равных прав и возможностей в обществе для инвалидов по зрению и слуху.               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 : Социальная реабилитация лиц с ограниченными возможностями здоровья</t>
    </r>
  </si>
  <si>
    <r>
      <rPr>
        <b/>
        <sz val="11"/>
        <color theme="1"/>
        <rFont val="Times New Roman"/>
        <family val="1"/>
        <charset val="204"/>
      </rPr>
      <t xml:space="preserve">Социальная защита работающих инвалидов по зрению и слуху.                  </t>
    </r>
    <r>
      <rPr>
        <sz val="11"/>
        <color theme="1"/>
        <rFont val="Times New Roman"/>
        <family val="1"/>
        <charset val="204"/>
      </rPr>
      <t xml:space="preserve">                                        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 : Приобщение к труду, создание благоприятных условий</t>
    </r>
  </si>
  <si>
    <r>
      <t xml:space="preserve">Привлечение прямых иностранных инвестиций в республику
</t>
    </r>
    <r>
      <rPr>
        <i/>
        <sz val="11"/>
        <rFont val="Times New Roman"/>
        <family val="1"/>
        <charset val="204"/>
      </rPr>
      <t xml:space="preserve">Цель программы: Способствовать улучшению инвестиционного климата страны, создание благоприятных условий для привлечения зарубежных инвестиций </t>
    </r>
  </si>
  <si>
    <r>
      <t xml:space="preserve">Управление и администрирование                                                                                                                              
</t>
    </r>
    <r>
      <rPr>
        <i/>
        <sz val="11"/>
        <color theme="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</si>
  <si>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r>
      <t xml:space="preserve">Совершенствование государственной кадровой политики
</t>
    </r>
    <r>
      <rPr>
        <i/>
        <sz val="11"/>
        <color theme="1"/>
        <rFont val="Times New Roman"/>
        <family val="1"/>
        <charset val="204"/>
      </rPr>
      <t>Цель программы:Разработка , реализация и обеспечение устойчивого функционирования единой государственной кадровой политики в государственных органах и органах МСУ</t>
    </r>
  </si>
  <si>
    <r>
      <t xml:space="preserve">Управление и администрирование    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программ, включенных в данную стратегию.</t>
    </r>
    <r>
      <rPr>
        <sz val="11"/>
        <color theme="1"/>
        <rFont val="Times New Roman"/>
        <family val="1"/>
        <charset val="204"/>
      </rPr>
      <t xml:space="preserve">
</t>
    </r>
  </si>
  <si>
    <r>
      <t xml:space="preserve">Управление и администрирование
</t>
    </r>
    <r>
      <rPr>
        <i/>
        <sz val="11"/>
        <rFont val="Times New Roman"/>
        <family val="1"/>
        <charset val="204"/>
      </rPr>
      <t>Цель программы: Координирующая и организационное воздействие на реализацию других программ</t>
    </r>
  </si>
  <si>
    <r>
      <t xml:space="preserve">Развитие инфраструктуры электронного управления и электронных услуг
</t>
    </r>
    <r>
      <rPr>
        <i/>
        <sz val="11"/>
        <color theme="1"/>
        <rFont val="Times New Roman"/>
        <family val="1"/>
        <charset val="204"/>
      </rPr>
      <t>Цель программы: Развитие электронного управления, внедрение электронных государственных услуг</t>
    </r>
  </si>
  <si>
    <r>
      <t xml:space="preserve">Развитие электрической и почтовой связи
</t>
    </r>
    <r>
      <rPr>
        <i/>
        <sz val="11"/>
        <color theme="1"/>
        <rFont val="Times New Roman"/>
        <family val="1"/>
        <charset val="204"/>
      </rPr>
      <t>Цель программы: Построение современной высокотехнологичной и конкурентоспособной Национальной сети передачи данных и интеграция Национальной сети в общемировое информационное пространство</t>
    </r>
  </si>
  <si>
    <r>
      <t xml:space="preserve">Управление и администрирование                                                                                                                              
</t>
    </r>
    <r>
      <rPr>
        <i/>
        <sz val="11"/>
        <color indexed="8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</si>
  <si>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r>
      <t xml:space="preserve">Обеспечение качественного и достоверного статистического учета
</t>
    </r>
    <r>
      <rPr>
        <i/>
        <sz val="11"/>
        <color indexed="8"/>
        <rFont val="Times New Roman"/>
        <family val="1"/>
        <charset val="204"/>
      </rPr>
      <t>Цель программы: Высокий уровень доступности и  достоверности предоставляемой статистической и аналитической информации</t>
    </r>
  </si>
  <si>
    <r>
      <rPr>
        <b/>
        <sz val="11"/>
        <color indexed="8"/>
        <rFont val="Times New Roman"/>
        <family val="1"/>
        <charset val="204"/>
      </rPr>
      <t>Разработка, совершенствование и внедрение научно-обоснованной методологии в области статистики</t>
    </r>
    <r>
      <rPr>
        <sz val="11"/>
        <color indexed="8"/>
        <rFont val="Times New Roman"/>
        <family val="1"/>
        <charset val="204"/>
      </rPr>
      <t xml:space="preserve">
</t>
    </r>
    <r>
      <rPr>
        <i/>
        <sz val="11"/>
        <color indexed="8"/>
        <rFont val="Times New Roman"/>
        <family val="1"/>
        <charset val="204"/>
      </rPr>
      <t>Цель программы: Высокий уровень качества статистической информации</t>
    </r>
  </si>
  <si>
    <r>
      <t>Повышение эффективности национальной статистической системы, институциональные реформы и наращивание потенциала в области статистической системы</t>
    </r>
    <r>
      <rPr>
        <sz val="11"/>
        <color indexed="8"/>
        <rFont val="Times New Roman"/>
        <family val="1"/>
        <charset val="204"/>
      </rPr>
      <t>.</t>
    </r>
  </si>
  <si>
    <r>
      <t xml:space="preserve">Планирование, управление и администрирование                                                                                                                              
</t>
    </r>
    <r>
      <rPr>
        <i/>
        <sz val="11"/>
        <color indexed="8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</si>
  <si>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r>
      <t xml:space="preserve">Содействие улучшению качественного состава научных и научно-педагогических кадров, повышению эффективности их подготовки
</t>
    </r>
    <r>
      <rPr>
        <i/>
        <sz val="11"/>
        <color indexed="8"/>
        <rFont val="Times New Roman"/>
        <family val="1"/>
        <charset val="204"/>
      </rPr>
      <t>Цель программы: Обеспечение контроля за научным уровнем диссертаций, их научной и практической ценностью, единством требований при аттестации научных и научно-педагогических кадров высшей квалификации</t>
    </r>
  </si>
  <si>
    <r>
      <rPr>
        <b/>
        <sz val="11"/>
        <color indexed="8"/>
        <rFont val="Times New Roman"/>
        <family val="1"/>
        <charset val="204"/>
      </rPr>
      <t xml:space="preserve">Процент решений Президиума ВАК на заключения эекпертных советов и выданных дипломов на положительные решения  </t>
    </r>
    <r>
      <rPr>
        <i/>
        <sz val="9"/>
        <color indexed="8"/>
        <rFont val="Arial"/>
        <family val="2"/>
        <charset val="204"/>
      </rPr>
      <t/>
    </r>
  </si>
  <si>
    <r>
      <t xml:space="preserve">Предупреждение пыток и жестокого обращения в местах лишения и ограничения свободы
</t>
    </r>
    <r>
      <rPr>
        <i/>
        <sz val="11"/>
        <color rgb="FF000000"/>
        <rFont val="Times New Roman"/>
        <family val="1"/>
        <charset val="204"/>
      </rPr>
      <t>Цель программы: Искоренение пыток и жестокого обращения, угрозы их применения  в местах лишения и ограничения свободы, детских учреждениях и психоневрологических диспансерах и т. д.</t>
    </r>
  </si>
  <si>
    <r>
      <t xml:space="preserve">Координирование, создание программ ТВ                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Качественное и доступное получение информации по ТВ</t>
    </r>
  </si>
  <si>
    <r>
      <t xml:space="preserve">Программирование, создание программ РВ   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Качественное и доступное получение информации по РВ</t>
    </r>
  </si>
  <si>
    <r>
      <t xml:space="preserve">Производство ТВ фильмов                                                               </t>
    </r>
    <r>
      <rPr>
        <i/>
        <sz val="11"/>
        <color theme="1"/>
        <rFont val="Times New Roman"/>
        <family val="1"/>
        <charset val="204"/>
      </rPr>
      <t xml:space="preserve">Цель программы: Просвещение, программа зретелей    </t>
    </r>
    <r>
      <rPr>
        <b/>
        <sz val="11"/>
        <color theme="1"/>
        <rFont val="Times New Roman"/>
        <family val="1"/>
        <charset val="204"/>
      </rPr>
      <t xml:space="preserve">                 </t>
    </r>
  </si>
  <si>
    <r>
      <t xml:space="preserve">Создание и распространение телерадиовещания на территории КР и за ее пределами
</t>
    </r>
    <r>
      <rPr>
        <i/>
        <sz val="11"/>
        <color theme="1"/>
        <rFont val="Times New Roman"/>
        <family val="1"/>
        <charset val="204"/>
      </rPr>
      <t>Цель программы: Оказание информационно-просветительских услуг путем выпуска телерадиопередач в эфир</t>
    </r>
  </si>
  <si>
    <r>
      <t xml:space="preserve">Управление и администрирование                                        </t>
    </r>
    <r>
      <rPr>
        <i/>
        <sz val="1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</si>
  <si>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r>
      <t xml:space="preserve">Государственная поддержка и развитие  животноводства, пастбищ и рыболовства                                                                       </t>
    </r>
    <r>
      <rPr>
        <i/>
        <sz val="11"/>
        <rFont val="Times New Roman"/>
        <family val="1"/>
        <charset val="204"/>
      </rPr>
      <t>Цель программы: Сохранение и совершенствование пастбищных экосистем и их инфраструктуры, генетических ресурсов животных и развитие аквакультуры и рыболовства</t>
    </r>
  </si>
  <si>
    <r>
      <t xml:space="preserve">Государственная поддержка и развитие растениеводства, механизации, защита и карантина растений                                                     </t>
    </r>
    <r>
      <rPr>
        <i/>
        <sz val="11"/>
        <rFont val="Times New Roman"/>
        <family val="1"/>
        <charset val="204"/>
      </rPr>
      <t>Цель программы: Повышение эффективности производства в АПК путем создания условий для развития производства и реализации продукции растениеводства.</t>
    </r>
  </si>
  <si>
    <r>
      <t xml:space="preserve">Поддержка и развитие государственного ирригационного фонда и мелиорации.
</t>
    </r>
    <r>
      <rPr>
        <i/>
        <sz val="11"/>
        <rFont val="Times New Roman"/>
        <family val="1"/>
        <charset val="204"/>
      </rPr>
      <t>Цель программы: Обеспечение потребностей в водных ресурсах всех субъектов водопользования для поддержания эффективного функционирования аграрного сектора</t>
    </r>
  </si>
  <si>
    <r>
      <t xml:space="preserve">Государственная поддержка и развитие земельных ресурсов.                                                   </t>
    </r>
    <r>
      <rPr>
        <i/>
        <sz val="11"/>
        <rFont val="Times New Roman"/>
        <family val="1"/>
        <charset val="204"/>
      </rPr>
      <t>Цель программы: Повышения эффективности использования земельных ресурсов и земельных правоотношений, и регистрации прав на недвижимое имущество, эффективное оказание услуг по землеустройству, земельному кадастру, топографии, геодезии и картографии</t>
    </r>
  </si>
  <si>
    <t>Объем производства биологических средств</t>
  </si>
  <si>
    <t xml:space="preserve">Оснащенность исправительных учреждений и следственных изоляторов современными инженерно-техническими средствами охраны (радио-лучевыми) </t>
  </si>
  <si>
    <t>Повышение  умственного и физического развития детей дошкольного возраста</t>
  </si>
  <si>
    <r>
      <t>Содержание осужденных и подследственных</t>
    </r>
    <r>
      <rPr>
        <sz val="11"/>
        <color indexed="8"/>
        <rFont val="Times New Roman"/>
        <family val="1"/>
        <charset val="204"/>
      </rPr>
      <t xml:space="preserve"> </t>
    </r>
    <r>
      <rPr>
        <i/>
        <sz val="11"/>
        <color indexed="8"/>
        <rFont val="Times New Roman"/>
        <family val="1"/>
        <charset val="204"/>
      </rPr>
      <t xml:space="preserve">Цель программы: Создание и поддержание условий отбывания наказания, обеспечивающих достижение целей наказанияя и способствующих ресоциализации осужденных после освобождения от наказания </t>
    </r>
  </si>
  <si>
    <r>
      <t xml:space="preserve">Осуществление судебно-экспертной деятельности
</t>
    </r>
    <r>
      <rPr>
        <i/>
        <sz val="11"/>
        <color indexed="8"/>
        <rFont val="Times New Roman"/>
        <family val="1"/>
        <charset val="204"/>
      </rPr>
      <t>Цель программы: Проведение судебных экспертиз</t>
    </r>
  </si>
  <si>
    <r>
      <rPr>
        <b/>
        <i/>
        <sz val="11"/>
        <color indexed="8"/>
        <rFont val="Times New Roman"/>
        <family val="1"/>
        <charset val="204"/>
      </rPr>
      <t xml:space="preserve">Управление и администрирование        </t>
    </r>
    <r>
      <rPr>
        <b/>
        <sz val="11"/>
        <color indexed="8"/>
        <rFont val="Times New Roman"/>
        <family val="1"/>
        <charset val="204"/>
      </rPr>
      <t xml:space="preserve">                                                                                                                      
</t>
    </r>
    <r>
      <rPr>
        <i/>
        <sz val="11"/>
        <color indexed="8"/>
        <rFont val="Times New Roman"/>
        <family val="1"/>
        <charset val="204"/>
      </rPr>
      <t>Цели программы: Координиция судебно-экспертной деятельности</t>
    </r>
  </si>
  <si>
    <r>
      <t xml:space="preserve">Реализация конституционных прав граждан на осуществление власти через участие в референдумах и выборах.                                                                                                                                        </t>
    </r>
    <r>
      <rPr>
        <i/>
        <sz val="11"/>
        <color theme="1"/>
        <rFont val="Times New Roman"/>
        <family val="1"/>
        <charset val="204"/>
      </rPr>
      <t xml:space="preserve"> Цель программы : Высокий уровень явки избирателей на референдумах и выборах</t>
    </r>
  </si>
  <si>
    <r>
      <t xml:space="preserve">Управление и администрирование                                                                                                                                        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</si>
  <si>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r>
      <t xml:space="preserve">Поддержка образования детей и молодежи
</t>
    </r>
    <r>
      <rPr>
        <i/>
        <sz val="11"/>
        <rFont val="Times New Roman"/>
        <family val="1"/>
        <charset val="204"/>
      </rPr>
      <t>Цель программы: Поддержка инициатив в области развития гуманного, научного и кадрового потенциала</t>
    </r>
  </si>
  <si>
    <t>Обеспечение прозрачности бюджета Судебного департамента / бюджетные средства использованы на достижение поставленных целей</t>
  </si>
  <si>
    <r>
      <t xml:space="preserve">Управление и администрирование                                                                                                                              
</t>
    </r>
    <r>
      <rPr>
        <i/>
        <sz val="11"/>
        <color indexed="8"/>
        <rFont val="Times New Roman"/>
        <family val="1"/>
        <charset val="204"/>
      </rPr>
      <t>Цель программы:Исправления и содержание осужденных и подследственных</t>
    </r>
  </si>
  <si>
    <t>Количество проникн. во внутрен.зону</t>
  </si>
  <si>
    <t>Количество проникн. во внеш. запрет.зону</t>
  </si>
  <si>
    <t>Количество отконвоированных осужденных и подсудимых</t>
  </si>
  <si>
    <t>Подготовка информационных материалов и аналитических отчетов, разработка и публикация информационно-практических материалов, методических пособий</t>
  </si>
  <si>
    <t>Осуществление сотрудничества с экспертным и консультативным сообществом в религиозной сфере, сотрудничество с религиозными организациями, зарегистрированными в установленном порядке</t>
  </si>
  <si>
    <t xml:space="preserve">Привлечение ресурсов гос. органов, органов МСУ, а также неправительственных доноров для исследования и мониторинга религиозной ситуации и предупреждения конфликтных и проблемных ситуаций по религиозным вопросам.  </t>
  </si>
  <si>
    <t>Количество исследовательских продуктов (отчеты,аналитические записки,справки,рекомендации,статьи,доклады(тезисы к докладам) методические вклады и.т.д.)в области  социально  экономической сферы, внутренней и внешней политики</t>
  </si>
  <si>
    <t>Введение, сопровождение и контроль базы данных в ЕГРСЕ (Единый государственный регистр статистических единиц) классификаторов технико-экономической и социальной информации. Число хозяйствующих субъектов включенных в статистический регистр.</t>
  </si>
  <si>
    <t>Количество экз.</t>
  </si>
  <si>
    <t>71. Государственная служба финансовой разведки при Кабинете Министров Кыргызской Республики</t>
  </si>
  <si>
    <r>
      <t xml:space="preserve">Управление, обеспечение сохранения и развития лесных ресурсов                                                            </t>
    </r>
    <r>
      <rPr>
        <i/>
        <sz val="11"/>
        <rFont val="Times New Roman"/>
        <family val="1"/>
        <charset val="204"/>
      </rPr>
      <t xml:space="preserve">Цель программы:  Устойчивое управление лесами для обеспечения экономического благосостояния народа, социального благополучия и блогоприятной среды для жизни граждан Кыргызской Республики. </t>
    </r>
  </si>
  <si>
    <r>
      <t xml:space="preserve">Информационные услуги
</t>
    </r>
    <r>
      <rPr>
        <i/>
        <sz val="11"/>
        <color theme="1"/>
        <rFont val="Times New Roman"/>
        <family val="1"/>
        <charset val="204"/>
      </rPr>
      <t>Цель программы: Информационные услуги населению КР и зарубежной аудитории от официальных источников государственной власти</t>
    </r>
  </si>
  <si>
    <t>Бесперебойная подготовка информации о жизни Кыргызстана и работе Президента КР</t>
  </si>
  <si>
    <r>
      <t xml:space="preserve">Управление и администрирование   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Обеспечение  деятельности системы Конституционной палаты, координация реализации других программ ведомства</t>
    </r>
  </si>
  <si>
    <r>
      <t xml:space="preserve">Обеспечение конституционного правосудия и повышение потенциала Конституционной палаты                                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Повышение эффективности обеспечение конституционного правосудия, изучение и применение международных стандартов конституционного правосудия</t>
    </r>
  </si>
  <si>
    <t>Повышение квалификации работников аппарата Конституционной палаты, стажировки в конституционных судах зарубежных стран</t>
  </si>
  <si>
    <r>
      <t xml:space="preserve">Управление и администрирование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Обеспечение  деятельности системы Конституционной палаты, координация реализации других программ ведомства</t>
    </r>
  </si>
  <si>
    <r>
      <t xml:space="preserve">Повышение эффективности, прозрачности и независимости судебной системы Кырыгзской Республики                         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Обеспечение качественного правосудия в КР</t>
    </r>
  </si>
  <si>
    <r>
      <t xml:space="preserve">Планирование, управление и администрирование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Обеспечение  деятельности системы судебного департамента, координация реализации других программ ведомства</t>
    </r>
  </si>
  <si>
    <r>
      <t xml:space="preserve">Повышение эффективности, прозрачности и независимости местных судов Кыргызской Республики                         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Повышение доверия к судебной системе Кыргызской Республики</t>
    </r>
  </si>
  <si>
    <r>
      <t xml:space="preserve">В рамках судебно-правовой реформы                        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Обеспечение условий для реализации прав человека на справедливое правосудие на основе верховенства права в соответствии с международными стандартами</t>
    </r>
  </si>
  <si>
    <r>
      <t xml:space="preserve">Управление и администрирование                                   </t>
    </r>
    <r>
      <rPr>
        <i/>
        <sz val="11"/>
        <color indexed="8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</t>
    </r>
    <r>
      <rPr>
        <sz val="11"/>
        <color indexed="8"/>
        <rFont val="Times New Roman"/>
        <family val="1"/>
        <charset val="204"/>
      </rPr>
      <t xml:space="preserve">м                  </t>
    </r>
    <r>
      <rPr>
        <b/>
        <sz val="11"/>
        <color indexed="8"/>
        <rFont val="Times New Roman"/>
        <family val="1"/>
        <charset val="204"/>
      </rPr>
      <t xml:space="preserve">                                                                                                          </t>
    </r>
  </si>
  <si>
    <r>
      <t xml:space="preserve">Дошкольное образование
</t>
    </r>
    <r>
      <rPr>
        <i/>
        <sz val="11"/>
        <color indexed="8"/>
        <rFont val="Times New Roman"/>
        <family val="1"/>
        <charset val="204"/>
      </rPr>
      <t>Цель программы: Подготовка детей к школе</t>
    </r>
  </si>
  <si>
    <r>
      <rPr>
        <b/>
        <sz val="11"/>
        <color theme="1"/>
        <rFont val="Times New Roman"/>
        <family val="1"/>
        <charset val="204"/>
      </rPr>
      <t xml:space="preserve">Управление и администрирование. 
</t>
    </r>
    <r>
      <rPr>
        <i/>
        <sz val="11"/>
        <color theme="1"/>
        <rFont val="Times New Roman"/>
        <family val="1"/>
        <charset val="204"/>
      </rPr>
      <t>Цель программы:Координирующее и организационное воздействие на реализацию других программ</t>
    </r>
  </si>
  <si>
    <r>
      <t xml:space="preserve">Эффективное управление государственным имуществом
</t>
    </r>
    <r>
      <rPr>
        <i/>
        <sz val="11"/>
        <rFont val="Times New Roman"/>
        <family val="1"/>
        <charset val="204"/>
      </rPr>
      <t>Цель программы</t>
    </r>
    <r>
      <rPr>
        <b/>
        <i/>
        <sz val="11"/>
        <rFont val="Times New Roman"/>
        <family val="1"/>
        <charset val="204"/>
      </rPr>
      <t>:</t>
    </r>
    <r>
      <rPr>
        <i/>
        <sz val="11"/>
        <rFont val="Times New Roman"/>
        <family val="1"/>
        <charset val="204"/>
      </rPr>
      <t xml:space="preserve"> Обеспечение положительного социально-экономического эффекта от управления государственным имуществом</t>
    </r>
  </si>
  <si>
    <r>
      <rPr>
        <b/>
        <sz val="11"/>
        <rFont val="Times New Roman"/>
        <family val="1"/>
        <charset val="204"/>
      </rPr>
      <t xml:space="preserve">Сохранение биоразнообразия                               </t>
    </r>
    <r>
      <rPr>
        <i/>
        <sz val="11"/>
        <rFont val="Times New Roman"/>
        <family val="1"/>
        <charset val="204"/>
      </rPr>
      <t>Цель программы: Сохранение и улучшение биоразнообразия, в т.ч. восстановление численности популяций редких и исчезающих видов животного и растительного мира; устойчивое использование биоразнообразия Кыргызской Республики.</t>
    </r>
  </si>
  <si>
    <r>
      <rPr>
        <b/>
        <sz val="11"/>
        <color theme="1"/>
        <rFont val="Times New Roman"/>
        <family val="1"/>
        <charset val="204"/>
      </rPr>
      <t>Предоставление медицинских услуг</t>
    </r>
    <r>
      <rPr>
        <i/>
        <sz val="11"/>
        <color theme="1"/>
        <rFont val="Times New Roman"/>
        <family val="1"/>
        <charset val="204"/>
      </rPr>
      <t xml:space="preserve">
Цель программы: Качественное предоставление медицинских услуг</t>
    </r>
  </si>
  <si>
    <t>Управление делами Президента Кыргызской Республики</t>
  </si>
  <si>
    <t>17. Счетная палата Кыргызской Республики</t>
  </si>
  <si>
    <t>41. Министерство сельского, водного хозяйства и развития регионов Кыргызской Республики</t>
  </si>
  <si>
    <t>44.  Министерство культуры, информации, спорта и молодежной политики Кыргызской Республики</t>
  </si>
  <si>
    <t>66. Центр судебного представительства Кабинета Министров Кыргызской Республики</t>
  </si>
  <si>
    <t xml:space="preserve">77. Национальная аттестационная комиссия при Президенте Кыргызской Республики </t>
  </si>
  <si>
    <t>81. Клиническая больница Управление делами Презадента Кыргызской Республики</t>
  </si>
  <si>
    <t>Покупка стратегических объектов</t>
  </si>
  <si>
    <t>Управление и администрирование на территориальном уровне</t>
  </si>
  <si>
    <t>Доведение информации о нашей стране до зарубежного читателя</t>
  </si>
  <si>
    <t>455</t>
  </si>
  <si>
    <t>Развитие и сопровождение программно-аппаратного комплекса «Аудио-видео фиксации и протоколирования судебных заседаний"</t>
  </si>
  <si>
    <t>ГП «Центр электронного взаимодействия" при ГКИТиС</t>
  </si>
  <si>
    <t>Обеспечение деятельности Президента КР согласно Закону КР «О гарантиях деятельности Президента КР»</t>
  </si>
  <si>
    <t>Доля документов архивного фонда Президента КР, находящихся в нормативных условиях, обеспечивающих их постоянное хранение</t>
  </si>
  <si>
    <t>Количество обслуживаемых автомашин за счет республиканского бюджета, в т.ч. обслуживаемых</t>
  </si>
  <si>
    <t>Оказание поддержки в обучении талантливых и одаренных детей и молодежи, в том числе за рубежом</t>
  </si>
  <si>
    <t>Оказание адресной поддержки детям, находящимся в трудной жизненой ситуации</t>
  </si>
  <si>
    <t>Участие в работе международных и региональных организаций и объединений по конституционному правосудию</t>
  </si>
  <si>
    <t>Количество судов, оснащенных системами аудио видео фиксации и протоколирования судебных заседаний</t>
  </si>
  <si>
    <t>Количество судов, в которых внедрены информационные технологии, обеспечивающие быстрое разрешение судебных дел</t>
  </si>
  <si>
    <t>Доля исполнения судебных актов и принудительного привода и количество инцидентов в зале суда, повлиявщих на ход прохождения судебного процесса (отложения, длительная пауза)</t>
  </si>
  <si>
    <t>Реализация мероприятий по                              аудио-видеофиксации судебных заседаний, реестра лиц совершивщих преступления, проступки, нарущения</t>
  </si>
  <si>
    <t>Количество судов, оснащенных информационными системами (видеозапись и трансляция судебных процессов, аудио-видеопротоколирование и т.д.) / Обеспечена полная гласность и прозрачность судебных разбирательств</t>
  </si>
  <si>
    <t>Количество судов оснащенных системами аудио-видеофиксации и протоколирования судебных заседаний</t>
  </si>
  <si>
    <t>Количество проведенных проверок по достоверности и формированию уголовно-правовой статистики на местах (в.т.ч поднадзорными органами), создать технологическое программное обеспечение, отвечающее всем требованиям для полноценного функционирования правоохранительных органов и органов прокуратуры</t>
  </si>
  <si>
    <t>Количество проведенных проверок по достоверности и формированию уголовно-правовой статистики на местах (в.т.ч поднадзорными органами), создать технологическое программное обеспечение, отвечающее всем требованиям для полноценного функционирования правоохранительных органов и органов прокуратуры, количество проведенных проверок по достоверности и формированию уголовно-правовой статистики на местах (в.т.ч поднадзорными органами), создать технологическое программное обеспечение, отвечающим всем требованиям для полноценного функционирования правоохранительных органов и органов прокуратуры</t>
  </si>
  <si>
    <t>Количество детей посещающих ясли-сад №172 «Арген»</t>
  </si>
  <si>
    <t>Количество/ сумма</t>
  </si>
  <si>
    <t>Представле-ние и предписания</t>
  </si>
  <si>
    <t>Количество/ сумма уг. дел</t>
  </si>
  <si>
    <t>Обеспечение финасового менеджмента и учета/Администрирование на региональном уровне</t>
  </si>
  <si>
    <t>Обеспечение общего руководство/ Управление и администрирование отрасли на центральном уровне</t>
  </si>
  <si>
    <t>Доля жалоб по нарушению прав детей и женшин,семьи (к общему количеству всех заявлений и жалоб)</t>
  </si>
  <si>
    <t>Организация деятельности по исполнению наказаний осужденных на местах лишения свободы</t>
  </si>
  <si>
    <t>Организация участков с различными видами режимов в исправительной колонии для содержания лиц мужского пола, женщин,  больных разными инфекционными заболеваниями (участки общего, усиленного и строгого режимов, также для содержания несовершеннолетних лиц мужского и женского пола)</t>
  </si>
  <si>
    <t>Снижение общей заболеваемости в лечебных учреждениях</t>
  </si>
  <si>
    <r>
      <t xml:space="preserve">Обеспечение здоровья спецконтингента
</t>
    </r>
    <r>
      <rPr>
        <i/>
        <sz val="11"/>
        <color indexed="8"/>
        <rFont val="Times New Roman"/>
        <family val="1"/>
        <charset val="204"/>
      </rPr>
      <t>Цель программы: Предоставление необходимых медицинских услуг осужденным и подследственным</t>
    </r>
  </si>
  <si>
    <t>Улучшение процента финансирования дошкольных учреждений</t>
  </si>
  <si>
    <r>
      <t xml:space="preserve">Планирование, управление, администрирование и содержание осужденных и заключенных под стражу                                                                                                                              
</t>
    </r>
    <r>
      <rPr>
        <i/>
        <sz val="11"/>
        <color theme="1"/>
        <rFont val="Times New Roman"/>
        <family val="1"/>
        <charset val="204"/>
      </rPr>
      <t>Цели программы:Исправление и содержание осужденных и заключенных под стражу</t>
    </r>
  </si>
  <si>
    <t>Организация участков с различными видами режимов в исправительной колонии для содержания лиц мужского пола, женщин, больных разными инфекционными заболеваниями (участки общего, усиленного и строгого режимов, также для содержания несовершеннолетних лиц мужского и женского пола)</t>
  </si>
  <si>
    <t>Обеспечение питанием, одеждой, обувью выдача единивременного денежного пособия и оплата проезда лиц, освобождаемых из мест лишения свободы (до 1000 человек ежегодно)</t>
  </si>
  <si>
    <t xml:space="preserve">Охрана в исправительных учреждениях и конвоирование осужденных </t>
  </si>
  <si>
    <t>Количество предотвр. побегов осужденных</t>
  </si>
  <si>
    <t xml:space="preserve">Колиичество обеспечения процессов </t>
  </si>
  <si>
    <r>
      <t xml:space="preserve">Представление интересов КР и ее граждан зарубежом                         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Всестороннее представление  государства и интересов КР за рубежом. Положительный имидж страны на международной арене</t>
    </r>
  </si>
  <si>
    <r>
      <t xml:space="preserve">Предоставление высшего  образования в области международных отношений                 </t>
    </r>
    <r>
      <rPr>
        <i/>
        <sz val="11"/>
        <color theme="1"/>
        <rFont val="Times New Roman"/>
        <family val="1"/>
        <charset val="204"/>
      </rPr>
      <t xml:space="preserve">Цель программы:  Создание человеческого капитала в сфере международных отношений путем качественного предоставления высшего профессионального, послевузовского и дополнительного профессионального образования в области международных отношений </t>
    </r>
  </si>
  <si>
    <t xml:space="preserve">Регулирование процессов привлечения и использования  иностранной рабочей силы, рассмотрение статуса иммигранта </t>
  </si>
  <si>
    <t>Количество предоставленных статусов иммигранта</t>
  </si>
  <si>
    <t>Доля новорожденных, обслуженных семейным  врачом (врачом общей практики)  в первые 3 дня после выписки из родильного дома , %</t>
  </si>
  <si>
    <t>Доля ОЗ ПМСП, которым были произведены выплаты по результатам оценки качества с использованием оценочной карты</t>
  </si>
  <si>
    <t>Повышение продолжительности жизни в среднем</t>
  </si>
  <si>
    <t>Количество медицинских работников, которым произведены стимулирующие выплаты по достижению результатов</t>
  </si>
  <si>
    <t>Доля пациентов, получивших лечение в отделениях краткосрочного пребывания (детей и беременных женщин) к общему количеству пролеченных пациентов в общепрофильных стационарах</t>
  </si>
  <si>
    <t xml:space="preserve">Доля   населения, получившей льготное лечение по медицинским показаниям   </t>
  </si>
  <si>
    <r>
      <rPr>
        <b/>
        <sz val="11"/>
        <rFont val="Times New Roman"/>
        <family val="1"/>
        <charset val="204"/>
      </rPr>
      <t xml:space="preserve">Обеспечение доступности  медицинских и иных услуг, оказываемых сверх объема ПГГ населению     </t>
    </r>
    <r>
      <rPr>
        <sz val="11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</t>
    </r>
    <r>
      <rPr>
        <i/>
        <sz val="11"/>
        <rFont val="Times New Roman"/>
        <family val="1"/>
        <charset val="204"/>
      </rPr>
      <t>Цель программы: Повышение удовлетворенности граждан посредством предоставления расширенного спектра услуг организациями здравоохранения независимо от формы собственности.</t>
    </r>
  </si>
  <si>
    <t>Мероприятия по борьбе в COVID - 19 и последствиями его влияния на экономику</t>
  </si>
  <si>
    <t>Учреждения, переданные из местного бюджета в республиканский бюджет</t>
  </si>
  <si>
    <t>Учреждения, переданные из районного бюджета в республиканский бюджет</t>
  </si>
  <si>
    <t>млн сом</t>
  </si>
  <si>
    <t>млн штук</t>
  </si>
  <si>
    <t>Производство  продукции растениеводства</t>
  </si>
  <si>
    <t>Площадь обследования сельхозугодий на выявление саранчовых вредителей</t>
  </si>
  <si>
    <t xml:space="preserve">Потребность и обеспеченность минеральными удобрениями </t>
  </si>
  <si>
    <t>Количество выданных свидетельств</t>
  </si>
  <si>
    <t xml:space="preserve">Обработка площадей земель сельскохозяйственного назначения биологическими средствами по КР                            </t>
  </si>
  <si>
    <t>млн особ</t>
  </si>
  <si>
    <t>Площадь выбороч.обследования образцов зерна фермерских и крестьянских хозяйств, на комбинатах хлебных продуктов</t>
  </si>
  <si>
    <t>Обьем анализа образцов  зерна,  поступающих из госрезерва, комбинатов хлебных продуктов</t>
  </si>
  <si>
    <t>Количество сельскохозяйственной техники выданней сельхозсубьектам по лизинговым кредитным проектам</t>
  </si>
  <si>
    <t>Общее количество обновлен. машинно-тракторного парка</t>
  </si>
  <si>
    <r>
      <t xml:space="preserve">Обеспечение ветеринарной и фитосанитарной  безопасности и охраны здоровья животных.        </t>
    </r>
    <r>
      <rPr>
        <b/>
        <sz val="11"/>
        <color rgb="FF0070C0"/>
        <rFont val="Times New Roman"/>
        <family val="1"/>
        <charset val="204"/>
      </rPr>
      <t xml:space="preserve">                                          </t>
    </r>
    <r>
      <rPr>
        <i/>
        <sz val="11"/>
        <rFont val="Times New Roman"/>
        <family val="1"/>
        <charset val="204"/>
      </rPr>
      <t>Цель программы: Улучшение статуса здоровья животных страны и безопасности продуктов животноводства, улучшение ветеринарного здоровья и повышение конкурентоспособности сектора животноводства</t>
    </r>
  </si>
  <si>
    <t>млн голов</t>
  </si>
  <si>
    <t>млн куб</t>
  </si>
  <si>
    <t>Выполнение модернизационных и реабилитационных работ на межхозяйственных ирригационных каналах 4 подпроектов</t>
  </si>
  <si>
    <t>Для каждого из примерно 4 подпроектов разработан и одобрен подпроектным координационным комитетом совместный план по эксплуатации и содержанию ирригационной системы (базовыйпоказатель 2018 года =0)</t>
  </si>
  <si>
    <t>жен.</t>
  </si>
  <si>
    <t>Количество цифровых топографических карт необходимого масштабного ряда при обновления на приграничных территориях</t>
  </si>
  <si>
    <t>Объем рекультивированных земель по отношению к общей площади земель, подлежащих рекултивации</t>
  </si>
  <si>
    <t>Площадь государственного лесного фонда, подлежащий к охране от лесонарушений и пожаров</t>
  </si>
  <si>
    <t>Площадь, пройденная рубками ухода</t>
  </si>
  <si>
    <t>Отношение кол-ва вовремя потушенных лесных пожаров к общему  числу пожаров</t>
  </si>
  <si>
    <t>Количество выпущенных фильмов (национыльных в том числе; художественных, анимационных, документальных, короткометражных,ко продукции)</t>
  </si>
  <si>
    <t xml:space="preserve"> Количество проведенных мероприятий по популяризации, пропаганде активного образа жизни и развития спорта среди населения страны</t>
  </si>
  <si>
    <t>Перевод информаций и аналитических материалов на английский, китайский и турецкий языки (шт)</t>
  </si>
  <si>
    <t xml:space="preserve">Исследование геодинамических процессов и георисков в Кыргызстане и трансграничных регионах с Центрально-Азиатскими странами 
</t>
  </si>
  <si>
    <t>Изучение рисков  стихийных бедствий :  методология социально-экономической оценки уязвимости и адаптации сельских обществ.</t>
  </si>
  <si>
    <t>Оцифровано и озвучено кыргызским синтезатором речи</t>
  </si>
  <si>
    <t xml:space="preserve">Создание и развитие Национального корпуса кыргызского языка , формирование и развитие научного стиля кыргызского языка </t>
  </si>
  <si>
    <t>Доля  пользователей   удовлетворенных автоматизированной системой «Е-кызмат»</t>
  </si>
  <si>
    <t>Формирование и развитие национальной системы исследования , мониторинга и анализа религиозной ситуации;оказание консультаций по вопросам религиозной сферы, выработка предложений и рекомендаций по предупреждению и профилактике на проблемные вопросы и конфликты, имеющие религиозную основу, повышение квалификации сотрудников государственных органов и органов местного самоуправления по религиозным вопросам, осуществление подготовки специалистов и повышение религиозной грамотности населения посредством проведения семинаров</t>
  </si>
  <si>
    <t>Проведение полевых исследований в регионах страны, где религиозная ситуация требует глубинного изучения с целью раннего реагирования и недопущения религиозной напряженности</t>
  </si>
  <si>
    <r>
      <rPr>
        <b/>
        <sz val="11"/>
        <color indexed="8"/>
        <rFont val="Times New Roman"/>
        <family val="1"/>
        <charset val="204"/>
      </rPr>
      <t>Модернизация налогового администрирования и статистической системы. (Кредит МАР №6546 KG,Гранд MAP №D566KG от 28.04.2020г.)</t>
    </r>
    <r>
      <rPr>
        <sz val="11"/>
        <color indexed="8"/>
        <rFont val="Times New Roman"/>
        <family val="1"/>
        <charset val="204"/>
      </rPr>
      <t xml:space="preserve">
</t>
    </r>
    <r>
      <rPr>
        <i/>
        <sz val="11"/>
        <color indexed="8"/>
        <rFont val="Times New Roman"/>
        <family val="1"/>
        <charset val="204"/>
      </rPr>
      <t>Цель программы: Повышение эффективности национальной статистической системы, институциональные реформы и нарашивание потенциала в области статистической системы.</t>
    </r>
  </si>
  <si>
    <t>Доля работников стат. органов, повысивших квалификацию от общей численности занятых в статкомитете</t>
  </si>
  <si>
    <t xml:space="preserve">Внедрение и использование электронных программ, баз данных, программы «Антиплагиат» </t>
  </si>
  <si>
    <t>Оценка сейсмической опасности и создание инженерно-сейсмометрической службы в районах расположения крупных ГЭС</t>
  </si>
  <si>
    <t xml:space="preserve">Разработка методов и средств прогноза и предотвращения природных и техногенных катастроф. Разработка техники для бурения шпуров и скважин.  </t>
  </si>
  <si>
    <t>Интродукция и селекция, и сохранение растений в Кыргызстане Изучение лесных растительных ресурсов Кыргызстана с целью их сохранения и рационального использования.  Изучение природных запасов и разработка технологий получения биоактивных соединений из полезных и лекарственных растений Кыргызстана</t>
  </si>
  <si>
    <t>Биотестирование животных номинированных в банк генетических ресурсов Кыргызстана. Разработка научных основ мониторинга состояние биологических компонентов природы Кыргызстана</t>
  </si>
  <si>
    <r>
      <t xml:space="preserve">Управление и администрирование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Координирующее и организационное воздействие на реализацию других программ</t>
    </r>
  </si>
  <si>
    <t>Количество выработанных Нац. центром рекомендаций по искоренению пыток и улучшению условий содержания, принятых к реализации другими гос.органами</t>
  </si>
  <si>
    <t>Удовлетворенность положительными изменениями условий содержания в местах лишения и ограничения свободы, детских учреждениях и психоневрологических диспансерах (результаты опросов)</t>
  </si>
  <si>
    <t xml:space="preserve">Доля своевременно опубликованных нормативно-правовых актов </t>
  </si>
  <si>
    <t>Количество тестовых заданий</t>
  </si>
  <si>
    <t>1 вебпортал (% завершенности)</t>
  </si>
  <si>
    <r>
      <t xml:space="preserve">Организация и планирования мероприятий деятельности Учреждения
</t>
    </r>
    <r>
      <rPr>
        <sz val="11"/>
        <color indexed="8"/>
        <rFont val="Times New Roman"/>
        <family val="1"/>
        <charset val="204"/>
      </rPr>
      <t>Цель программы: Широкое распространение, сохранение, развитие и популяризация трилогии эпоса «Манас», а также ценностей культурного наследия народного писателя Кыргызской Республики Чингиза Айтматова</t>
    </r>
  </si>
  <si>
    <t>Место Кыргызстана в рейтинге Глобального индекса конкурентоспособности Всемирного экономического форума (в т.ч. по показателю «независимость судов»)</t>
  </si>
  <si>
    <t xml:space="preserve">В рамках Концепции цифровой трансформации «Цифровой Кыргызстан 2019-2023»                                                                     </t>
  </si>
  <si>
    <t>Создание единой информационной экосистемы судебной системы КР «Цифровое правосудие» и интеграция информационных систем судебной системы КР с другими государственными органами и ведомствами</t>
  </si>
  <si>
    <t>Реализация проекта создания и внедрения АИС «ЕРПП»</t>
  </si>
  <si>
    <t>Доля организаций ПМСП внедривших сервис «Электронная очередь»</t>
  </si>
  <si>
    <r>
      <t xml:space="preserve">Пенсионное обеспечение и компенсации за счет бюджетных средств           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Эффективное управление государственным социальным страхованием и пенсионным обеспечением</t>
    </r>
  </si>
  <si>
    <t>Реализация проекта «Развитие животноводства и рынка- 1,2» донор МФСР</t>
  </si>
  <si>
    <t>Реализация проекта « Обеспечения доступа к рынкам»</t>
  </si>
  <si>
    <t xml:space="preserve">Реализация проекта «Комплексное развитие производительности молочного сектора» (ВБ) </t>
  </si>
  <si>
    <t xml:space="preserve">Реализация проекта  «Улучшение управления национальными водными ресурсами»  - Фаза 2 (ВБ) (грант)  </t>
  </si>
  <si>
    <t xml:space="preserve">Реализация проекта «Улучшение сельскохозяйственной производительности и питания» (Глобальный фонд по с/х и продовольственной безопасности) (ВБ) (грант) </t>
  </si>
  <si>
    <t>Реализация  проекта «Развитие ирригационной сети Сарымсак»</t>
  </si>
  <si>
    <t>Строительство Магистрального канала «Сарымсак»</t>
  </si>
  <si>
    <t>Реализация проекта «Развитие орошаемого земледелия в Иссык-Кульской и Нарынской областях»</t>
  </si>
  <si>
    <t>Реализация проекта «Интегрированиое управление лесными экосистемами Кыргызской Республики» (ВБ) (Грант)</t>
  </si>
  <si>
    <t>КНИА «Кабар»</t>
  </si>
  <si>
    <t>49. Центральное правление «Кыргызского общества слепых и глухих»</t>
  </si>
  <si>
    <t>«Специфика деятельности в рамках данной бюджетной меры не позволяет определить индикатор результативности»</t>
  </si>
  <si>
    <t>Реализация проекта «Digital CASA - Кыргызская Республика»</t>
  </si>
  <si>
    <t>Количество оцифрованного и введенного в базу данных материалов и диссертационных работ/ Отношение количества проверенных в срок диссертационных работ по программе «Антиплагиат» к общему количеству поступивших дел на проверку</t>
  </si>
  <si>
    <t>Количество выпущенных работ по теме «Межэтнические конфликтыв КР: социологический анализ», «Экономика Кыргызстана: проблемы рационального использования природных ресурсов»</t>
  </si>
  <si>
    <t>Издание газеты «Эркин- Тоо»</t>
  </si>
  <si>
    <t>Опубликование нормативных правовых актов Кабинета Министров, Президента, Жогорку Кенеша Кыргызской Республики в газете «Эркин-Тоо»</t>
  </si>
  <si>
    <t>Государственная телерадиовещательная компания Кыргызской Республики «ЭлТР»</t>
  </si>
  <si>
    <t>Национальный филиал в КР ЗАО «Межгосударственная телерадиокомпания Мир»</t>
  </si>
  <si>
    <t>Хронометраж созданных филиалом ТВ программ для МТРК «Мир»</t>
  </si>
  <si>
    <t>Хронометраж созданных филиалом РВ программ для МТРК «Мир»</t>
  </si>
  <si>
    <t>Общее кол-во созданных филиалом ТВ и РВ программ в консолидированном эфире МТРК «Мир»</t>
  </si>
  <si>
    <t>87. Государственное учреждение «Кыргызтест»</t>
  </si>
  <si>
    <t>Разработка программного обеспечения системы «Кыргызтест» по новой методике оценки  владения государственным, официальным языками</t>
  </si>
  <si>
    <t>Техническая поддержка и развитие мобильного приложения системы «Кыргызтест» для дистанционного тестирования</t>
  </si>
  <si>
    <t>88. Национальная академия «Манас» и Ч. Айтматова»</t>
  </si>
  <si>
    <t xml:space="preserve">Организация и проведение культурных мероприятий, междунарадных симпозиумов, конгрессов по проблемам эпоса «Манас» и наследия Ч.Айтматова». Публикация научных материалов в области манасаведения и чингизоведения                    </t>
  </si>
  <si>
    <t>ОАО «Государственная ипотечная компания»</t>
  </si>
  <si>
    <t>Проект «Digital CASA - Кыргызская Республика»</t>
  </si>
  <si>
    <t>Сопровождение и развитие Автоматизированной информационной системы «Суд»</t>
  </si>
  <si>
    <t>26</t>
  </si>
  <si>
    <t>27</t>
  </si>
  <si>
    <t>ОАО "Национальная холдинговая компания "Наследие великих кочевников"</t>
  </si>
  <si>
    <t>Государственная программа по обеспечению безопасности и социально-экономического развития Баткенской области</t>
  </si>
  <si>
    <t>18</t>
  </si>
  <si>
    <t>ОАО "Электрические станции"</t>
  </si>
  <si>
    <t>Соц.экономическое развитие области</t>
  </si>
  <si>
    <t>Развитие инфраструктуры районов</t>
  </si>
  <si>
    <t>Развитие инфраструктуры областей</t>
  </si>
  <si>
    <t>Решение важных вопросов в областях</t>
  </si>
  <si>
    <t xml:space="preserve">Процент исполнения бюджета по общегосударственным программам </t>
  </si>
  <si>
    <t>Финансирование на среднесрочный период не предусмотрено, индикаторы результативности не применяются</t>
  </si>
  <si>
    <t>−</t>
  </si>
  <si>
    <t>Прооцент реализации плана по созданию устойчивой цифровой инфраструктуры</t>
  </si>
  <si>
    <t>Охват точек ктроля средствами наблюдения</t>
  </si>
  <si>
    <t>Выполнение обязательств по выплате взносов ежегодно</t>
  </si>
  <si>
    <t>Выполнение обязательств по выплате основной суммы и процентов ежегодно</t>
  </si>
  <si>
    <t>Выполнение обязательств по возврату НДС ежегодно</t>
  </si>
  <si>
    <t xml:space="preserve">Процент своевременных исполнений решений суда </t>
  </si>
  <si>
    <t>Выполнение обязательств по оплате услуг банков</t>
  </si>
  <si>
    <t>Выполнение обязательств по субсидированию процентных ставок</t>
  </si>
  <si>
    <t>Прооцент реализации плана по развитию приграничных территорий</t>
  </si>
  <si>
    <t>Исполнение бюджета мероприятий по фискализации</t>
  </si>
  <si>
    <t>Выплата обязательств</t>
  </si>
  <si>
    <t>Процент исполнения бюджета по гсударственным программам, мероприятиям и выплатам</t>
  </si>
  <si>
    <t>Исполнение бюджета по финансированию капитальных вложений</t>
  </si>
  <si>
    <t>Исполнение бюджета по финансированию ликвидации стихийных бедствий</t>
  </si>
  <si>
    <t>Исполнение обязательств по повышенным социальным выплатам</t>
  </si>
  <si>
    <t>Исполнение бюджета по выравнивающим трансфертам</t>
  </si>
  <si>
    <t>Исполнение бюджета по целевым трансфертам</t>
  </si>
  <si>
    <t>Исполнение бюджета по СДГ</t>
  </si>
  <si>
    <t xml:space="preserve">Выплата обязательств по финансированию переданных учреждений </t>
  </si>
  <si>
    <t>Доля имеющейся суммы государственного бюджетного резерва от планового значения ежегодно</t>
  </si>
  <si>
    <t>Доля имеющейся суммы специального счета МЧС от планового значения ежегодно</t>
  </si>
  <si>
    <t xml:space="preserve">Выполнение плана реализации Национальной программы </t>
  </si>
  <si>
    <t>Судебный департамент при Верховном  суде  Кыргызской Республики</t>
  </si>
  <si>
    <t>18. Центральная  комиссия по выборам и проведению референдумов Кыргызской Республики</t>
  </si>
  <si>
    <t>26. Министерство  финансов  Кыргызской Республики (Государственные программы, мероприятия и выплаты)</t>
  </si>
  <si>
    <t>39. Академия государственного управления при Президенте Кыргызской Республики</t>
  </si>
  <si>
    <t>40. Общественное объединение «Республиканский Совет  ветеранов войны, вооруженных сил, правоохранительных органов и труженников тыла Кыргызской Республики»</t>
  </si>
  <si>
    <t>50. Национальная комиссия по государственному языку  при Президенте Кыргызской Республики</t>
  </si>
  <si>
    <t xml:space="preserve">84.  Редакция журналов и газет </t>
  </si>
  <si>
    <t>Общественная телерадиовещательная корпорация</t>
  </si>
  <si>
    <t>85. Телерадиовещательные компании Кыргызской Республики</t>
  </si>
  <si>
    <t>Всего (контрольные цифры)</t>
  </si>
  <si>
    <t>Реализация инфраструктурных проектов</t>
  </si>
  <si>
    <t>279</t>
  </si>
  <si>
    <t xml:space="preserve">Количество зарегистрированных аудиторских организаций </t>
  </si>
  <si>
    <t>Количество зарегистрированных аудиторов</t>
  </si>
  <si>
    <t>Доля организаций , представляющих отчетность по новым стандартом</t>
  </si>
  <si>
    <t xml:space="preserve"> Развитие аудита и  бухгалтерского учета</t>
  </si>
  <si>
    <t>Увеличение размера устаного капитала ломбардных организаций</t>
  </si>
  <si>
    <t>Объем средств пенсионных накоплений НПФ</t>
  </si>
  <si>
    <t>Доля национального перестрахования</t>
  </si>
  <si>
    <t>млрд.сом</t>
  </si>
  <si>
    <t>Объем собранных страховых премий по обязательным и добровольным видам страхования</t>
  </si>
  <si>
    <t xml:space="preserve">
Развитие рынка страхования и деятельности НПФ</t>
  </si>
  <si>
    <t>млрд, сом</t>
  </si>
  <si>
    <t>Объем биржевых торгов</t>
  </si>
  <si>
    <t xml:space="preserve">Объем эмиссии на фондовом рынке </t>
  </si>
  <si>
    <t xml:space="preserve">Объем биржевых  сделок с ценными бумагами </t>
  </si>
  <si>
    <t>Развитие рынка ценных бумаг</t>
  </si>
  <si>
    <t xml:space="preserve"> Исполнение бюджета без нарушений</t>
  </si>
  <si>
    <t>Управление и администрирование  отрасли на территориальном уровне</t>
  </si>
  <si>
    <t>Управление и администрирование  отрасли на центральном уровне</t>
  </si>
  <si>
    <t>Развитие небанковского финансового рынка</t>
  </si>
  <si>
    <t xml:space="preserve">Оказание услуг в сфере халал-индустрии, участие в гармонизации и представление предложений по совершенствованию нормативно-правовых актов в сфере                                 халал-индустрии, участие в разработке стандартов в сфере халал-индустрии, предоставление методической помощи и консультации производителям по вопросам внедрения халал-стандартов; участие в разработке стандартов в сфере халал-индустрии по отраслям, гармонизация с международными (региональными) стандартами; </t>
  </si>
  <si>
    <t>7. Создание условий для производства  и экспорта конкурентоспособной сельскохозяйственной продукции и продукции перерабатывающей промышленности на внутреннем и внешнем рынках в соответствии с международными стандартами и требованиями к халал - индустрии</t>
  </si>
  <si>
    <t>37/7</t>
  </si>
  <si>
    <t>по мере поступления</t>
  </si>
  <si>
    <t>77 ед.</t>
  </si>
  <si>
    <t xml:space="preserve">Количество проведенных анализов состояния конкуренции; Количество субьектов доминантов, исключенных из Госресстра доминантов; Количество хозсубьектов, включенных в Госреестр субьектов естественых монополий  
</t>
  </si>
  <si>
    <t>Антимонопольное администрирование поддержка конкурентных рынков в основных отраслях</t>
  </si>
  <si>
    <t>Инвестиции в основной капитал в сфере туризма</t>
  </si>
  <si>
    <t>млн.долл.</t>
  </si>
  <si>
    <t>Экспорт тур.услуг(доходы от приема иностранных граждан)</t>
  </si>
  <si>
    <t>Доля сферы туристической деятельности в ВВП</t>
  </si>
  <si>
    <t>тыс.чел.</t>
  </si>
  <si>
    <t>Количество прибывших граждан из стран дальнего и ближнего зарубежья, подпадающих под классификацию ВТО (Всемирная турист.орг)</t>
  </si>
  <si>
    <t>Разработка и реализация образовательных и маркетинговых мероприятий, способствующих пропаганде туризма</t>
  </si>
  <si>
    <t>Публикация отчетов, буклетов, брошюр</t>
  </si>
  <si>
    <t>Подготовка аналитических записок для министерства, Кабинет министров Кыргызской Республики</t>
  </si>
  <si>
    <t>Усиление потенциала министерства за счет создания знаний и разработки рекомендаций по совершенствованию экономической политики в приоритетных направлениях, участия в разработке программ и стратегий правительства</t>
  </si>
  <si>
    <t>Предоставление документа о подтверждении соответствия органов по сертификации продукции/услуг,  по сертификации систем менеджмента , по  сертификации персонала, органов контроля  международным стандартам.</t>
  </si>
  <si>
    <t>Предоставление подтверждения о соответствии испытательных, калибровочных, медицинских  лабораторий требованиям международных стандартов</t>
  </si>
  <si>
    <t>2.8.Подтверждение соответствия КЦА на соответствие ИСО/МЭК 17011</t>
  </si>
  <si>
    <t>Количество  разработанных единиц эталонов по видам измерений в национальных институтах других стран и участие в сличениях эталонов по видам  измерений в рамках регионального органов по метрологии</t>
  </si>
  <si>
    <t xml:space="preserve">Количество  разработанных межгосударственных стандартов на основе национальных стандартов, в целях защиты интересов бизнеса </t>
  </si>
  <si>
    <t>Уровень обеспечения стадартами,гармонизированными с международными  и европейскими нормами для ТР ТС</t>
  </si>
  <si>
    <t>Повышение уровня гармонизации  национальных стандартов с международными и европейскими нормами  и защита интересов государства и граждан от последствий недостоверных результатов измерений</t>
  </si>
  <si>
    <t>Доля документов, выданных по принципу  «единого окна» вовлеченными ведомствами, где проведена полная автоматизация внутренних бизнес процессов»</t>
  </si>
  <si>
    <t>Развитие предоставления услуг по внешнеэкономической деятельности по принципу единого окна</t>
  </si>
  <si>
    <t>Количество обученных человек</t>
  </si>
  <si>
    <t>Проведение информационно-разъяснительной работы среди субъектов предприниательства, потребителей продукции о требованиях и правилах устанавливаемых техническими регламентами ТС/ЕАЭС</t>
  </si>
  <si>
    <t xml:space="preserve">Темп роста </t>
  </si>
  <si>
    <t>млн. долл</t>
  </si>
  <si>
    <t>Объем внешнеторгового оборота Кыргызской Республики  со странами ВТО</t>
  </si>
  <si>
    <t>Обеспечение соблюдения международных обязательств Кыргызской Республики перед Всемирной торговой организации и эффективное использование преимуществ участия Кыргызской Республики в рамках многосторонней торговой системы</t>
  </si>
  <si>
    <t xml:space="preserve">Количество созданных новых рабочих мест </t>
  </si>
  <si>
    <t>Количество введенных новых предприятий</t>
  </si>
  <si>
    <t>Cодействие в разработке программы комплексного развития регионов, в том числе составление экономических прогнозов</t>
  </si>
  <si>
    <t xml:space="preserve">Создание среды развития для бизнеса   
</t>
  </si>
  <si>
    <t>277</t>
  </si>
  <si>
    <t>Обеспечение организационно-технической деятельности министерства, а также обучение и повышение квалификации сотрудников</t>
  </si>
  <si>
    <t>Доля выданных лицензий на экспорт и импорт товаров, включенных в единый перечень в электронном формате</t>
  </si>
  <si>
    <t>Разработка и внедрение автоматизированной информационной системы по выдаче лицензий на экспорт и импорт  товаров, включенных в единый перечень</t>
  </si>
  <si>
    <t>Внедрение рейтинговой системы оценки социально-экономического развития регионов. Повышения системности, обоснованности и объективности управленческих решений и повышения эффективности</t>
  </si>
  <si>
    <t xml:space="preserve">Разработка системы мониторинга и оценки развития регионов и оценка деятельности Полномочных представителей Президента Кыргызской Республике и  местных государственных администраций, мэрий городов Бишкек, Ош                              </t>
  </si>
  <si>
    <t>«Налогобложение»  Ведение Бизнеса</t>
  </si>
  <si>
    <t>«Разрешение неплатежеспособности» Ведение Бизнеса</t>
  </si>
  <si>
    <t>Обновление и публикация ежегодного отчета по международным рейтингам страны (Ведение бизнеса и суверенный рейтинг)</t>
  </si>
  <si>
    <t>Улучшение позиций страны в международных рейтингах</t>
  </si>
  <si>
    <t>млн. сом.</t>
  </si>
  <si>
    <t>Поступления в республиканский бюджет</t>
  </si>
  <si>
    <t>Внедрение электронной системы фискализации налоговых процедур</t>
  </si>
  <si>
    <t xml:space="preserve">в том числе доля золота </t>
  </si>
  <si>
    <t>Темп роста объемов экспорта, в % к предыдущему году</t>
  </si>
  <si>
    <t xml:space="preserve">Развитие экспорта </t>
  </si>
  <si>
    <t>41</t>
  </si>
  <si>
    <t>40,5</t>
  </si>
  <si>
    <t>40</t>
  </si>
  <si>
    <t>39</t>
  </si>
  <si>
    <t>Доля МСП в структуре ВВП</t>
  </si>
  <si>
    <t>Темп реального роста ВВП, в % к предыдущему году</t>
  </si>
  <si>
    <t>Проведение единой согласованной макроэкономической политики</t>
  </si>
  <si>
    <r>
      <t xml:space="preserve">Обеспечение социально-экономического развития Кыргызской Республики                          </t>
    </r>
    <r>
      <rPr>
        <i/>
        <sz val="11"/>
        <rFont val="Times New Roman"/>
        <family val="1"/>
        <charset val="204"/>
      </rPr>
      <t>Цель программы: Формирование единой, согласованной, государственной экономической политики и создание благоприятной среды для ведения предпринимательской деятельности</t>
    </r>
  </si>
  <si>
    <t>276</t>
  </si>
  <si>
    <t>сом.</t>
  </si>
  <si>
    <t>Себестоимость 1 сома собранных таможенных платежей и сборов (Расходы ГТС / Общая сумма поступлений платедей и сборов за год)</t>
  </si>
  <si>
    <t>Администрирование таможенного дела, обеспечение полноты и своевременности поступления таможенных платежей, сборов и других видов платежей на подведомственном уровне</t>
  </si>
  <si>
    <t>Процент выполнения плановых показателей сбора таможенных платжей, сборов и других видов платежей (%)</t>
  </si>
  <si>
    <t xml:space="preserve">Управление и таможенное администритрование на центральном уровне.              </t>
  </si>
  <si>
    <t xml:space="preserve">Планирование, управление и администрирование / Управление, таможенное администритрование и планирование        </t>
  </si>
  <si>
    <t xml:space="preserve">сом </t>
  </si>
  <si>
    <t>Себестоимость 1 сома собранного налога (Расходы ГНС /к общему объему налоговых поступлений)</t>
  </si>
  <si>
    <t>Обеспечение полноты и своевременности поступлений налогов, страховых взносов и других платежей на территориальном уровне</t>
  </si>
  <si>
    <t>% выполнения плановых показателей сбора налогов,страховых взносов и других платежей</t>
  </si>
  <si>
    <t>Налоговое администрирование на центральном уровне</t>
  </si>
  <si>
    <t xml:space="preserve">Администрирование государственных доходов </t>
  </si>
  <si>
    <t>275</t>
  </si>
  <si>
    <t>Объем исполнения плановых показателей по возврату государственных заемных средств</t>
  </si>
  <si>
    <t>Учет, анализ и управление бюджетными кредитами</t>
  </si>
  <si>
    <t>Доля экспертных заключений, подготовленных в установленные сроки</t>
  </si>
  <si>
    <t>Осуществление государственного контроля и надзора за операциями с драгоценными металлами и драгоценными камнями на территории КР</t>
  </si>
  <si>
    <t>Общее время бесперебойного функционирования Портала в течение года</t>
  </si>
  <si>
    <t>7 к 1</t>
  </si>
  <si>
    <t xml:space="preserve">Среднее количество участников в процессе закупок (отношение общего количества поданных заявок к общему количеству объявлений о госзакупках) </t>
  </si>
  <si>
    <t>доля</t>
  </si>
  <si>
    <t xml:space="preserve">Доля объявлений о государственных закупках на Портале госзакупок от общего числа предоставленной информации в Департамент     </t>
  </si>
  <si>
    <t xml:space="preserve"> «А »</t>
  </si>
  <si>
    <t>оценка</t>
  </si>
  <si>
    <t>оценка PEFA  «D»</t>
  </si>
  <si>
    <t xml:space="preserve">Степень удовлетворенности закупающих организаций и поставщиков (подрядчиков) оказанной помощью </t>
  </si>
  <si>
    <t>Обеспечение эффективности государственных закупок</t>
  </si>
  <si>
    <t>Количество слушателей</t>
  </si>
  <si>
    <t>Переподготовка и повышение квалификации сотрудников госуправления и органов МСУ по вопросам  эффективного управления госфинансами</t>
  </si>
  <si>
    <t>274</t>
  </si>
  <si>
    <t>Кассовое обслуживание исполнения бюджета на местном уровне</t>
  </si>
  <si>
    <t>1 мая</t>
  </si>
  <si>
    <t>дата</t>
  </si>
  <si>
    <t>Установленный срок предоставления годового отчета об исполнении государственного бюджета</t>
  </si>
  <si>
    <t>Кассовое исполнение бюджета и формирование отчетности об исполнении бюджета</t>
  </si>
  <si>
    <t xml:space="preserve">Доля получателей бюджетных средств республиканского бюджета, до которых органами казначейства доводятся информация о бюджетных ассигнованиях, лимитах бюджетных средств и кассовых планах </t>
  </si>
  <si>
    <t>273</t>
  </si>
  <si>
    <t>количество районов, ОМСУ</t>
  </si>
  <si>
    <t>Количество районных фин.подразделений (доля) и ОМСУ, в которых применяется автоматизированное программное обеспечение</t>
  </si>
  <si>
    <t xml:space="preserve">Планирование и исполнение местного  бюджета </t>
  </si>
  <si>
    <t>количество ОМСУ</t>
  </si>
  <si>
    <t>Количество проверок ОМСУ в год</t>
  </si>
  <si>
    <t xml:space="preserve">Доля просроченной кредиторской задолженности в расходах местных бюджетов </t>
  </si>
  <si>
    <t>Доля местных бюджетов не получающих межбюджетные трансферты</t>
  </si>
  <si>
    <t>Мониторинг планирования и исполнения местных бюджетов</t>
  </si>
  <si>
    <t xml:space="preserve">Объем просроченной задолженности по государственному внутреннему долгу </t>
  </si>
  <si>
    <t>Доля выпуска ГЦБ на аукционной основе</t>
  </si>
  <si>
    <t>≥ 35%</t>
  </si>
  <si>
    <t>Уровень льготности новых внешних заимствований (% грант-элемента)</t>
  </si>
  <si>
    <t xml:space="preserve">Объем просроченной задолженности по государственному долгу </t>
  </si>
  <si>
    <t>Поддержание устойчивости государственного долга в среднесрочной перспективе</t>
  </si>
  <si>
    <t>Объем привлеченных кредитных средств на льготной основе</t>
  </si>
  <si>
    <t>Объем привлеченной грантовой помощи</t>
  </si>
  <si>
    <t>Планирование  и привлечение государственных инвестиций</t>
  </si>
  <si>
    <t>Ежегодный общий объем финансирования стимулирующих грантов</t>
  </si>
  <si>
    <t>Финансирование проектов за счет стимулирующих грантов</t>
  </si>
  <si>
    <t>Финансирование объектов КВ</t>
  </si>
  <si>
    <t xml:space="preserve">Планирование капитальных расходов 
</t>
  </si>
  <si>
    <t>Объем доходов республиканского бюджета</t>
  </si>
  <si>
    <t>Анализ и оценка ресурсной базы республиканского бюджета</t>
  </si>
  <si>
    <t xml:space="preserve">Количество министерств и ведомств, представивших Среднесрочные стратегии бюджетных расходов к Основным направлениям фискальной политики Кыргызской Республики </t>
  </si>
  <si>
    <t>Доля ГРБС, вовремя (в соответствии с НПА) представивших  проектов бюджетов на программной основе для проекта Закона о республиканском бюджете</t>
  </si>
  <si>
    <t xml:space="preserve">Индекс бюджетной прозрачности   </t>
  </si>
  <si>
    <t>Планирование и прогнозирование бюджета</t>
  </si>
  <si>
    <t>272</t>
  </si>
  <si>
    <t>Управление и администрирование на центральном уровне</t>
  </si>
  <si>
    <t xml:space="preserve">Управление, администрирование                                                                                            </t>
  </si>
  <si>
    <t>271</t>
  </si>
  <si>
    <t>27. Министерство экономики и финансов Кыргызской Республики</t>
  </si>
  <si>
    <t>Эффективное управление государственными финансами</t>
  </si>
  <si>
    <t xml:space="preserve">Кассовое обслуживание исполнения бюджета по доходам и расходам       </t>
  </si>
  <si>
    <t>28. Министерство экономики  Кыргызской Республики</t>
  </si>
  <si>
    <t>28</t>
  </si>
  <si>
    <t>Управление и администрировнаие отрасли на территориальном уровне</t>
  </si>
  <si>
    <t>Благоприятная нормативно-правовая среда для активизации приоритетных сфер экономики</t>
  </si>
  <si>
    <t>Обеспечение благоприятного налогового климата для развития предпринимательства и совершенствование налогового администрирования.</t>
  </si>
  <si>
    <t xml:space="preserve">Проведение анализа влияния и оценки налоговых мер при изменении налогового законодательства. </t>
  </si>
  <si>
    <t>Имплементация требований таможенного законодательства Евразийского экономического союза, регулирующих вопросы упрощения таможенных процедур</t>
  </si>
  <si>
    <t>Обеспечение избежания двойного налогообложения между Кыргызской Республикой и другими государствами</t>
  </si>
  <si>
    <t xml:space="preserve">Обеспечение мероприятий по проведению переговоров, связанных с имущественными вопросами (спорами) с Республикой Казахстан </t>
  </si>
  <si>
    <t>Осуществление мер по применению оздоровительных процедур банкротства с целью сохранения производства должника</t>
  </si>
  <si>
    <t xml:space="preserve">Повышение инвестиционной привлекательности и продвижение проектов в рамках ГЧП, а также улучшение инвестиционного климата страны. </t>
  </si>
  <si>
    <t>Создание благоприятной предпринимательской среды путем принятия соответствующих НПА в сфере предпринимательской деятельности (Развитие и поддержка предпринимательской деятельности, внедрение новых подходов в системе анализа АРВ, лицензионно-разрешительной и контрольно-надзорной сферах)</t>
  </si>
  <si>
    <t>Совершенствование НПА в сфере антимонопольного регулирования, защите и развитии конкуренции, защиты прав потребителей, рекламы, ценового регулирования)</t>
  </si>
  <si>
    <t xml:space="preserve">Совершенствование институциональной базы для продвижения ГЧП в КР </t>
  </si>
  <si>
    <t>Макроэкономическая  политика , стратегическое планирование и  координация донорской помощи</t>
  </si>
  <si>
    <t>Проведение единой согласованной макроэкономической политики при улучшении координации министерств и административных ведомств полномочных представительств Правительства КР в областях мэрии гг, Бишкек и Ош по вопросам макроэкономического анализа и прогнозирования</t>
  </si>
  <si>
    <t>Совершенствование нормативной правовой базы в сфере государственного материального резерва. Ежегодное уточнение номенклатуры и норм накопления материальных ценностей государственного материального резерва</t>
  </si>
  <si>
    <t>Обеспечение стратегического планирования. Разработка мер государственной политики, направленных на обеспечение устойчивого развития  экономики страны и регионов</t>
  </si>
  <si>
    <t>Продвижение принципов зеленой экономики</t>
  </si>
  <si>
    <t>Cодействие в разработке и реализации единой государственной политики комплексного развития регионов, в том числе составление экономических прогнозов</t>
  </si>
  <si>
    <t>Мониторинг и оценка эффективности проектов международной грантовой и технической помощи в КР</t>
  </si>
  <si>
    <t xml:space="preserve">Устойчивый рост экспорта с расширением его географии, а также номенклатуры товаров. </t>
  </si>
  <si>
    <t>Способствование продвижению экспорта отечественных товаров</t>
  </si>
  <si>
    <t>Обеспечить развитие внешнеэкономического сотрудничества путем проведения заседаний межправительственных комиссий по торгово-экономическому сотрудничеству КР с зарубежными странами</t>
  </si>
  <si>
    <t>Формирование благоприятной нормативно-правовой среды  для сокращения технических барьеров и активизации экспортного потенциала. Развитие Халал индустрии</t>
  </si>
  <si>
    <t>Проведение информационно-разъяснительной работы среди субъектов предприниательства, потребителей продукции о требованиях и правилах, устанавливаемых техническими регламентами ТС/ЕАЭС</t>
  </si>
  <si>
    <t>Обеспечить соблюдение международных обязательств Кыргызской Республики перед Всемирной торговой организацией и эффективное использование преимуществ участия Кыргызской Республики в рамках многосторонней торговой системы</t>
  </si>
  <si>
    <t>Развитие предоставления услуг по внешнеэкономической деятельности по принципу "Единого окна"</t>
  </si>
  <si>
    <t>Подтверждение соответствия КЦА на соответствие ИСО/МЭК 17011</t>
  </si>
  <si>
    <t>Единый реестр государственных услуг, система оценки деятельности органов исполнительной власти</t>
  </si>
  <si>
    <t xml:space="preserve">Обеспечение дальнейшей оптимизации системы предоставления госуслуг и формирование Единого реестра функций государственных органов </t>
  </si>
  <si>
    <t xml:space="preserve">Внедрение системы оценки  качества государственного управления, ориентированного на результат госорганов, руководителей госорганов, структурных подразделений госорганов </t>
  </si>
  <si>
    <t>006</t>
  </si>
  <si>
    <t>Координация деятельности министерств и ведомств, связанных с выполнением условий и обязательств по Договору о Евразийском экономическом союзе от 29 мая 2014 г.</t>
  </si>
  <si>
    <t>Проведение комплексной оценки экономических и социальных эффектов от вступления Кыргызской Республики в ЕАЭС</t>
  </si>
  <si>
    <t>Проведение информационных кампаний и обучающих семинаров, мероприятий по информированию населения по  вопросам адаптации Кыргызстана к условиям интеграции в ЕАЭС</t>
  </si>
  <si>
    <t xml:space="preserve">Формирование бюджета, и обеспечение  сбалансированности и устойчивости бюджета                 </t>
  </si>
  <si>
    <t xml:space="preserve">Количество введенных новых предприятий </t>
  </si>
  <si>
    <t>±5</t>
  </si>
  <si>
    <t>Темп роста</t>
  </si>
  <si>
    <t>Количесвто охваченных населенных пунктов</t>
  </si>
  <si>
    <t>Техническое обеспечение ТВ программ  (РРТЦ)</t>
  </si>
  <si>
    <t>Исполнение бюджета по финансированию проектов экономического развития</t>
  </si>
  <si>
    <t>Исполнение бюджета мероприятий по борьбе в COVID - 19 и последствиями его влияния на экономику</t>
  </si>
  <si>
    <t xml:space="preserve">Реализация плана покупки стратегических объектов </t>
  </si>
  <si>
    <t xml:space="preserve">Выполнение плана реализации Государственной программы </t>
  </si>
  <si>
    <t>Приложение 11
к Закону Кыргызской Республики «О республиканском бюджете 
Кыргызской Республики на 2022 год и прогнозе на 2023-2024 годы»</t>
  </si>
  <si>
    <r>
      <t xml:space="preserve">Обеспечение доступа населения к качественному правосудию                                                                     </t>
    </r>
    <r>
      <rPr>
        <i/>
        <sz val="11"/>
        <color theme="1"/>
        <rFont val="Times New Roman"/>
        <family val="1"/>
        <charset val="204"/>
      </rPr>
      <t>Цель программы: Обеспечение справедливости, неотвративности и исполнения судебных решений</t>
    </r>
  </si>
  <si>
    <t>Всего:32648           19018                   8049                      5581         388945321         сом</t>
  </si>
  <si>
    <t>Количество проведенных проверок, количество проверенных материалов об отказе возбуждении уголовных дел, количество выявленных укрытых пресуплений,                                   количество отмененных необоснованных решений следователей, количество внесенных представлений, количество наказанных в административном и дисциплинарном порядке лиц, количество должностных лиц правоохранительных органов, привлеченных к уголовной отвественности.</t>
  </si>
  <si>
    <t>Количество проведенных проверок, количество проверенных материалов об отказе возбуждении уголовных дел, количество выявленных укрытых пресуплений, количество отмененных необоснованных решений следователей, количество внесенных представлений, количество наказанных в административном и дисциплинарном порядке лиц,                                                             количество должностных лиц правоохранительных органов, привлеченных к уголовной ответственности.</t>
  </si>
  <si>
    <t>Количество проведенных проверок, количество проверенных материалов об отказе возбуждении уголовных дел, количество выявленных укрытых пресуплений, количество отмененных необоснованных решений следователей, количество внесенных представлений, количество наказанных в административном и дисциплинарном порядке лиц, количество должностных лиц правоохранительных органов, привлеченных к уголовной ответственности.</t>
  </si>
  <si>
    <t>Надзор за следствием и оперативно-розыскной деятельностью в  следствии Военной прокуратуры и в органах национальной безопасности</t>
  </si>
  <si>
    <t>Количество проведенных проверок и занятий, выступлений в средствах информации  на территориальном уровне согласно утвержденному плану</t>
  </si>
  <si>
    <t xml:space="preserve"> Количество проведенных проверок и занятий, выступлений в средствах информации  на центральном уровне согласно утвержденному плану</t>
  </si>
  <si>
    <t xml:space="preserve">Количество гос.регистрации, перерегистрации и прекращение, апостиль и нот. действий        </t>
  </si>
  <si>
    <t>Исправление и переобучение граждан, совершивших правонарушение, а также социальная интеграция осужденных лиц</t>
  </si>
  <si>
    <t>Обеспечение прозрачности деятельности ГСИН при МЮ КР</t>
  </si>
  <si>
    <r>
      <rPr>
        <b/>
        <sz val="11"/>
        <color theme="1"/>
        <rFont val="Times New Roman"/>
        <family val="1"/>
        <charset val="204"/>
      </rPr>
      <t xml:space="preserve">Реализация государственной политики в сфере миграции                                                                        </t>
    </r>
    <r>
      <rPr>
        <i/>
        <sz val="11"/>
        <color theme="1"/>
        <rFont val="Times New Roman"/>
        <family val="1"/>
        <charset val="204"/>
      </rPr>
      <t xml:space="preserve">Цель программы: Снижение оттока трудовых ресурсов из страны, высокий уровень защиты интересов мигрантов (включая трудовых мигрантов) за рубежом, контроль иностранной рабочей силы, кайрылманов, потока беженцев, борьба с торговлей людьми       </t>
    </r>
  </si>
  <si>
    <t>Количество граждан Кыргызской Республики, трудоустроенных на внешнем рынке при содействии Информационно-консультационного центра  и Частного агентство занятости</t>
  </si>
  <si>
    <t xml:space="preserve">Количество рассмотренных разрешительных документов иностранным гражданам и лицам без гражданства                                                                                               </t>
  </si>
  <si>
    <t>Количество граждан Кыргызской Республики, трудоустроенных на внешнем рынке при содействии Информационно-консультационного центра  и Частного агентства занятости</t>
  </si>
  <si>
    <t>Охват беременных женщин, вставших на учет по поводу беременности, профилактическими осмотрами у стоматолога</t>
  </si>
  <si>
    <t xml:space="preserve"> Министерство экономики и финансов  Кыргызской Республики (Трансферты ФОМС при Министерстве здравоохранения и социального развития Кыргызской Республики)</t>
  </si>
  <si>
    <t>Доля санированных беременных женщин, вставших на учет по поводу беременности, из числа выявленных при профилактическом осмотре</t>
  </si>
  <si>
    <t xml:space="preserve"> Министерство экономики и  финансов  Кыргызской Республики (Трансферты Социальному фонду  при Министерстве здравоохранения и социального развития Кыргызской Республики)</t>
  </si>
  <si>
    <t xml:space="preserve">35.  Государственное агентство интеллектуальной собственности и инноваций при Кабинете Министров Кыргызской Республики </t>
  </si>
  <si>
    <t>60. Государственное агентство архитектуры , строительства и жилищно-коммунального хозяйства при Кабинете Министров Кыргызской Республики</t>
  </si>
  <si>
    <t>Государственная служба исполнения наказаний при Министерстве юстиции Кыргызской Республики</t>
  </si>
  <si>
    <t>Руководство и контроль обеспечения деятельности ГСИН и организация деятельности подразделения</t>
  </si>
  <si>
    <t>Организация деятельности и службы обеспечения подразделений ГСИН</t>
  </si>
  <si>
    <t>Обеспечение инфракструктуры в лечебных учреждений в ГСИН</t>
  </si>
  <si>
    <t>Департамент по охране исправительных учреждений и конвоированию осужденных и лиц, заключенных под стражу  Государственной службы исполнения наказаний при Министерстве юстиции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</si>
</sst>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_-* #,##0.00\ _с_о_м_-;\-* #,##0.00\ _с_о_м_-;_-* &quot;-&quot;??\ _с_о_м_-;_-@_-"/>
    <numFmt numFmtId="165" formatCode="_-* #,##0.00\ &quot;₽&quot;_-;\-* #,##0.00\ &quot;₽&quot;_-;_-* &quot;-&quot;??\ &quot;₽&quot;_-;_-@_-"/>
    <numFmt numFmtId="166" formatCode="_-* #,##0.00\ _₽_-;\-* #,##0.00\ _₽_-;_-* &quot;-&quot;??\ _₽_-;_-@_-"/>
    <numFmt numFmtId="167" formatCode="#,##0.0"/>
    <numFmt numFmtId="168" formatCode="0.0"/>
    <numFmt numFmtId="169" formatCode="_(* #,##0.00_);_(* \(#,##0.00\);_(* &quot;-&quot;??_);_(@_)"/>
    <numFmt numFmtId="170" formatCode="###,000__;\-###,000__"/>
    <numFmt numFmtId="171" formatCode="##,#00__;\-##,#00__"/>
    <numFmt numFmtId="172" formatCode="#,##0.0_р_."/>
    <numFmt numFmtId="173" formatCode="000000"/>
    <numFmt numFmtId="174" formatCode="0.00;[Red]0.00"/>
    <numFmt numFmtId="175" formatCode="0;[Red]0"/>
    <numFmt numFmtId="176" formatCode="0.000"/>
    <numFmt numFmtId="177" formatCode="###,000;[Red]\-###,000"/>
    <numFmt numFmtId="178" formatCode="#,##0_ ;[Red]\-#,##0\ "/>
    <numFmt numFmtId="179" formatCode="#,##0_ ;\-#,##0\ "/>
    <numFmt numFmtId="180" formatCode="0.0%"/>
    <numFmt numFmtId="181" formatCode="_-* #,##0.0_р_._-;\-* #,##0.0_р_._-;_-* &quot;-&quot;??_р_._-;_-@_-"/>
    <numFmt numFmtId="182" formatCode="_-* #,##0.0_р_._-;\-* #,##0.0_р_._-;_-* &quot;-&quot;?_р_._-;_-@_-"/>
    <numFmt numFmtId="183" formatCode="_-* #,##0.00\ _р_._-;\-* #,##0.00\ _р_._-;_-* &quot;-&quot;??\ _р_._-;_-@_-"/>
    <numFmt numFmtId="184" formatCode="_-* #,##0.0\ _₽_-;\-* #,##0.0\ _₽_-;_-* &quot;-&quot;?\ _₽_-;_-@_-"/>
    <numFmt numFmtId="185" formatCode="#,##0.0_ ;[Red]\-#,##0.0\ "/>
    <numFmt numFmtId="186" formatCode="#,##0.0\ _₽"/>
    <numFmt numFmtId="187" formatCode="0.0000"/>
  </numFmts>
  <fonts count="6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Arial Cyr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Times New Roman"/>
      <family val="1"/>
    </font>
    <font>
      <sz val="10"/>
      <color indexed="8"/>
      <name val="MS Sans Serif"/>
      <family val="2"/>
      <charset val="204"/>
    </font>
    <font>
      <sz val="10"/>
      <name val="Times New Roman Cyr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rgb="FF2B2B2B"/>
      <name val="Times New Roman"/>
      <family val="1"/>
      <charset val="204"/>
    </font>
    <font>
      <b/>
      <sz val="11"/>
      <color rgb="FF2B2B2B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1"/>
      <color indexed="10"/>
      <name val="Times New Roman"/>
      <family val="1"/>
      <charset val="204"/>
    </font>
    <font>
      <sz val="11"/>
      <color indexed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u/>
      <sz val="11"/>
      <color theme="1"/>
      <name val="Times New Roman"/>
      <family val="1"/>
      <charset val="204"/>
    </font>
    <font>
      <i/>
      <sz val="11"/>
      <name val="Times New Roman"/>
      <family val="1"/>
      <charset val="204"/>
    </font>
    <font>
      <sz val="10"/>
      <color indexed="8"/>
      <name val="Arial"/>
      <family val="2"/>
      <charset val="204"/>
    </font>
    <font>
      <sz val="11"/>
      <color rgb="FFFF0000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sz val="11"/>
      <color theme="1" tint="4.9989318521683403E-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8"/>
      <name val="Calibri"/>
      <family val="2"/>
    </font>
    <font>
      <sz val="8"/>
      <name val="Arial"/>
      <family val="2"/>
      <charset val="1"/>
    </font>
    <font>
      <sz val="8"/>
      <name val="Arial"/>
      <family val="2"/>
      <charset val="204"/>
    </font>
    <font>
      <i/>
      <sz val="14"/>
      <color theme="1"/>
      <name val="Times New Roman"/>
      <family val="1"/>
      <charset val="204"/>
    </font>
    <font>
      <i/>
      <sz val="9"/>
      <color indexed="8"/>
      <name val="Arial"/>
      <family val="2"/>
      <charset val="204"/>
    </font>
    <font>
      <b/>
      <sz val="11"/>
      <color theme="1"/>
      <name val="Arial"/>
      <family val="2"/>
      <charset val="204"/>
    </font>
    <font>
      <b/>
      <i/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11"/>
      <name val="Calibri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FFFFFF"/>
        <bgColor rgb="FFFFFFCC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87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11" fillId="0" borderId="0"/>
    <xf numFmtId="0" fontId="12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7" fontId="13" fillId="0" borderId="0"/>
    <xf numFmtId="0" fontId="14" fillId="0" borderId="0"/>
    <xf numFmtId="0" fontId="15" fillId="0" borderId="0"/>
    <xf numFmtId="0" fontId="15" fillId="0" borderId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21" fillId="0" borderId="0"/>
    <xf numFmtId="164" fontId="1" fillId="0" borderId="0" applyFont="0" applyFill="0" applyBorder="0" applyAlignment="0" applyProtection="0"/>
    <xf numFmtId="0" fontId="11" fillId="0" borderId="0"/>
    <xf numFmtId="0" fontId="11" fillId="0" borderId="0"/>
    <xf numFmtId="0" fontId="27" fillId="0" borderId="0"/>
    <xf numFmtId="0" fontId="2" fillId="0" borderId="0"/>
    <xf numFmtId="166" fontId="2" fillId="0" borderId="0" applyFont="0" applyFill="0" applyBorder="0" applyAlignment="0" applyProtection="0"/>
    <xf numFmtId="0" fontId="10" fillId="0" borderId="0"/>
    <xf numFmtId="0" fontId="1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34" fillId="0" borderId="4">
      <alignment vertical="center" wrapText="1"/>
    </xf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5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39" fillId="21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22" borderId="0" applyNumberFormat="0" applyBorder="0" applyAlignment="0" applyProtection="0"/>
    <xf numFmtId="0" fontId="39" fillId="11" borderId="0" applyNumberFormat="0" applyBorder="0" applyAlignment="0" applyProtection="0"/>
    <xf numFmtId="0" fontId="39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39" fillId="26" borderId="0" applyNumberFormat="0" applyBorder="0" applyAlignment="0" applyProtection="0"/>
    <xf numFmtId="0" fontId="39" fillId="22" borderId="0" applyNumberFormat="0" applyBorder="0" applyAlignment="0" applyProtection="0"/>
    <xf numFmtId="0" fontId="39" fillId="11" borderId="0" applyNumberFormat="0" applyBorder="0" applyAlignment="0" applyProtection="0"/>
    <xf numFmtId="0" fontId="39" fillId="27" borderId="0" applyNumberFormat="0" applyBorder="0" applyAlignment="0" applyProtection="0"/>
    <xf numFmtId="0" fontId="46" fillId="13" borderId="0" applyNumberFormat="0" applyBorder="0" applyAlignment="0" applyProtection="0"/>
    <xf numFmtId="0" fontId="42" fillId="9" borderId="9" applyNumberFormat="0" applyAlignment="0" applyProtection="0"/>
    <xf numFmtId="0" fontId="44" fillId="28" borderId="10" applyNumberFormat="0" applyAlignment="0" applyProtection="0"/>
    <xf numFmtId="0" fontId="47" fillId="0" borderId="0" applyNumberFormat="0" applyFill="0" applyBorder="0" applyAlignment="0" applyProtection="0"/>
    <xf numFmtId="0" fontId="50" fillId="14" borderId="0" applyNumberFormat="0" applyBorder="0" applyAlignment="0" applyProtection="0"/>
    <xf numFmtId="0" fontId="51" fillId="0" borderId="11" applyNumberFormat="0" applyFill="0" applyAlignment="0" applyProtection="0"/>
    <xf numFmtId="0" fontId="52" fillId="0" borderId="12" applyNumberFormat="0" applyFill="0" applyAlignment="0" applyProtection="0"/>
    <xf numFmtId="0" fontId="53" fillId="0" borderId="13" applyNumberFormat="0" applyFill="0" applyAlignment="0" applyProtection="0"/>
    <xf numFmtId="0" fontId="53" fillId="0" borderId="0" applyNumberFormat="0" applyFill="0" applyBorder="0" applyAlignment="0" applyProtection="0"/>
    <xf numFmtId="0" fontId="40" fillId="7" borderId="9" applyNumberFormat="0" applyAlignment="0" applyProtection="0"/>
    <xf numFmtId="0" fontId="48" fillId="0" borderId="14" applyNumberFormat="0" applyFill="0" applyAlignment="0" applyProtection="0"/>
    <xf numFmtId="0" fontId="45" fillId="10" borderId="0" applyNumberFormat="0" applyBorder="0" applyAlignment="0" applyProtection="0"/>
    <xf numFmtId="0" fontId="27" fillId="8" borderId="15" applyNumberFormat="0" applyFont="0" applyAlignment="0" applyProtection="0"/>
    <xf numFmtId="0" fontId="41" fillId="9" borderId="16" applyNumberFormat="0" applyAlignment="0" applyProtection="0"/>
    <xf numFmtId="0" fontId="54" fillId="0" borderId="0" applyNumberFormat="0" applyFill="0" applyBorder="0" applyAlignment="0" applyProtection="0"/>
    <xf numFmtId="0" fontId="43" fillId="0" borderId="17" applyNumberFormat="0" applyFill="0" applyAlignment="0" applyProtection="0"/>
    <xf numFmtId="0" fontId="49" fillId="0" borderId="0" applyNumberFormat="0" applyFill="0" applyBorder="0" applyAlignment="0" applyProtection="0"/>
    <xf numFmtId="0" fontId="27" fillId="0" borderId="0"/>
    <xf numFmtId="0" fontId="5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0" borderId="0"/>
    <xf numFmtId="0" fontId="56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6" fillId="0" borderId="0"/>
    <xf numFmtId="183" fontId="21" fillId="0" borderId="0" applyFont="0" applyFill="0" applyBorder="0" applyAlignment="0" applyProtection="0"/>
    <xf numFmtId="0" fontId="57" fillId="0" borderId="0"/>
    <xf numFmtId="43" fontId="57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43" fontId="11" fillId="0" borderId="0" applyFont="0" applyFill="0" applyBorder="0" applyAlignment="0" applyProtection="0"/>
    <xf numFmtId="0" fontId="42" fillId="9" borderId="18" applyNumberFormat="0" applyAlignment="0" applyProtection="0"/>
    <xf numFmtId="0" fontId="40" fillId="7" borderId="18" applyNumberFormat="0" applyAlignment="0" applyProtection="0"/>
    <xf numFmtId="0" fontId="27" fillId="8" borderId="19" applyNumberFormat="0" applyFont="0" applyAlignment="0" applyProtection="0"/>
    <xf numFmtId="0" fontId="41" fillId="9" borderId="20" applyNumberFormat="0" applyAlignment="0" applyProtection="0"/>
    <xf numFmtId="0" fontId="43" fillId="0" borderId="21" applyNumberFormat="0" applyFill="0" applyAlignment="0" applyProtection="0"/>
    <xf numFmtId="9" fontId="1" fillId="0" borderId="0" applyFont="0" applyFill="0" applyBorder="0" applyAlignment="0" applyProtection="0"/>
    <xf numFmtId="0" fontId="7" fillId="0" borderId="0"/>
    <xf numFmtId="0" fontId="27" fillId="0" borderId="0"/>
  </cellStyleXfs>
  <cellXfs count="1360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67" fontId="17" fillId="5" borderId="1" xfId="9" applyNumberFormat="1" applyFont="1" applyFill="1" applyBorder="1" applyAlignment="1">
      <alignment horizontal="center" vertical="center" wrapText="1"/>
    </xf>
    <xf numFmtId="9" fontId="17" fillId="5" borderId="1" xfId="9" applyNumberFormat="1" applyFont="1" applyFill="1" applyBorder="1" applyAlignment="1">
      <alignment horizontal="center" vertical="center" wrapText="1"/>
    </xf>
    <xf numFmtId="171" fontId="17" fillId="0" borderId="1" xfId="9" applyNumberFormat="1" applyFont="1" applyBorder="1" applyAlignment="1">
      <alignment horizontal="center" vertical="center"/>
    </xf>
    <xf numFmtId="167" fontId="16" fillId="5" borderId="1" xfId="9" applyNumberFormat="1" applyFont="1" applyFill="1" applyBorder="1" applyAlignment="1">
      <alignment horizontal="center" vertical="center" wrapText="1"/>
    </xf>
    <xf numFmtId="0" fontId="17" fillId="5" borderId="1" xfId="9" applyFont="1" applyFill="1" applyBorder="1" applyAlignment="1">
      <alignment horizontal="center" vertical="center" wrapText="1"/>
    </xf>
    <xf numFmtId="0" fontId="18" fillId="6" borderId="1" xfId="25" applyFont="1" applyFill="1" applyBorder="1" applyAlignment="1">
      <alignment horizontal="left" vertical="top" wrapText="1"/>
    </xf>
    <xf numFmtId="49" fontId="18" fillId="6" borderId="1" xfId="25" applyNumberFormat="1" applyFont="1" applyFill="1" applyBorder="1" applyAlignment="1">
      <alignment horizontal="center" vertical="center" wrapText="1"/>
    </xf>
    <xf numFmtId="0" fontId="18" fillId="6" borderId="1" xfId="25" applyFont="1" applyFill="1" applyBorder="1" applyAlignment="1">
      <alignment horizontal="left" vertical="center" wrapText="1"/>
    </xf>
    <xf numFmtId="0" fontId="5" fillId="2" borderId="1" xfId="25" applyFont="1" applyFill="1" applyBorder="1" applyAlignment="1">
      <alignment horizontal="center" vertical="center" wrapText="1"/>
    </xf>
    <xf numFmtId="0" fontId="5" fillId="2" borderId="1" xfId="25" applyFont="1" applyFill="1" applyBorder="1" applyAlignment="1">
      <alignment horizontal="left" vertical="center" wrapText="1"/>
    </xf>
    <xf numFmtId="168" fontId="5" fillId="2" borderId="1" xfId="25" applyNumberFormat="1" applyFont="1" applyFill="1" applyBorder="1" applyAlignment="1">
      <alignment horizontal="left" vertical="center" wrapText="1"/>
    </xf>
    <xf numFmtId="0" fontId="19" fillId="6" borderId="1" xfId="25" applyFont="1" applyFill="1" applyBorder="1" applyAlignment="1">
      <alignment horizontal="left" vertical="center" wrapText="1"/>
    </xf>
    <xf numFmtId="0" fontId="4" fillId="2" borderId="1" xfId="25" applyFont="1" applyFill="1" applyBorder="1" applyAlignment="1">
      <alignment horizontal="center" vertical="center" wrapText="1"/>
    </xf>
    <xf numFmtId="0" fontId="8" fillId="5" borderId="1" xfId="9" applyFont="1" applyFill="1" applyBorder="1" applyAlignment="1">
      <alignment vertical="center" wrapText="1"/>
    </xf>
    <xf numFmtId="0" fontId="9" fillId="5" borderId="1" xfId="9" applyFont="1" applyFill="1" applyBorder="1" applyAlignment="1">
      <alignment vertical="center" wrapText="1"/>
    </xf>
    <xf numFmtId="0" fontId="9" fillId="5" borderId="1" xfId="9" applyFont="1" applyFill="1" applyBorder="1" applyAlignment="1">
      <alignment horizontal="left" vertical="center" wrapText="1"/>
    </xf>
    <xf numFmtId="0" fontId="9" fillId="5" borderId="1" xfId="5" applyFont="1" applyFill="1" applyBorder="1" applyAlignment="1">
      <alignment horizontal="left" vertical="center" wrapText="1"/>
    </xf>
    <xf numFmtId="0" fontId="4" fillId="2" borderId="1" xfId="25" applyFont="1" applyFill="1" applyBorder="1" applyAlignment="1">
      <alignment horizontal="left" vertical="center" wrapText="1"/>
    </xf>
    <xf numFmtId="0" fontId="9" fillId="0" borderId="0" xfId="0" applyFont="1"/>
    <xf numFmtId="0" fontId="4" fillId="2" borderId="1" xfId="0" applyFont="1" applyFill="1" applyBorder="1" applyAlignment="1">
      <alignment vertical="center" wrapText="1"/>
    </xf>
    <xf numFmtId="0" fontId="9" fillId="2" borderId="0" xfId="0" applyFont="1" applyFill="1"/>
    <xf numFmtId="0" fontId="5" fillId="2" borderId="1" xfId="0" applyFont="1" applyFill="1" applyBorder="1" applyAlignment="1">
      <alignment wrapText="1"/>
    </xf>
    <xf numFmtId="9" fontId="5" fillId="2" borderId="1" xfId="0" applyNumberFormat="1" applyFont="1" applyFill="1" applyBorder="1" applyAlignment="1">
      <alignment horizontal="center" vertical="center" wrapText="1"/>
    </xf>
    <xf numFmtId="167" fontId="4" fillId="3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/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/>
    <xf numFmtId="49" fontId="4" fillId="0" borderId="1" xfId="0" applyNumberFormat="1" applyFont="1" applyFill="1" applyBorder="1" applyAlignment="1">
      <alignment horizontal="center" vertical="center" wrapText="1"/>
    </xf>
    <xf numFmtId="168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center" wrapText="1"/>
    </xf>
    <xf numFmtId="49" fontId="5" fillId="0" borderId="1" xfId="0" applyNumberFormat="1" applyFont="1" applyBorder="1"/>
    <xf numFmtId="0" fontId="9" fillId="5" borderId="1" xfId="14" applyFont="1" applyFill="1" applyBorder="1" applyAlignment="1">
      <alignment horizontal="center" vertical="center" wrapText="1"/>
    </xf>
    <xf numFmtId="168" fontId="9" fillId="5" borderId="1" xfId="14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vertical="center" wrapText="1"/>
    </xf>
    <xf numFmtId="9" fontId="9" fillId="5" borderId="1" xfId="14" applyNumberFormat="1" applyFont="1" applyFill="1" applyBorder="1" applyAlignment="1">
      <alignment horizontal="center" vertical="center" wrapText="1"/>
    </xf>
    <xf numFmtId="168" fontId="9" fillId="2" borderId="1" xfId="14" applyNumberFormat="1" applyFont="1" applyFill="1" applyBorder="1" applyAlignment="1">
      <alignment horizontal="center" vertical="center" wrapText="1"/>
    </xf>
    <xf numFmtId="0" fontId="9" fillId="5" borderId="1" xfId="14" applyFont="1" applyFill="1" applyBorder="1" applyAlignment="1">
      <alignment vertical="center" wrapText="1"/>
    </xf>
    <xf numFmtId="0" fontId="17" fillId="5" borderId="1" xfId="6" applyFont="1" applyFill="1" applyBorder="1" applyAlignment="1">
      <alignment vertical="center" wrapText="1"/>
    </xf>
    <xf numFmtId="0" fontId="16" fillId="5" borderId="1" xfId="14" applyFont="1" applyFill="1" applyBorder="1" applyAlignment="1">
      <alignment horizontal="left" vertical="center" wrapText="1"/>
    </xf>
    <xf numFmtId="167" fontId="17" fillId="5" borderId="1" xfId="14" applyNumberFormat="1" applyFont="1" applyFill="1" applyBorder="1" applyAlignment="1">
      <alignment horizontal="center" vertical="center" wrapText="1"/>
    </xf>
    <xf numFmtId="0" fontId="17" fillId="5" borderId="1" xfId="14" applyFont="1" applyFill="1" applyBorder="1" applyAlignment="1">
      <alignment horizontal="center" vertical="center" wrapText="1"/>
    </xf>
    <xf numFmtId="0" fontId="9" fillId="0" borderId="1" xfId="6" applyFont="1" applyBorder="1" applyAlignment="1">
      <alignment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17" fillId="0" borderId="1" xfId="14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9" fillId="2" borderId="1" xfId="14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/>
    <xf numFmtId="0" fontId="5" fillId="0" borderId="1" xfId="0" applyFont="1" applyBorder="1" applyAlignment="1">
      <alignment horizontal="justify" vertical="center" wrapText="1"/>
    </xf>
    <xf numFmtId="0" fontId="17" fillId="2" borderId="1" xfId="14" applyFont="1" applyFill="1" applyBorder="1" applyAlignment="1">
      <alignment horizontal="center" vertical="center" wrapText="1"/>
    </xf>
    <xf numFmtId="0" fontId="17" fillId="5" borderId="1" xfId="14" applyFont="1" applyFill="1" applyBorder="1" applyAlignment="1">
      <alignment horizontal="left" vertical="center" wrapText="1"/>
    </xf>
    <xf numFmtId="0" fontId="5" fillId="2" borderId="1" xfId="14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16" fillId="0" borderId="1" xfId="14" applyFont="1" applyBorder="1" applyAlignment="1">
      <alignment horizontal="center" vertical="center" wrapText="1"/>
    </xf>
    <xf numFmtId="0" fontId="16" fillId="5" borderId="1" xfId="14" applyFont="1" applyFill="1" applyBorder="1" applyAlignment="1">
      <alignment horizontal="center" vertical="center" wrapText="1"/>
    </xf>
    <xf numFmtId="0" fontId="23" fillId="2" borderId="1" xfId="14" applyFont="1" applyFill="1" applyBorder="1" applyAlignment="1">
      <alignment horizontal="center" vertical="center" wrapText="1"/>
    </xf>
    <xf numFmtId="0" fontId="8" fillId="0" borderId="1" xfId="6" applyFont="1" applyFill="1" applyBorder="1" applyAlignment="1">
      <alignment vertical="center" wrapText="1"/>
    </xf>
    <xf numFmtId="0" fontId="16" fillId="0" borderId="1" xfId="14" applyFont="1" applyFill="1" applyBorder="1" applyAlignment="1">
      <alignment horizontal="center" vertical="center" wrapText="1"/>
    </xf>
    <xf numFmtId="167" fontId="16" fillId="0" borderId="1" xfId="14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16" fillId="0" borderId="1" xfId="6" applyFont="1" applyFill="1" applyBorder="1" applyAlignment="1">
      <alignment vertical="center" wrapText="1"/>
    </xf>
    <xf numFmtId="49" fontId="4" fillId="0" borderId="1" xfId="0" applyNumberFormat="1" applyFont="1" applyFill="1" applyBorder="1"/>
    <xf numFmtId="0" fontId="17" fillId="0" borderId="1" xfId="14" applyFont="1" applyFill="1" applyBorder="1" applyAlignment="1">
      <alignment horizontal="center" vertical="center" wrapText="1"/>
    </xf>
    <xf numFmtId="167" fontId="9" fillId="5" borderId="1" xfId="14" applyNumberFormat="1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1" xfId="0" applyFont="1" applyBorder="1" applyAlignment="1">
      <alignment vertical="top" wrapText="1"/>
    </xf>
    <xf numFmtId="0" fontId="5" fillId="0" borderId="1" xfId="1" applyFont="1" applyFill="1" applyBorder="1" applyAlignment="1">
      <alignment vertical="center" wrapText="1"/>
    </xf>
    <xf numFmtId="172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2" borderId="0" xfId="0" applyFont="1" applyFill="1"/>
    <xf numFmtId="49" fontId="9" fillId="2" borderId="1" xfId="28" applyNumberFormat="1" applyFont="1" applyFill="1" applyBorder="1" applyAlignment="1">
      <alignment horizontal="center" vertical="top"/>
    </xf>
    <xf numFmtId="173" fontId="9" fillId="2" borderId="1" xfId="30" applyNumberFormat="1" applyFont="1" applyFill="1" applyBorder="1"/>
    <xf numFmtId="0" fontId="9" fillId="2" borderId="1" xfId="30" applyFont="1" applyFill="1" applyBorder="1" applyAlignment="1">
      <alignment horizontal="center" vertical="center" wrapText="1"/>
    </xf>
    <xf numFmtId="0" fontId="5" fillId="2" borderId="1" xfId="31" applyFont="1" applyFill="1" applyBorder="1" applyAlignment="1">
      <alignment horizontal="center" vertical="center" wrapText="1"/>
    </xf>
    <xf numFmtId="0" fontId="5" fillId="2" borderId="1" xfId="31" applyFont="1" applyFill="1" applyBorder="1" applyAlignment="1">
      <alignment horizontal="center" vertical="center"/>
    </xf>
    <xf numFmtId="0" fontId="28" fillId="2" borderId="0" xfId="0" applyFont="1" applyFill="1"/>
    <xf numFmtId="0" fontId="5" fillId="2" borderId="0" xfId="0" applyFont="1" applyFill="1" applyBorder="1"/>
    <xf numFmtId="0" fontId="5" fillId="2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/>
    </xf>
    <xf numFmtId="49" fontId="5" fillId="2" borderId="1" xfId="0" applyNumberFormat="1" applyFont="1" applyFill="1" applyBorder="1" applyAlignment="1">
      <alignment horizontal="left" vertical="top" wrapText="1"/>
    </xf>
    <xf numFmtId="175" fontId="5" fillId="2" borderId="1" xfId="0" applyNumberFormat="1" applyFont="1" applyFill="1" applyBorder="1" applyAlignment="1">
      <alignment horizontal="center" vertical="center"/>
    </xf>
    <xf numFmtId="168" fontId="5" fillId="0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 wrapText="1"/>
    </xf>
    <xf numFmtId="167" fontId="8" fillId="2" borderId="1" xfId="0" applyNumberFormat="1" applyFont="1" applyFill="1" applyBorder="1" applyAlignment="1">
      <alignment horizontal="right" vertical="center" wrapText="1"/>
    </xf>
    <xf numFmtId="167" fontId="9" fillId="2" borderId="1" xfId="0" applyNumberFormat="1" applyFont="1" applyFill="1" applyBorder="1" applyAlignment="1">
      <alignment horizontal="right" vertical="center" wrapText="1"/>
    </xf>
    <xf numFmtId="167" fontId="9" fillId="2" borderId="1" xfId="0" applyNumberFormat="1" applyFont="1" applyFill="1" applyBorder="1" applyAlignment="1">
      <alignment horizontal="right" vertical="center"/>
    </xf>
    <xf numFmtId="167" fontId="8" fillId="2" borderId="1" xfId="31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168" fontId="17" fillId="5" borderId="1" xfId="0" applyNumberFormat="1" applyFont="1" applyFill="1" applyBorder="1" applyAlignment="1">
      <alignment horizontal="center" vertical="center" wrapText="1"/>
    </xf>
    <xf numFmtId="168" fontId="17" fillId="0" borderId="1" xfId="0" applyNumberFormat="1" applyFont="1" applyFill="1" applyBorder="1" applyAlignment="1">
      <alignment horizontal="center" vertical="center" wrapText="1"/>
    </xf>
    <xf numFmtId="3" fontId="17" fillId="5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right" vertical="center"/>
    </xf>
    <xf numFmtId="167" fontId="17" fillId="5" borderId="1" xfId="0" applyNumberFormat="1" applyFont="1" applyFill="1" applyBorder="1" applyAlignment="1">
      <alignment horizontal="center" vertical="center" wrapText="1"/>
    </xf>
    <xf numFmtId="0" fontId="17" fillId="5" borderId="1" xfId="5" applyFont="1" applyFill="1" applyBorder="1" applyAlignment="1">
      <alignment horizontal="left" vertical="center" wrapText="1"/>
    </xf>
    <xf numFmtId="167" fontId="16" fillId="5" borderId="1" xfId="0" applyNumberFormat="1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vertical="center" wrapText="1"/>
    </xf>
    <xf numFmtId="4" fontId="5" fillId="0" borderId="1" xfId="0" applyNumberFormat="1" applyFont="1" applyFill="1" applyBorder="1" applyAlignment="1">
      <alignment horizontal="right" vertical="center" wrapText="1"/>
    </xf>
    <xf numFmtId="167" fontId="20" fillId="0" borderId="1" xfId="0" applyNumberFormat="1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0" fontId="9" fillId="2" borderId="1" xfId="30" applyFont="1" applyFill="1" applyBorder="1" applyAlignment="1">
      <alignment horizontal="left" vertical="center" wrapText="1"/>
    </xf>
    <xf numFmtId="174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0" fontId="5" fillId="2" borderId="1" xfId="5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left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168" fontId="4" fillId="2" borderId="1" xfId="0" applyNumberFormat="1" applyFont="1" applyFill="1" applyBorder="1" applyAlignment="1">
      <alignment horizontal="center" vertical="center" wrapText="1"/>
    </xf>
    <xf numFmtId="0" fontId="9" fillId="0" borderId="1" xfId="5" applyFont="1" applyFill="1" applyBorder="1" applyAlignment="1">
      <alignment vertical="center" wrapText="1"/>
    </xf>
    <xf numFmtId="0" fontId="9" fillId="0" borderId="1" xfId="5" applyFont="1" applyFill="1" applyBorder="1" applyAlignment="1">
      <alignment horizontal="center" vertical="center" wrapText="1"/>
    </xf>
    <xf numFmtId="0" fontId="9" fillId="0" borderId="1" xfId="0" applyFont="1" applyFill="1" applyBorder="1"/>
    <xf numFmtId="180" fontId="5" fillId="2" borderId="1" xfId="0" applyNumberFormat="1" applyFont="1" applyFill="1" applyBorder="1" applyAlignment="1">
      <alignment horizontal="center" vertical="center" wrapText="1"/>
    </xf>
    <xf numFmtId="49" fontId="20" fillId="0" borderId="1" xfId="5" applyNumberFormat="1" applyFont="1" applyFill="1" applyBorder="1" applyAlignment="1">
      <alignment horizontal="left" vertical="center" wrapText="1"/>
    </xf>
    <xf numFmtId="49" fontId="5" fillId="0" borderId="1" xfId="5" applyNumberFormat="1" applyFont="1" applyFill="1" applyBorder="1" applyAlignment="1">
      <alignment horizontal="left" vertical="center" wrapText="1"/>
    </xf>
    <xf numFmtId="172" fontId="9" fillId="0" borderId="0" xfId="0" applyNumberFormat="1" applyFont="1"/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34" fillId="0" borderId="0" xfId="0" applyFont="1"/>
    <xf numFmtId="0" fontId="33" fillId="0" borderId="0" xfId="0" applyFont="1"/>
    <xf numFmtId="0" fontId="4" fillId="2" borderId="1" xfId="0" applyFont="1" applyFill="1" applyBorder="1" applyAlignment="1">
      <alignment horizontal="right" vertical="center"/>
    </xf>
    <xf numFmtId="9" fontId="5" fillId="2" borderId="1" xfId="0" applyNumberFormat="1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top" wrapText="1"/>
    </xf>
    <xf numFmtId="0" fontId="9" fillId="0" borderId="1" xfId="32" applyFont="1" applyBorder="1" applyAlignment="1">
      <alignment wrapText="1"/>
    </xf>
    <xf numFmtId="0" fontId="9" fillId="0" borderId="1" xfId="32" applyFont="1" applyBorder="1" applyAlignment="1">
      <alignment horizontal="center" vertical="center" wrapText="1"/>
    </xf>
    <xf numFmtId="3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Border="1" applyAlignment="1">
      <alignment horizontal="left" vertical="center" wrapText="1"/>
    </xf>
    <xf numFmtId="172" fontId="9" fillId="5" borderId="1" xfId="34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top"/>
    </xf>
    <xf numFmtId="2" fontId="5" fillId="0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/>
    <xf numFmtId="167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right" vertical="center" wrapText="1"/>
    </xf>
    <xf numFmtId="168" fontId="9" fillId="2" borderId="1" xfId="0" applyNumberFormat="1" applyFont="1" applyFill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center"/>
    </xf>
    <xf numFmtId="171" fontId="17" fillId="0" borderId="1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top" wrapText="1"/>
    </xf>
    <xf numFmtId="182" fontId="4" fillId="2" borderId="1" xfId="0" applyNumberFormat="1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vertical="top" wrapText="1"/>
    </xf>
    <xf numFmtId="0" fontId="17" fillId="5" borderId="1" xfId="0" applyFont="1" applyFill="1" applyBorder="1" applyAlignment="1">
      <alignment horizontal="center" vertical="center"/>
    </xf>
    <xf numFmtId="172" fontId="9" fillId="5" borderId="1" xfId="34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167" fontId="5" fillId="2" borderId="1" xfId="25" applyNumberFormat="1" applyFont="1" applyFill="1" applyBorder="1" applyAlignment="1">
      <alignment horizontal="center" vertical="center" wrapText="1"/>
    </xf>
    <xf numFmtId="0" fontId="5" fillId="2" borderId="1" xfId="25" applyFont="1" applyFill="1" applyBorder="1" applyAlignment="1">
      <alignment horizontal="center" vertical="center"/>
    </xf>
    <xf numFmtId="0" fontId="4" fillId="2" borderId="1" xfId="25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68" fontId="4" fillId="0" borderId="1" xfId="0" applyNumberFormat="1" applyFont="1" applyFill="1" applyBorder="1" applyAlignment="1">
      <alignment horizontal="center" vertical="center" wrapText="1"/>
    </xf>
    <xf numFmtId="168" fontId="9" fillId="0" borderId="1" xfId="0" applyNumberFormat="1" applyFont="1" applyFill="1" applyBorder="1" applyAlignment="1">
      <alignment horizontal="center" vertical="center" wrapText="1"/>
    </xf>
    <xf numFmtId="1" fontId="17" fillId="0" borderId="1" xfId="33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8" fillId="5" borderId="1" xfId="35" applyFont="1" applyFill="1" applyBorder="1" applyAlignment="1">
      <alignment horizontal="center" vertical="center" wrapText="1"/>
    </xf>
    <xf numFmtId="0" fontId="17" fillId="5" borderId="1" xfId="35" applyFont="1" applyFill="1" applyBorder="1" applyAlignment="1">
      <alignment horizontal="center" vertical="center" wrapText="1"/>
    </xf>
    <xf numFmtId="0" fontId="28" fillId="5" borderId="1" xfId="35" applyNumberFormat="1" applyFont="1" applyFill="1" applyBorder="1" applyAlignment="1">
      <alignment horizontal="center" vertical="center"/>
    </xf>
    <xf numFmtId="0" fontId="17" fillId="5" borderId="1" xfId="35" applyNumberFormat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170" fontId="9" fillId="0" borderId="1" xfId="0" applyNumberFormat="1" applyFont="1" applyFill="1" applyBorder="1" applyAlignment="1">
      <alignment horizontal="center" vertical="center"/>
    </xf>
    <xf numFmtId="181" fontId="8" fillId="2" borderId="1" xfId="26" applyNumberFormat="1" applyFont="1" applyFill="1" applyBorder="1" applyAlignment="1">
      <alignment horizontal="center" vertical="center"/>
    </xf>
    <xf numFmtId="172" fontId="9" fillId="2" borderId="1" xfId="0" applyNumberFormat="1" applyFont="1" applyFill="1" applyBorder="1" applyAlignment="1">
      <alignment horizontal="center" vertical="center"/>
    </xf>
    <xf numFmtId="181" fontId="9" fillId="0" borderId="1" xfId="26" applyNumberFormat="1" applyFont="1" applyFill="1" applyBorder="1" applyAlignment="1">
      <alignment horizontal="center" vertical="center"/>
    </xf>
    <xf numFmtId="181" fontId="9" fillId="2" borderId="1" xfId="26" applyNumberFormat="1" applyFont="1" applyFill="1" applyBorder="1" applyAlignment="1">
      <alignment horizontal="center" vertical="center"/>
    </xf>
    <xf numFmtId="170" fontId="8" fillId="0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67" fontId="5" fillId="0" borderId="1" xfId="0" applyNumberFormat="1" applyFont="1" applyFill="1" applyBorder="1" applyAlignment="1">
      <alignment horizontal="right" vertical="center" wrapText="1"/>
    </xf>
    <xf numFmtId="1" fontId="5" fillId="0" borderId="1" xfId="0" applyNumberFormat="1" applyFont="1" applyFill="1" applyBorder="1" applyAlignment="1">
      <alignment vertical="center" wrapText="1"/>
    </xf>
    <xf numFmtId="168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5" fillId="5" borderId="1" xfId="14" applyFont="1" applyFill="1" applyBorder="1" applyAlignment="1">
      <alignment horizontal="center" vertical="center" wrapText="1"/>
    </xf>
    <xf numFmtId="0" fontId="4" fillId="5" borderId="1" xfId="14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168" fontId="5" fillId="5" borderId="1" xfId="14" applyNumberFormat="1" applyFont="1" applyFill="1" applyBorder="1" applyAlignment="1">
      <alignment horizontal="center" vertical="center" wrapText="1"/>
    </xf>
    <xf numFmtId="168" fontId="5" fillId="2" borderId="1" xfId="14" applyNumberFormat="1" applyFont="1" applyFill="1" applyBorder="1" applyAlignment="1">
      <alignment horizontal="center" vertical="center" wrapText="1"/>
    </xf>
    <xf numFmtId="167" fontId="5" fillId="5" borderId="1" xfId="14" applyNumberFormat="1" applyFont="1" applyFill="1" applyBorder="1" applyAlignment="1">
      <alignment horizontal="center" vertical="center" wrapText="1"/>
    </xf>
    <xf numFmtId="0" fontId="5" fillId="0" borderId="1" xfId="14" applyFont="1" applyBorder="1" applyAlignment="1">
      <alignment horizontal="center" vertical="center" wrapText="1"/>
    </xf>
    <xf numFmtId="0" fontId="5" fillId="5" borderId="1" xfId="14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left" wrapText="1"/>
    </xf>
    <xf numFmtId="0" fontId="5" fillId="0" borderId="1" xfId="14" applyFont="1" applyBorder="1" applyAlignment="1">
      <alignment horizontal="center" wrapText="1"/>
    </xf>
    <xf numFmtId="167" fontId="4" fillId="5" borderId="1" xfId="14" applyNumberFormat="1" applyFont="1" applyFill="1" applyBorder="1" applyAlignment="1">
      <alignment horizontal="center" vertical="center" wrapText="1"/>
    </xf>
    <xf numFmtId="167" fontId="22" fillId="5" borderId="1" xfId="14" applyNumberFormat="1" applyFont="1" applyFill="1" applyBorder="1" applyAlignment="1">
      <alignment horizontal="center" vertical="center" wrapText="1"/>
    </xf>
    <xf numFmtId="167" fontId="16" fillId="5" borderId="1" xfId="14" applyNumberFormat="1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0" fillId="0" borderId="0" xfId="0" applyFont="1" applyFill="1"/>
    <xf numFmtId="167" fontId="4" fillId="0" borderId="1" xfId="14" applyNumberFormat="1" applyFont="1" applyFill="1" applyBorder="1" applyAlignment="1">
      <alignment horizontal="center" vertical="center" wrapText="1"/>
    </xf>
    <xf numFmtId="0" fontId="4" fillId="0" borderId="1" xfId="14" applyFont="1" applyFill="1" applyBorder="1" applyAlignment="1">
      <alignment horizontal="center" vertical="center" wrapText="1"/>
    </xf>
    <xf numFmtId="0" fontId="5" fillId="0" borderId="1" xfId="14" applyFont="1" applyFill="1" applyBorder="1" applyAlignment="1">
      <alignment horizontal="center" vertical="center" wrapText="1"/>
    </xf>
    <xf numFmtId="49" fontId="5" fillId="0" borderId="1" xfId="0" applyNumberFormat="1" applyFont="1" applyFill="1" applyBorder="1"/>
    <xf numFmtId="4" fontId="4" fillId="0" borderId="1" xfId="14" applyNumberFormat="1" applyFont="1" applyFill="1" applyBorder="1" applyAlignment="1">
      <alignment horizontal="center" vertical="center" wrapText="1"/>
    </xf>
    <xf numFmtId="168" fontId="4" fillId="0" borderId="1" xfId="14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167" fontId="17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/>
    </xf>
    <xf numFmtId="167" fontId="4" fillId="0" borderId="1" xfId="5" applyNumberFormat="1" applyFont="1" applyBorder="1" applyAlignment="1">
      <alignment horizontal="center" vertical="center" wrapText="1"/>
    </xf>
    <xf numFmtId="181" fontId="9" fillId="0" borderId="1" xfId="26" applyNumberFormat="1" applyFont="1" applyBorder="1" applyAlignment="1">
      <alignment vertical="center" wrapText="1"/>
    </xf>
    <xf numFmtId="167" fontId="5" fillId="0" borderId="1" xfId="0" applyNumberFormat="1" applyFont="1" applyBorder="1" applyAlignment="1">
      <alignment horizontal="center"/>
    </xf>
    <xf numFmtId="167" fontId="5" fillId="2" borderId="1" xfId="0" applyNumberFormat="1" applyFont="1" applyFill="1" applyBorder="1" applyAlignment="1">
      <alignment vertical="center" wrapText="1"/>
    </xf>
    <xf numFmtId="49" fontId="5" fillId="2" borderId="1" xfId="165" applyNumberFormat="1" applyFont="1" applyFill="1" applyBorder="1" applyAlignment="1">
      <alignment horizontal="center" vertical="center"/>
    </xf>
    <xf numFmtId="170" fontId="4" fillId="0" borderId="1" xfId="0" applyNumberFormat="1" applyFont="1" applyBorder="1" applyAlignment="1">
      <alignment horizontal="right" vertical="center"/>
    </xf>
    <xf numFmtId="10" fontId="4" fillId="2" borderId="1" xfId="165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30" applyFont="1" applyFill="1" applyBorder="1" applyAlignment="1">
      <alignment vertical="center" wrapText="1"/>
    </xf>
    <xf numFmtId="0" fontId="9" fillId="0" borderId="1" xfId="30" applyFont="1" applyFill="1" applyBorder="1" applyAlignment="1">
      <alignment horizontal="left" vertical="center" wrapText="1"/>
    </xf>
    <xf numFmtId="180" fontId="5" fillId="2" borderId="1" xfId="2" applyNumberFormat="1" applyFont="1" applyFill="1" applyBorder="1" applyAlignment="1">
      <alignment horizontal="center" vertical="center" wrapText="1"/>
    </xf>
    <xf numFmtId="9" fontId="5" fillId="2" borderId="1" xfId="2" applyFont="1" applyFill="1" applyBorder="1" applyAlignment="1">
      <alignment horizontal="center" vertical="center" wrapText="1"/>
    </xf>
    <xf numFmtId="167" fontId="19" fillId="6" borderId="1" xfId="25" applyNumberFormat="1" applyFont="1" applyFill="1" applyBorder="1" applyAlignment="1">
      <alignment horizontal="center" vertical="center" wrapText="1"/>
    </xf>
    <xf numFmtId="9" fontId="9" fillId="0" borderId="1" xfId="43" applyFont="1" applyFill="1" applyBorder="1" applyAlignment="1">
      <alignment horizontal="center" vertical="center" wrapText="1"/>
    </xf>
    <xf numFmtId="180" fontId="9" fillId="0" borderId="1" xfId="43" applyNumberFormat="1" applyFont="1" applyFill="1" applyBorder="1" applyAlignment="1">
      <alignment horizontal="center" vertical="center" wrapText="1"/>
    </xf>
    <xf numFmtId="0" fontId="9" fillId="0" borderId="1" xfId="43" applyNumberFormat="1" applyFont="1" applyFill="1" applyBorder="1" applyAlignment="1">
      <alignment horizontal="center" vertical="center" wrapText="1"/>
    </xf>
    <xf numFmtId="181" fontId="9" fillId="0" borderId="1" xfId="7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/>
    <xf numFmtId="1" fontId="9" fillId="0" borderId="1" xfId="43" applyNumberFormat="1" applyFont="1" applyFill="1" applyBorder="1" applyAlignment="1">
      <alignment horizontal="center" vertical="center" wrapText="1"/>
    </xf>
    <xf numFmtId="180" fontId="9" fillId="0" borderId="1" xfId="43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center"/>
    </xf>
    <xf numFmtId="0" fontId="4" fillId="0" borderId="1" xfId="5" applyFont="1" applyFill="1" applyBorder="1" applyAlignment="1">
      <alignment horizontal="left" vertical="center" wrapText="1"/>
    </xf>
    <xf numFmtId="0" fontId="5" fillId="2" borderId="1" xfId="177" applyFont="1" applyFill="1" applyBorder="1" applyAlignment="1">
      <alignment horizontal="center" vertical="center" wrapText="1"/>
    </xf>
    <xf numFmtId="0" fontId="60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181" fontId="4" fillId="2" borderId="1" xfId="11" applyNumberFormat="1" applyFont="1" applyFill="1" applyBorder="1" applyAlignment="1">
      <alignment horizontal="center" vertical="center" wrapText="1"/>
    </xf>
    <xf numFmtId="168" fontId="17" fillId="0" borderId="1" xfId="185" applyNumberFormat="1" applyFont="1" applyBorder="1" applyAlignment="1">
      <alignment horizontal="center" vertical="center" wrapText="1"/>
    </xf>
    <xf numFmtId="181" fontId="5" fillId="2" borderId="1" xfId="11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84" fontId="4" fillId="2" borderId="1" xfId="11" applyNumberFormat="1" applyFont="1" applyFill="1" applyBorder="1" applyAlignment="1">
      <alignment horizontal="center" vertical="center" wrapText="1"/>
    </xf>
    <xf numFmtId="49" fontId="17" fillId="0" borderId="1" xfId="185" applyNumberFormat="1" applyFont="1" applyBorder="1" applyAlignment="1">
      <alignment horizontal="center" vertical="center"/>
    </xf>
    <xf numFmtId="49" fontId="17" fillId="2" borderId="1" xfId="11" applyNumberFormat="1" applyFont="1" applyFill="1" applyBorder="1" applyAlignment="1">
      <alignment horizontal="center" vertical="center" wrapText="1"/>
    </xf>
    <xf numFmtId="49" fontId="5" fillId="0" borderId="1" xfId="11" applyNumberFormat="1" applyFont="1" applyBorder="1" applyAlignment="1">
      <alignment horizontal="center" vertical="center"/>
    </xf>
    <xf numFmtId="49" fontId="17" fillId="2" borderId="1" xfId="0" applyNumberFormat="1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 wrapText="1"/>
    </xf>
    <xf numFmtId="2" fontId="17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 wrapText="1"/>
    </xf>
    <xf numFmtId="168" fontId="4" fillId="2" borderId="1" xfId="11" applyNumberFormat="1" applyFont="1" applyFill="1" applyBorder="1" applyAlignment="1">
      <alignment horizontal="center" vertical="center" wrapText="1"/>
    </xf>
    <xf numFmtId="167" fontId="16" fillId="2" borderId="1" xfId="11" applyNumberFormat="1" applyFont="1" applyFill="1" applyBorder="1" applyAlignment="1">
      <alignment horizontal="center" vertical="center" wrapText="1"/>
    </xf>
    <xf numFmtId="168" fontId="5" fillId="0" borderId="1" xfId="0" applyNumberFormat="1" applyFont="1" applyBorder="1" applyAlignment="1">
      <alignment horizontal="center" vertical="center"/>
    </xf>
    <xf numFmtId="168" fontId="17" fillId="2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/>
    </xf>
    <xf numFmtId="181" fontId="4" fillId="3" borderId="1" xfId="11" applyNumberFormat="1" applyFont="1" applyFill="1" applyBorder="1" applyAlignment="1">
      <alignment horizontal="center"/>
    </xf>
    <xf numFmtId="167" fontId="16" fillId="3" borderId="1" xfId="11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7" fontId="4" fillId="2" borderId="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vertical="center" wrapText="1"/>
    </xf>
    <xf numFmtId="167" fontId="9" fillId="2" borderId="1" xfId="0" applyNumberFormat="1" applyFont="1" applyFill="1" applyBorder="1" applyAlignment="1">
      <alignment vertical="center" wrapText="1"/>
    </xf>
    <xf numFmtId="167" fontId="4" fillId="3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wrapText="1"/>
    </xf>
    <xf numFmtId="9" fontId="5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168" fontId="9" fillId="2" borderId="1" xfId="0" applyNumberFormat="1" applyFont="1" applyFill="1" applyBorder="1" applyAlignment="1">
      <alignment horizontal="right" vertical="center"/>
    </xf>
    <xf numFmtId="0" fontId="9" fillId="2" borderId="1" xfId="0" applyFont="1" applyFill="1" applyBorder="1"/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/>
    </xf>
    <xf numFmtId="4" fontId="9" fillId="2" borderId="1" xfId="0" applyNumberFormat="1" applyFont="1" applyFill="1" applyBorder="1" applyAlignment="1">
      <alignment vertical="center" wrapText="1"/>
    </xf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right" vertical="center"/>
    </xf>
    <xf numFmtId="170" fontId="4" fillId="0" borderId="1" xfId="5" applyNumberFormat="1" applyFont="1" applyBorder="1" applyAlignment="1">
      <alignment horizontal="center" vertical="center"/>
    </xf>
    <xf numFmtId="0" fontId="4" fillId="2" borderId="1" xfId="5" applyFont="1" applyFill="1" applyBorder="1" applyAlignment="1">
      <alignment horizontal="center" vertical="center"/>
    </xf>
    <xf numFmtId="0" fontId="4" fillId="2" borderId="1" xfId="5" applyFont="1" applyFill="1" applyBorder="1" applyAlignment="1">
      <alignment horizontal="left" vertical="center" wrapText="1"/>
    </xf>
    <xf numFmtId="168" fontId="4" fillId="2" borderId="1" xfId="5" applyNumberFormat="1" applyFont="1" applyFill="1" applyBorder="1" applyAlignment="1">
      <alignment horizontal="center" vertical="center" wrapText="1"/>
    </xf>
    <xf numFmtId="0" fontId="4" fillId="2" borderId="1" xfId="5" applyFont="1" applyFill="1" applyBorder="1" applyAlignment="1">
      <alignment horizontal="center" vertical="center" wrapText="1"/>
    </xf>
    <xf numFmtId="1" fontId="4" fillId="2" borderId="1" xfId="5" applyNumberFormat="1" applyFont="1" applyFill="1" applyBorder="1" applyAlignment="1">
      <alignment horizontal="center" vertical="center" wrapText="1"/>
    </xf>
    <xf numFmtId="167" fontId="4" fillId="2" borderId="1" xfId="5" applyNumberFormat="1" applyFont="1" applyFill="1" applyBorder="1" applyAlignment="1">
      <alignment horizontal="center" vertical="center" wrapText="1"/>
    </xf>
    <xf numFmtId="3" fontId="5" fillId="2" borderId="1" xfId="5" applyNumberFormat="1" applyFont="1" applyFill="1" applyBorder="1" applyAlignment="1">
      <alignment horizontal="center" vertical="center" wrapText="1"/>
    </xf>
    <xf numFmtId="0" fontId="5" fillId="2" borderId="1" xfId="5" applyFont="1" applyFill="1" applyBorder="1" applyAlignment="1">
      <alignment vertical="center" wrapText="1"/>
    </xf>
    <xf numFmtId="0" fontId="9" fillId="2" borderId="1" xfId="5" applyFont="1" applyFill="1" applyBorder="1" applyAlignment="1">
      <alignment horizontal="center" vertical="center" wrapText="1"/>
    </xf>
    <xf numFmtId="3" fontId="9" fillId="2" borderId="1" xfId="5" applyNumberFormat="1" applyFont="1" applyFill="1" applyBorder="1" applyAlignment="1">
      <alignment horizontal="center" vertical="center" wrapText="1"/>
    </xf>
    <xf numFmtId="167" fontId="9" fillId="2" borderId="1" xfId="5" applyNumberFormat="1" applyFont="1" applyFill="1" applyBorder="1" applyAlignment="1">
      <alignment horizontal="center" vertical="center" wrapText="1"/>
    </xf>
    <xf numFmtId="167" fontId="4" fillId="3" borderId="1" xfId="5" applyNumberFormat="1" applyFont="1" applyFill="1" applyBorder="1" applyAlignment="1">
      <alignment horizontal="center"/>
    </xf>
    <xf numFmtId="0" fontId="5" fillId="3" borderId="1" xfId="5" applyFont="1" applyFill="1" applyBorder="1" applyAlignment="1">
      <alignment vertical="center"/>
    </xf>
    <xf numFmtId="49" fontId="4" fillId="2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168" fontId="5" fillId="0" borderId="1" xfId="0" applyNumberFormat="1" applyFont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8" fillId="2" borderId="1" xfId="5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18" fillId="6" borderId="1" xfId="0" applyFont="1" applyFill="1" applyBorder="1" applyAlignment="1">
      <alignment horizontal="center" vertical="center" wrapText="1"/>
    </xf>
    <xf numFmtId="167" fontId="19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 wrapText="1"/>
    </xf>
    <xf numFmtId="0" fontId="20" fillId="2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center"/>
    </xf>
    <xf numFmtId="167" fontId="8" fillId="2" borderId="1" xfId="0" applyNumberFormat="1" applyFont="1" applyFill="1" applyBorder="1"/>
    <xf numFmtId="0" fontId="4" fillId="2" borderId="3" xfId="25" applyFont="1" applyFill="1" applyBorder="1" applyAlignment="1">
      <alignment horizontal="left" vertical="center" wrapText="1"/>
    </xf>
    <xf numFmtId="0" fontId="26" fillId="2" borderId="2" xfId="25" applyFont="1" applyFill="1" applyBorder="1" applyAlignment="1">
      <alignment horizontal="left" vertical="top" wrapText="1"/>
    </xf>
    <xf numFmtId="167" fontId="8" fillId="3" borderId="1" xfId="0" applyNumberFormat="1" applyFont="1" applyFill="1" applyBorder="1" applyAlignment="1">
      <alignment horizontal="center" vertical="center" wrapText="1"/>
    </xf>
    <xf numFmtId="167" fontId="8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67" fontId="8" fillId="0" borderId="1" xfId="28" applyNumberFormat="1" applyFont="1" applyFill="1" applyBorder="1" applyAlignment="1">
      <alignment horizontal="center" vertical="center" wrapText="1"/>
    </xf>
    <xf numFmtId="167" fontId="5" fillId="0" borderId="1" xfId="0" applyNumberFormat="1" applyFont="1" applyFill="1" applyBorder="1" applyAlignment="1">
      <alignment vertical="center" wrapText="1"/>
    </xf>
    <xf numFmtId="171" fontId="5" fillId="0" borderId="1" xfId="0" applyNumberFormat="1" applyFont="1" applyBorder="1" applyAlignment="1">
      <alignment horizontal="center" vertical="center"/>
    </xf>
    <xf numFmtId="9" fontId="5" fillId="2" borderId="1" xfId="43" applyFont="1" applyFill="1" applyBorder="1" applyAlignment="1">
      <alignment horizontal="center" vertical="center" wrapText="1"/>
    </xf>
    <xf numFmtId="9" fontId="4" fillId="0" borderId="1" xfId="43" applyFont="1" applyFill="1" applyBorder="1" applyAlignment="1">
      <alignment horizontal="center" vertical="center" wrapText="1"/>
    </xf>
    <xf numFmtId="9" fontId="4" fillId="0" borderId="1" xfId="43" applyNumberFormat="1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167" fontId="16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1" xfId="6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center"/>
    </xf>
    <xf numFmtId="167" fontId="4" fillId="3" borderId="1" xfId="28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left" vertical="center" wrapText="1"/>
    </xf>
    <xf numFmtId="3" fontId="5" fillId="2" borderId="1" xfId="7" applyNumberFormat="1" applyFont="1" applyFill="1" applyBorder="1" applyAlignment="1">
      <alignment horizontal="center" vertical="center" wrapText="1"/>
    </xf>
    <xf numFmtId="0" fontId="16" fillId="2" borderId="1" xfId="5" applyFont="1" applyFill="1" applyBorder="1" applyAlignment="1">
      <alignment vertical="center" wrapText="1"/>
    </xf>
    <xf numFmtId="167" fontId="16" fillId="2" borderId="1" xfId="5" applyNumberFormat="1" applyFont="1" applyFill="1" applyBorder="1" applyAlignment="1">
      <alignment horizontal="center" vertical="center" wrapText="1"/>
    </xf>
    <xf numFmtId="168" fontId="16" fillId="2" borderId="1" xfId="5" applyNumberFormat="1" applyFont="1" applyFill="1" applyBorder="1" applyAlignment="1">
      <alignment vertical="center" wrapText="1"/>
    </xf>
    <xf numFmtId="0" fontId="17" fillId="2" borderId="1" xfId="186" applyFont="1" applyFill="1" applyBorder="1" applyAlignment="1">
      <alignment vertical="center" wrapText="1"/>
    </xf>
    <xf numFmtId="167" fontId="17" fillId="2" borderId="1" xfId="5" applyNumberFormat="1" applyFont="1" applyFill="1" applyBorder="1" applyAlignment="1">
      <alignment vertical="center" wrapText="1"/>
    </xf>
    <xf numFmtId="0" fontId="17" fillId="2" borderId="1" xfId="5" applyFont="1" applyFill="1" applyBorder="1" applyAlignment="1">
      <alignment vertical="center" wrapText="1"/>
    </xf>
    <xf numFmtId="177" fontId="16" fillId="2" borderId="1" xfId="5" applyNumberFormat="1" applyFont="1" applyFill="1" applyBorder="1" applyAlignment="1">
      <alignment horizontal="center" vertical="center"/>
    </xf>
    <xf numFmtId="177" fontId="16" fillId="2" borderId="1" xfId="5" applyNumberFormat="1" applyFont="1" applyFill="1" applyBorder="1" applyAlignment="1">
      <alignment vertical="center" wrapText="1"/>
    </xf>
    <xf numFmtId="185" fontId="8" fillId="2" borderId="1" xfId="5" applyNumberFormat="1" applyFont="1" applyFill="1" applyBorder="1" applyAlignment="1">
      <alignment horizontal="center" vertical="center"/>
    </xf>
    <xf numFmtId="0" fontId="17" fillId="2" borderId="1" xfId="5" applyFont="1" applyFill="1" applyBorder="1" applyAlignment="1">
      <alignment vertical="center"/>
    </xf>
    <xf numFmtId="168" fontId="16" fillId="2" borderId="1" xfId="5" applyNumberFormat="1" applyFont="1" applyFill="1" applyBorder="1" applyAlignment="1">
      <alignment vertical="center"/>
    </xf>
    <xf numFmtId="0" fontId="17" fillId="2" borderId="1" xfId="5" applyFont="1" applyFill="1" applyBorder="1" applyAlignment="1">
      <alignment horizontal="left" vertical="top" wrapText="1"/>
    </xf>
    <xf numFmtId="168" fontId="16" fillId="2" borderId="1" xfId="5" applyNumberFormat="1" applyFont="1" applyFill="1" applyBorder="1" applyAlignment="1">
      <alignment horizontal="center" vertical="center"/>
    </xf>
    <xf numFmtId="185" fontId="17" fillId="2" borderId="1" xfId="5" applyNumberFormat="1" applyFont="1" applyFill="1" applyBorder="1" applyAlignment="1">
      <alignment horizontal="center" vertical="center"/>
    </xf>
    <xf numFmtId="177" fontId="16" fillId="2" borderId="1" xfId="5" applyNumberFormat="1" applyFont="1" applyFill="1" applyBorder="1" applyAlignment="1">
      <alignment vertical="center"/>
    </xf>
    <xf numFmtId="167" fontId="5" fillId="2" borderId="1" xfId="5" applyNumberFormat="1" applyFont="1" applyFill="1" applyBorder="1" applyAlignment="1">
      <alignment vertical="center"/>
    </xf>
    <xf numFmtId="167" fontId="8" fillId="2" borderId="1" xfId="5" applyNumberFormat="1" applyFont="1" applyFill="1" applyBorder="1" applyAlignment="1">
      <alignment horizontal="center" vertical="center"/>
    </xf>
    <xf numFmtId="0" fontId="6" fillId="2" borderId="1" xfId="5" applyFont="1" applyFill="1" applyBorder="1" applyAlignment="1">
      <alignment vertical="center" wrapText="1"/>
    </xf>
    <xf numFmtId="0" fontId="5" fillId="2" borderId="1" xfId="5" applyFont="1" applyFill="1" applyBorder="1" applyAlignment="1">
      <alignment vertical="center"/>
    </xf>
    <xf numFmtId="167" fontId="16" fillId="3" borderId="1" xfId="5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 wrapText="1"/>
    </xf>
    <xf numFmtId="16" fontId="16" fillId="5" borderId="1" xfId="0" applyNumberFormat="1" applyFont="1" applyFill="1" applyBorder="1" applyAlignment="1">
      <alignment horizontal="center" vertical="center" wrapText="1"/>
    </xf>
    <xf numFmtId="167" fontId="16" fillId="3" borderId="1" xfId="0" applyNumberFormat="1" applyFont="1" applyFill="1" applyBorder="1" applyAlignment="1">
      <alignment horizontal="center"/>
    </xf>
    <xf numFmtId="171" fontId="4" fillId="0" borderId="1" xfId="0" applyNumberFormat="1" applyFont="1" applyFill="1" applyBorder="1" applyAlignment="1">
      <alignment horizontal="center" vertical="center" wrapText="1"/>
    </xf>
    <xf numFmtId="167" fontId="9" fillId="5" borderId="1" xfId="0" applyNumberFormat="1" applyFont="1" applyFill="1" applyBorder="1" applyAlignment="1">
      <alignment horizontal="center" vertical="center" wrapText="1"/>
    </xf>
    <xf numFmtId="167" fontId="62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/>
    <xf numFmtId="0" fontId="4" fillId="0" borderId="1" xfId="0" applyFont="1" applyBorder="1" applyAlignment="1">
      <alignment vertical="center" wrapText="1"/>
    </xf>
    <xf numFmtId="0" fontId="62" fillId="29" borderId="1" xfId="3" applyFont="1" applyFill="1" applyBorder="1" applyAlignment="1">
      <alignment horizontal="left" vertical="center" wrapText="1"/>
    </xf>
    <xf numFmtId="0" fontId="6" fillId="29" borderId="1" xfId="3" applyFont="1" applyFill="1" applyBorder="1" applyAlignment="1">
      <alignment horizontal="center" vertical="center" wrapText="1"/>
    </xf>
    <xf numFmtId="9" fontId="9" fillId="2" borderId="1" xfId="3" applyNumberFormat="1" applyFont="1" applyFill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62" fillId="29" borderId="1" xfId="3" applyFont="1" applyFill="1" applyBorder="1" applyAlignment="1">
      <alignment horizontal="center" vertical="center" wrapText="1"/>
    </xf>
    <xf numFmtId="0" fontId="9" fillId="2" borderId="1" xfId="3" applyFont="1" applyFill="1" applyBorder="1" applyAlignment="1">
      <alignment horizontal="center" vertical="center" wrapText="1"/>
    </xf>
    <xf numFmtId="9" fontId="9" fillId="29" borderId="1" xfId="3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left" vertical="center" wrapText="1"/>
    </xf>
    <xf numFmtId="0" fontId="9" fillId="29" borderId="1" xfId="3" applyFont="1" applyFill="1" applyBorder="1" applyAlignment="1">
      <alignment horizontal="center" vertical="center" wrapText="1"/>
    </xf>
    <xf numFmtId="0" fontId="8" fillId="29" borderId="1" xfId="0" applyFont="1" applyFill="1" applyBorder="1" applyAlignment="1">
      <alignment horizontal="center" vertical="center" wrapText="1"/>
    </xf>
    <xf numFmtId="0" fontId="9" fillId="29" borderId="1" xfId="0" applyFont="1" applyFill="1" applyBorder="1" applyAlignment="1">
      <alignment horizontal="center" vertical="center" wrapText="1"/>
    </xf>
    <xf numFmtId="9" fontId="9" fillId="29" borderId="1" xfId="0" applyNumberFormat="1" applyFont="1" applyFill="1" applyBorder="1" applyAlignment="1">
      <alignment horizontal="center" vertical="center" wrapText="1"/>
    </xf>
    <xf numFmtId="10" fontId="62" fillId="29" borderId="1" xfId="3" applyNumberFormat="1" applyFont="1" applyFill="1" applyBorder="1" applyAlignment="1">
      <alignment horizontal="center" vertical="center" wrapText="1"/>
    </xf>
    <xf numFmtId="10" fontId="9" fillId="29" borderId="1" xfId="0" applyNumberFormat="1" applyFont="1" applyFill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/>
    </xf>
    <xf numFmtId="0" fontId="62" fillId="29" borderId="1" xfId="3" applyFont="1" applyFill="1" applyBorder="1" applyAlignment="1">
      <alignment vertical="center" wrapText="1"/>
    </xf>
    <xf numFmtId="177" fontId="9" fillId="29" borderId="1" xfId="3" applyNumberFormat="1" applyFont="1" applyFill="1" applyBorder="1" applyAlignment="1">
      <alignment vertical="center" wrapText="1"/>
    </xf>
    <xf numFmtId="0" fontId="6" fillId="29" borderId="1" xfId="3" applyFont="1" applyFill="1" applyBorder="1" applyAlignment="1">
      <alignment horizontal="center" vertical="center"/>
    </xf>
    <xf numFmtId="0" fontId="6" fillId="29" borderId="1" xfId="3" applyFont="1" applyFill="1" applyBorder="1" applyAlignment="1">
      <alignment vertical="center" wrapText="1"/>
    </xf>
    <xf numFmtId="177" fontId="9" fillId="29" borderId="1" xfId="3" applyNumberFormat="1" applyFont="1" applyFill="1" applyBorder="1" applyAlignment="1">
      <alignment horizontal="center" vertical="center" wrapText="1"/>
    </xf>
    <xf numFmtId="177" fontId="6" fillId="29" borderId="1" xfId="3" applyNumberFormat="1" applyFont="1" applyFill="1" applyBorder="1" applyAlignment="1">
      <alignment horizontal="center" vertical="center" wrapText="1"/>
    </xf>
    <xf numFmtId="0" fontId="9" fillId="29" borderId="1" xfId="0" applyFont="1" applyFill="1" applyBorder="1" applyAlignment="1">
      <alignment vertical="center" wrapText="1"/>
    </xf>
    <xf numFmtId="0" fontId="4" fillId="3" borderId="1" xfId="0" applyFont="1" applyFill="1" applyBorder="1"/>
    <xf numFmtId="181" fontId="4" fillId="2" borderId="1" xfId="28" applyNumberFormat="1" applyFont="1" applyFill="1" applyBorder="1" applyAlignment="1">
      <alignment vertical="center" wrapText="1"/>
    </xf>
    <xf numFmtId="0" fontId="4" fillId="2" borderId="1" xfId="0" applyFont="1" applyFill="1" applyBorder="1"/>
    <xf numFmtId="181" fontId="5" fillId="2" borderId="1" xfId="28" applyNumberFormat="1" applyFont="1" applyFill="1" applyBorder="1" applyAlignment="1">
      <alignment vertical="center" wrapText="1"/>
    </xf>
    <xf numFmtId="0" fontId="4" fillId="0" borderId="1" xfId="6" applyFont="1" applyFill="1" applyBorder="1" applyAlignment="1">
      <alignment vertical="center" wrapText="1"/>
    </xf>
    <xf numFmtId="176" fontId="5" fillId="0" borderId="1" xfId="0" applyNumberFormat="1" applyFont="1" applyBorder="1"/>
    <xf numFmtId="176" fontId="5" fillId="0" borderId="1" xfId="0" applyNumberFormat="1" applyFont="1" applyBorder="1" applyAlignment="1">
      <alignment wrapText="1"/>
    </xf>
    <xf numFmtId="176" fontId="5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wrapText="1"/>
    </xf>
    <xf numFmtId="176" fontId="5" fillId="0" borderId="1" xfId="0" applyNumberFormat="1" applyFont="1" applyBorder="1" applyAlignment="1">
      <alignment horizontal="left" vertical="center" wrapText="1"/>
    </xf>
    <xf numFmtId="176" fontId="4" fillId="3" borderId="1" xfId="0" applyNumberFormat="1" applyFont="1" applyFill="1" applyBorder="1"/>
    <xf numFmtId="186" fontId="4" fillId="2" borderId="1" xfId="0" applyNumberFormat="1" applyFont="1" applyFill="1" applyBorder="1" applyAlignment="1">
      <alignment horizontal="center" vertical="center" wrapText="1"/>
    </xf>
    <xf numFmtId="186" fontId="5" fillId="2" borderId="1" xfId="0" applyNumberFormat="1" applyFont="1" applyFill="1" applyBorder="1" applyAlignment="1">
      <alignment horizontal="center" vertical="center" wrapText="1"/>
    </xf>
    <xf numFmtId="186" fontId="5" fillId="0" borderId="1" xfId="0" applyNumberFormat="1" applyFont="1" applyBorder="1" applyAlignment="1">
      <alignment horizontal="center" vertical="center"/>
    </xf>
    <xf numFmtId="186" fontId="5" fillId="0" borderId="1" xfId="0" applyNumberFormat="1" applyFont="1" applyBorder="1" applyAlignment="1">
      <alignment horizontal="center" vertical="center" wrapText="1"/>
    </xf>
    <xf numFmtId="0" fontId="16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34" fillId="0" borderId="0" xfId="0" applyFont="1" applyAlignment="1">
      <alignment horizontal="center"/>
    </xf>
    <xf numFmtId="172" fontId="64" fillId="0" borderId="0" xfId="0" applyNumberFormat="1" applyFont="1" applyBorder="1" applyAlignment="1">
      <alignment horizontal="right" vertical="center"/>
    </xf>
    <xf numFmtId="0" fontId="9" fillId="0" borderId="1" xfId="32" applyFont="1" applyBorder="1" applyAlignment="1">
      <alignment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center" vertical="center" wrapText="1"/>
    </xf>
    <xf numFmtId="167" fontId="5" fillId="0" borderId="1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0" fontId="8" fillId="0" borderId="1" xfId="29" applyFont="1" applyFill="1" applyBorder="1" applyAlignment="1">
      <alignment vertical="center" wrapText="1"/>
    </xf>
    <xf numFmtId="172" fontId="4" fillId="2" borderId="1" xfId="0" applyNumberFormat="1" applyFont="1" applyFill="1" applyBorder="1" applyAlignment="1">
      <alignment horizontal="center" vertical="center" wrapText="1"/>
    </xf>
    <xf numFmtId="0" fontId="8" fillId="0" borderId="1" xfId="30" applyFont="1" applyFill="1" applyBorder="1" applyAlignment="1">
      <alignment horizontal="left" vertical="center" wrapText="1"/>
    </xf>
    <xf numFmtId="171" fontId="60" fillId="0" borderId="1" xfId="0" applyNumberFormat="1" applyFont="1" applyFill="1" applyBorder="1" applyAlignment="1">
      <alignment horizontal="center" vertical="center" wrapText="1"/>
    </xf>
    <xf numFmtId="0" fontId="60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vertical="center"/>
    </xf>
    <xf numFmtId="181" fontId="5" fillId="2" borderId="1" xfId="0" applyNumberFormat="1" applyFont="1" applyFill="1" applyBorder="1" applyAlignment="1">
      <alignment horizontal="center" vertical="center" wrapText="1"/>
    </xf>
    <xf numFmtId="181" fontId="5" fillId="2" borderId="1" xfId="28" applyNumberFormat="1" applyFont="1" applyFill="1" applyBorder="1" applyAlignment="1">
      <alignment horizontal="center" vertical="center" wrapText="1"/>
    </xf>
    <xf numFmtId="0" fontId="8" fillId="0" borderId="1" xfId="14" applyFont="1" applyFill="1" applyBorder="1" applyAlignment="1">
      <alignment vertical="center" wrapText="1"/>
    </xf>
    <xf numFmtId="167" fontId="8" fillId="0" borderId="1" xfId="14" applyNumberFormat="1" applyFont="1" applyFill="1" applyBorder="1" applyAlignment="1">
      <alignment horizontal="center" vertical="center" wrapText="1"/>
    </xf>
    <xf numFmtId="0" fontId="8" fillId="0" borderId="1" xfId="14" applyFont="1" applyFill="1" applyBorder="1" applyAlignment="1">
      <alignment horizontal="center" vertical="center" wrapText="1"/>
    </xf>
    <xf numFmtId="49" fontId="8" fillId="0" borderId="1" xfId="14" applyNumberFormat="1" applyFont="1" applyFill="1" applyBorder="1" applyAlignment="1">
      <alignment horizontal="center" vertical="center" wrapText="1"/>
    </xf>
    <xf numFmtId="0" fontId="9" fillId="5" borderId="1" xfId="5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justify" vertical="center" wrapText="1"/>
    </xf>
    <xf numFmtId="177" fontId="4" fillId="0" borderId="1" xfId="0" applyNumberFormat="1" applyFont="1" applyFill="1" applyBorder="1" applyAlignment="1">
      <alignment horizontal="center" vertical="center"/>
    </xf>
    <xf numFmtId="170" fontId="16" fillId="0" borderId="1" xfId="9" applyNumberFormat="1" applyFont="1" applyBorder="1" applyAlignment="1">
      <alignment horizontal="center" vertical="center"/>
    </xf>
    <xf numFmtId="0" fontId="17" fillId="5" borderId="1" xfId="9" applyFont="1" applyFill="1" applyBorder="1" applyAlignment="1">
      <alignment horizontal="center" vertical="center"/>
    </xf>
    <xf numFmtId="0" fontId="16" fillId="5" borderId="1" xfId="9" applyFont="1" applyFill="1" applyBorder="1" applyAlignment="1">
      <alignment horizontal="right" vertical="center"/>
    </xf>
    <xf numFmtId="0" fontId="16" fillId="5" borderId="1" xfId="9" applyFont="1" applyFill="1" applyBorder="1" applyAlignment="1">
      <alignment vertical="center" wrapText="1"/>
    </xf>
    <xf numFmtId="0" fontId="8" fillId="5" borderId="1" xfId="9" applyFont="1" applyFill="1" applyBorder="1" applyAlignment="1">
      <alignment horizontal="left" vertical="center" wrapText="1"/>
    </xf>
    <xf numFmtId="0" fontId="16" fillId="5" borderId="1" xfId="9" applyFont="1" applyFill="1" applyBorder="1" applyAlignment="1">
      <alignment horizontal="center" vertical="center" wrapText="1"/>
    </xf>
    <xf numFmtId="0" fontId="17" fillId="0" borderId="1" xfId="9" applyFont="1" applyBorder="1" applyAlignment="1">
      <alignment horizontal="center" vertical="center"/>
    </xf>
    <xf numFmtId="0" fontId="17" fillId="5" borderId="1" xfId="9" applyFont="1" applyFill="1" applyBorder="1" applyAlignment="1">
      <alignment horizontal="right" vertical="center"/>
    </xf>
    <xf numFmtId="0" fontId="17" fillId="5" borderId="1" xfId="5" applyFont="1" applyFill="1" applyBorder="1" applyAlignment="1">
      <alignment vertical="center" wrapText="1"/>
    </xf>
    <xf numFmtId="49" fontId="17" fillId="5" borderId="1" xfId="9" applyNumberFormat="1" applyFont="1" applyFill="1" applyBorder="1" applyAlignment="1">
      <alignment horizontal="center" vertical="center"/>
    </xf>
    <xf numFmtId="49" fontId="16" fillId="5" borderId="1" xfId="9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8" fontId="16" fillId="5" borderId="1" xfId="0" applyNumberFormat="1" applyFont="1" applyFill="1" applyBorder="1" applyAlignment="1">
      <alignment horizontal="center" vertical="center" wrapText="1"/>
    </xf>
    <xf numFmtId="170" fontId="16" fillId="0" borderId="1" xfId="0" applyNumberFormat="1" applyFont="1" applyBorder="1" applyAlignment="1">
      <alignment horizontal="center" vertical="center"/>
    </xf>
    <xf numFmtId="0" fontId="16" fillId="5" borderId="1" xfId="0" applyFont="1" applyFill="1" applyBorder="1" applyAlignment="1">
      <alignment horizontal="right" vertical="center"/>
    </xf>
    <xf numFmtId="0" fontId="16" fillId="5" borderId="1" xfId="5" applyFont="1" applyFill="1" applyBorder="1" applyAlignment="1">
      <alignment horizontal="left" vertical="center" wrapText="1"/>
    </xf>
    <xf numFmtId="49" fontId="17" fillId="5" borderId="1" xfId="0" applyNumberFormat="1" applyFont="1" applyFill="1" applyBorder="1" applyAlignment="1">
      <alignment horizontal="center" vertical="center"/>
    </xf>
    <xf numFmtId="49" fontId="17" fillId="5" borderId="1" xfId="0" applyNumberFormat="1" applyFont="1" applyFill="1" applyBorder="1" applyAlignment="1">
      <alignment vertical="center"/>
    </xf>
    <xf numFmtId="9" fontId="9" fillId="0" borderId="1" xfId="43" applyFont="1" applyFill="1" applyBorder="1" applyAlignment="1">
      <alignment horizontal="left" vertical="center" wrapText="1"/>
    </xf>
    <xf numFmtId="0" fontId="8" fillId="0" borderId="1" xfId="5" applyFont="1" applyFill="1" applyBorder="1" applyAlignment="1">
      <alignment horizontal="left" vertical="center" wrapText="1"/>
    </xf>
    <xf numFmtId="0" fontId="9" fillId="0" borderId="1" xfId="5" applyFont="1" applyFill="1" applyBorder="1" applyAlignment="1">
      <alignment vertical="top" wrapText="1"/>
    </xf>
    <xf numFmtId="0" fontId="9" fillId="0" borderId="1" xfId="5" applyFont="1" applyFill="1" applyBorder="1" applyAlignment="1">
      <alignment horizontal="center" vertical="top" wrapText="1"/>
    </xf>
    <xf numFmtId="0" fontId="8" fillId="2" borderId="1" xfId="31" applyFont="1" applyFill="1" applyBorder="1" applyAlignment="1">
      <alignment vertical="center" wrapText="1"/>
    </xf>
    <xf numFmtId="174" fontId="4" fillId="2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81" fontId="8" fillId="0" borderId="1" xfId="26" applyNumberFormat="1" applyFont="1" applyBorder="1" applyAlignment="1">
      <alignment vertical="center" wrapText="1"/>
    </xf>
    <xf numFmtId="168" fontId="9" fillId="0" borderId="1" xfId="0" applyNumberFormat="1" applyFont="1" applyBorder="1" applyAlignment="1">
      <alignment horizontal="center" vertical="center"/>
    </xf>
    <xf numFmtId="167" fontId="9" fillId="0" borderId="1" xfId="0" applyNumberFormat="1" applyFont="1" applyBorder="1" applyAlignment="1">
      <alignment horizontal="center" vertical="center"/>
    </xf>
    <xf numFmtId="168" fontId="5" fillId="2" borderId="1" xfId="0" applyNumberFormat="1" applyFont="1" applyFill="1" applyBorder="1" applyAlignment="1">
      <alignment vertical="center" wrapText="1"/>
    </xf>
    <xf numFmtId="170" fontId="4" fillId="0" borderId="1" xfId="5" applyNumberFormat="1" applyFont="1" applyBorder="1" applyAlignment="1">
      <alignment horizontal="right" vertical="center"/>
    </xf>
    <xf numFmtId="171" fontId="5" fillId="0" borderId="1" xfId="5" applyNumberFormat="1" applyFont="1" applyBorder="1" applyAlignment="1">
      <alignment horizontal="center" vertical="center"/>
    </xf>
    <xf numFmtId="167" fontId="5" fillId="2" borderId="1" xfId="5" applyNumberFormat="1" applyFont="1" applyFill="1" applyBorder="1" applyAlignment="1">
      <alignment vertical="center" wrapText="1"/>
    </xf>
    <xf numFmtId="168" fontId="9" fillId="2" borderId="1" xfId="5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70" fontId="4" fillId="0" borderId="1" xfId="0" applyNumberFormat="1" applyFont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top" wrapText="1"/>
    </xf>
    <xf numFmtId="170" fontId="5" fillId="0" borderId="1" xfId="0" applyNumberFormat="1" applyFont="1" applyBorder="1" applyAlignment="1">
      <alignment horizontal="center" vertical="center"/>
    </xf>
    <xf numFmtId="171" fontId="4" fillId="0" borderId="1" xfId="0" applyNumberFormat="1" applyFont="1" applyBorder="1" applyAlignment="1">
      <alignment horizontal="right" vertical="center"/>
    </xf>
    <xf numFmtId="170" fontId="4" fillId="0" borderId="1" xfId="0" applyNumberFormat="1" applyFont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177" fontId="17" fillId="2" borderId="1" xfId="5" applyNumberFormat="1" applyFont="1" applyFill="1" applyBorder="1" applyAlignment="1">
      <alignment horizontal="center" vertical="center"/>
    </xf>
    <xf numFmtId="170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70" fontId="4" fillId="0" borderId="1" xfId="0" applyNumberFormat="1" applyFont="1" applyBorder="1" applyAlignment="1">
      <alignment horizontal="center" vertical="center" wrapText="1"/>
    </xf>
    <xf numFmtId="171" fontId="5" fillId="0" borderId="1" xfId="0" applyNumberFormat="1" applyFont="1" applyBorder="1" applyAlignment="1">
      <alignment horizontal="center" vertical="center" wrapText="1"/>
    </xf>
    <xf numFmtId="0" fontId="4" fillId="3" borderId="26" xfId="1" applyFont="1" applyFill="1" applyBorder="1" applyAlignment="1">
      <alignment horizontal="center" vertical="center" wrapText="1"/>
    </xf>
    <xf numFmtId="177" fontId="4" fillId="4" borderId="26" xfId="0" applyNumberFormat="1" applyFont="1" applyFill="1" applyBorder="1" applyAlignment="1">
      <alignment horizontal="center" vertical="center"/>
    </xf>
    <xf numFmtId="0" fontId="4" fillId="2" borderId="26" xfId="5" applyFont="1" applyFill="1" applyBorder="1" applyAlignment="1">
      <alignment horizontal="center" vertical="center" wrapText="1"/>
    </xf>
    <xf numFmtId="0" fontId="5" fillId="2" borderId="26" xfId="177" applyFont="1" applyFill="1" applyBorder="1" applyAlignment="1">
      <alignment horizontal="center" vertical="center" wrapText="1"/>
    </xf>
    <xf numFmtId="0" fontId="60" fillId="2" borderId="26" xfId="0" applyFont="1" applyFill="1" applyBorder="1" applyAlignment="1">
      <alignment horizontal="center" vertical="center" wrapText="1"/>
    </xf>
    <xf numFmtId="176" fontId="5" fillId="2" borderId="26" xfId="0" applyNumberFormat="1" applyFont="1" applyFill="1" applyBorder="1" applyAlignment="1">
      <alignment horizontal="center" vertical="center" wrapText="1"/>
    </xf>
    <xf numFmtId="179" fontId="4" fillId="0" borderId="25" xfId="0" applyNumberFormat="1" applyFont="1" applyFill="1" applyBorder="1" applyAlignment="1">
      <alignment horizontal="center" vertical="center" wrapText="1"/>
    </xf>
    <xf numFmtId="9" fontId="5" fillId="2" borderId="26" xfId="2" applyFont="1" applyFill="1" applyBorder="1" applyAlignment="1">
      <alignment horizontal="center" vertical="center" wrapText="1"/>
    </xf>
    <xf numFmtId="180" fontId="5" fillId="2" borderId="26" xfId="2" applyNumberFormat="1" applyFont="1" applyFill="1" applyBorder="1" applyAlignment="1">
      <alignment horizontal="center" vertical="center" wrapText="1"/>
    </xf>
    <xf numFmtId="168" fontId="5" fillId="2" borderId="26" xfId="0" applyNumberFormat="1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168" fontId="4" fillId="2" borderId="26" xfId="0" applyNumberFormat="1" applyFont="1" applyFill="1" applyBorder="1" applyAlignment="1">
      <alignment horizontal="center" vertical="center" wrapText="1"/>
    </xf>
    <xf numFmtId="49" fontId="5" fillId="2" borderId="26" xfId="0" applyNumberFormat="1" applyFont="1" applyFill="1" applyBorder="1" applyAlignment="1">
      <alignment horizontal="center" vertical="center" wrapText="1"/>
    </xf>
    <xf numFmtId="171" fontId="8" fillId="2" borderId="25" xfId="0" applyNumberFormat="1" applyFont="1" applyFill="1" applyBorder="1" applyAlignment="1">
      <alignment vertical="center"/>
    </xf>
    <xf numFmtId="168" fontId="5" fillId="0" borderId="26" xfId="0" applyNumberFormat="1" applyFont="1" applyFill="1" applyBorder="1" applyAlignment="1">
      <alignment horizontal="center" vertical="center" wrapText="1"/>
    </xf>
    <xf numFmtId="49" fontId="5" fillId="0" borderId="26" xfId="0" applyNumberFormat="1" applyFont="1" applyFill="1" applyBorder="1" applyAlignment="1">
      <alignment horizontal="center" vertical="center" wrapText="1"/>
    </xf>
    <xf numFmtId="171" fontId="8" fillId="0" borderId="25" xfId="0" applyNumberFormat="1" applyFont="1" applyFill="1" applyBorder="1" applyAlignment="1">
      <alignment vertical="center"/>
    </xf>
    <xf numFmtId="0" fontId="4" fillId="3" borderId="26" xfId="0" applyFont="1" applyFill="1" applyBorder="1" applyAlignment="1">
      <alignment horizontal="center" vertical="center"/>
    </xf>
    <xf numFmtId="49" fontId="8" fillId="0" borderId="26" xfId="14" applyNumberFormat="1" applyFont="1" applyFill="1" applyBorder="1" applyAlignment="1">
      <alignment horizontal="center" vertical="center" wrapText="1"/>
    </xf>
    <xf numFmtId="168" fontId="9" fillId="5" borderId="26" xfId="14" applyNumberFormat="1" applyFont="1" applyFill="1" applyBorder="1" applyAlignment="1">
      <alignment horizontal="center" vertical="center" wrapText="1"/>
    </xf>
    <xf numFmtId="9" fontId="9" fillId="5" borderId="26" xfId="14" applyNumberFormat="1" applyFont="1" applyFill="1" applyBorder="1" applyAlignment="1">
      <alignment horizontal="center" vertical="center" wrapText="1"/>
    </xf>
    <xf numFmtId="0" fontId="9" fillId="5" borderId="26" xfId="14" applyFont="1" applyFill="1" applyBorder="1" applyAlignment="1">
      <alignment horizontal="center" vertical="center" wrapText="1"/>
    </xf>
    <xf numFmtId="0" fontId="4" fillId="0" borderId="26" xfId="14" applyFont="1" applyFill="1" applyBorder="1" applyAlignment="1">
      <alignment horizontal="center" vertical="center" wrapText="1"/>
    </xf>
    <xf numFmtId="0" fontId="5" fillId="5" borderId="26" xfId="14" applyFont="1" applyFill="1" applyBorder="1" applyAlignment="1">
      <alignment horizontal="center" vertical="center" wrapText="1"/>
    </xf>
    <xf numFmtId="168" fontId="5" fillId="2" borderId="26" xfId="14" applyNumberFormat="1" applyFont="1" applyFill="1" applyBorder="1" applyAlignment="1">
      <alignment horizontal="center" vertical="center" wrapText="1"/>
    </xf>
    <xf numFmtId="0" fontId="5" fillId="0" borderId="26" xfId="14" applyFont="1" applyFill="1" applyBorder="1" applyAlignment="1">
      <alignment horizontal="center" vertical="center" wrapText="1"/>
    </xf>
    <xf numFmtId="0" fontId="5" fillId="5" borderId="26" xfId="14" applyFont="1" applyFill="1" applyBorder="1" applyAlignment="1">
      <alignment horizontal="center" wrapText="1"/>
    </xf>
    <xf numFmtId="0" fontId="9" fillId="2" borderId="26" xfId="14" applyFont="1" applyFill="1" applyBorder="1" applyAlignment="1">
      <alignment horizontal="center" vertical="center" wrapText="1"/>
    </xf>
    <xf numFmtId="49" fontId="9" fillId="2" borderId="26" xfId="14" applyNumberFormat="1" applyFont="1" applyFill="1" applyBorder="1" applyAlignment="1">
      <alignment horizontal="center" vertical="center" wrapText="1"/>
    </xf>
    <xf numFmtId="0" fontId="17" fillId="0" borderId="26" xfId="14" applyFont="1" applyFill="1" applyBorder="1" applyAlignment="1">
      <alignment horizontal="center" vertical="center" wrapText="1"/>
    </xf>
    <xf numFmtId="0" fontId="17" fillId="5" borderId="26" xfId="14" applyFont="1" applyFill="1" applyBorder="1" applyAlignment="1">
      <alignment horizontal="center" vertical="center" wrapText="1"/>
    </xf>
    <xf numFmtId="49" fontId="9" fillId="5" borderId="26" xfId="14" applyNumberFormat="1" applyFont="1" applyFill="1" applyBorder="1" applyAlignment="1">
      <alignment horizontal="center" vertical="center" wrapText="1"/>
    </xf>
    <xf numFmtId="177" fontId="4" fillId="0" borderId="26" xfId="0" applyNumberFormat="1" applyFont="1" applyFill="1" applyBorder="1" applyAlignment="1">
      <alignment horizontal="center" vertical="center"/>
    </xf>
    <xf numFmtId="0" fontId="17" fillId="0" borderId="26" xfId="9" applyFont="1" applyBorder="1" applyAlignment="1">
      <alignment horizontal="center" vertical="center"/>
    </xf>
    <xf numFmtId="9" fontId="17" fillId="5" borderId="26" xfId="9" applyNumberFormat="1" applyFont="1" applyFill="1" applyBorder="1" applyAlignment="1">
      <alignment horizontal="center" vertical="center" wrapText="1"/>
    </xf>
    <xf numFmtId="0" fontId="17" fillId="5" borderId="26" xfId="9" applyFont="1" applyFill="1" applyBorder="1" applyAlignment="1">
      <alignment horizontal="center" vertical="center" wrapText="1"/>
    </xf>
    <xf numFmtId="167" fontId="17" fillId="5" borderId="26" xfId="9" applyNumberFormat="1" applyFont="1" applyFill="1" applyBorder="1" applyAlignment="1">
      <alignment horizontal="center" vertical="center" wrapText="1"/>
    </xf>
    <xf numFmtId="167" fontId="5" fillId="2" borderId="26" xfId="25" applyNumberFormat="1" applyFont="1" applyFill="1" applyBorder="1" applyAlignment="1">
      <alignment horizontal="center" vertical="center" wrapText="1"/>
    </xf>
    <xf numFmtId="0" fontId="5" fillId="2" borderId="26" xfId="25" applyFont="1" applyFill="1" applyBorder="1" applyAlignment="1">
      <alignment horizontal="center" vertical="center"/>
    </xf>
    <xf numFmtId="0" fontId="5" fillId="2" borderId="26" xfId="25" applyFont="1" applyFill="1" applyBorder="1" applyAlignment="1">
      <alignment horizontal="center" vertical="center" wrapText="1"/>
    </xf>
    <xf numFmtId="0" fontId="4" fillId="2" borderId="26" xfId="25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17" fillId="5" borderId="26" xfId="0" applyFont="1" applyFill="1" applyBorder="1" applyAlignment="1">
      <alignment horizontal="center" vertical="center" wrapText="1"/>
    </xf>
    <xf numFmtId="3" fontId="17" fillId="5" borderId="26" xfId="0" applyNumberFormat="1" applyFont="1" applyFill="1" applyBorder="1" applyAlignment="1">
      <alignment horizontal="center" vertical="center" wrapText="1"/>
    </xf>
    <xf numFmtId="168" fontId="6" fillId="0" borderId="26" xfId="0" applyNumberFormat="1" applyFont="1" applyBorder="1" applyAlignment="1">
      <alignment horizontal="center" vertical="center"/>
    </xf>
    <xf numFmtId="1" fontId="6" fillId="0" borderId="26" xfId="0" applyNumberFormat="1" applyFont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5" fillId="0" borderId="25" xfId="0" applyFont="1" applyBorder="1"/>
    <xf numFmtId="172" fontId="9" fillId="2" borderId="26" xfId="0" applyNumberFormat="1" applyFont="1" applyFill="1" applyBorder="1" applyAlignment="1">
      <alignment horizontal="center" vertical="center"/>
    </xf>
    <xf numFmtId="172" fontId="9" fillId="0" borderId="26" xfId="5" applyNumberFormat="1" applyFont="1" applyFill="1" applyBorder="1" applyAlignment="1">
      <alignment horizontal="center" vertical="center" wrapText="1"/>
    </xf>
    <xf numFmtId="9" fontId="9" fillId="0" borderId="26" xfId="43" applyFont="1" applyFill="1" applyBorder="1" applyAlignment="1">
      <alignment horizontal="center" vertical="center" wrapText="1"/>
    </xf>
    <xf numFmtId="180" fontId="9" fillId="0" borderId="26" xfId="43" applyNumberFormat="1" applyFont="1" applyFill="1" applyBorder="1" applyAlignment="1">
      <alignment horizontal="center" vertical="center" wrapText="1"/>
    </xf>
    <xf numFmtId="180" fontId="9" fillId="0" borderId="26" xfId="43" applyNumberFormat="1" applyFont="1" applyFill="1" applyBorder="1" applyAlignment="1">
      <alignment horizontal="left" vertical="center" wrapText="1"/>
    </xf>
    <xf numFmtId="9" fontId="9" fillId="0" borderId="26" xfId="43" applyFont="1" applyFill="1" applyBorder="1" applyAlignment="1">
      <alignment horizontal="left" vertical="center" wrapText="1"/>
    </xf>
    <xf numFmtId="1" fontId="9" fillId="0" borderId="26" xfId="43" applyNumberFormat="1" applyFont="1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168" fontId="9" fillId="0" borderId="26" xfId="0" applyNumberFormat="1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/>
    </xf>
    <xf numFmtId="10" fontId="4" fillId="2" borderId="26" xfId="165" applyNumberFormat="1" applyFont="1" applyFill="1" applyBorder="1" applyAlignment="1">
      <alignment horizontal="center" vertical="center" wrapText="1"/>
    </xf>
    <xf numFmtId="167" fontId="5" fillId="2" borderId="26" xfId="0" applyNumberFormat="1" applyFont="1" applyFill="1" applyBorder="1" applyAlignment="1">
      <alignment vertical="center" wrapText="1"/>
    </xf>
    <xf numFmtId="49" fontId="5" fillId="2" borderId="26" xfId="165" applyNumberFormat="1" applyFont="1" applyFill="1" applyBorder="1" applyAlignment="1">
      <alignment horizontal="center" vertical="center"/>
    </xf>
    <xf numFmtId="9" fontId="5" fillId="2" borderId="26" xfId="0" applyNumberFormat="1" applyFont="1" applyFill="1" applyBorder="1" applyAlignment="1">
      <alignment vertical="center" wrapText="1"/>
    </xf>
    <xf numFmtId="0" fontId="9" fillId="0" borderId="26" xfId="0" applyFont="1" applyBorder="1" applyAlignment="1">
      <alignment horizontal="center" vertical="center" wrapText="1"/>
    </xf>
    <xf numFmtId="168" fontId="5" fillId="0" borderId="26" xfId="0" applyNumberFormat="1" applyFont="1" applyFill="1" applyBorder="1" applyAlignment="1">
      <alignment horizontal="center" vertical="center"/>
    </xf>
    <xf numFmtId="2" fontId="5" fillId="0" borderId="26" xfId="0" applyNumberFormat="1" applyFont="1" applyFill="1" applyBorder="1" applyAlignment="1">
      <alignment horizontal="center" vertical="center"/>
    </xf>
    <xf numFmtId="167" fontId="4" fillId="0" borderId="26" xfId="0" applyNumberFormat="1" applyFont="1" applyFill="1" applyBorder="1" applyAlignment="1">
      <alignment horizontal="center" vertical="center"/>
    </xf>
    <xf numFmtId="168" fontId="5" fillId="2" borderId="26" xfId="0" applyNumberFormat="1" applyFont="1" applyFill="1" applyBorder="1" applyAlignment="1">
      <alignment horizontal="center" vertical="center"/>
    </xf>
    <xf numFmtId="1" fontId="5" fillId="2" borderId="26" xfId="0" applyNumberFormat="1" applyFont="1" applyFill="1" applyBorder="1" applyAlignment="1">
      <alignment horizontal="center" vertical="center"/>
    </xf>
    <xf numFmtId="0" fontId="28" fillId="2" borderId="26" xfId="0" applyFont="1" applyFill="1" applyBorder="1" applyAlignment="1">
      <alignment horizontal="center" vertical="center" wrapText="1"/>
    </xf>
    <xf numFmtId="167" fontId="9" fillId="2" borderId="26" xfId="0" applyNumberFormat="1" applyFont="1" applyFill="1" applyBorder="1" applyAlignment="1">
      <alignment horizontal="center" vertical="center" wrapText="1"/>
    </xf>
    <xf numFmtId="167" fontId="5" fillId="2" borderId="26" xfId="0" applyNumberFormat="1" applyFont="1" applyFill="1" applyBorder="1" applyAlignment="1">
      <alignment horizontal="center" vertical="center" wrapText="1"/>
    </xf>
    <xf numFmtId="176" fontId="5" fillId="0" borderId="26" xfId="0" applyNumberFormat="1" applyFont="1" applyBorder="1" applyAlignment="1">
      <alignment horizontal="center" vertical="center"/>
    </xf>
    <xf numFmtId="168" fontId="4" fillId="0" borderId="26" xfId="0" applyNumberFormat="1" applyFont="1" applyFill="1" applyBorder="1" applyAlignment="1">
      <alignment horizontal="center" vertical="center" wrapText="1"/>
    </xf>
    <xf numFmtId="3" fontId="9" fillId="2" borderId="26" xfId="0" applyNumberFormat="1" applyFont="1" applyFill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17" fillId="5" borderId="26" xfId="35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/>
    </xf>
    <xf numFmtId="167" fontId="17" fillId="5" borderId="26" xfId="0" applyNumberFormat="1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/>
    </xf>
    <xf numFmtId="49" fontId="5" fillId="0" borderId="26" xfId="11" applyNumberFormat="1" applyFont="1" applyBorder="1" applyAlignment="1">
      <alignment horizontal="center" vertical="center"/>
    </xf>
    <xf numFmtId="1" fontId="5" fillId="0" borderId="26" xfId="0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center"/>
    </xf>
    <xf numFmtId="168" fontId="17" fillId="2" borderId="26" xfId="0" applyNumberFormat="1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/>
    </xf>
    <xf numFmtId="0" fontId="5" fillId="2" borderId="26" xfId="0" applyFont="1" applyFill="1" applyBorder="1"/>
    <xf numFmtId="3" fontId="5" fillId="2" borderId="26" xfId="0" applyNumberFormat="1" applyFont="1" applyFill="1" applyBorder="1" applyAlignment="1">
      <alignment vertical="center" wrapText="1"/>
    </xf>
    <xf numFmtId="167" fontId="9" fillId="2" borderId="26" xfId="0" applyNumberFormat="1" applyFont="1" applyFill="1" applyBorder="1" applyAlignment="1">
      <alignment vertical="center" wrapText="1"/>
    </xf>
    <xf numFmtId="168" fontId="5" fillId="2" borderId="26" xfId="0" applyNumberFormat="1" applyFont="1" applyFill="1" applyBorder="1" applyAlignment="1">
      <alignment vertical="center" wrapText="1"/>
    </xf>
    <xf numFmtId="168" fontId="9" fillId="2" borderId="26" xfId="0" applyNumberFormat="1" applyFont="1" applyFill="1" applyBorder="1" applyAlignment="1">
      <alignment horizontal="right" vertical="center"/>
    </xf>
    <xf numFmtId="0" fontId="9" fillId="2" borderId="26" xfId="0" applyFont="1" applyFill="1" applyBorder="1"/>
    <xf numFmtId="0" fontId="5" fillId="2" borderId="26" xfId="0" applyFont="1" applyFill="1" applyBorder="1" applyAlignment="1">
      <alignment horizontal="right" vertical="center"/>
    </xf>
    <xf numFmtId="4" fontId="9" fillId="2" borderId="26" xfId="0" applyNumberFormat="1" applyFont="1" applyFill="1" applyBorder="1" applyAlignment="1">
      <alignment vertical="center" wrapText="1"/>
    </xf>
    <xf numFmtId="0" fontId="9" fillId="2" borderId="26" xfId="0" applyFont="1" applyFill="1" applyBorder="1" applyAlignment="1">
      <alignment horizontal="right" vertical="center"/>
    </xf>
    <xf numFmtId="0" fontId="5" fillId="2" borderId="26" xfId="5" applyFont="1" applyFill="1" applyBorder="1" applyAlignment="1">
      <alignment horizontal="center" vertical="center" wrapText="1"/>
    </xf>
    <xf numFmtId="0" fontId="4" fillId="2" borderId="26" xfId="5" applyFont="1" applyFill="1" applyBorder="1" applyAlignment="1">
      <alignment horizontal="center" vertical="center"/>
    </xf>
    <xf numFmtId="0" fontId="5" fillId="2" borderId="26" xfId="5" applyFont="1" applyFill="1" applyBorder="1" applyAlignment="1">
      <alignment horizontal="center" vertical="center"/>
    </xf>
    <xf numFmtId="3" fontId="5" fillId="2" borderId="26" xfId="5" applyNumberFormat="1" applyFont="1" applyFill="1" applyBorder="1" applyAlignment="1">
      <alignment horizontal="center" vertical="center" wrapText="1"/>
    </xf>
    <xf numFmtId="0" fontId="9" fillId="2" borderId="26" xfId="5" applyFont="1" applyFill="1" applyBorder="1" applyAlignment="1">
      <alignment horizontal="center" vertical="center" wrapText="1"/>
    </xf>
    <xf numFmtId="3" fontId="9" fillId="2" borderId="26" xfId="5" applyNumberFormat="1" applyFont="1" applyFill="1" applyBorder="1" applyAlignment="1">
      <alignment horizontal="center" vertical="center" wrapText="1"/>
    </xf>
    <xf numFmtId="167" fontId="9" fillId="2" borderId="26" xfId="5" applyNumberFormat="1" applyFont="1" applyFill="1" applyBorder="1" applyAlignment="1">
      <alignment horizontal="center" vertical="center" wrapText="1"/>
    </xf>
    <xf numFmtId="168" fontId="9" fillId="2" borderId="26" xfId="5" applyNumberFormat="1" applyFont="1" applyFill="1" applyBorder="1" applyAlignment="1">
      <alignment horizontal="center" vertical="center" wrapText="1"/>
    </xf>
    <xf numFmtId="0" fontId="5" fillId="3" borderId="26" xfId="5" applyFont="1" applyFill="1" applyBorder="1"/>
    <xf numFmtId="0" fontId="5" fillId="3" borderId="26" xfId="0" applyFont="1" applyFill="1" applyBorder="1" applyAlignment="1">
      <alignment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3" borderId="26" xfId="0" applyFont="1" applyFill="1" applyBorder="1" applyAlignment="1">
      <alignment horizontal="center" vertical="center" wrapText="1"/>
    </xf>
    <xf numFmtId="167" fontId="8" fillId="2" borderId="26" xfId="0" applyNumberFormat="1" applyFont="1" applyFill="1" applyBorder="1"/>
    <xf numFmtId="167" fontId="9" fillId="2" borderId="26" xfId="0" applyNumberFormat="1" applyFont="1" applyFill="1" applyBorder="1" applyAlignment="1">
      <alignment horizontal="center" vertical="center"/>
    </xf>
    <xf numFmtId="49" fontId="9" fillId="2" borderId="26" xfId="0" applyNumberFormat="1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167" fontId="5" fillId="0" borderId="26" xfId="0" applyNumberFormat="1" applyFont="1" applyFill="1" applyBorder="1" applyAlignment="1">
      <alignment vertical="center" wrapText="1"/>
    </xf>
    <xf numFmtId="167" fontId="5" fillId="0" borderId="26" xfId="0" applyNumberFormat="1" applyFont="1" applyFill="1" applyBorder="1" applyAlignment="1">
      <alignment horizontal="center" vertical="center" wrapText="1"/>
    </xf>
    <xf numFmtId="9" fontId="4" fillId="0" borderId="26" xfId="43" applyNumberFormat="1" applyFont="1" applyFill="1" applyBorder="1" applyAlignment="1">
      <alignment horizontal="center" vertical="center" wrapText="1"/>
    </xf>
    <xf numFmtId="49" fontId="5" fillId="0" borderId="26" xfId="0" applyNumberFormat="1" applyFont="1" applyFill="1" applyBorder="1" applyAlignment="1">
      <alignment horizontal="center" vertical="center"/>
    </xf>
    <xf numFmtId="1" fontId="4" fillId="2" borderId="26" xfId="0" applyNumberFormat="1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/>
    </xf>
    <xf numFmtId="0" fontId="16" fillId="2" borderId="26" xfId="5" applyFont="1" applyFill="1" applyBorder="1" applyAlignment="1">
      <alignment vertical="center" wrapText="1"/>
    </xf>
    <xf numFmtId="167" fontId="17" fillId="2" borderId="26" xfId="5" applyNumberFormat="1" applyFont="1" applyFill="1" applyBorder="1" applyAlignment="1">
      <alignment vertical="center" wrapText="1"/>
    </xf>
    <xf numFmtId="168" fontId="16" fillId="2" borderId="26" xfId="5" applyNumberFormat="1" applyFont="1" applyFill="1" applyBorder="1" applyAlignment="1">
      <alignment vertical="center"/>
    </xf>
    <xf numFmtId="177" fontId="16" fillId="2" borderId="26" xfId="5" applyNumberFormat="1" applyFont="1" applyFill="1" applyBorder="1" applyAlignment="1">
      <alignment vertical="center"/>
    </xf>
    <xf numFmtId="167" fontId="5" fillId="2" borderId="26" xfId="5" applyNumberFormat="1" applyFont="1" applyFill="1" applyBorder="1" applyAlignment="1">
      <alignment vertical="center"/>
    </xf>
    <xf numFmtId="0" fontId="5" fillId="2" borderId="26" xfId="5" applyFont="1" applyFill="1" applyBorder="1" applyAlignment="1">
      <alignment vertical="center"/>
    </xf>
    <xf numFmtId="0" fontId="5" fillId="3" borderId="26" xfId="0" applyFont="1" applyFill="1" applyBorder="1"/>
    <xf numFmtId="0" fontId="16" fillId="5" borderId="26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/>
    <xf numFmtId="9" fontId="9" fillId="2" borderId="26" xfId="3" applyNumberFormat="1" applyFont="1" applyFill="1" applyBorder="1" applyAlignment="1">
      <alignment horizontal="center" vertical="center" wrapText="1"/>
    </xf>
    <xf numFmtId="0" fontId="9" fillId="2" borderId="26" xfId="3" applyFont="1" applyFill="1" applyBorder="1" applyAlignment="1">
      <alignment horizontal="center" vertical="center" wrapText="1"/>
    </xf>
    <xf numFmtId="9" fontId="9" fillId="29" borderId="26" xfId="3" applyNumberFormat="1" applyFont="1" applyFill="1" applyBorder="1" applyAlignment="1">
      <alignment horizontal="center" vertical="center" wrapText="1"/>
    </xf>
    <xf numFmtId="0" fontId="9" fillId="29" borderId="26" xfId="3" applyFont="1" applyFill="1" applyBorder="1" applyAlignment="1">
      <alignment horizontal="center" vertical="center" wrapText="1"/>
    </xf>
    <xf numFmtId="0" fontId="8" fillId="29" borderId="26" xfId="0" applyFont="1" applyFill="1" applyBorder="1" applyAlignment="1">
      <alignment horizontal="center" vertical="center" wrapText="1"/>
    </xf>
    <xf numFmtId="0" fontId="9" fillId="29" borderId="26" xfId="0" applyFont="1" applyFill="1" applyBorder="1" applyAlignment="1">
      <alignment horizontal="center" vertical="center" wrapText="1"/>
    </xf>
    <xf numFmtId="9" fontId="9" fillId="29" borderId="26" xfId="0" applyNumberFormat="1" applyFont="1" applyFill="1" applyBorder="1" applyAlignment="1">
      <alignment horizontal="center" vertical="center" wrapText="1"/>
    </xf>
    <xf numFmtId="0" fontId="6" fillId="29" borderId="26" xfId="3" applyFont="1" applyFill="1" applyBorder="1" applyAlignment="1">
      <alignment horizontal="center" vertical="center"/>
    </xf>
    <xf numFmtId="0" fontId="9" fillId="29" borderId="26" xfId="0" applyFont="1" applyFill="1" applyBorder="1" applyAlignment="1">
      <alignment vertical="center" wrapText="1"/>
    </xf>
    <xf numFmtId="0" fontId="4" fillId="3" borderId="26" xfId="0" applyFont="1" applyFill="1" applyBorder="1"/>
    <xf numFmtId="0" fontId="4" fillId="2" borderId="26" xfId="0" applyFont="1" applyFill="1" applyBorder="1"/>
    <xf numFmtId="0" fontId="5" fillId="0" borderId="26" xfId="0" applyFont="1" applyBorder="1"/>
    <xf numFmtId="9" fontId="5" fillId="2" borderId="26" xfId="0" applyNumberFormat="1" applyFont="1" applyFill="1" applyBorder="1" applyAlignment="1">
      <alignment horizontal="center" vertical="center" wrapText="1"/>
    </xf>
    <xf numFmtId="167" fontId="16" fillId="3" borderId="28" xfId="0" applyNumberFormat="1" applyFont="1" applyFill="1" applyBorder="1" applyAlignment="1">
      <alignment horizontal="center"/>
    </xf>
    <xf numFmtId="0" fontId="5" fillId="3" borderId="28" xfId="0" applyFont="1" applyFill="1" applyBorder="1"/>
    <xf numFmtId="0" fontId="18" fillId="6" borderId="2" xfId="25" applyFont="1" applyFill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/>
    </xf>
    <xf numFmtId="167" fontId="5" fillId="0" borderId="1" xfId="0" applyNumberFormat="1" applyFont="1" applyFill="1" applyBorder="1" applyAlignment="1">
      <alignment horizontal="center" vertical="center" wrapText="1"/>
    </xf>
    <xf numFmtId="167" fontId="5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170" fontId="16" fillId="2" borderId="1" xfId="5" applyNumberFormat="1" applyFont="1" applyFill="1" applyBorder="1" applyAlignment="1">
      <alignment horizontal="center" vertical="center"/>
    </xf>
    <xf numFmtId="171" fontId="17" fillId="2" borderId="1" xfId="5" applyNumberFormat="1" applyFont="1" applyFill="1" applyBorder="1" applyAlignment="1">
      <alignment horizontal="center" vertical="center"/>
    </xf>
    <xf numFmtId="0" fontId="16" fillId="2" borderId="1" xfId="5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16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17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167" fontId="4" fillId="3" borderId="1" xfId="0" applyNumberFormat="1" applyFont="1" applyFill="1" applyBorder="1"/>
    <xf numFmtId="167" fontId="4" fillId="3" borderId="26" xfId="0" applyNumberFormat="1" applyFont="1" applyFill="1" applyBorder="1"/>
    <xf numFmtId="0" fontId="16" fillId="5" borderId="1" xfId="0" applyFont="1" applyFill="1" applyBorder="1" applyAlignment="1">
      <alignment horizontal="left" vertical="center" wrapText="1"/>
    </xf>
    <xf numFmtId="167" fontId="16" fillId="5" borderId="1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26" xfId="0" applyFont="1" applyFill="1" applyBorder="1" applyAlignment="1">
      <alignment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2" borderId="26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67" fontId="4" fillId="0" borderId="1" xfId="0" applyNumberFormat="1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6" fillId="29" borderId="1" xfId="3" applyFont="1" applyFill="1" applyBorder="1" applyAlignment="1">
      <alignment horizontal="left" vertical="center" wrapText="1"/>
    </xf>
    <xf numFmtId="167" fontId="5" fillId="0" borderId="1" xfId="3" applyNumberFormat="1" applyFont="1" applyBorder="1" applyAlignment="1">
      <alignment horizontal="center" vertical="center"/>
    </xf>
    <xf numFmtId="167" fontId="6" fillId="29" borderId="1" xfId="3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167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 wrapText="1"/>
    </xf>
    <xf numFmtId="167" fontId="16" fillId="3" borderId="1" xfId="0" applyNumberFormat="1" applyFont="1" applyFill="1" applyBorder="1"/>
    <xf numFmtId="167" fontId="16" fillId="3" borderId="26" xfId="0" applyNumberFormat="1" applyFont="1" applyFill="1" applyBorder="1"/>
    <xf numFmtId="0" fontId="4" fillId="0" borderId="1" xfId="0" applyFont="1" applyFill="1" applyBorder="1" applyAlignment="1">
      <alignment horizontal="center" vertical="center"/>
    </xf>
    <xf numFmtId="49" fontId="5" fillId="2" borderId="1" xfId="5" applyNumberFormat="1" applyFont="1" applyFill="1" applyBorder="1" applyAlignment="1">
      <alignment horizontal="center" vertical="center"/>
    </xf>
    <xf numFmtId="0" fontId="5" fillId="2" borderId="1" xfId="5" applyFont="1" applyFill="1" applyBorder="1" applyAlignment="1">
      <alignment horizontal="center" vertical="center"/>
    </xf>
    <xf numFmtId="0" fontId="5" fillId="2" borderId="1" xfId="5" applyFont="1" applyFill="1" applyBorder="1" applyAlignment="1">
      <alignment horizontal="left" vertical="center" wrapText="1"/>
    </xf>
    <xf numFmtId="167" fontId="5" fillId="2" borderId="1" xfId="5" applyNumberFormat="1" applyFont="1" applyFill="1" applyBorder="1" applyAlignment="1">
      <alignment horizontal="center" vertical="center"/>
    </xf>
    <xf numFmtId="0" fontId="5" fillId="2" borderId="1" xfId="5" applyFont="1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170" fontId="17" fillId="2" borderId="1" xfId="5" applyNumberFormat="1" applyFont="1" applyFill="1" applyBorder="1" applyAlignment="1">
      <alignment horizontal="center" vertical="center"/>
    </xf>
    <xf numFmtId="0" fontId="17" fillId="2" borderId="1" xfId="5" applyFont="1" applyFill="1" applyBorder="1" applyAlignment="1">
      <alignment horizontal="center" vertical="center"/>
    </xf>
    <xf numFmtId="167" fontId="17" fillId="2" borderId="1" xfId="5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2" borderId="26" xfId="0" applyNumberFormat="1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167" fontId="4" fillId="2" borderId="1" xfId="0" applyNumberFormat="1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vertical="center"/>
    </xf>
    <xf numFmtId="1" fontId="5" fillId="0" borderId="26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167" fontId="9" fillId="2" borderId="1" xfId="0" applyNumberFormat="1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167" fontId="9" fillId="2" borderId="1" xfId="0" applyNumberFormat="1" applyFont="1" applyFill="1" applyBorder="1" applyAlignment="1">
      <alignment horizontal="center" vertical="center"/>
    </xf>
    <xf numFmtId="167" fontId="9" fillId="2" borderId="1" xfId="4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167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5" applyNumberFormat="1" applyFont="1" applyFill="1" applyBorder="1" applyAlignment="1">
      <alignment vertical="center"/>
    </xf>
    <xf numFmtId="49" fontId="5" fillId="2" borderId="1" xfId="5" applyNumberFormat="1" applyFont="1" applyFill="1" applyBorder="1" applyAlignment="1">
      <alignment vertical="center"/>
    </xf>
    <xf numFmtId="167" fontId="5" fillId="2" borderId="1" xfId="5" applyNumberFormat="1" applyFont="1" applyFill="1" applyBorder="1" applyAlignment="1">
      <alignment horizontal="center" vertical="center" wrapText="1"/>
    </xf>
    <xf numFmtId="167" fontId="4" fillId="3" borderId="1" xfId="5" applyNumberFormat="1" applyFont="1" applyFill="1" applyBorder="1"/>
    <xf numFmtId="0" fontId="5" fillId="0" borderId="1" xfId="0" applyFont="1" applyBorder="1" applyAlignment="1">
      <alignment horizontal="left" vertical="center" wrapText="1"/>
    </xf>
    <xf numFmtId="49" fontId="4" fillId="2" borderId="1" xfId="5" applyNumberFormat="1" applyFont="1" applyFill="1" applyBorder="1" applyAlignment="1">
      <alignment horizontal="center" vertical="center"/>
    </xf>
    <xf numFmtId="168" fontId="5" fillId="2" borderId="1" xfId="5" applyNumberFormat="1" applyFont="1" applyFill="1" applyBorder="1" applyAlignment="1">
      <alignment horizontal="center" vertical="center" wrapText="1"/>
    </xf>
    <xf numFmtId="167" fontId="4" fillId="3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vertical="center" wrapText="1"/>
    </xf>
    <xf numFmtId="0" fontId="9" fillId="2" borderId="26" xfId="0" applyFont="1" applyFill="1" applyBorder="1" applyAlignment="1">
      <alignment vertical="center" wrapText="1"/>
    </xf>
    <xf numFmtId="0" fontId="9" fillId="2" borderId="26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7" fontId="5" fillId="0" borderId="1" xfId="0" applyNumberFormat="1" applyFont="1" applyBorder="1" applyAlignment="1">
      <alignment horizontal="center"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5" fillId="0" borderId="26" xfId="0" applyFont="1" applyFill="1" applyBorder="1"/>
    <xf numFmtId="167" fontId="5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 wrapText="1"/>
    </xf>
    <xf numFmtId="168" fontId="17" fillId="2" borderId="1" xfId="11" applyNumberFormat="1" applyFont="1" applyFill="1" applyBorder="1" applyAlignment="1">
      <alignment horizontal="center" vertical="center" wrapText="1"/>
    </xf>
    <xf numFmtId="167" fontId="17" fillId="2" borderId="1" xfId="11" applyNumberFormat="1" applyFont="1" applyFill="1" applyBorder="1" applyAlignment="1">
      <alignment horizontal="center" vertical="center" wrapText="1"/>
    </xf>
    <xf numFmtId="181" fontId="17" fillId="2" borderId="1" xfId="11" applyNumberFormat="1" applyFont="1" applyFill="1" applyBorder="1" applyAlignment="1">
      <alignment horizontal="center" vertical="center" wrapText="1"/>
    </xf>
    <xf numFmtId="167" fontId="17" fillId="2" borderId="1" xfId="0" applyNumberFormat="1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167" fontId="5" fillId="0" borderId="1" xfId="0" applyNumberFormat="1" applyFont="1" applyFill="1" applyBorder="1" applyAlignment="1">
      <alignment horizontal="center" vertical="top" wrapText="1"/>
    </xf>
    <xf numFmtId="167" fontId="18" fillId="6" borderId="1" xfId="25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67" fontId="9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170" fontId="8" fillId="2" borderId="1" xfId="3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6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19" fillId="6" borderId="1" xfId="25" applyNumberFormat="1" applyFont="1" applyFill="1" applyBorder="1" applyAlignment="1">
      <alignment horizontal="center" vertical="center" wrapText="1"/>
    </xf>
    <xf numFmtId="0" fontId="4" fillId="3" borderId="2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9" fillId="2" borderId="1" xfId="5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left" vertical="top" wrapText="1"/>
    </xf>
    <xf numFmtId="0" fontId="9" fillId="0" borderId="1" xfId="5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49" fontId="9" fillId="2" borderId="1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vertical="top" wrapText="1"/>
    </xf>
    <xf numFmtId="167" fontId="18" fillId="6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1" fontId="5" fillId="2" borderId="1" xfId="0" applyNumberFormat="1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left" vertical="center" wrapText="1"/>
    </xf>
    <xf numFmtId="181" fontId="9" fillId="0" borderId="1" xfId="64" applyNumberFormat="1" applyFont="1" applyFill="1" applyBorder="1" applyAlignment="1">
      <alignment vertical="center" wrapText="1"/>
    </xf>
    <xf numFmtId="181" fontId="8" fillId="0" borderId="1" xfId="64" applyNumberFormat="1" applyFont="1" applyFill="1" applyBorder="1" applyAlignment="1">
      <alignment vertical="center" wrapText="1"/>
    </xf>
    <xf numFmtId="0" fontId="19" fillId="6" borderId="3" xfId="25" applyFont="1" applyFill="1" applyBorder="1" applyAlignment="1">
      <alignment horizontal="left" vertical="center" wrapText="1"/>
    </xf>
    <xf numFmtId="49" fontId="5" fillId="2" borderId="3" xfId="5" applyNumberFormat="1" applyFont="1" applyFill="1" applyBorder="1" applyAlignment="1">
      <alignment vertical="center"/>
    </xf>
    <xf numFmtId="49" fontId="5" fillId="2" borderId="8" xfId="5" applyNumberFormat="1" applyFont="1" applyFill="1" applyBorder="1" applyAlignment="1">
      <alignment vertical="center"/>
    </xf>
    <xf numFmtId="49" fontId="5" fillId="2" borderId="2" xfId="5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167" fontId="4" fillId="0" borderId="1" xfId="0" applyNumberFormat="1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177" fontId="4" fillId="2" borderId="25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4" fillId="2" borderId="26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left" vertical="center" wrapText="1"/>
    </xf>
    <xf numFmtId="185" fontId="4" fillId="2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167" fontId="4" fillId="0" borderId="1" xfId="0" applyNumberFormat="1" applyFont="1" applyFill="1" applyBorder="1" applyAlignment="1">
      <alignment horizontal="center" vertical="center" wrapText="1"/>
    </xf>
    <xf numFmtId="167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7" fontId="4" fillId="0" borderId="1" xfId="0" applyNumberFormat="1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167" fontId="9" fillId="0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/>
    <xf numFmtId="0" fontId="5" fillId="0" borderId="34" xfId="0" applyFont="1" applyFill="1" applyBorder="1" applyAlignment="1"/>
    <xf numFmtId="0" fontId="34" fillId="2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167" fontId="4" fillId="0" borderId="3" xfId="0" applyNumberFormat="1" applyFont="1" applyFill="1" applyBorder="1" applyAlignment="1">
      <alignment horizontal="center" vertical="center" wrapText="1"/>
    </xf>
    <xf numFmtId="0" fontId="65" fillId="0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33" xfId="0" applyFont="1" applyFill="1" applyBorder="1" applyAlignment="1">
      <alignment vertical="center" wrapText="1"/>
    </xf>
    <xf numFmtId="167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167" fontId="5" fillId="2" borderId="1" xfId="0" applyNumberFormat="1" applyFont="1" applyFill="1" applyBorder="1" applyAlignment="1">
      <alignment horizontal="center" vertical="center" wrapText="1"/>
    </xf>
    <xf numFmtId="167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7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5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7" fontId="4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2" borderId="26" xfId="0" applyNumberFormat="1" applyFont="1" applyFill="1" applyBorder="1" applyAlignment="1">
      <alignment horizontal="center" vertical="center" wrapText="1"/>
    </xf>
    <xf numFmtId="170" fontId="8" fillId="0" borderId="1" xfId="29" applyNumberFormat="1" applyFont="1" applyFill="1" applyBorder="1" applyAlignment="1">
      <alignment horizontal="center" vertical="center" wrapText="1"/>
    </xf>
    <xf numFmtId="0" fontId="9" fillId="0" borderId="1" xfId="29" applyFont="1" applyFill="1" applyBorder="1" applyAlignment="1">
      <alignment horizontal="center" vertical="center" wrapText="1"/>
    </xf>
    <xf numFmtId="0" fontId="8" fillId="0" borderId="1" xfId="29" applyFont="1" applyFill="1" applyBorder="1" applyAlignment="1">
      <alignment horizontal="right" vertical="center" wrapText="1"/>
    </xf>
    <xf numFmtId="167" fontId="4" fillId="0" borderId="1" xfId="0" applyNumberFormat="1" applyFont="1" applyBorder="1" applyAlignment="1">
      <alignment horizontal="center" wrapText="1"/>
    </xf>
    <xf numFmtId="171" fontId="5" fillId="0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7" fontId="5" fillId="2" borderId="26" xfId="0" applyNumberFormat="1" applyFont="1" applyFill="1" applyBorder="1" applyAlignment="1">
      <alignment horizontal="center" vertical="center" wrapText="1"/>
    </xf>
    <xf numFmtId="178" fontId="5" fillId="2" borderId="1" xfId="0" applyNumberFormat="1" applyFont="1" applyFill="1" applyBorder="1" applyAlignment="1">
      <alignment horizontal="center" vertical="center" wrapText="1"/>
    </xf>
    <xf numFmtId="178" fontId="5" fillId="2" borderId="26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5" fillId="0" borderId="26" xfId="1" applyFont="1" applyFill="1" applyBorder="1" applyAlignment="1">
      <alignment horizontal="center" vertical="center" wrapText="1"/>
    </xf>
    <xf numFmtId="171" fontId="5" fillId="2" borderId="1" xfId="0" applyNumberFormat="1" applyFont="1" applyFill="1" applyBorder="1" applyAlignment="1">
      <alignment horizontal="center" vertical="center" wrapText="1"/>
    </xf>
    <xf numFmtId="179" fontId="5" fillId="2" borderId="1" xfId="7" applyNumberFormat="1" applyFont="1" applyFill="1" applyBorder="1" applyAlignment="1">
      <alignment horizontal="center" vertical="center" wrapText="1"/>
    </xf>
    <xf numFmtId="171" fontId="5" fillId="2" borderId="1" xfId="0" applyNumberFormat="1" applyFont="1" applyFill="1" applyBorder="1" applyAlignment="1">
      <alignment vertical="center" wrapText="1"/>
    </xf>
    <xf numFmtId="170" fontId="4" fillId="0" borderId="1" xfId="0" applyNumberFormat="1" applyFont="1" applyFill="1" applyBorder="1" applyAlignment="1">
      <alignment vertical="center" wrapText="1"/>
    </xf>
    <xf numFmtId="170" fontId="4" fillId="2" borderId="1" xfId="0" applyNumberFormat="1" applyFont="1" applyFill="1" applyBorder="1" applyAlignment="1">
      <alignment horizontal="center" vertical="center" wrapText="1"/>
    </xf>
    <xf numFmtId="170" fontId="4" fillId="2" borderId="26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wrapText="1"/>
    </xf>
    <xf numFmtId="180" fontId="5" fillId="2" borderId="26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171" fontId="5" fillId="0" borderId="1" xfId="0" applyNumberFormat="1" applyFont="1" applyFill="1" applyBorder="1" applyAlignment="1">
      <alignment vertical="center" wrapText="1"/>
    </xf>
    <xf numFmtId="172" fontId="9" fillId="2" borderId="1" xfId="0" applyNumberFormat="1" applyFont="1" applyFill="1" applyBorder="1" applyAlignment="1">
      <alignment vertical="center" wrapText="1"/>
    </xf>
    <xf numFmtId="172" fontId="9" fillId="2" borderId="1" xfId="0" applyNumberFormat="1" applyFont="1" applyFill="1" applyBorder="1" applyAlignment="1">
      <alignment horizontal="center" vertical="center" wrapText="1"/>
    </xf>
    <xf numFmtId="172" fontId="8" fillId="2" borderId="1" xfId="0" applyNumberFormat="1" applyFont="1" applyFill="1" applyBorder="1" applyAlignment="1">
      <alignment vertical="center" wrapText="1"/>
    </xf>
    <xf numFmtId="167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1" xfId="5" applyFont="1" applyFill="1" applyBorder="1" applyAlignment="1">
      <alignment horizontal="left" vertical="center" wrapText="1"/>
    </xf>
    <xf numFmtId="171" fontId="8" fillId="0" borderId="25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 wrapText="1"/>
    </xf>
    <xf numFmtId="167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167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 wrapText="1"/>
    </xf>
    <xf numFmtId="167" fontId="9" fillId="2" borderId="1" xfId="0" applyNumberFormat="1" applyFont="1" applyFill="1" applyBorder="1" applyAlignment="1">
      <alignment horizontal="center" vertical="center" wrapText="1"/>
    </xf>
    <xf numFmtId="167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67" fontId="4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7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167" fontId="9" fillId="2" borderId="1" xfId="0" applyNumberFormat="1" applyFont="1" applyFill="1" applyBorder="1" applyAlignment="1">
      <alignment horizontal="center" vertical="center"/>
    </xf>
    <xf numFmtId="170" fontId="4" fillId="0" borderId="1" xfId="0" applyNumberFormat="1" applyFont="1" applyFill="1" applyBorder="1" applyAlignment="1">
      <alignment horizontal="center" vertical="center"/>
    </xf>
    <xf numFmtId="171" fontId="5" fillId="0" borderId="1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167" fontId="8" fillId="2" borderId="1" xfId="0" applyNumberFormat="1" applyFont="1" applyFill="1" applyBorder="1" applyAlignment="1">
      <alignment horizontal="center" vertical="center" wrapText="1"/>
    </xf>
    <xf numFmtId="49" fontId="19" fillId="6" borderId="1" xfId="25" applyNumberFormat="1" applyFont="1" applyFill="1" applyBorder="1" applyAlignment="1">
      <alignment horizontal="center" vertical="center" wrapText="1"/>
    </xf>
    <xf numFmtId="167" fontId="18" fillId="6" borderId="1" xfId="25" applyNumberFormat="1" applyFont="1" applyFill="1" applyBorder="1" applyAlignment="1">
      <alignment horizontal="center" vertical="center" wrapText="1"/>
    </xf>
    <xf numFmtId="167" fontId="18" fillId="6" borderId="7" xfId="25" applyNumberFormat="1" applyFont="1" applyFill="1" applyBorder="1" applyAlignment="1">
      <alignment horizontal="center" vertical="center" wrapText="1"/>
    </xf>
    <xf numFmtId="0" fontId="18" fillId="2" borderId="1" xfId="25" applyFont="1" applyFill="1" applyBorder="1" applyAlignment="1">
      <alignment horizontal="center" vertical="center" wrapText="1"/>
    </xf>
    <xf numFmtId="0" fontId="18" fillId="2" borderId="26" xfId="25" applyFont="1" applyFill="1" applyBorder="1" applyAlignment="1">
      <alignment horizontal="center" vertical="center" wrapText="1"/>
    </xf>
    <xf numFmtId="49" fontId="5" fillId="6" borderId="1" xfId="25" applyNumberFormat="1" applyFont="1" applyFill="1" applyBorder="1" applyAlignment="1">
      <alignment horizontal="center" vertical="center" wrapText="1"/>
    </xf>
    <xf numFmtId="49" fontId="18" fillId="6" borderId="5" xfId="25" applyNumberFormat="1" applyFont="1" applyFill="1" applyBorder="1" applyAlignment="1">
      <alignment horizontal="center" vertical="center" wrapText="1"/>
    </xf>
    <xf numFmtId="0" fontId="18" fillId="2" borderId="1" xfId="25" applyFont="1" applyFill="1" applyBorder="1" applyAlignment="1">
      <alignment horizontal="left" vertical="center" wrapText="1"/>
    </xf>
    <xf numFmtId="0" fontId="5" fillId="0" borderId="0" xfId="1" applyFont="1"/>
    <xf numFmtId="0" fontId="9" fillId="2" borderId="1" xfId="5" applyFont="1" applyFill="1" applyBorder="1" applyAlignment="1">
      <alignment vertical="center" wrapText="1"/>
    </xf>
    <xf numFmtId="0" fontId="8" fillId="2" borderId="1" xfId="5" applyFont="1" applyFill="1" applyBorder="1" applyAlignment="1">
      <alignment vertical="center" wrapText="1"/>
    </xf>
    <xf numFmtId="167" fontId="18" fillId="0" borderId="1" xfId="0" applyNumberFormat="1" applyFont="1" applyFill="1" applyBorder="1" applyAlignment="1">
      <alignment horizontal="center" vertical="center" wrapText="1"/>
    </xf>
    <xf numFmtId="0" fontId="67" fillId="0" borderId="26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horizontal="center" vertical="center" wrapText="1"/>
    </xf>
    <xf numFmtId="0" fontId="67" fillId="0" borderId="1" xfId="0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9" fillId="0" borderId="26" xfId="12" applyFont="1" applyFill="1" applyBorder="1" applyAlignment="1">
      <alignment horizontal="center" vertical="center"/>
    </xf>
    <xf numFmtId="0" fontId="9" fillId="0" borderId="1" xfId="12" applyFont="1" applyFill="1" applyBorder="1" applyAlignment="1">
      <alignment horizontal="center" vertical="center"/>
    </xf>
    <xf numFmtId="3" fontId="9" fillId="0" borderId="1" xfId="12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top"/>
    </xf>
    <xf numFmtId="49" fontId="9" fillId="0" borderId="1" xfId="0" applyNumberFormat="1" applyFont="1" applyFill="1" applyBorder="1" applyAlignment="1">
      <alignment horizontal="center" vertical="top" wrapText="1"/>
    </xf>
    <xf numFmtId="179" fontId="5" fillId="0" borderId="1" xfId="0" applyNumberFormat="1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top" wrapText="1"/>
    </xf>
    <xf numFmtId="0" fontId="9" fillId="0" borderId="26" xfId="13" applyFont="1" applyFill="1" applyBorder="1" applyAlignment="1">
      <alignment horizontal="center" vertical="center"/>
    </xf>
    <xf numFmtId="0" fontId="9" fillId="0" borderId="1" xfId="13" applyFont="1" applyFill="1" applyBorder="1" applyAlignment="1">
      <alignment horizontal="center" vertical="center"/>
    </xf>
    <xf numFmtId="3" fontId="9" fillId="0" borderId="1" xfId="13" applyNumberFormat="1" applyFont="1" applyFill="1" applyBorder="1" applyAlignment="1">
      <alignment horizontal="center" vertical="center" wrapText="1"/>
    </xf>
    <xf numFmtId="0" fontId="9" fillId="0" borderId="1" xfId="13" applyFont="1" applyFill="1" applyBorder="1" applyAlignment="1">
      <alignment horizontal="center" vertical="center" wrapText="1"/>
    </xf>
    <xf numFmtId="0" fontId="9" fillId="0" borderId="1" xfId="13" applyFont="1" applyFill="1" applyBorder="1" applyAlignment="1">
      <alignment vertical="top" wrapText="1"/>
    </xf>
    <xf numFmtId="3" fontId="9" fillId="0" borderId="26" xfId="0" applyNumberFormat="1" applyFont="1" applyFill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wrapText="1"/>
    </xf>
    <xf numFmtId="167" fontId="9" fillId="0" borderId="1" xfId="7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top" wrapText="1"/>
    </xf>
    <xf numFmtId="167" fontId="5" fillId="0" borderId="1" xfId="7" applyNumberFormat="1" applyFont="1" applyFill="1" applyBorder="1" applyAlignment="1">
      <alignment horizontal="center" vertical="center" wrapText="1"/>
    </xf>
    <xf numFmtId="167" fontId="5" fillId="0" borderId="1" xfId="7" applyNumberFormat="1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top"/>
    </xf>
    <xf numFmtId="49" fontId="8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wrapText="1"/>
    </xf>
    <xf numFmtId="49" fontId="8" fillId="0" borderId="1" xfId="0" applyNumberFormat="1" applyFont="1" applyFill="1" applyBorder="1" applyAlignment="1">
      <alignment horizontal="center" vertical="top"/>
    </xf>
    <xf numFmtId="3" fontId="9" fillId="0" borderId="1" xfId="0" applyNumberFormat="1" applyFont="1" applyFill="1" applyBorder="1" applyAlignment="1">
      <alignment horizontal="center" vertical="center"/>
    </xf>
    <xf numFmtId="167" fontId="9" fillId="0" borderId="1" xfId="0" applyNumberFormat="1" applyFont="1" applyFill="1" applyBorder="1" applyAlignment="1">
      <alignment horizontal="center" vertical="center"/>
    </xf>
    <xf numFmtId="49" fontId="9" fillId="0" borderId="26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67" fontId="4" fillId="0" borderId="7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top" wrapText="1"/>
    </xf>
    <xf numFmtId="49" fontId="9" fillId="0" borderId="5" xfId="0" applyNumberFormat="1" applyFont="1" applyFill="1" applyBorder="1" applyAlignment="1">
      <alignment horizontal="center" vertical="top"/>
    </xf>
    <xf numFmtId="187" fontId="5" fillId="0" borderId="26" xfId="0" applyNumberFormat="1" applyFont="1" applyFill="1" applyBorder="1" applyAlignment="1">
      <alignment horizontal="center" vertical="center" wrapText="1"/>
    </xf>
    <xf numFmtId="187" fontId="5" fillId="0" borderId="1" xfId="0" applyNumberFormat="1" applyFont="1" applyFill="1" applyBorder="1" applyAlignment="1">
      <alignment horizontal="center" vertical="center" wrapText="1"/>
    </xf>
    <xf numFmtId="0" fontId="5" fillId="0" borderId="3" xfId="5" applyFont="1" applyFill="1" applyBorder="1" applyAlignment="1">
      <alignment vertical="center" wrapText="1"/>
    </xf>
    <xf numFmtId="0" fontId="5" fillId="0" borderId="1" xfId="5" applyFont="1" applyFill="1" applyBorder="1" applyAlignment="1">
      <alignment vertical="center" wrapText="1"/>
    </xf>
    <xf numFmtId="0" fontId="4" fillId="0" borderId="0" xfId="1" applyFont="1"/>
    <xf numFmtId="0" fontId="5" fillId="0" borderId="1" xfId="0" applyFont="1" applyFill="1" applyBorder="1" applyAlignment="1">
      <alignment horizontal="right" vertical="center"/>
    </xf>
    <xf numFmtId="167" fontId="6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167" fontId="5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vertical="center" wrapText="1"/>
    </xf>
    <xf numFmtId="172" fontId="8" fillId="2" borderId="1" xfId="0" applyNumberFormat="1" applyFont="1" applyFill="1" applyBorder="1" applyAlignment="1">
      <alignment horizontal="center" vertical="center" wrapText="1"/>
    </xf>
    <xf numFmtId="0" fontId="5" fillId="2" borderId="0" xfId="1" applyFont="1" applyFill="1"/>
    <xf numFmtId="0" fontId="9" fillId="0" borderId="2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justify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17" fontId="9" fillId="2" borderId="3" xfId="0" applyNumberFormat="1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center" wrapText="1"/>
    </xf>
    <xf numFmtId="0" fontId="68" fillId="2" borderId="1" xfId="0" applyFont="1" applyFill="1" applyBorder="1" applyAlignment="1">
      <alignment horizontal="center" vertical="center" wrapText="1"/>
    </xf>
    <xf numFmtId="167" fontId="6" fillId="2" borderId="1" xfId="0" applyNumberFormat="1" applyFont="1" applyFill="1" applyBorder="1" applyAlignment="1" applyProtection="1">
      <alignment horizontal="center" vertical="center" wrapText="1"/>
    </xf>
    <xf numFmtId="167" fontId="9" fillId="2" borderId="1" xfId="7" applyNumberFormat="1" applyFont="1" applyFill="1" applyBorder="1" applyAlignment="1">
      <alignment horizontal="center" vertical="center" wrapText="1"/>
    </xf>
    <xf numFmtId="172" fontId="9" fillId="2" borderId="5" xfId="0" applyNumberFormat="1" applyFont="1" applyFill="1" applyBorder="1" applyAlignment="1">
      <alignment horizontal="center" vertical="center"/>
    </xf>
    <xf numFmtId="0" fontId="8" fillId="0" borderId="1" xfId="0" applyFont="1" applyFill="1" applyBorder="1"/>
    <xf numFmtId="172" fontId="8" fillId="2" borderId="1" xfId="0" applyNumberFormat="1" applyFont="1" applyFill="1" applyBorder="1" applyAlignment="1">
      <alignment horizontal="center" vertical="center"/>
    </xf>
    <xf numFmtId="172" fontId="8" fillId="2" borderId="5" xfId="0" applyNumberFormat="1" applyFont="1" applyFill="1" applyBorder="1" applyAlignment="1">
      <alignment horizontal="center" vertical="center"/>
    </xf>
    <xf numFmtId="0" fontId="8" fillId="0" borderId="0" xfId="0" applyFont="1" applyFill="1"/>
    <xf numFmtId="0" fontId="5" fillId="0" borderId="30" xfId="0" applyFont="1" applyBorder="1" applyAlignment="1">
      <alignment horizontal="center"/>
    </xf>
    <xf numFmtId="49" fontId="16" fillId="5" borderId="3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 wrapText="1"/>
    </xf>
    <xf numFmtId="167" fontId="5" fillId="5" borderId="3" xfId="0" applyNumberFormat="1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vertical="center" wrapText="1"/>
    </xf>
    <xf numFmtId="1" fontId="17" fillId="5" borderId="3" xfId="0" applyNumberFormat="1" applyFont="1" applyFill="1" applyBorder="1" applyAlignment="1">
      <alignment horizontal="center" vertical="center" wrapText="1"/>
    </xf>
    <xf numFmtId="1" fontId="17" fillId="5" borderId="34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right" vertical="center"/>
    </xf>
    <xf numFmtId="167" fontId="5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172" fontId="65" fillId="0" borderId="0" xfId="0" applyNumberFormat="1" applyFont="1" applyBorder="1" applyAlignment="1">
      <alignment horizontal="right" vertical="center" wrapText="1"/>
    </xf>
    <xf numFmtId="0" fontId="4" fillId="3" borderId="25" xfId="1" applyFont="1" applyFill="1" applyBorder="1" applyAlignment="1">
      <alignment horizontal="left" vertical="center"/>
    </xf>
    <xf numFmtId="0" fontId="4" fillId="3" borderId="1" xfId="1" applyFont="1" applyFill="1" applyBorder="1" applyAlignment="1">
      <alignment horizontal="left" vertical="center"/>
    </xf>
    <xf numFmtId="49" fontId="16" fillId="3" borderId="25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49" fontId="62" fillId="0" borderId="1" xfId="0" applyNumberFormat="1" applyFont="1" applyFill="1" applyBorder="1" applyAlignment="1">
      <alignment horizontal="center" vertical="center"/>
    </xf>
    <xf numFmtId="172" fontId="66" fillId="0" borderId="0" xfId="0" applyNumberFormat="1" applyFont="1" applyAlignment="1">
      <alignment horizont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2" fillId="0" borderId="1" xfId="0" applyFont="1" applyFill="1" applyBorder="1" applyAlignment="1">
      <alignment horizontal="left" vertical="center" wrapText="1"/>
    </xf>
    <xf numFmtId="49" fontId="16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167" fontId="62" fillId="0" borderId="1" xfId="0" applyNumberFormat="1" applyFont="1" applyFill="1" applyBorder="1" applyAlignment="1">
      <alignment horizontal="center" vertical="center" wrapText="1"/>
    </xf>
    <xf numFmtId="167" fontId="5" fillId="5" borderId="1" xfId="0" applyNumberFormat="1" applyFont="1" applyFill="1" applyBorder="1" applyAlignment="1">
      <alignment horizontal="center" vertical="center" wrapText="1"/>
    </xf>
    <xf numFmtId="171" fontId="8" fillId="3" borderId="25" xfId="0" applyNumberFormat="1" applyFont="1" applyFill="1" applyBorder="1" applyAlignment="1">
      <alignment horizontal="left"/>
    </xf>
    <xf numFmtId="171" fontId="8" fillId="3" borderId="1" xfId="0" applyNumberFormat="1" applyFont="1" applyFill="1" applyBorder="1" applyAlignment="1">
      <alignment horizontal="left"/>
    </xf>
    <xf numFmtId="49" fontId="9" fillId="0" borderId="1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167" fontId="6" fillId="0" borderId="3" xfId="0" applyNumberFormat="1" applyFont="1" applyFill="1" applyBorder="1" applyAlignment="1">
      <alignment horizontal="center" vertical="center" wrapText="1"/>
    </xf>
    <xf numFmtId="167" fontId="6" fillId="0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167" fontId="5" fillId="2" borderId="3" xfId="0" applyNumberFormat="1" applyFont="1" applyFill="1" applyBorder="1" applyAlignment="1">
      <alignment horizontal="center" vertical="center" wrapText="1"/>
    </xf>
    <xf numFmtId="167" fontId="5" fillId="2" borderId="2" xfId="0" applyNumberFormat="1" applyFont="1" applyFill="1" applyBorder="1" applyAlignment="1">
      <alignment horizontal="center" vertical="center" wrapText="1"/>
    </xf>
    <xf numFmtId="49" fontId="5" fillId="2" borderId="3" xfId="5" applyNumberFormat="1" applyFont="1" applyFill="1" applyBorder="1" applyAlignment="1">
      <alignment horizontal="center" vertical="center"/>
    </xf>
    <xf numFmtId="49" fontId="5" fillId="2" borderId="8" xfId="5" applyNumberFormat="1" applyFont="1" applyFill="1" applyBorder="1" applyAlignment="1">
      <alignment horizontal="center" vertical="center"/>
    </xf>
    <xf numFmtId="49" fontId="5" fillId="2" borderId="2" xfId="5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67" fontId="4" fillId="0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167" fontId="9" fillId="2" borderId="1" xfId="0" applyNumberFormat="1" applyFont="1" applyFill="1" applyBorder="1" applyAlignment="1">
      <alignment horizontal="center" vertical="center"/>
    </xf>
    <xf numFmtId="167" fontId="9" fillId="2" borderId="1" xfId="4" applyNumberFormat="1" applyFont="1" applyFill="1" applyBorder="1" applyAlignment="1">
      <alignment horizontal="center" vertical="center"/>
    </xf>
    <xf numFmtId="49" fontId="4" fillId="2" borderId="1" xfId="5" applyNumberFormat="1" applyFont="1" applyFill="1" applyBorder="1" applyAlignment="1">
      <alignment vertical="center"/>
    </xf>
    <xf numFmtId="49" fontId="5" fillId="2" borderId="1" xfId="5" applyNumberFormat="1" applyFont="1" applyFill="1" applyBorder="1" applyAlignment="1">
      <alignment horizontal="center" vertical="center"/>
    </xf>
    <xf numFmtId="49" fontId="5" fillId="2" borderId="1" xfId="5" applyNumberFormat="1" applyFont="1" applyFill="1" applyBorder="1" applyAlignment="1">
      <alignment vertical="center"/>
    </xf>
    <xf numFmtId="0" fontId="5" fillId="2" borderId="1" xfId="5" applyFont="1" applyFill="1" applyBorder="1" applyAlignment="1">
      <alignment horizontal="left" vertical="center" wrapText="1"/>
    </xf>
    <xf numFmtId="167" fontId="5" fillId="2" borderId="1" xfId="5" applyNumberFormat="1" applyFont="1" applyFill="1" applyBorder="1" applyAlignment="1">
      <alignment horizontal="center" vertical="center" wrapText="1"/>
    </xf>
    <xf numFmtId="167" fontId="5" fillId="2" borderId="1" xfId="5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 wrapText="1"/>
    </xf>
    <xf numFmtId="0" fontId="6" fillId="29" borderId="1" xfId="3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2" borderId="1" xfId="5" applyFont="1" applyFill="1" applyBorder="1" applyAlignment="1">
      <alignment horizontal="center" vertical="center"/>
    </xf>
    <xf numFmtId="167" fontId="5" fillId="0" borderId="1" xfId="3" applyNumberFormat="1" applyFont="1" applyBorder="1" applyAlignment="1">
      <alignment horizontal="center" vertical="center"/>
    </xf>
    <xf numFmtId="167" fontId="6" fillId="29" borderId="1" xfId="3" applyNumberFormat="1" applyFont="1" applyFill="1" applyBorder="1" applyAlignment="1">
      <alignment horizontal="center" vertical="center"/>
    </xf>
    <xf numFmtId="172" fontId="8" fillId="4" borderId="25" xfId="0" applyNumberFormat="1" applyFont="1" applyFill="1" applyBorder="1" applyAlignment="1">
      <alignment horizontal="left" vertical="center" wrapText="1"/>
    </xf>
    <xf numFmtId="172" fontId="8" fillId="4" borderId="1" xfId="0" applyNumberFormat="1" applyFont="1" applyFill="1" applyBorder="1" applyAlignment="1">
      <alignment horizontal="left" vertical="center" wrapText="1"/>
    </xf>
    <xf numFmtId="172" fontId="8" fillId="4" borderId="26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right" vertical="center"/>
    </xf>
    <xf numFmtId="167" fontId="16" fillId="3" borderId="28" xfId="0" applyNumberFormat="1" applyFont="1" applyFill="1" applyBorder="1"/>
    <xf numFmtId="167" fontId="16" fillId="3" borderId="29" xfId="0" applyNumberFormat="1" applyFont="1" applyFill="1" applyBorder="1"/>
    <xf numFmtId="3" fontId="8" fillId="0" borderId="25" xfId="0" applyNumberFormat="1" applyFont="1" applyBorder="1" applyAlignment="1">
      <alignment horizontal="center" vertical="center"/>
    </xf>
    <xf numFmtId="167" fontId="5" fillId="0" borderId="1" xfId="0" applyNumberFormat="1" applyFont="1" applyFill="1" applyBorder="1" applyAlignment="1">
      <alignment horizontal="center" vertical="center" wrapText="1"/>
    </xf>
    <xf numFmtId="170" fontId="16" fillId="2" borderId="1" xfId="5" applyNumberFormat="1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7" xfId="1" applyFont="1" applyFill="1" applyBorder="1" applyAlignment="1">
      <alignment horizontal="left" vertical="center"/>
    </xf>
    <xf numFmtId="0" fontId="4" fillId="3" borderId="28" xfId="1" applyFont="1" applyFill="1" applyBorder="1" applyAlignment="1">
      <alignment horizontal="left" vertical="center"/>
    </xf>
    <xf numFmtId="0" fontId="5" fillId="0" borderId="25" xfId="0" applyFont="1" applyBorder="1" applyAlignment="1">
      <alignment horizont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173" fontId="17" fillId="0" borderId="1" xfId="0" applyNumberFormat="1" applyFont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 wrapText="1"/>
    </xf>
    <xf numFmtId="167" fontId="4" fillId="3" borderId="1" xfId="0" applyNumberFormat="1" applyFont="1" applyFill="1" applyBorder="1"/>
    <xf numFmtId="167" fontId="4" fillId="3" borderId="26" xfId="0" applyNumberFormat="1" applyFont="1" applyFill="1" applyBorder="1"/>
    <xf numFmtId="173" fontId="5" fillId="5" borderId="1" xfId="0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left" vertical="center" wrapText="1"/>
    </xf>
    <xf numFmtId="167" fontId="16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7" fillId="5" borderId="1" xfId="0" applyFont="1" applyFill="1" applyBorder="1" applyAlignment="1">
      <alignment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6" fillId="5" borderId="26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2" borderId="26" xfId="0" applyNumberFormat="1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167" fontId="5" fillId="0" borderId="3" xfId="0" applyNumberFormat="1" applyFont="1" applyFill="1" applyBorder="1" applyAlignment="1">
      <alignment horizontal="center" vertical="center" wrapText="1"/>
    </xf>
    <xf numFmtId="167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26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171" fontId="17" fillId="2" borderId="1" xfId="5" applyNumberFormat="1" applyFont="1" applyFill="1" applyBorder="1" applyAlignment="1">
      <alignment horizontal="center" vertical="center"/>
    </xf>
    <xf numFmtId="0" fontId="16" fillId="2" borderId="1" xfId="5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167" fontId="6" fillId="0" borderId="1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vertical="center" wrapText="1"/>
    </xf>
    <xf numFmtId="167" fontId="62" fillId="0" borderId="1" xfId="0" applyNumberFormat="1" applyFont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26" xfId="0" applyFont="1" applyBorder="1" applyAlignment="1">
      <alignment horizontal="center" wrapText="1"/>
    </xf>
    <xf numFmtId="167" fontId="16" fillId="3" borderId="1" xfId="0" applyNumberFormat="1" applyFont="1" applyFill="1" applyBorder="1"/>
    <xf numFmtId="167" fontId="16" fillId="3" borderId="26" xfId="0" applyNumberFormat="1" applyFont="1" applyFill="1" applyBorder="1"/>
    <xf numFmtId="170" fontId="4" fillId="0" borderId="1" xfId="0" applyNumberFormat="1" applyFont="1" applyFill="1" applyBorder="1" applyAlignment="1">
      <alignment horizontal="center" vertical="center"/>
    </xf>
    <xf numFmtId="17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/>
    <xf numFmtId="0" fontId="6" fillId="0" borderId="26" xfId="0" applyFont="1" applyFill="1" applyBorder="1" applyAlignment="1"/>
    <xf numFmtId="1" fontId="16" fillId="5" borderId="1" xfId="0" applyNumberFormat="1" applyFont="1" applyFill="1" applyBorder="1" applyAlignment="1">
      <alignment horizontal="center" vertical="center"/>
    </xf>
    <xf numFmtId="1" fontId="16" fillId="5" borderId="1" xfId="0" applyNumberFormat="1" applyFont="1" applyFill="1" applyBorder="1" applyAlignment="1">
      <alignment horizontal="center" vertical="center" wrapText="1"/>
    </xf>
    <xf numFmtId="1" fontId="16" fillId="5" borderId="26" xfId="0" applyNumberFormat="1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7" fillId="2" borderId="1" xfId="5" applyFont="1" applyFill="1" applyBorder="1" applyAlignment="1">
      <alignment horizontal="left" vertical="center" wrapText="1"/>
    </xf>
    <xf numFmtId="0" fontId="17" fillId="2" borderId="1" xfId="5" applyFont="1" applyFill="1" applyBorder="1" applyAlignment="1">
      <alignment horizontal="left" vertical="center"/>
    </xf>
    <xf numFmtId="0" fontId="5" fillId="2" borderId="1" xfId="5" applyFont="1" applyFill="1" applyBorder="1" applyAlignment="1">
      <alignment horizontal="right" vertical="center"/>
    </xf>
    <xf numFmtId="0" fontId="5" fillId="2" borderId="26" xfId="5" applyFont="1" applyFill="1" applyBorder="1" applyAlignment="1">
      <alignment horizontal="right" vertical="center"/>
    </xf>
    <xf numFmtId="170" fontId="17" fillId="2" borderId="1" xfId="5" applyNumberFormat="1" applyFont="1" applyFill="1" applyBorder="1" applyAlignment="1">
      <alignment horizontal="center" vertical="center"/>
    </xf>
    <xf numFmtId="0" fontId="17" fillId="2" borderId="1" xfId="5" applyFont="1" applyFill="1" applyBorder="1" applyAlignment="1">
      <alignment horizontal="center" vertical="center"/>
    </xf>
    <xf numFmtId="167" fontId="17" fillId="2" borderId="1" xfId="5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5" fillId="2" borderId="26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167" fontId="4" fillId="2" borderId="1" xfId="0" applyNumberFormat="1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7" fontId="4" fillId="2" borderId="26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vertical="center"/>
    </xf>
    <xf numFmtId="1" fontId="5" fillId="0" borderId="26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167" fontId="9" fillId="2" borderId="1" xfId="0" applyNumberFormat="1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26" fillId="2" borderId="3" xfId="0" applyFont="1" applyFill="1" applyBorder="1" applyAlignment="1">
      <alignment horizontal="left" vertical="center" wrapText="1"/>
    </xf>
    <xf numFmtId="0" fontId="26" fillId="2" borderId="8" xfId="0" applyFont="1" applyFill="1" applyBorder="1" applyAlignment="1">
      <alignment horizontal="left" vertical="center" wrapText="1"/>
    </xf>
    <xf numFmtId="0" fontId="26" fillId="2" borderId="2" xfId="0" applyFont="1" applyFill="1" applyBorder="1" applyAlignment="1">
      <alignment horizontal="left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167" fontId="8" fillId="2" borderId="7" xfId="0" applyNumberFormat="1" applyFont="1" applyFill="1" applyBorder="1" applyAlignment="1">
      <alignment horizontal="center" vertical="center" wrapText="1"/>
    </xf>
    <xf numFmtId="167" fontId="8" fillId="2" borderId="1" xfId="0" applyNumberFormat="1" applyFont="1" applyFill="1" applyBorder="1" applyAlignment="1">
      <alignment horizontal="center" vertical="center" wrapText="1"/>
    </xf>
    <xf numFmtId="167" fontId="8" fillId="2" borderId="7" xfId="0" applyNumberFormat="1" applyFont="1" applyFill="1" applyBorder="1" applyAlignment="1">
      <alignment horizontal="center" vertical="center"/>
    </xf>
    <xf numFmtId="167" fontId="8" fillId="2" borderId="1" xfId="0" applyNumberFormat="1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4" fillId="0" borderId="26" xfId="0" applyFont="1" applyFill="1" applyBorder="1" applyAlignment="1">
      <alignment vertical="center"/>
    </xf>
    <xf numFmtId="172" fontId="8" fillId="4" borderId="3" xfId="0" applyNumberFormat="1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184" applyNumberFormat="1" applyFont="1" applyFill="1" applyBorder="1" applyAlignment="1">
      <alignment horizontal="center" vertical="center" wrapText="1"/>
    </xf>
    <xf numFmtId="49" fontId="4" fillId="2" borderId="1" xfId="184" applyNumberFormat="1" applyFont="1" applyFill="1" applyBorder="1" applyAlignment="1">
      <alignment horizontal="center" vertical="center"/>
    </xf>
    <xf numFmtId="49" fontId="4" fillId="2" borderId="26" xfId="184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7" fontId="4" fillId="3" borderId="1" xfId="5" applyNumberFormat="1" applyFont="1" applyFill="1" applyBorder="1"/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49" fontId="4" fillId="2" borderId="1" xfId="5" applyNumberFormat="1" applyFont="1" applyFill="1" applyBorder="1" applyAlignment="1">
      <alignment horizontal="center" vertical="center"/>
    </xf>
    <xf numFmtId="168" fontId="5" fillId="2" borderId="1" xfId="5" applyNumberFormat="1" applyFont="1" applyFill="1" applyBorder="1" applyAlignment="1">
      <alignment horizontal="center" vertical="center" wrapText="1"/>
    </xf>
    <xf numFmtId="49" fontId="4" fillId="2" borderId="3" xfId="5" applyNumberFormat="1" applyFont="1" applyFill="1" applyBorder="1" applyAlignment="1">
      <alignment horizontal="center" vertical="center"/>
    </xf>
    <xf numFmtId="49" fontId="4" fillId="2" borderId="8" xfId="5" applyNumberFormat="1" applyFont="1" applyFill="1" applyBorder="1" applyAlignment="1">
      <alignment horizontal="center" vertical="center"/>
    </xf>
    <xf numFmtId="49" fontId="4" fillId="2" borderId="2" xfId="5" applyNumberFormat="1" applyFont="1" applyFill="1" applyBorder="1" applyAlignment="1">
      <alignment horizontal="center" vertical="center"/>
    </xf>
    <xf numFmtId="167" fontId="4" fillId="3" borderId="1" xfId="0" applyNumberFormat="1" applyFont="1" applyFill="1" applyBorder="1" applyAlignment="1">
      <alignment horizontal="center"/>
    </xf>
    <xf numFmtId="167" fontId="4" fillId="3" borderId="26" xfId="0" applyNumberFormat="1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6" xfId="0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5" fillId="0" borderId="26" xfId="0" applyFont="1" applyFill="1" applyBorder="1"/>
    <xf numFmtId="0" fontId="28" fillId="2" borderId="1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167" fontId="5" fillId="0" borderId="1" xfId="0" applyNumberFormat="1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 wrapText="1"/>
    </xf>
    <xf numFmtId="168" fontId="17" fillId="2" borderId="1" xfId="11" applyNumberFormat="1" applyFont="1" applyFill="1" applyBorder="1" applyAlignment="1">
      <alignment horizontal="center" vertical="center" wrapText="1"/>
    </xf>
    <xf numFmtId="167" fontId="17" fillId="2" borderId="1" xfId="11" applyNumberFormat="1" applyFont="1" applyFill="1" applyBorder="1" applyAlignment="1">
      <alignment horizontal="center" vertical="center" wrapText="1"/>
    </xf>
    <xf numFmtId="181" fontId="17" fillId="2" borderId="1" xfId="11" applyNumberFormat="1" applyFont="1" applyFill="1" applyBorder="1" applyAlignment="1">
      <alignment horizontal="center" vertical="center" wrapText="1"/>
    </xf>
    <xf numFmtId="167" fontId="17" fillId="2" borderId="1" xfId="0" applyNumberFormat="1" applyFont="1" applyFill="1" applyBorder="1" applyAlignment="1">
      <alignment horizontal="center" vertical="center" wrapText="1"/>
    </xf>
    <xf numFmtId="181" fontId="9" fillId="2" borderId="1" xfId="11" applyNumberFormat="1" applyFont="1" applyFill="1" applyBorder="1" applyAlignment="1">
      <alignment horizontal="center" vertical="center" wrapText="1"/>
    </xf>
    <xf numFmtId="177" fontId="4" fillId="4" borderId="6" xfId="0" applyNumberFormat="1" applyFont="1" applyFill="1" applyBorder="1" applyAlignment="1">
      <alignment horizontal="left" vertical="center"/>
    </xf>
    <xf numFmtId="177" fontId="4" fillId="4" borderId="7" xfId="0" applyNumberFormat="1" applyFont="1" applyFill="1" applyBorder="1" applyAlignment="1">
      <alignment horizontal="left" vertical="center"/>
    </xf>
    <xf numFmtId="0" fontId="8" fillId="4" borderId="25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49" fontId="4" fillId="0" borderId="25" xfId="0" applyNumberFormat="1" applyFont="1" applyFill="1" applyBorder="1" applyAlignment="1">
      <alignment horizontal="center" vertical="center"/>
    </xf>
    <xf numFmtId="177" fontId="4" fillId="4" borderId="25" xfId="0" applyNumberFormat="1" applyFont="1" applyFill="1" applyBorder="1" applyAlignment="1">
      <alignment horizontal="left" vertical="center"/>
    </xf>
    <xf numFmtId="177" fontId="4" fillId="4" borderId="1" xfId="0" applyNumberFormat="1" applyFont="1" applyFill="1" applyBorder="1" applyAlignment="1">
      <alignment horizontal="left" vertical="center"/>
    </xf>
    <xf numFmtId="167" fontId="19" fillId="6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171" fontId="8" fillId="0" borderId="25" xfId="0" applyNumberFormat="1" applyFont="1" applyFill="1" applyBorder="1" applyAlignment="1">
      <alignment horizontal="center" vertical="center"/>
    </xf>
    <xf numFmtId="167" fontId="5" fillId="0" borderId="1" xfId="0" applyNumberFormat="1" applyFont="1" applyFill="1" applyBorder="1" applyAlignment="1">
      <alignment horizontal="center" vertical="top" wrapText="1"/>
    </xf>
    <xf numFmtId="167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/>
    <xf numFmtId="177" fontId="4" fillId="4" borderId="3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26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2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67" fontId="9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170" fontId="8" fillId="2" borderId="1" xfId="3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4" fillId="3" borderId="22" xfId="1" applyFont="1" applyFill="1" applyBorder="1" applyAlignment="1">
      <alignment horizontal="center" vertical="center" wrapText="1"/>
    </xf>
    <xf numFmtId="0" fontId="4" fillId="3" borderId="25" xfId="1" applyFont="1" applyFill="1" applyBorder="1" applyAlignment="1">
      <alignment horizontal="center" vertical="center" wrapText="1"/>
    </xf>
    <xf numFmtId="165" fontId="4" fillId="3" borderId="23" xfId="8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righ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167" fontId="5" fillId="0" borderId="1" xfId="1" applyNumberFormat="1" applyFont="1" applyFill="1" applyBorder="1" applyAlignment="1">
      <alignment horizontal="center" vertical="center" wrapText="1"/>
    </xf>
    <xf numFmtId="0" fontId="4" fillId="3" borderId="2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71" fontId="9" fillId="0" borderId="1" xfId="29" applyNumberFormat="1" applyFont="1" applyFill="1" applyBorder="1" applyAlignment="1">
      <alignment horizontal="center" vertical="center" wrapText="1"/>
    </xf>
    <xf numFmtId="0" fontId="9" fillId="2" borderId="1" xfId="5" applyFont="1" applyFill="1" applyBorder="1" applyAlignment="1">
      <alignment horizontal="left" vertical="center" wrapText="1"/>
    </xf>
    <xf numFmtId="172" fontId="5" fillId="2" borderId="1" xfId="0" applyNumberFormat="1" applyFont="1" applyFill="1" applyBorder="1" applyAlignment="1">
      <alignment horizontal="center" vertical="center" wrapText="1"/>
    </xf>
    <xf numFmtId="171" fontId="8" fillId="2" borderId="25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4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left" vertical="top" wrapText="1"/>
    </xf>
    <xf numFmtId="0" fontId="25" fillId="0" borderId="1" xfId="0" applyFont="1" applyFill="1" applyBorder="1" applyAlignment="1">
      <alignment horizontal="left" vertical="top" wrapText="1"/>
    </xf>
    <xf numFmtId="0" fontId="9" fillId="0" borderId="1" xfId="5" applyFont="1" applyFill="1" applyBorder="1" applyAlignment="1">
      <alignment horizontal="left" vertical="center" wrapText="1"/>
    </xf>
    <xf numFmtId="179" fontId="4" fillId="0" borderId="30" xfId="0" applyNumberFormat="1" applyFont="1" applyFill="1" applyBorder="1" applyAlignment="1">
      <alignment horizontal="center" vertical="center" wrapText="1"/>
    </xf>
    <xf numFmtId="179" fontId="4" fillId="0" borderId="32" xfId="0" applyNumberFormat="1" applyFont="1" applyFill="1" applyBorder="1" applyAlignment="1">
      <alignment horizontal="center" vertical="center" wrapText="1"/>
    </xf>
    <xf numFmtId="179" fontId="4" fillId="0" borderId="31" xfId="0" applyNumberFormat="1" applyFont="1" applyFill="1" applyBorder="1" applyAlignment="1">
      <alignment horizontal="center" vertical="center" wrapText="1"/>
    </xf>
    <xf numFmtId="170" fontId="8" fillId="0" borderId="1" xfId="29" applyNumberFormat="1" applyFont="1" applyFill="1" applyBorder="1" applyAlignment="1">
      <alignment horizontal="center" vertical="center" wrapText="1"/>
    </xf>
    <xf numFmtId="0" fontId="9" fillId="0" borderId="1" xfId="29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25" xfId="0" applyFont="1" applyFill="1" applyBorder="1" applyAlignment="1">
      <alignment horizontal="center" vertical="center"/>
    </xf>
    <xf numFmtId="171" fontId="5" fillId="2" borderId="1" xfId="0" applyNumberFormat="1" applyFont="1" applyFill="1" applyBorder="1" applyAlignment="1">
      <alignment horizontal="center" vertical="center" wrapText="1"/>
    </xf>
    <xf numFmtId="171" fontId="5" fillId="0" borderId="1" xfId="0" applyNumberFormat="1" applyFont="1" applyFill="1" applyBorder="1" applyAlignment="1">
      <alignment horizontal="center" vertical="center" wrapText="1"/>
    </xf>
    <xf numFmtId="0" fontId="5" fillId="2" borderId="1" xfId="6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49" fontId="4" fillId="0" borderId="30" xfId="0" applyNumberFormat="1" applyFont="1" applyFill="1" applyBorder="1" applyAlignment="1">
      <alignment horizontal="center" vertical="center"/>
    </xf>
    <xf numFmtId="49" fontId="4" fillId="0" borderId="32" xfId="0" applyNumberFormat="1" applyFont="1" applyFill="1" applyBorder="1" applyAlignment="1">
      <alignment horizontal="center" vertical="center"/>
    </xf>
    <xf numFmtId="49" fontId="4" fillId="0" borderId="31" xfId="0" applyNumberFormat="1" applyFont="1" applyFill="1" applyBorder="1" applyAlignment="1">
      <alignment horizontal="center" vertical="center"/>
    </xf>
    <xf numFmtId="181" fontId="9" fillId="0" borderId="1" xfId="64" applyNumberFormat="1" applyFont="1" applyFill="1" applyBorder="1" applyAlignment="1">
      <alignment vertical="center" wrapText="1"/>
    </xf>
    <xf numFmtId="181" fontId="8" fillId="0" borderId="1" xfId="64" applyNumberFormat="1" applyFont="1" applyFill="1" applyBorder="1" applyAlignment="1">
      <alignment vertical="center" wrapText="1"/>
    </xf>
    <xf numFmtId="0" fontId="9" fillId="0" borderId="1" xfId="5" applyFont="1" applyFill="1" applyBorder="1" applyAlignment="1">
      <alignment horizontal="left" vertical="top" wrapText="1"/>
    </xf>
    <xf numFmtId="43" fontId="9" fillId="0" borderId="1" xfId="64" applyNumberFormat="1" applyFont="1" applyFill="1" applyBorder="1" applyAlignment="1">
      <alignment vertical="center" wrapText="1"/>
    </xf>
    <xf numFmtId="167" fontId="18" fillId="6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/>
    </xf>
    <xf numFmtId="0" fontId="18" fillId="6" borderId="1" xfId="0" applyFont="1" applyFill="1" applyBorder="1" applyAlignment="1">
      <alignment horizontal="left" vertical="center" wrapText="1"/>
    </xf>
    <xf numFmtId="49" fontId="8" fillId="0" borderId="25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167" fontId="6" fillId="0" borderId="1" xfId="0" applyNumberFormat="1" applyFont="1" applyFill="1" applyBorder="1" applyAlignment="1" applyProtection="1">
      <alignment horizontal="center" vertical="center" wrapText="1"/>
    </xf>
    <xf numFmtId="0" fontId="6" fillId="0" borderId="26" xfId="0" applyNumberFormat="1" applyFont="1" applyFill="1" applyBorder="1" applyAlignment="1" applyProtection="1">
      <alignment horizontal="center" vertical="center" wrapText="1"/>
    </xf>
    <xf numFmtId="167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167" fontId="6" fillId="2" borderId="1" xfId="0" applyNumberFormat="1" applyFont="1" applyFill="1" applyBorder="1" applyAlignment="1" applyProtection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167" fontId="9" fillId="0" borderId="1" xfId="7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top"/>
    </xf>
    <xf numFmtId="167" fontId="9" fillId="2" borderId="1" xfId="7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167" fontId="4" fillId="0" borderId="26" xfId="0" applyNumberFormat="1" applyFont="1" applyFill="1" applyBorder="1" applyAlignment="1">
      <alignment horizontal="center" vertical="center" wrapText="1"/>
    </xf>
    <xf numFmtId="17" fontId="9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right" vertical="center" wrapText="1"/>
    </xf>
    <xf numFmtId="167" fontId="9" fillId="2" borderId="1" xfId="7" applyNumberFormat="1" applyFont="1" applyFill="1" applyBorder="1" applyAlignment="1">
      <alignment horizontal="center" vertical="center"/>
    </xf>
    <xf numFmtId="167" fontId="9" fillId="0" borderId="1" xfId="7" applyNumberFormat="1" applyFont="1" applyFill="1" applyBorder="1" applyAlignment="1">
      <alignment horizontal="center" vertical="center"/>
    </xf>
    <xf numFmtId="49" fontId="8" fillId="0" borderId="1" xfId="13" applyNumberFormat="1" applyFont="1" applyFill="1" applyBorder="1" applyAlignment="1">
      <alignment horizontal="center" vertical="center"/>
    </xf>
    <xf numFmtId="49" fontId="9" fillId="0" borderId="1" xfId="13" applyNumberFormat="1" applyFont="1" applyFill="1" applyBorder="1" applyAlignment="1">
      <alignment horizontal="center" vertical="top"/>
    </xf>
    <xf numFmtId="167" fontId="9" fillId="0" borderId="1" xfId="11" applyNumberFormat="1" applyFont="1" applyFill="1" applyBorder="1" applyAlignment="1">
      <alignment horizontal="center" vertical="center" wrapText="1"/>
    </xf>
    <xf numFmtId="167" fontId="9" fillId="2" borderId="1" xfId="11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top" wrapText="1"/>
    </xf>
    <xf numFmtId="49" fontId="8" fillId="0" borderId="3" xfId="0" applyNumberFormat="1" applyFont="1" applyFill="1" applyBorder="1" applyAlignment="1">
      <alignment horizontal="center" vertical="top"/>
    </xf>
    <xf numFmtId="49" fontId="8" fillId="0" borderId="2" xfId="0" applyNumberFormat="1" applyFont="1" applyFill="1" applyBorder="1" applyAlignment="1">
      <alignment horizontal="center" vertical="top"/>
    </xf>
    <xf numFmtId="49" fontId="9" fillId="0" borderId="3" xfId="0" applyNumberFormat="1" applyFont="1" applyFill="1" applyBorder="1" applyAlignment="1">
      <alignment horizontal="center" vertical="top"/>
    </xf>
    <xf numFmtId="49" fontId="9" fillId="0" borderId="2" xfId="0" applyNumberFormat="1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167" fontId="9" fillId="0" borderId="3" xfId="7" applyNumberFormat="1" applyFont="1" applyFill="1" applyBorder="1" applyAlignment="1">
      <alignment horizontal="center" vertical="center" wrapText="1"/>
    </xf>
    <xf numFmtId="167" fontId="9" fillId="0" borderId="2" xfId="7" applyNumberFormat="1" applyFont="1" applyFill="1" applyBorder="1" applyAlignment="1">
      <alignment horizontal="center" vertical="center" wrapText="1"/>
    </xf>
    <xf numFmtId="167" fontId="9" fillId="2" borderId="3" xfId="7" applyNumberFormat="1" applyFont="1" applyFill="1" applyBorder="1" applyAlignment="1">
      <alignment horizontal="center" vertical="center" wrapText="1"/>
    </xf>
    <xf numFmtId="167" fontId="9" fillId="2" borderId="2" xfId="7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top" wrapText="1"/>
    </xf>
    <xf numFmtId="49" fontId="9" fillId="0" borderId="2" xfId="0" applyNumberFormat="1" applyFont="1" applyFill="1" applyBorder="1" applyAlignment="1">
      <alignment horizontal="center" vertical="top" wrapText="1"/>
    </xf>
    <xf numFmtId="172" fontId="65" fillId="0" borderId="0" xfId="0" applyNumberFormat="1" applyFont="1" applyBorder="1" applyAlignment="1">
      <alignment horizontal="right" vertical="center" wrapText="1"/>
    </xf>
    <xf numFmtId="167" fontId="18" fillId="0" borderId="1" xfId="0" applyNumberFormat="1" applyFont="1" applyFill="1" applyBorder="1" applyAlignment="1">
      <alignment horizontal="center" vertical="center" wrapText="1"/>
    </xf>
  </cellXfs>
  <cellStyles count="187">
    <cellStyle name="20% - Accent1" xfId="89"/>
    <cellStyle name="20% - Accent2" xfId="90"/>
    <cellStyle name="20% - Accent3" xfId="91"/>
    <cellStyle name="20% - Accent4" xfId="92"/>
    <cellStyle name="20% - Accent5" xfId="93"/>
    <cellStyle name="20% - Accent6" xfId="94"/>
    <cellStyle name="40% - Accent1" xfId="95"/>
    <cellStyle name="40% - Accent2" xfId="96"/>
    <cellStyle name="40% - Accent3" xfId="97"/>
    <cellStyle name="40% - Accent4" xfId="98"/>
    <cellStyle name="40% - Accent5" xfId="99"/>
    <cellStyle name="40% - Accent6" xfId="100"/>
    <cellStyle name="60% - Accent1" xfId="101"/>
    <cellStyle name="60% - Accent2" xfId="102"/>
    <cellStyle name="60% - Accent3" xfId="103"/>
    <cellStyle name="60% - Accent4" xfId="104"/>
    <cellStyle name="60% - Accent5" xfId="105"/>
    <cellStyle name="60% - Accent6" xfId="106"/>
    <cellStyle name="Accent1" xfId="107"/>
    <cellStyle name="Accent2" xfId="108"/>
    <cellStyle name="Accent3" xfId="109"/>
    <cellStyle name="Accent4" xfId="110"/>
    <cellStyle name="Accent5" xfId="111"/>
    <cellStyle name="Accent6" xfId="112"/>
    <cellStyle name="Bad" xfId="113"/>
    <cellStyle name="Calculation" xfId="114"/>
    <cellStyle name="Calculation 2" xfId="179"/>
    <cellStyle name="Check Cell" xfId="115"/>
    <cellStyle name="Excel Built-in Normal" xfId="27"/>
    <cellStyle name="Explanatory Text" xfId="116"/>
    <cellStyle name="Good" xfId="117"/>
    <cellStyle name="Heading 1" xfId="118"/>
    <cellStyle name="Heading 2" xfId="119"/>
    <cellStyle name="Heading 3" xfId="120"/>
    <cellStyle name="Heading 4" xfId="121"/>
    <cellStyle name="Input" xfId="122"/>
    <cellStyle name="Input 2" xfId="180"/>
    <cellStyle name="Linked Cell" xfId="123"/>
    <cellStyle name="Neutral" xfId="124"/>
    <cellStyle name="Normal 4" xfId="17"/>
    <cellStyle name="Normal_Sheet1" xfId="18"/>
    <cellStyle name="Note" xfId="125"/>
    <cellStyle name="Note 2" xfId="181"/>
    <cellStyle name="Output" xfId="126"/>
    <cellStyle name="Output 2" xfId="182"/>
    <cellStyle name="Title" xfId="127"/>
    <cellStyle name="Total" xfId="128"/>
    <cellStyle name="Total 2" xfId="183"/>
    <cellStyle name="Warning Text" xfId="129"/>
    <cellStyle name="Денежный 2" xfId="8"/>
    <cellStyle name="Денежный 2 2" xfId="42"/>
    <cellStyle name="Обычный" xfId="0" builtinId="0"/>
    <cellStyle name="Обычный 10" xfId="30"/>
    <cellStyle name="Обычный 10 2" xfId="177"/>
    <cellStyle name="Обычный 11" xfId="29"/>
    <cellStyle name="Обычный 12" xfId="35"/>
    <cellStyle name="Обычный 15" xfId="34"/>
    <cellStyle name="Обычный 2" xfId="3"/>
    <cellStyle name="Обычный 2 2" xfId="5"/>
    <cellStyle name="Обычный 2 2 2" xfId="25"/>
    <cellStyle name="Обычный 2 2 2 2" xfId="131"/>
    <cellStyle name="Обычный 2 2 3" xfId="173"/>
    <cellStyle name="Обычный 2 2 4" xfId="44"/>
    <cellStyle name="Обычный 2 3" xfId="45"/>
    <cellStyle name="Обычный 2 4" xfId="130"/>
    <cellStyle name="Обычный 2_09.04.2014_Programme budget 2014_Education_Modified" xfId="31"/>
    <cellStyle name="Обычный 2_Бюджетный циркуляр 2015г.Нацстат" xfId="186"/>
    <cellStyle name="Обычный 3" xfId="6"/>
    <cellStyle name="Обычный 3 2" xfId="46"/>
    <cellStyle name="Обычный 3 3" xfId="47"/>
    <cellStyle name="Обычный 3 3 2" xfId="48"/>
    <cellStyle name="Обычный 3 3 2 2" xfId="38"/>
    <cellStyle name="Обычный 3 3 2 2 2" xfId="71"/>
    <cellStyle name="Обычный 3 3 2 2 3" xfId="135"/>
    <cellStyle name="Обычный 3 3 2 3" xfId="70"/>
    <cellStyle name="Обычный 3 3 2 4" xfId="134"/>
    <cellStyle name="Обычный 3 3 2_09.04.2014_Programme budget 2014_Education_Modified" xfId="136"/>
    <cellStyle name="Обычный 3 3 3" xfId="49"/>
    <cellStyle name="Обычный 3 3 3 2" xfId="72"/>
    <cellStyle name="Обычный 3 3 3 3" xfId="137"/>
    <cellStyle name="Обычный 3 3 4" xfId="69"/>
    <cellStyle name="Обычный 3 3 5" xfId="133"/>
    <cellStyle name="Обычный 3 3_09.04.2014_Programme budget 2014_Education_Modified" xfId="138"/>
    <cellStyle name="Обычный 3 4" xfId="50"/>
    <cellStyle name="Обычный 3 4 2" xfId="51"/>
    <cellStyle name="Обычный 3 4 2 2" xfId="74"/>
    <cellStyle name="Обычный 3 4 2 3" xfId="140"/>
    <cellStyle name="Обычный 3 4 3" xfId="73"/>
    <cellStyle name="Обычный 3 4 4" xfId="139"/>
    <cellStyle name="Обычный 3 4_09.04.2014_Programme budget 2014_Education_Modified" xfId="141"/>
    <cellStyle name="Обычный 3 5" xfId="52"/>
    <cellStyle name="Обычный 3 5 2" xfId="75"/>
    <cellStyle name="Обычный 3 5 3" xfId="142"/>
    <cellStyle name="Обычный 3 6" xfId="68"/>
    <cellStyle name="Обычный 3 7" xfId="132"/>
    <cellStyle name="Обычный 3_09.04.2014_Programme budget 2014_Education_Modified" xfId="143"/>
    <cellStyle name="Обычный 4" xfId="1"/>
    <cellStyle name="Обычный 4 2" xfId="19"/>
    <cellStyle name="Обычный 4 2 2" xfId="55"/>
    <cellStyle name="Обычный 4 2 2 2" xfId="78"/>
    <cellStyle name="Обычный 4 2 2 3" xfId="146"/>
    <cellStyle name="Обычный 4 2 3" xfId="77"/>
    <cellStyle name="Обычный 4 2 4" xfId="145"/>
    <cellStyle name="Обычный 4 2 5" xfId="171"/>
    <cellStyle name="Обычный 4 2 6" xfId="54"/>
    <cellStyle name="Обычный 4 2_09.04.2014_Programme budget 2014_Education_Modified" xfId="147"/>
    <cellStyle name="Обычный 4 3" xfId="56"/>
    <cellStyle name="Обычный 4 3 2" xfId="79"/>
    <cellStyle name="Обычный 4 3 3" xfId="148"/>
    <cellStyle name="Обычный 4 4" xfId="76"/>
    <cellStyle name="Обычный 4 5" xfId="53"/>
    <cellStyle name="Обычный 4 6" xfId="144"/>
    <cellStyle name="Обычный 4_09.04.2014_Programme budget 2014_Education_Modified" xfId="149"/>
    <cellStyle name="Обычный 5" xfId="9"/>
    <cellStyle name="Обычный 5 2" xfId="20"/>
    <cellStyle name="Обычный 5 3" xfId="150"/>
    <cellStyle name="Обычный 5 4" xfId="169"/>
    <cellStyle name="Обычный 5 5" xfId="39"/>
    <cellStyle name="Обычный 6" xfId="16"/>
    <cellStyle name="Обычный 6 2" xfId="58"/>
    <cellStyle name="Обычный 6 2 2" xfId="59"/>
    <cellStyle name="Обычный 6 2 2 2" xfId="82"/>
    <cellStyle name="Обычный 6 2 2 3" xfId="153"/>
    <cellStyle name="Обычный 6 2 3" xfId="81"/>
    <cellStyle name="Обычный 6 2 4" xfId="152"/>
    <cellStyle name="Обычный 6 2_09.04.2014_Programme budget 2014_Education_Modified" xfId="154"/>
    <cellStyle name="Обычный 6 3" xfId="60"/>
    <cellStyle name="Обычный 6 3 2" xfId="83"/>
    <cellStyle name="Обычный 6 3 3" xfId="155"/>
    <cellStyle name="Обычный 6 4" xfId="80"/>
    <cellStyle name="Обычный 6 5" xfId="57"/>
    <cellStyle name="Обычный 6 6" xfId="151"/>
    <cellStyle name="Обычный 6_09.04.2014_Programme budget 2014_Education_Modified" xfId="156"/>
    <cellStyle name="Обычный 7" xfId="14"/>
    <cellStyle name="Обычный 7 2" xfId="163"/>
    <cellStyle name="Обычный 7 3" xfId="32"/>
    <cellStyle name="Обычный 8" xfId="13"/>
    <cellStyle name="Обычный 8 2" xfId="164"/>
    <cellStyle name="Обычный 9" xfId="12"/>
    <cellStyle name="Обычный 9 2" xfId="167"/>
    <cellStyle name="Обычный_Лист5" xfId="185"/>
    <cellStyle name="Процентный" xfId="184" builtinId="5"/>
    <cellStyle name="Процентный 2" xfId="2"/>
    <cellStyle name="Процентный 2 2" xfId="21"/>
    <cellStyle name="Процентный 2 3" xfId="61"/>
    <cellStyle name="Процентный 2 4" xfId="165"/>
    <cellStyle name="Процентный 3" xfId="10"/>
    <cellStyle name="Процентный 3 2" xfId="22"/>
    <cellStyle name="Процентный 4" xfId="43"/>
    <cellStyle name="Процентный 5" xfId="162"/>
    <cellStyle name="Процентный 6" xfId="37"/>
    <cellStyle name="Стиль 1" xfId="88"/>
    <cellStyle name="Финансовый" xfId="28" builtinId="3"/>
    <cellStyle name="Финансовый 2" xfId="4"/>
    <cellStyle name="Финансовый 2 2" xfId="23"/>
    <cellStyle name="Финансовый 2 2 2" xfId="64"/>
    <cellStyle name="Финансовый 2 2 2 2" xfId="65"/>
    <cellStyle name="Финансовый 2 2 2 2 2" xfId="86"/>
    <cellStyle name="Финансовый 2 2 2 2 3" xfId="159"/>
    <cellStyle name="Финансовый 2 2 2 3" xfId="85"/>
    <cellStyle name="Финансовый 2 2 2 4" xfId="158"/>
    <cellStyle name="Финансовый 2 2 3" xfId="66"/>
    <cellStyle name="Финансовый 2 2 3 2" xfId="87"/>
    <cellStyle name="Финансовый 2 2 3 3" xfId="160"/>
    <cellStyle name="Финансовый 2 2 4" xfId="84"/>
    <cellStyle name="Финансовый 2 2 5" xfId="157"/>
    <cellStyle name="Финансовый 2 2 6" xfId="63"/>
    <cellStyle name="Финансовый 2 3" xfId="62"/>
    <cellStyle name="Финансовый 2 4" xfId="166"/>
    <cellStyle name="Финансовый 2 5" xfId="41"/>
    <cellStyle name="Финансовый 3" xfId="7"/>
    <cellStyle name="Финансовый 3 2" xfId="24"/>
    <cellStyle name="Финансовый 3 2 2" xfId="67"/>
    <cellStyle name="Финансовый 3 3" xfId="170"/>
    <cellStyle name="Финансовый 3 4" xfId="172"/>
    <cellStyle name="Финансовый 3 5" xfId="40"/>
    <cellStyle name="Финансовый 4" xfId="11"/>
    <cellStyle name="Финансовый 4 2" xfId="15"/>
    <cellStyle name="Финансовый 4 2 2" xfId="168"/>
    <cellStyle name="Финансовый 4 3" xfId="176"/>
    <cellStyle name="Финансовый 4 4" xfId="161"/>
    <cellStyle name="Финансовый 5" xfId="26"/>
    <cellStyle name="Финансовый 5 2" xfId="174"/>
    <cellStyle name="Финансовый 5 3" xfId="33"/>
    <cellStyle name="Финансовый 6" xfId="175"/>
    <cellStyle name="Финансовый 7" xfId="178"/>
    <cellStyle name="Финансовый 8" xfId="3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.sagimbekova/Desktop/&#1087;&#1086;&#1089;&#1083;&#1077;%20&#1095;&#1080;&#1090;&#1082;&#1080;/Users/GAAR-24/Desktop/&#1041;&#1102;&#1076;&#1078;&#1077;&#1090;&#1085;&#1099;&#1081;%20&#1094;&#1080;&#1088;&#1082;&#1091;&#1083;&#1103;&#1088;%202019-2021&#1075;&#1075;/&#1053;&#1086;&#1074;&#1072;&#1103;%20&#1087;&#1072;&#1087;&#1082;&#1072;/&#1041;&#1070;&#1044;&#1046;&#1045;&#1058;&#1053;&#1067;&#1049;%20&#1062;&#1048;&#1056;&#1050;&#1059;&#1051;&#1071;&#1056;%202019-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иложение 2019"/>
      <sheetName val="приложение  4"/>
      <sheetName val="приложение 5"/>
      <sheetName val="приложение 8-1"/>
    </sheetNames>
    <sheetDataSet>
      <sheetData sheetId="0" refreshError="1">
        <row r="10">
          <cell r="M10" t="str">
            <v>количество сотрудников, прошедших курсы повышения квалификации от общего количества сотрудников</v>
          </cell>
        </row>
        <row r="16">
          <cell r="M16" t="str">
            <v>Среднее количество сотрудников региональных представительств на область КР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ED1139"/>
  <sheetViews>
    <sheetView showZeros="0" tabSelected="1" view="pageBreakPreview" topLeftCell="A287" zoomScale="85" zoomScaleNormal="10" zoomScaleSheetLayoutView="85" workbookViewId="0">
      <selection activeCell="A299" sqref="A299:E299"/>
    </sheetView>
  </sheetViews>
  <sheetFormatPr defaultRowHeight="15" x14ac:dyDescent="0.25"/>
  <cols>
    <col min="1" max="1" width="6.85546875" style="1" customWidth="1"/>
    <col min="2" max="2" width="7.140625" style="4" customWidth="1"/>
    <col min="3" max="3" width="6" style="4" customWidth="1"/>
    <col min="4" max="4" width="6" style="1" customWidth="1"/>
    <col min="5" max="5" width="44.7109375" style="1" customWidth="1"/>
    <col min="6" max="10" width="15.28515625" style="2" customWidth="1"/>
    <col min="11" max="11" width="44.7109375" style="1" customWidth="1"/>
    <col min="12" max="12" width="11.42578125" style="4" customWidth="1"/>
    <col min="13" max="13" width="13.7109375" style="4" customWidth="1"/>
    <col min="14" max="14" width="15.28515625" style="4" customWidth="1"/>
    <col min="15" max="17" width="12" style="4" customWidth="1"/>
    <col min="18" max="16384" width="9.140625" style="1"/>
  </cols>
  <sheetData>
    <row r="1" spans="1:17" ht="60" customHeight="1" x14ac:dyDescent="0.25">
      <c r="E1" s="133"/>
      <c r="F1" s="404"/>
      <c r="G1" s="404"/>
      <c r="H1" s="404"/>
      <c r="I1" s="404"/>
      <c r="J1" s="404"/>
      <c r="K1" s="1358" t="s">
        <v>1693</v>
      </c>
      <c r="L1" s="1358"/>
      <c r="M1" s="1358"/>
      <c r="N1" s="1358"/>
      <c r="O1" s="1358"/>
      <c r="P1" s="1358"/>
      <c r="Q1" s="1358"/>
    </row>
    <row r="2" spans="1:17" ht="15.75" x14ac:dyDescent="0.25">
      <c r="E2" s="133"/>
      <c r="F2" s="404"/>
      <c r="G2" s="404"/>
      <c r="H2" s="404"/>
      <c r="I2" s="404"/>
      <c r="J2" s="404"/>
      <c r="K2" s="989"/>
      <c r="L2" s="989"/>
      <c r="M2" s="989"/>
      <c r="N2" s="989"/>
      <c r="O2" s="989"/>
      <c r="P2" s="989"/>
      <c r="Q2" s="989"/>
    </row>
    <row r="3" spans="1:17" ht="18.75" x14ac:dyDescent="0.3">
      <c r="A3" s="996" t="s">
        <v>1237</v>
      </c>
      <c r="B3" s="996"/>
      <c r="C3" s="996"/>
      <c r="D3" s="996"/>
      <c r="E3" s="996"/>
      <c r="F3" s="996"/>
      <c r="G3" s="996"/>
      <c r="H3" s="996"/>
      <c r="I3" s="996"/>
      <c r="J3" s="996"/>
      <c r="K3" s="996"/>
      <c r="L3" s="996"/>
      <c r="M3" s="996"/>
      <c r="N3" s="996"/>
      <c r="O3" s="996"/>
      <c r="P3" s="996"/>
      <c r="Q3" s="405"/>
    </row>
    <row r="4" spans="1:17" ht="15.75" thickBot="1" x14ac:dyDescent="0.3"/>
    <row r="5" spans="1:17" ht="33" customHeight="1" x14ac:dyDescent="0.25">
      <c r="A5" s="1251" t="s">
        <v>220</v>
      </c>
      <c r="B5" s="1259" t="s">
        <v>0</v>
      </c>
      <c r="C5" s="1259" t="s">
        <v>1</v>
      </c>
      <c r="D5" s="1259" t="s">
        <v>2</v>
      </c>
      <c r="E5" s="1259" t="s">
        <v>3</v>
      </c>
      <c r="F5" s="1253" t="s">
        <v>223</v>
      </c>
      <c r="G5" s="1253"/>
      <c r="H5" s="1253"/>
      <c r="I5" s="1253"/>
      <c r="J5" s="1253"/>
      <c r="K5" s="1259" t="s">
        <v>4</v>
      </c>
      <c r="L5" s="1259" t="s">
        <v>5</v>
      </c>
      <c r="M5" s="749" t="s">
        <v>6</v>
      </c>
      <c r="N5" s="1259" t="s">
        <v>7</v>
      </c>
      <c r="O5" s="1259"/>
      <c r="P5" s="1259"/>
      <c r="Q5" s="1268"/>
    </row>
    <row r="6" spans="1:17" ht="26.25" customHeight="1" x14ac:dyDescent="0.25">
      <c r="A6" s="1252"/>
      <c r="B6" s="1260"/>
      <c r="C6" s="1260"/>
      <c r="D6" s="1260"/>
      <c r="E6" s="1260"/>
      <c r="F6" s="750">
        <v>2020</v>
      </c>
      <c r="G6" s="750">
        <v>2021</v>
      </c>
      <c r="H6" s="750">
        <v>2022</v>
      </c>
      <c r="I6" s="750">
        <v>2023</v>
      </c>
      <c r="J6" s="750">
        <v>2024</v>
      </c>
      <c r="K6" s="1260"/>
      <c r="L6" s="1260"/>
      <c r="M6" s="750">
        <v>2020</v>
      </c>
      <c r="N6" s="750">
        <v>2021</v>
      </c>
      <c r="O6" s="750">
        <v>2022</v>
      </c>
      <c r="P6" s="750">
        <v>2023</v>
      </c>
      <c r="Q6" s="476">
        <v>2024</v>
      </c>
    </row>
    <row r="7" spans="1:17" s="23" customFormat="1" x14ac:dyDescent="0.25">
      <c r="A7" s="1211" t="s">
        <v>314</v>
      </c>
      <c r="B7" s="1212" t="s">
        <v>314</v>
      </c>
      <c r="C7" s="1212"/>
      <c r="D7" s="1212"/>
      <c r="E7" s="1212"/>
      <c r="F7" s="1212"/>
      <c r="G7" s="1212"/>
      <c r="H7" s="1212"/>
      <c r="I7" s="1212"/>
      <c r="J7" s="1212"/>
      <c r="K7" s="1212"/>
      <c r="L7" s="1212"/>
      <c r="M7" s="1212"/>
      <c r="N7" s="1212"/>
      <c r="O7" s="1212"/>
      <c r="P7" s="412"/>
      <c r="Q7" s="477"/>
    </row>
    <row r="8" spans="1:17" ht="60" x14ac:dyDescent="0.25">
      <c r="A8" s="994">
        <v>11</v>
      </c>
      <c r="B8" s="831">
        <v>1</v>
      </c>
      <c r="C8" s="832"/>
      <c r="D8" s="833"/>
      <c r="E8" s="413" t="s">
        <v>313</v>
      </c>
      <c r="F8" s="414">
        <f>SUM(F9:F13)</f>
        <v>713444.3</v>
      </c>
      <c r="G8" s="414">
        <f>SUM(G9:G13)</f>
        <v>707025.29999999993</v>
      </c>
      <c r="H8" s="414">
        <f>SUM(H9:H13)</f>
        <v>712465.79999999993</v>
      </c>
      <c r="I8" s="414">
        <f>SUM(I9:I13)</f>
        <v>726831.85</v>
      </c>
      <c r="J8" s="414">
        <f>SUM(J9:J13)</f>
        <v>747643.76199999999</v>
      </c>
      <c r="K8" s="415" t="s">
        <v>308</v>
      </c>
      <c r="L8" s="285" t="s">
        <v>14</v>
      </c>
      <c r="M8" s="285">
        <v>81</v>
      </c>
      <c r="N8" s="285">
        <v>70</v>
      </c>
      <c r="O8" s="285">
        <v>75</v>
      </c>
      <c r="P8" s="285">
        <v>75</v>
      </c>
      <c r="Q8" s="478">
        <v>75</v>
      </c>
    </row>
    <row r="9" spans="1:17" ht="15" hidden="1" customHeight="1" x14ac:dyDescent="0.25">
      <c r="A9" s="994"/>
      <c r="B9" s="1261"/>
      <c r="C9" s="1261">
        <v>1</v>
      </c>
      <c r="D9" s="1261"/>
      <c r="E9" s="1262" t="s">
        <v>307</v>
      </c>
      <c r="F9" s="1263">
        <f>554650.6+74594.8+32500</f>
        <v>661745.4</v>
      </c>
      <c r="G9" s="1263">
        <f>545468.5+72222.2+30000+2580</f>
        <v>650270.69999999995</v>
      </c>
      <c r="H9" s="1263">
        <f>2100+30000+74602.2+543543</f>
        <v>650245.19999999995</v>
      </c>
      <c r="I9" s="1263">
        <f>2100+30000+74602.2+556666.05</f>
        <v>663368.25</v>
      </c>
      <c r="J9" s="1263">
        <f>2100+30000+74602.2+577310.962</f>
        <v>684013.16200000001</v>
      </c>
      <c r="K9" s="224"/>
      <c r="L9" s="825"/>
      <c r="M9" s="820"/>
      <c r="N9" s="820"/>
      <c r="O9" s="820"/>
      <c r="P9" s="820"/>
      <c r="Q9" s="824"/>
    </row>
    <row r="10" spans="1:17" ht="60" x14ac:dyDescent="0.25">
      <c r="A10" s="994"/>
      <c r="B10" s="1261"/>
      <c r="C10" s="1261"/>
      <c r="D10" s="1261"/>
      <c r="E10" s="1262"/>
      <c r="F10" s="1263"/>
      <c r="G10" s="1263"/>
      <c r="H10" s="1263"/>
      <c r="I10" s="1263"/>
      <c r="J10" s="1263"/>
      <c r="K10" s="224" t="s">
        <v>309</v>
      </c>
      <c r="L10" s="239" t="s">
        <v>19</v>
      </c>
      <c r="M10" s="239">
        <v>90</v>
      </c>
      <c r="N10" s="239">
        <v>90</v>
      </c>
      <c r="O10" s="239">
        <v>90</v>
      </c>
      <c r="P10" s="239">
        <v>90</v>
      </c>
      <c r="Q10" s="479">
        <v>90</v>
      </c>
    </row>
    <row r="11" spans="1:17" ht="75" x14ac:dyDescent="0.25">
      <c r="A11" s="994"/>
      <c r="B11" s="1261"/>
      <c r="C11" s="1261"/>
      <c r="D11" s="1261"/>
      <c r="E11" s="1262"/>
      <c r="F11" s="1263"/>
      <c r="G11" s="1263"/>
      <c r="H11" s="1263"/>
      <c r="I11" s="1263"/>
      <c r="J11" s="1263"/>
      <c r="K11" s="225" t="s">
        <v>310</v>
      </c>
      <c r="L11" s="239" t="s">
        <v>69</v>
      </c>
      <c r="M11" s="239">
        <v>0.5</v>
      </c>
      <c r="N11" s="239">
        <v>0.5</v>
      </c>
      <c r="O11" s="239">
        <v>0.5</v>
      </c>
      <c r="P11" s="239">
        <v>0.5</v>
      </c>
      <c r="Q11" s="479">
        <v>0.5</v>
      </c>
    </row>
    <row r="12" spans="1:17" ht="30" x14ac:dyDescent="0.25">
      <c r="A12" s="994"/>
      <c r="B12" s="1276"/>
      <c r="C12" s="1261">
        <v>2</v>
      </c>
      <c r="D12" s="1277"/>
      <c r="E12" s="1272" t="s">
        <v>311</v>
      </c>
      <c r="F12" s="1263">
        <f>40973+10725.9</f>
        <v>51698.9</v>
      </c>
      <c r="G12" s="1263">
        <f>44666.9+12087.7</f>
        <v>56754.600000000006</v>
      </c>
      <c r="H12" s="1263">
        <v>62220.6</v>
      </c>
      <c r="I12" s="1263">
        <f>12113.2+44666.9+6683.5</f>
        <v>63463.600000000006</v>
      </c>
      <c r="J12" s="1263">
        <f>12113.2+44666.9+6850.5</f>
        <v>63630.600000000006</v>
      </c>
      <c r="K12" s="225" t="s">
        <v>312</v>
      </c>
      <c r="L12" s="825" t="s">
        <v>69</v>
      </c>
      <c r="M12" s="825">
        <v>0.15</v>
      </c>
      <c r="N12" s="825">
        <v>0.15</v>
      </c>
      <c r="O12" s="825">
        <v>0.15</v>
      </c>
      <c r="P12" s="825">
        <v>0.15</v>
      </c>
      <c r="Q12" s="792">
        <v>0.15</v>
      </c>
    </row>
    <row r="13" spans="1:17" ht="30" x14ac:dyDescent="0.25">
      <c r="A13" s="994"/>
      <c r="B13" s="1276"/>
      <c r="C13" s="1261"/>
      <c r="D13" s="1277"/>
      <c r="E13" s="1272"/>
      <c r="F13" s="1263"/>
      <c r="G13" s="1263"/>
      <c r="H13" s="1263"/>
      <c r="I13" s="1263"/>
      <c r="J13" s="1263"/>
      <c r="K13" s="225" t="s">
        <v>1334</v>
      </c>
      <c r="L13" s="825" t="s">
        <v>14</v>
      </c>
      <c r="M13" s="825">
        <v>217</v>
      </c>
      <c r="N13" s="825">
        <v>260</v>
      </c>
      <c r="O13" s="825">
        <v>260</v>
      </c>
      <c r="P13" s="825">
        <v>260</v>
      </c>
      <c r="Q13" s="792">
        <v>260</v>
      </c>
    </row>
    <row r="14" spans="1:17" ht="21" customHeight="1" x14ac:dyDescent="0.25">
      <c r="A14" s="1266" t="s">
        <v>23</v>
      </c>
      <c r="B14" s="1267"/>
      <c r="C14" s="1267"/>
      <c r="D14" s="1267"/>
      <c r="E14" s="1267"/>
      <c r="F14" s="81">
        <f>F9+F12</f>
        <v>713444.3</v>
      </c>
      <c r="G14" s="81">
        <f>G9+G12</f>
        <v>707025.29999999993</v>
      </c>
      <c r="H14" s="81">
        <f>H9+H12</f>
        <v>712465.79999999993</v>
      </c>
      <c r="I14" s="81">
        <f>I9+I12</f>
        <v>726831.85</v>
      </c>
      <c r="J14" s="81">
        <f>J9+J12</f>
        <v>747643.76199999999</v>
      </c>
      <c r="K14" s="82"/>
      <c r="L14" s="1063"/>
      <c r="M14" s="1063"/>
      <c r="N14" s="1063"/>
      <c r="O14" s="1063"/>
      <c r="P14" s="1063"/>
      <c r="Q14" s="1064"/>
    </row>
    <row r="15" spans="1:17" s="23" customFormat="1" ht="21.75" customHeight="1" x14ac:dyDescent="0.25">
      <c r="A15" s="1211" t="s">
        <v>691</v>
      </c>
      <c r="B15" s="1212" t="s">
        <v>446</v>
      </c>
      <c r="C15" s="1212"/>
      <c r="D15" s="1212"/>
      <c r="E15" s="1212"/>
      <c r="F15" s="1212"/>
      <c r="G15" s="1212"/>
      <c r="H15" s="1212"/>
      <c r="I15" s="1212"/>
      <c r="J15" s="1212"/>
      <c r="K15" s="1212"/>
      <c r="L15" s="1212"/>
      <c r="M15" s="1212"/>
      <c r="N15" s="1212"/>
      <c r="O15" s="1212"/>
      <c r="P15" s="412"/>
      <c r="Q15" s="477"/>
    </row>
    <row r="16" spans="1:17" customFormat="1" ht="23.25" customHeight="1" x14ac:dyDescent="0.25">
      <c r="A16" s="1265">
        <v>12</v>
      </c>
      <c r="B16" s="37" t="s">
        <v>447</v>
      </c>
      <c r="C16" s="416"/>
      <c r="D16" s="417"/>
      <c r="E16" s="363" t="s">
        <v>448</v>
      </c>
      <c r="F16" s="834">
        <f>F17+F18+F19+F20+F21</f>
        <v>136227.1</v>
      </c>
      <c r="G16" s="834">
        <f t="shared" ref="G16:J16" si="0">G17+G18+G19+G20+G21</f>
        <v>186113.4</v>
      </c>
      <c r="H16" s="834">
        <f>H17+H18+H19+H20+H21</f>
        <v>481351.89999999997</v>
      </c>
      <c r="I16" s="834">
        <f t="shared" si="0"/>
        <v>489325.29599999997</v>
      </c>
      <c r="J16" s="834">
        <f t="shared" si="0"/>
        <v>491868.77899999998</v>
      </c>
      <c r="K16" s="240"/>
      <c r="L16" s="240"/>
      <c r="M16" s="240"/>
      <c r="N16" s="240"/>
      <c r="O16" s="240"/>
      <c r="P16" s="240"/>
      <c r="Q16" s="480"/>
    </row>
    <row r="17" spans="1:17" ht="71.25" customHeight="1" x14ac:dyDescent="0.25">
      <c r="A17" s="1265"/>
      <c r="B17" s="30"/>
      <c r="C17" s="835">
        <v>1</v>
      </c>
      <c r="D17" s="817"/>
      <c r="E17" s="811" t="s">
        <v>439</v>
      </c>
      <c r="F17" s="814">
        <v>99170.8</v>
      </c>
      <c r="G17" s="814">
        <v>115432.7</v>
      </c>
      <c r="H17" s="814">
        <v>400671.1</v>
      </c>
      <c r="I17" s="814">
        <v>408644.49599999998</v>
      </c>
      <c r="J17" s="814">
        <v>411188.07900000003</v>
      </c>
      <c r="K17" s="812" t="s">
        <v>440</v>
      </c>
      <c r="L17" s="116" t="s">
        <v>19</v>
      </c>
      <c r="M17" s="118">
        <f>99170.8/172744200*100</f>
        <v>5.7409047597545962E-2</v>
      </c>
      <c r="N17" s="118">
        <f>115432.7/169452000*100</f>
        <v>6.8121178858909906E-2</v>
      </c>
      <c r="O17" s="118">
        <f>N17</f>
        <v>6.8121178858909906E-2</v>
      </c>
      <c r="P17" s="118">
        <f>N17</f>
        <v>6.8121178858909906E-2</v>
      </c>
      <c r="Q17" s="481">
        <f>N17</f>
        <v>6.8121178858909906E-2</v>
      </c>
    </row>
    <row r="18" spans="1:17" s="83" customFormat="1" ht="56.25" customHeight="1" x14ac:dyDescent="0.25">
      <c r="A18" s="1265"/>
      <c r="B18" s="30"/>
      <c r="C18" s="835">
        <v>2</v>
      </c>
      <c r="D18" s="816"/>
      <c r="E18" s="117" t="s">
        <v>1320</v>
      </c>
      <c r="F18" s="814">
        <v>2042.2</v>
      </c>
      <c r="G18" s="814">
        <v>5894.6</v>
      </c>
      <c r="H18" s="814">
        <v>5894.6</v>
      </c>
      <c r="I18" s="814">
        <v>5894.6</v>
      </c>
      <c r="J18" s="814">
        <v>5894.6</v>
      </c>
      <c r="K18" s="819" t="s">
        <v>441</v>
      </c>
      <c r="L18" s="116" t="s">
        <v>19</v>
      </c>
      <c r="M18" s="836">
        <v>100</v>
      </c>
      <c r="N18" s="836">
        <v>100</v>
      </c>
      <c r="O18" s="836">
        <v>100</v>
      </c>
      <c r="P18" s="836">
        <v>100</v>
      </c>
      <c r="Q18" s="837">
        <v>100</v>
      </c>
    </row>
    <row r="19" spans="1:17" s="83" customFormat="1" ht="82.5" customHeight="1" x14ac:dyDescent="0.25">
      <c r="A19" s="1265"/>
      <c r="B19" s="30"/>
      <c r="C19" s="835">
        <v>3</v>
      </c>
      <c r="D19" s="816"/>
      <c r="E19" s="117" t="s">
        <v>442</v>
      </c>
      <c r="F19" s="814">
        <v>16452</v>
      </c>
      <c r="G19" s="814">
        <v>30000</v>
      </c>
      <c r="H19" s="814">
        <v>40000</v>
      </c>
      <c r="I19" s="814">
        <v>40000</v>
      </c>
      <c r="J19" s="814">
        <v>40000</v>
      </c>
      <c r="K19" s="821" t="s">
        <v>443</v>
      </c>
      <c r="L19" s="116" t="s">
        <v>14</v>
      </c>
      <c r="M19" s="838">
        <v>63</v>
      </c>
      <c r="N19" s="838">
        <f>M19/F19*G19</f>
        <v>114.87964989059081</v>
      </c>
      <c r="O19" s="838">
        <f>N19/G19*H19</f>
        <v>153.17286652078775</v>
      </c>
      <c r="P19" s="838">
        <f>O19/H19*I19</f>
        <v>153.17286652078775</v>
      </c>
      <c r="Q19" s="839">
        <f>P19/I19*J19</f>
        <v>153.17286652078775</v>
      </c>
    </row>
    <row r="20" spans="1:17" s="83" customFormat="1" ht="53.25" customHeight="1" x14ac:dyDescent="0.25">
      <c r="A20" s="1265"/>
      <c r="B20" s="30"/>
      <c r="C20" s="835">
        <v>4</v>
      </c>
      <c r="D20" s="816"/>
      <c r="E20" s="117" t="s">
        <v>444</v>
      </c>
      <c r="F20" s="814">
        <v>1344</v>
      </c>
      <c r="G20" s="814">
        <v>4786.1000000000004</v>
      </c>
      <c r="H20" s="814">
        <f>2786.1+2000+0.1</f>
        <v>4786.2000000000007</v>
      </c>
      <c r="I20" s="814">
        <f>2786.1+2000+0.1</f>
        <v>4786.2000000000007</v>
      </c>
      <c r="J20" s="814">
        <f>2786.1+2000</f>
        <v>4786.1000000000004</v>
      </c>
      <c r="K20" s="821" t="s">
        <v>445</v>
      </c>
      <c r="L20" s="116" t="s">
        <v>14</v>
      </c>
      <c r="M20" s="840">
        <v>15</v>
      </c>
      <c r="N20" s="840">
        <v>15</v>
      </c>
      <c r="O20" s="840">
        <v>15</v>
      </c>
      <c r="P20" s="840">
        <v>15</v>
      </c>
      <c r="Q20" s="841">
        <v>15</v>
      </c>
    </row>
    <row r="21" spans="1:17" s="83" customFormat="1" ht="103.5" customHeight="1" x14ac:dyDescent="0.25">
      <c r="A21" s="482"/>
      <c r="B21" s="835"/>
      <c r="C21" s="835">
        <v>5</v>
      </c>
      <c r="D21" s="26"/>
      <c r="E21" s="117" t="s">
        <v>449</v>
      </c>
      <c r="F21" s="815">
        <v>17218.099999999999</v>
      </c>
      <c r="G21" s="815">
        <v>30000</v>
      </c>
      <c r="H21" s="815">
        <v>30000</v>
      </c>
      <c r="I21" s="815">
        <v>30000</v>
      </c>
      <c r="J21" s="815">
        <v>30000</v>
      </c>
      <c r="K21" s="117" t="s">
        <v>443</v>
      </c>
      <c r="L21" s="119" t="s">
        <v>14</v>
      </c>
      <c r="M21" s="838">
        <v>86</v>
      </c>
      <c r="N21" s="838">
        <f>M21/F21*G21</f>
        <v>149.84231709654378</v>
      </c>
      <c r="O21" s="838">
        <f>N21/G21*H21</f>
        <v>149.84231709654378</v>
      </c>
      <c r="P21" s="838">
        <f>O21/H21*I21</f>
        <v>149.84231709654378</v>
      </c>
      <c r="Q21" s="839">
        <f>P21/I21*J21</f>
        <v>149.84231709654378</v>
      </c>
    </row>
    <row r="22" spans="1:17" ht="21" customHeight="1" x14ac:dyDescent="0.25">
      <c r="A22" s="1266" t="s">
        <v>23</v>
      </c>
      <c r="B22" s="1267"/>
      <c r="C22" s="1267"/>
      <c r="D22" s="1267"/>
      <c r="E22" s="1267"/>
      <c r="F22" s="81">
        <f t="shared" ref="F22:G22" si="1">F17+F18+F19+F20+F21</f>
        <v>136227.1</v>
      </c>
      <c r="G22" s="81">
        <f t="shared" si="1"/>
        <v>186113.4</v>
      </c>
      <c r="H22" s="81">
        <f>H17+H18+H19+H20+H21</f>
        <v>481351.89999999997</v>
      </c>
      <c r="I22" s="81">
        <f t="shared" ref="I22:J22" si="2">I17+I18+I19+I20+I21</f>
        <v>489325.29599999997</v>
      </c>
      <c r="J22" s="81">
        <f t="shared" si="2"/>
        <v>491868.77899999998</v>
      </c>
      <c r="K22" s="82"/>
      <c r="L22" s="1063"/>
      <c r="M22" s="1063"/>
      <c r="N22" s="1063"/>
      <c r="O22" s="1063"/>
      <c r="P22" s="1063"/>
      <c r="Q22" s="1064"/>
    </row>
    <row r="23" spans="1:17" s="23" customFormat="1" ht="25.5" customHeight="1" x14ac:dyDescent="0.25">
      <c r="A23" s="1211" t="s">
        <v>692</v>
      </c>
      <c r="B23" s="1212" t="s">
        <v>306</v>
      </c>
      <c r="C23" s="1212"/>
      <c r="D23" s="1212"/>
      <c r="E23" s="1212"/>
      <c r="F23" s="1212"/>
      <c r="G23" s="1212"/>
      <c r="H23" s="1212"/>
      <c r="I23" s="1212"/>
      <c r="J23" s="1212"/>
      <c r="K23" s="1212"/>
      <c r="L23" s="1212"/>
      <c r="M23" s="1212"/>
      <c r="N23" s="1212"/>
      <c r="O23" s="1212"/>
      <c r="P23" s="412"/>
      <c r="Q23" s="477"/>
    </row>
    <row r="24" spans="1:17" s="83" customFormat="1" ht="42.75" x14ac:dyDescent="0.25">
      <c r="A24" s="1273">
        <v>13</v>
      </c>
      <c r="B24" s="835">
        <v>132</v>
      </c>
      <c r="C24" s="835"/>
      <c r="D24" s="26"/>
      <c r="E24" s="238" t="s">
        <v>755</v>
      </c>
      <c r="F24" s="818">
        <f>F25</f>
        <v>7952.7</v>
      </c>
      <c r="G24" s="818">
        <f>G25</f>
        <v>7952.7</v>
      </c>
      <c r="H24" s="818">
        <f>H25</f>
        <v>8053.0999999999995</v>
      </c>
      <c r="I24" s="818">
        <f>I25</f>
        <v>8207.25</v>
      </c>
      <c r="J24" s="818">
        <f>J25</f>
        <v>8449.7559999999994</v>
      </c>
      <c r="K24" s="117"/>
      <c r="L24" s="119"/>
      <c r="M24" s="838"/>
      <c r="N24" s="838"/>
      <c r="O24" s="838"/>
      <c r="P24" s="838"/>
      <c r="Q24" s="839"/>
    </row>
    <row r="25" spans="1:17" ht="66.75" customHeight="1" x14ac:dyDescent="0.25">
      <c r="A25" s="1274"/>
      <c r="B25" s="1254"/>
      <c r="C25" s="1254" t="s">
        <v>76</v>
      </c>
      <c r="D25" s="1255"/>
      <c r="E25" s="1256" t="s">
        <v>169</v>
      </c>
      <c r="F25" s="1257">
        <v>7952.7</v>
      </c>
      <c r="G25" s="1257">
        <v>7952.7</v>
      </c>
      <c r="H25" s="1258">
        <f>7952.7+100.4</f>
        <v>8053.0999999999995</v>
      </c>
      <c r="I25" s="1258">
        <f>8106.9+100.35</f>
        <v>8207.25</v>
      </c>
      <c r="J25" s="1258">
        <f>8349.4+100.356</f>
        <v>8449.7559999999994</v>
      </c>
      <c r="K25" s="80" t="s">
        <v>1321</v>
      </c>
      <c r="L25" s="822" t="s">
        <v>19</v>
      </c>
      <c r="M25" s="822">
        <v>30</v>
      </c>
      <c r="N25" s="822">
        <v>40</v>
      </c>
      <c r="O25" s="822">
        <v>40</v>
      </c>
      <c r="P25" s="822">
        <v>40</v>
      </c>
      <c r="Q25" s="842">
        <v>40</v>
      </c>
    </row>
    <row r="26" spans="1:17" ht="41.25" customHeight="1" x14ac:dyDescent="0.25">
      <c r="A26" s="1275"/>
      <c r="B26" s="1254"/>
      <c r="C26" s="1254"/>
      <c r="D26" s="1255"/>
      <c r="E26" s="1256"/>
      <c r="F26" s="1257"/>
      <c r="G26" s="1257"/>
      <c r="H26" s="1257"/>
      <c r="I26" s="1257"/>
      <c r="J26" s="1257"/>
      <c r="K26" s="80" t="s">
        <v>305</v>
      </c>
      <c r="L26" s="822" t="s">
        <v>19</v>
      </c>
      <c r="M26" s="822">
        <v>30</v>
      </c>
      <c r="N26" s="822">
        <v>40</v>
      </c>
      <c r="O26" s="822">
        <v>40</v>
      </c>
      <c r="P26" s="822">
        <v>40</v>
      </c>
      <c r="Q26" s="842">
        <v>40</v>
      </c>
    </row>
    <row r="27" spans="1:17" ht="21" customHeight="1" x14ac:dyDescent="0.25">
      <c r="A27" s="1266" t="s">
        <v>23</v>
      </c>
      <c r="B27" s="1267"/>
      <c r="C27" s="1267"/>
      <c r="D27" s="1267"/>
      <c r="E27" s="1267"/>
      <c r="F27" s="81">
        <f>F25</f>
        <v>7952.7</v>
      </c>
      <c r="G27" s="81">
        <f>G25</f>
        <v>7952.7</v>
      </c>
      <c r="H27" s="81">
        <f>H25</f>
        <v>8053.0999999999995</v>
      </c>
      <c r="I27" s="81">
        <f>I25</f>
        <v>8207.25</v>
      </c>
      <c r="J27" s="81">
        <f>J25</f>
        <v>8449.7559999999994</v>
      </c>
      <c r="K27" s="82"/>
      <c r="L27" s="1063"/>
      <c r="M27" s="1063"/>
      <c r="N27" s="1063"/>
      <c r="O27" s="1063"/>
      <c r="P27" s="1063"/>
      <c r="Q27" s="1064"/>
    </row>
    <row r="28" spans="1:17" s="23" customFormat="1" ht="22.5" customHeight="1" x14ac:dyDescent="0.25">
      <c r="A28" s="1211" t="s">
        <v>693</v>
      </c>
      <c r="B28" s="1212" t="s">
        <v>478</v>
      </c>
      <c r="C28" s="1212"/>
      <c r="D28" s="1212"/>
      <c r="E28" s="1212"/>
      <c r="F28" s="1212"/>
      <c r="G28" s="1212"/>
      <c r="H28" s="1212"/>
      <c r="I28" s="1212"/>
      <c r="J28" s="1212"/>
      <c r="K28" s="1212"/>
      <c r="L28" s="1212"/>
      <c r="M28" s="1212"/>
      <c r="N28" s="1212"/>
      <c r="O28" s="1212"/>
      <c r="P28" s="412"/>
      <c r="Q28" s="477"/>
    </row>
    <row r="29" spans="1:17" s="23" customFormat="1" ht="28.5" x14ac:dyDescent="0.25">
      <c r="A29" s="780"/>
      <c r="B29" s="782">
        <v>152</v>
      </c>
      <c r="C29" s="781"/>
      <c r="D29" s="781"/>
      <c r="E29" s="784" t="s">
        <v>1307</v>
      </c>
      <c r="F29" s="785">
        <f>F30+F31+F32+F33+F34+F35+F36+F38+F39+F40+F41+F42+F43+F44</f>
        <v>501621.9</v>
      </c>
      <c r="G29" s="785">
        <f>G30+G31+G32+G33+G34+G35+G36+G38+G39+G40+G41+G42+G43+G44</f>
        <v>602864</v>
      </c>
      <c r="H29" s="785">
        <f>H30+H31+H32+H33+H34+H35+H36+H38+H39+H40+H41+H42+H43+H44</f>
        <v>687300.50000000012</v>
      </c>
      <c r="I29" s="785">
        <f>I30+I31+I32+I33+I34+I35+I36+I38+I39+I40+I41+I42+I43+I44</f>
        <v>701591.8110000001</v>
      </c>
      <c r="J29" s="785">
        <f>J30+J31+J32+J33+J34+J35+J36+J38+J39+J40+J41+J42+J43+J44</f>
        <v>723634.05800000008</v>
      </c>
      <c r="K29" s="781"/>
      <c r="L29" s="781"/>
      <c r="M29" s="781"/>
      <c r="N29" s="781"/>
      <c r="O29" s="781"/>
      <c r="P29" s="782"/>
      <c r="Q29" s="783"/>
    </row>
    <row r="30" spans="1:17" ht="49.5" customHeight="1" x14ac:dyDescent="0.25">
      <c r="A30" s="1265">
        <v>15</v>
      </c>
      <c r="B30" s="462"/>
      <c r="C30" s="843">
        <v>201</v>
      </c>
      <c r="D30" s="820"/>
      <c r="E30" s="819" t="s">
        <v>450</v>
      </c>
      <c r="F30" s="814">
        <f>106719.2+16890.8</f>
        <v>123610</v>
      </c>
      <c r="G30" s="814">
        <f>107522.5+17155.6</f>
        <v>124678.1</v>
      </c>
      <c r="H30" s="814">
        <f>178089.5+26616.7</f>
        <v>204706.2</v>
      </c>
      <c r="I30" s="814">
        <f>178089.5+26616.7+11505.011</f>
        <v>216211.21100000001</v>
      </c>
      <c r="J30" s="814">
        <f>178089.5+26616.7+29604.458</f>
        <v>234310.658</v>
      </c>
      <c r="K30" s="811" t="s">
        <v>451</v>
      </c>
      <c r="L30" s="119" t="s">
        <v>14</v>
      </c>
      <c r="M30" s="825">
        <v>37</v>
      </c>
      <c r="N30" s="825">
        <v>36</v>
      </c>
      <c r="O30" s="825">
        <v>36</v>
      </c>
      <c r="P30" s="825">
        <v>36</v>
      </c>
      <c r="Q30" s="792">
        <v>36</v>
      </c>
    </row>
    <row r="31" spans="1:17" ht="45" x14ac:dyDescent="0.25">
      <c r="A31" s="1265"/>
      <c r="B31" s="462"/>
      <c r="C31" s="843">
        <v>202</v>
      </c>
      <c r="D31" s="820"/>
      <c r="E31" s="819" t="s">
        <v>452</v>
      </c>
      <c r="F31" s="814">
        <v>46487.3</v>
      </c>
      <c r="G31" s="814">
        <v>48135.7</v>
      </c>
      <c r="H31" s="814">
        <f>48135.7</f>
        <v>48135.7</v>
      </c>
      <c r="I31" s="814">
        <f>48135.7</f>
        <v>48135.7</v>
      </c>
      <c r="J31" s="814">
        <f>48135.7</f>
        <v>48135.7</v>
      </c>
      <c r="K31" s="811" t="s">
        <v>453</v>
      </c>
      <c r="L31" s="119" t="s">
        <v>14</v>
      </c>
      <c r="M31" s="825">
        <v>90</v>
      </c>
      <c r="N31" s="825">
        <v>90</v>
      </c>
      <c r="O31" s="825">
        <v>90</v>
      </c>
      <c r="P31" s="825">
        <v>90</v>
      </c>
      <c r="Q31" s="792">
        <v>90</v>
      </c>
    </row>
    <row r="32" spans="1:17" s="78" customFormat="1" ht="60" x14ac:dyDescent="0.25">
      <c r="A32" s="1265"/>
      <c r="B32" s="462"/>
      <c r="C32" s="843">
        <v>203</v>
      </c>
      <c r="D32" s="820"/>
      <c r="E32" s="819" t="s">
        <v>454</v>
      </c>
      <c r="F32" s="814">
        <v>1592.1</v>
      </c>
      <c r="G32" s="814">
        <v>2957.3</v>
      </c>
      <c r="H32" s="814">
        <v>2957.3</v>
      </c>
      <c r="I32" s="814">
        <v>2957.3</v>
      </c>
      <c r="J32" s="814">
        <v>2957.3</v>
      </c>
      <c r="K32" s="122" t="s">
        <v>455</v>
      </c>
      <c r="L32" s="123" t="s">
        <v>14</v>
      </c>
      <c r="M32" s="827">
        <v>200</v>
      </c>
      <c r="N32" s="827">
        <v>200</v>
      </c>
      <c r="O32" s="827">
        <v>200</v>
      </c>
      <c r="P32" s="827">
        <v>200</v>
      </c>
      <c r="Q32" s="828">
        <v>200</v>
      </c>
    </row>
    <row r="33" spans="1:17" s="78" customFormat="1" ht="105" x14ac:dyDescent="0.25">
      <c r="A33" s="1265"/>
      <c r="B33" s="462"/>
      <c r="C33" s="835">
        <v>204</v>
      </c>
      <c r="D33" s="820"/>
      <c r="E33" s="819" t="s">
        <v>456</v>
      </c>
      <c r="F33" s="814">
        <v>11000.9</v>
      </c>
      <c r="G33" s="814">
        <v>8496.9</v>
      </c>
      <c r="H33" s="814">
        <v>8496.9</v>
      </c>
      <c r="I33" s="814">
        <v>8496.9</v>
      </c>
      <c r="J33" s="814">
        <v>8496.9</v>
      </c>
      <c r="K33" s="811" t="s">
        <v>457</v>
      </c>
      <c r="L33" s="816" t="s">
        <v>17</v>
      </c>
      <c r="M33" s="829">
        <v>1545</v>
      </c>
      <c r="N33" s="829">
        <v>2215</v>
      </c>
      <c r="O33" s="829">
        <v>2085</v>
      </c>
      <c r="P33" s="829">
        <v>2085</v>
      </c>
      <c r="Q33" s="830">
        <v>2085</v>
      </c>
    </row>
    <row r="34" spans="1:17" s="78" customFormat="1" ht="30" x14ac:dyDescent="0.25">
      <c r="A34" s="1265"/>
      <c r="B34" s="462"/>
      <c r="C34" s="835">
        <v>205</v>
      </c>
      <c r="D34" s="820"/>
      <c r="E34" s="819" t="s">
        <v>458</v>
      </c>
      <c r="F34" s="814">
        <v>148.19999999999999</v>
      </c>
      <c r="G34" s="814">
        <v>374</v>
      </c>
      <c r="H34" s="814">
        <v>374</v>
      </c>
      <c r="I34" s="814">
        <v>374</v>
      </c>
      <c r="J34" s="814">
        <v>374</v>
      </c>
      <c r="K34" s="811" t="s">
        <v>459</v>
      </c>
      <c r="L34" s="119" t="s">
        <v>414</v>
      </c>
      <c r="M34" s="825">
        <v>2</v>
      </c>
      <c r="N34" s="825">
        <v>2</v>
      </c>
      <c r="O34" s="825">
        <v>2</v>
      </c>
      <c r="P34" s="825">
        <v>2</v>
      </c>
      <c r="Q34" s="792">
        <v>2</v>
      </c>
    </row>
    <row r="35" spans="1:17" s="78" customFormat="1" ht="30" x14ac:dyDescent="0.25">
      <c r="A35" s="1265"/>
      <c r="B35" s="462"/>
      <c r="C35" s="835">
        <v>206</v>
      </c>
      <c r="D35" s="820"/>
      <c r="E35" s="819" t="s">
        <v>460</v>
      </c>
      <c r="F35" s="814">
        <v>2342.6</v>
      </c>
      <c r="G35" s="814">
        <v>15811.8</v>
      </c>
      <c r="H35" s="814">
        <f>4630.8+10981</f>
        <v>15611.8</v>
      </c>
      <c r="I35" s="814">
        <f>4630.8+10981</f>
        <v>15611.8</v>
      </c>
      <c r="J35" s="814">
        <f>4630.8+10981</f>
        <v>15611.8</v>
      </c>
      <c r="K35" s="811" t="s">
        <v>461</v>
      </c>
      <c r="L35" s="119" t="s">
        <v>14</v>
      </c>
      <c r="M35" s="844">
        <v>11</v>
      </c>
      <c r="N35" s="825">
        <v>7</v>
      </c>
      <c r="O35" s="825">
        <v>2</v>
      </c>
      <c r="P35" s="825">
        <v>2</v>
      </c>
      <c r="Q35" s="792">
        <v>2</v>
      </c>
    </row>
    <row r="36" spans="1:17" s="78" customFormat="1" ht="30" x14ac:dyDescent="0.25">
      <c r="A36" s="1265"/>
      <c r="B36" s="462"/>
      <c r="C36" s="843">
        <v>207</v>
      </c>
      <c r="D36" s="820"/>
      <c r="E36" s="819" t="s">
        <v>463</v>
      </c>
      <c r="F36" s="814">
        <v>545.5</v>
      </c>
      <c r="G36" s="814">
        <v>10352.6</v>
      </c>
      <c r="H36" s="814">
        <v>8000</v>
      </c>
      <c r="I36" s="814">
        <v>8000</v>
      </c>
      <c r="J36" s="814">
        <v>8000</v>
      </c>
      <c r="K36" s="813" t="s">
        <v>99</v>
      </c>
      <c r="L36" s="816" t="s">
        <v>19</v>
      </c>
      <c r="M36" s="227">
        <v>1</v>
      </c>
      <c r="N36" s="227">
        <v>1</v>
      </c>
      <c r="O36" s="227">
        <v>1</v>
      </c>
      <c r="P36" s="227">
        <v>1</v>
      </c>
      <c r="Q36" s="483">
        <v>1</v>
      </c>
    </row>
    <row r="37" spans="1:17" s="78" customFormat="1" ht="24" hidden="1" customHeight="1" x14ac:dyDescent="0.25">
      <c r="A37" s="1265"/>
      <c r="B37" s="462"/>
      <c r="C37" s="845">
        <v>208</v>
      </c>
      <c r="D37" s="24"/>
      <c r="E37" s="1025" t="s">
        <v>464</v>
      </c>
      <c r="F37" s="814"/>
      <c r="G37" s="814"/>
      <c r="H37" s="814"/>
      <c r="I37" s="814"/>
      <c r="J37" s="814"/>
      <c r="K37" s="846"/>
      <c r="L37" s="471"/>
      <c r="M37" s="847"/>
      <c r="N37" s="847"/>
      <c r="O37" s="847"/>
      <c r="P37" s="847"/>
      <c r="Q37" s="848"/>
    </row>
    <row r="38" spans="1:17" s="78" customFormat="1" x14ac:dyDescent="0.25">
      <c r="A38" s="1265"/>
      <c r="B38" s="1228"/>
      <c r="C38" s="1280">
        <v>208</v>
      </c>
      <c r="D38" s="1218"/>
      <c r="E38" s="1025"/>
      <c r="F38" s="814">
        <f>114271.8+12285.8</f>
        <v>126557.6</v>
      </c>
      <c r="G38" s="814">
        <f>111616.1+36000</f>
        <v>147616.1</v>
      </c>
      <c r="H38" s="814">
        <f>111616.1+32158.3</f>
        <v>143774.39999999999</v>
      </c>
      <c r="I38" s="814">
        <f>111616.1+34944.6</f>
        <v>146560.70000000001</v>
      </c>
      <c r="J38" s="814">
        <f>111616.1+32158.3</f>
        <v>143774.39999999999</v>
      </c>
      <c r="K38" s="1057" t="s">
        <v>465</v>
      </c>
      <c r="L38" s="119" t="s">
        <v>19</v>
      </c>
      <c r="M38" s="226">
        <f>12285.8/126557.6</f>
        <v>9.7076746082416218E-2</v>
      </c>
      <c r="N38" s="226">
        <f>36000/147616.1</f>
        <v>0.24387583739172081</v>
      </c>
      <c r="O38" s="226">
        <f>32158.3/143774.4</f>
        <v>0.22367194716166439</v>
      </c>
      <c r="P38" s="226">
        <f>32158.3/143774.4</f>
        <v>0.22367194716166439</v>
      </c>
      <c r="Q38" s="484">
        <f>32158.3/143774.4</f>
        <v>0.22367194716166439</v>
      </c>
    </row>
    <row r="39" spans="1:17" s="78" customFormat="1" x14ac:dyDescent="0.25">
      <c r="A39" s="1265"/>
      <c r="B39" s="1228"/>
      <c r="C39" s="1280"/>
      <c r="D39" s="1218"/>
      <c r="E39" s="1025"/>
      <c r="F39" s="814">
        <f>36288.1+10233.7</f>
        <v>46521.8</v>
      </c>
      <c r="G39" s="814">
        <f>41423.9+33418.1</f>
        <v>74842</v>
      </c>
      <c r="H39" s="814">
        <f>41423.9+41200</f>
        <v>82623.899999999994</v>
      </c>
      <c r="I39" s="814">
        <f>41423.9+41200</f>
        <v>82623.899999999994</v>
      </c>
      <c r="J39" s="814">
        <f>41423.9+41200</f>
        <v>82623.899999999994</v>
      </c>
      <c r="K39" s="1057"/>
      <c r="L39" s="119" t="s">
        <v>19</v>
      </c>
      <c r="M39" s="226">
        <f>10233.7/46521.8</f>
        <v>0.21997644115231998</v>
      </c>
      <c r="N39" s="226">
        <f>33418.1/74841</f>
        <v>0.44652129180529387</v>
      </c>
      <c r="O39" s="226">
        <f>41200/82623.9</f>
        <v>0.49864506516879503</v>
      </c>
      <c r="P39" s="226">
        <f>41200/82623.9</f>
        <v>0.49864506516879503</v>
      </c>
      <c r="Q39" s="484">
        <f>41200/82623.9</f>
        <v>0.49864506516879503</v>
      </c>
    </row>
    <row r="40" spans="1:17" s="78" customFormat="1" x14ac:dyDescent="0.25">
      <c r="A40" s="1265"/>
      <c r="B40" s="1228"/>
      <c r="C40" s="1280"/>
      <c r="D40" s="1218"/>
      <c r="E40" s="1025"/>
      <c r="F40" s="814">
        <f>6552.4+1142.5</f>
        <v>7694.9</v>
      </c>
      <c r="G40" s="814">
        <f>6902.3+5802.7</f>
        <v>12705</v>
      </c>
      <c r="H40" s="814">
        <f>6902.3+11084.3</f>
        <v>17986.599999999999</v>
      </c>
      <c r="I40" s="814">
        <f>6902.3+11084.3</f>
        <v>17986.599999999999</v>
      </c>
      <c r="J40" s="814">
        <f>6902.3+11084.3</f>
        <v>17986.599999999999</v>
      </c>
      <c r="K40" s="1057"/>
      <c r="L40" s="119" t="s">
        <v>19</v>
      </c>
      <c r="M40" s="226">
        <f>1142.5/7694.9</f>
        <v>0.14847496393715318</v>
      </c>
      <c r="N40" s="226">
        <f>5802.7/12705</f>
        <v>0.45672569854388034</v>
      </c>
      <c r="O40" s="226">
        <f>21134.3/28036.6</f>
        <v>0.75381108978977485</v>
      </c>
      <c r="P40" s="226">
        <f>21134.3/28036.6</f>
        <v>0.75381108978977485</v>
      </c>
      <c r="Q40" s="484">
        <f>21134.3/28036.6</f>
        <v>0.75381108978977485</v>
      </c>
    </row>
    <row r="41" spans="1:17" s="78" customFormat="1" x14ac:dyDescent="0.25">
      <c r="A41" s="1265"/>
      <c r="B41" s="1228"/>
      <c r="C41" s="1280"/>
      <c r="D41" s="1218"/>
      <c r="E41" s="1025"/>
      <c r="F41" s="814">
        <f>2987.5+809.2</f>
        <v>3796.7</v>
      </c>
      <c r="G41" s="814">
        <f>3030.5+1212.5</f>
        <v>4243</v>
      </c>
      <c r="H41" s="814">
        <f>3030.5+2000</f>
        <v>5030.5</v>
      </c>
      <c r="I41" s="814">
        <f>3030.5+2000</f>
        <v>5030.5</v>
      </c>
      <c r="J41" s="814">
        <f>3030.5+2000</f>
        <v>5030.5</v>
      </c>
      <c r="K41" s="1057"/>
      <c r="L41" s="119" t="s">
        <v>19</v>
      </c>
      <c r="M41" s="226">
        <f>809.2/3796.7</f>
        <v>0.21313245713382675</v>
      </c>
      <c r="N41" s="226">
        <f>1212.5/4243</f>
        <v>0.28576478906434127</v>
      </c>
      <c r="O41" s="226">
        <f>2000/5030.5</f>
        <v>0.39757479375807575</v>
      </c>
      <c r="P41" s="226">
        <f>2000/5030.5</f>
        <v>0.39757479375807575</v>
      </c>
      <c r="Q41" s="484">
        <f>2000/5030.5</f>
        <v>0.39757479375807575</v>
      </c>
    </row>
    <row r="42" spans="1:17" s="78" customFormat="1" x14ac:dyDescent="0.25">
      <c r="A42" s="1265"/>
      <c r="B42" s="1228"/>
      <c r="C42" s="1280"/>
      <c r="D42" s="1218"/>
      <c r="E42" s="1025"/>
      <c r="F42" s="814">
        <f>18317.5+16721.9</f>
        <v>35039.4</v>
      </c>
      <c r="G42" s="814">
        <f>18266.5+33000</f>
        <v>51266.5</v>
      </c>
      <c r="H42" s="814">
        <f>18266.5+31471.1</f>
        <v>49737.599999999999</v>
      </c>
      <c r="I42" s="814">
        <f>18266.5+31471.1</f>
        <v>49737.599999999999</v>
      </c>
      <c r="J42" s="814">
        <f>18266.5+38200.2</f>
        <v>56466.7</v>
      </c>
      <c r="K42" s="1057"/>
      <c r="L42" s="119" t="s">
        <v>19</v>
      </c>
      <c r="M42" s="226">
        <f>16721.9/35039.4</f>
        <v>0.4772313452855928</v>
      </c>
      <c r="N42" s="226">
        <f>33000/51266.5</f>
        <v>0.64369520056957275</v>
      </c>
      <c r="O42" s="226">
        <f>39999.9/58266.4</f>
        <v>0.6865002814658191</v>
      </c>
      <c r="P42" s="226">
        <f>39999.9/58266.4</f>
        <v>0.6865002814658191</v>
      </c>
      <c r="Q42" s="484">
        <f>39999.9/58266.4</f>
        <v>0.6865002814658191</v>
      </c>
    </row>
    <row r="43" spans="1:17" s="78" customFormat="1" x14ac:dyDescent="0.25">
      <c r="A43" s="1265"/>
      <c r="B43" s="1228"/>
      <c r="C43" s="1280"/>
      <c r="D43" s="1218"/>
      <c r="E43" s="1025"/>
      <c r="F43" s="814">
        <f>9498.2+1425.3</f>
        <v>10923.5</v>
      </c>
      <c r="G43" s="814">
        <f>9129.6+4588.6</f>
        <v>13718.2</v>
      </c>
      <c r="H43" s="814">
        <f>9129.6+2669.2</f>
        <v>11798.8</v>
      </c>
      <c r="I43" s="814">
        <f>9129.6+2669.2</f>
        <v>11798.8</v>
      </c>
      <c r="J43" s="814">
        <f>9129.6+2669.2</f>
        <v>11798.8</v>
      </c>
      <c r="K43" s="1057"/>
      <c r="L43" s="119" t="s">
        <v>19</v>
      </c>
      <c r="M43" s="226">
        <f>1425.3/10923.5</f>
        <v>0.13048015745868999</v>
      </c>
      <c r="N43" s="226">
        <f>4588.6/13718.2</f>
        <v>0.33448994766077184</v>
      </c>
      <c r="O43" s="226">
        <f>2669.2/11798.8</f>
        <v>0.22622639590466828</v>
      </c>
      <c r="P43" s="226">
        <f>2669.2/11798.8</f>
        <v>0.22622639590466828</v>
      </c>
      <c r="Q43" s="484">
        <f>2669.2/11798.8</f>
        <v>0.22622639590466828</v>
      </c>
    </row>
    <row r="44" spans="1:17" s="78" customFormat="1" ht="45" x14ac:dyDescent="0.25">
      <c r="A44" s="1265"/>
      <c r="B44" s="1228"/>
      <c r="C44" s="1281">
        <v>209</v>
      </c>
      <c r="D44" s="1218"/>
      <c r="E44" s="1031" t="s">
        <v>466</v>
      </c>
      <c r="F44" s="1035">
        <f>75178.5+10182.9</f>
        <v>85361.4</v>
      </c>
      <c r="G44" s="1035">
        <f>79266.8+8400</f>
        <v>87666.8</v>
      </c>
      <c r="H44" s="1035">
        <f>79266.8+8800</f>
        <v>88066.8</v>
      </c>
      <c r="I44" s="1035">
        <f>79266.8+8800</f>
        <v>88066.8</v>
      </c>
      <c r="J44" s="1035">
        <f>79266.8+8800</f>
        <v>88066.8</v>
      </c>
      <c r="K44" s="117" t="s">
        <v>1322</v>
      </c>
      <c r="L44" s="119" t="s">
        <v>14</v>
      </c>
      <c r="M44" s="96">
        <f>SUM(M45:M48)</f>
        <v>116</v>
      </c>
      <c r="N44" s="96">
        <f>SUM(N45:N48)</f>
        <v>122</v>
      </c>
      <c r="O44" s="96">
        <f>SUM(O45:O48)</f>
        <v>124</v>
      </c>
      <c r="P44" s="96">
        <f>SUM(P45:P48)</f>
        <v>124</v>
      </c>
      <c r="Q44" s="485">
        <f>SUM(Q45:Q48)</f>
        <v>124</v>
      </c>
    </row>
    <row r="45" spans="1:17" s="78" customFormat="1" ht="14.25" customHeight="1" x14ac:dyDescent="0.25">
      <c r="A45" s="1265"/>
      <c r="B45" s="1228"/>
      <c r="C45" s="1281"/>
      <c r="D45" s="1218"/>
      <c r="E45" s="1031"/>
      <c r="F45" s="1035"/>
      <c r="G45" s="1035"/>
      <c r="H45" s="1035"/>
      <c r="I45" s="1035"/>
      <c r="J45" s="1035"/>
      <c r="K45" s="126" t="s">
        <v>467</v>
      </c>
      <c r="L45" s="119" t="s">
        <v>14</v>
      </c>
      <c r="M45" s="825">
        <f>7+26</f>
        <v>33</v>
      </c>
      <c r="N45" s="825">
        <f>9+29</f>
        <v>38</v>
      </c>
      <c r="O45" s="825">
        <f>10+30</f>
        <v>40</v>
      </c>
      <c r="P45" s="825">
        <f>10+30</f>
        <v>40</v>
      </c>
      <c r="Q45" s="792">
        <f>10+30</f>
        <v>40</v>
      </c>
    </row>
    <row r="46" spans="1:17" s="78" customFormat="1" ht="14.25" customHeight="1" x14ac:dyDescent="0.25">
      <c r="A46" s="1265"/>
      <c r="B46" s="1228"/>
      <c r="C46" s="1281"/>
      <c r="D46" s="1218"/>
      <c r="E46" s="1031"/>
      <c r="F46" s="1035"/>
      <c r="G46" s="1035"/>
      <c r="H46" s="1035"/>
      <c r="I46" s="1035"/>
      <c r="J46" s="1035"/>
      <c r="K46" s="126" t="s">
        <v>468</v>
      </c>
      <c r="L46" s="119" t="s">
        <v>14</v>
      </c>
      <c r="M46" s="825">
        <v>19</v>
      </c>
      <c r="N46" s="825">
        <v>14</v>
      </c>
      <c r="O46" s="825">
        <v>14</v>
      </c>
      <c r="P46" s="825">
        <v>14</v>
      </c>
      <c r="Q46" s="792">
        <v>14</v>
      </c>
    </row>
    <row r="47" spans="1:17" s="78" customFormat="1" ht="14.25" customHeight="1" x14ac:dyDescent="0.25">
      <c r="A47" s="1265"/>
      <c r="B47" s="1228"/>
      <c r="C47" s="1281"/>
      <c r="D47" s="1218"/>
      <c r="E47" s="1031"/>
      <c r="F47" s="1035"/>
      <c r="G47" s="1035"/>
      <c r="H47" s="1035"/>
      <c r="I47" s="1035"/>
      <c r="J47" s="1035"/>
      <c r="K47" s="126" t="s">
        <v>469</v>
      </c>
      <c r="L47" s="119" t="s">
        <v>14</v>
      </c>
      <c r="M47" s="825">
        <v>8</v>
      </c>
      <c r="N47" s="825">
        <v>7</v>
      </c>
      <c r="O47" s="825">
        <v>7</v>
      </c>
      <c r="P47" s="825">
        <v>7</v>
      </c>
      <c r="Q47" s="792">
        <v>7</v>
      </c>
    </row>
    <row r="48" spans="1:17" s="78" customFormat="1" ht="14.25" customHeight="1" x14ac:dyDescent="0.25">
      <c r="A48" s="1265"/>
      <c r="B48" s="1228"/>
      <c r="C48" s="1281"/>
      <c r="D48" s="1218"/>
      <c r="E48" s="1031"/>
      <c r="F48" s="1035"/>
      <c r="G48" s="1035"/>
      <c r="H48" s="1035"/>
      <c r="I48" s="1035"/>
      <c r="J48" s="1035"/>
      <c r="K48" s="126" t="s">
        <v>470</v>
      </c>
      <c r="L48" s="119" t="s">
        <v>14</v>
      </c>
      <c r="M48" s="825">
        <v>56</v>
      </c>
      <c r="N48" s="825">
        <f>3+30+20+10</f>
        <v>63</v>
      </c>
      <c r="O48" s="825">
        <f>3+30+20+10</f>
        <v>63</v>
      </c>
      <c r="P48" s="825">
        <f>3+30+20+10</f>
        <v>63</v>
      </c>
      <c r="Q48" s="792">
        <f>3+30+20+10</f>
        <v>63</v>
      </c>
    </row>
    <row r="49" spans="1:17" s="78" customFormat="1" ht="40.5" customHeight="1" x14ac:dyDescent="0.25">
      <c r="A49" s="1265"/>
      <c r="B49" s="1228"/>
      <c r="C49" s="1281"/>
      <c r="D49" s="1218"/>
      <c r="E49" s="1031"/>
      <c r="F49" s="1035"/>
      <c r="G49" s="1035"/>
      <c r="H49" s="1035"/>
      <c r="I49" s="1035"/>
      <c r="J49" s="1035"/>
      <c r="K49" s="127" t="s">
        <v>471</v>
      </c>
      <c r="L49" s="119" t="s">
        <v>14</v>
      </c>
      <c r="M49" s="121">
        <f>M50+M52+M51</f>
        <v>65</v>
      </c>
      <c r="N49" s="121">
        <f>N50+N52+N51</f>
        <v>64</v>
      </c>
      <c r="O49" s="121">
        <f>O50+O52+O51</f>
        <v>66</v>
      </c>
      <c r="P49" s="121">
        <f>P50+P52+P51</f>
        <v>33</v>
      </c>
      <c r="Q49" s="487">
        <f>Q50+Q52+Q51</f>
        <v>33</v>
      </c>
    </row>
    <row r="50" spans="1:17" s="78" customFormat="1" ht="14.25" customHeight="1" x14ac:dyDescent="0.25">
      <c r="A50" s="1265"/>
      <c r="B50" s="1228"/>
      <c r="C50" s="1281"/>
      <c r="D50" s="1218"/>
      <c r="E50" s="1031"/>
      <c r="F50" s="1035"/>
      <c r="G50" s="1035"/>
      <c r="H50" s="1035"/>
      <c r="I50" s="1035"/>
      <c r="J50" s="1035"/>
      <c r="K50" s="126" t="s">
        <v>472</v>
      </c>
      <c r="L50" s="119" t="s">
        <v>14</v>
      </c>
      <c r="M50" s="825">
        <v>8</v>
      </c>
      <c r="N50" s="825">
        <v>8</v>
      </c>
      <c r="O50" s="825">
        <v>10</v>
      </c>
      <c r="P50" s="825">
        <v>9</v>
      </c>
      <c r="Q50" s="792">
        <v>9</v>
      </c>
    </row>
    <row r="51" spans="1:17" s="78" customFormat="1" ht="14.25" customHeight="1" x14ac:dyDescent="0.25">
      <c r="A51" s="1265"/>
      <c r="B51" s="1228"/>
      <c r="C51" s="1281"/>
      <c r="D51" s="1218"/>
      <c r="E51" s="1031"/>
      <c r="F51" s="1035"/>
      <c r="G51" s="1035"/>
      <c r="H51" s="1035"/>
      <c r="I51" s="1035"/>
      <c r="J51" s="1035"/>
      <c r="K51" s="126" t="s">
        <v>473</v>
      </c>
      <c r="L51" s="119" t="s">
        <v>14</v>
      </c>
      <c r="M51" s="825">
        <v>1</v>
      </c>
      <c r="N51" s="825"/>
      <c r="O51" s="825"/>
      <c r="P51" s="825"/>
      <c r="Q51" s="792"/>
    </row>
    <row r="52" spans="1:17" s="78" customFormat="1" ht="14.25" customHeight="1" x14ac:dyDescent="0.25">
      <c r="A52" s="1265"/>
      <c r="B52" s="1228"/>
      <c r="C52" s="1281"/>
      <c r="D52" s="1218"/>
      <c r="E52" s="1031"/>
      <c r="F52" s="1035"/>
      <c r="G52" s="1035"/>
      <c r="H52" s="1035"/>
      <c r="I52" s="1035"/>
      <c r="J52" s="1035"/>
      <c r="K52" s="126" t="s">
        <v>470</v>
      </c>
      <c r="L52" s="119" t="s">
        <v>14</v>
      </c>
      <c r="M52" s="825">
        <v>56</v>
      </c>
      <c r="N52" s="825">
        <f>30+26</f>
        <v>56</v>
      </c>
      <c r="O52" s="825">
        <f>30+26</f>
        <v>56</v>
      </c>
      <c r="P52" s="825">
        <v>24</v>
      </c>
      <c r="Q52" s="792">
        <v>24</v>
      </c>
    </row>
    <row r="53" spans="1:17" s="78" customFormat="1" ht="73.5" x14ac:dyDescent="0.25">
      <c r="A53" s="1265"/>
      <c r="B53" s="462" t="s">
        <v>756</v>
      </c>
      <c r="C53" s="835"/>
      <c r="D53" s="24"/>
      <c r="E53" s="120" t="s">
        <v>1277</v>
      </c>
      <c r="F53" s="826">
        <f>F54+F55+F56+F57+F58</f>
        <v>43062</v>
      </c>
      <c r="G53" s="826">
        <f>G54+G55+G56+G57+G58</f>
        <v>59161.200000000004</v>
      </c>
      <c r="H53" s="826">
        <f>H54+H55+H56+H57+H58</f>
        <v>57517.200000000004</v>
      </c>
      <c r="I53" s="826">
        <f>I54+I55+I56+I57+I58</f>
        <v>59082.200000000004</v>
      </c>
      <c r="J53" s="826">
        <f>J54+J55+J56+J57+J58</f>
        <v>59882.200000000004</v>
      </c>
      <c r="K53" s="849"/>
      <c r="L53" s="823"/>
      <c r="M53" s="823"/>
      <c r="N53" s="823"/>
      <c r="O53" s="823"/>
      <c r="P53" s="823"/>
      <c r="Q53" s="544"/>
    </row>
    <row r="54" spans="1:17" s="78" customFormat="1" ht="45" x14ac:dyDescent="0.25">
      <c r="A54" s="1265"/>
      <c r="B54" s="462"/>
      <c r="C54" s="835">
        <v>301</v>
      </c>
      <c r="D54" s="24"/>
      <c r="E54" s="812" t="s">
        <v>1323</v>
      </c>
      <c r="F54" s="814">
        <v>9749.7999999999993</v>
      </c>
      <c r="G54" s="814">
        <v>8500</v>
      </c>
      <c r="H54" s="814">
        <v>6000</v>
      </c>
      <c r="I54" s="814">
        <v>6000</v>
      </c>
      <c r="J54" s="814">
        <v>6000</v>
      </c>
      <c r="K54" s="811" t="s">
        <v>462</v>
      </c>
      <c r="L54" s="816" t="s">
        <v>19</v>
      </c>
      <c r="M54" s="125">
        <f>F54/13584.8</f>
        <v>0.71769919321594722</v>
      </c>
      <c r="N54" s="125">
        <f t="shared" ref="N54:Q56" si="3">G54/19000</f>
        <v>0.44736842105263158</v>
      </c>
      <c r="O54" s="125">
        <f t="shared" si="3"/>
        <v>0.31578947368421051</v>
      </c>
      <c r="P54" s="125">
        <f t="shared" si="3"/>
        <v>0.31578947368421051</v>
      </c>
      <c r="Q54" s="850">
        <f t="shared" si="3"/>
        <v>0.31578947368421051</v>
      </c>
    </row>
    <row r="55" spans="1:17" s="78" customFormat="1" ht="30" x14ac:dyDescent="0.25">
      <c r="A55" s="1265"/>
      <c r="B55" s="462"/>
      <c r="C55" s="835">
        <v>302</v>
      </c>
      <c r="D55" s="24"/>
      <c r="E55" s="819" t="s">
        <v>1324</v>
      </c>
      <c r="F55" s="814"/>
      <c r="G55" s="814">
        <v>4500</v>
      </c>
      <c r="H55" s="814">
        <v>1500</v>
      </c>
      <c r="I55" s="814">
        <v>1500</v>
      </c>
      <c r="J55" s="814">
        <v>1500</v>
      </c>
      <c r="K55" s="811" t="s">
        <v>462</v>
      </c>
      <c r="L55" s="816" t="s">
        <v>19</v>
      </c>
      <c r="M55" s="125">
        <f>F55/13584.8</f>
        <v>0</v>
      </c>
      <c r="N55" s="125">
        <f t="shared" si="3"/>
        <v>0.23684210526315788</v>
      </c>
      <c r="O55" s="125">
        <f t="shared" si="3"/>
        <v>7.8947368421052627E-2</v>
      </c>
      <c r="P55" s="125">
        <f t="shared" si="3"/>
        <v>7.8947368421052627E-2</v>
      </c>
      <c r="Q55" s="850">
        <f t="shared" si="3"/>
        <v>7.8947368421052627E-2</v>
      </c>
    </row>
    <row r="56" spans="1:17" s="78" customFormat="1" ht="45" x14ac:dyDescent="0.25">
      <c r="A56" s="1265"/>
      <c r="B56" s="462"/>
      <c r="C56" s="835">
        <v>303</v>
      </c>
      <c r="D56" s="24"/>
      <c r="E56" s="26" t="s">
        <v>479</v>
      </c>
      <c r="F56" s="814">
        <v>3835</v>
      </c>
      <c r="G56" s="814">
        <v>6000</v>
      </c>
      <c r="H56" s="814">
        <v>11500</v>
      </c>
      <c r="I56" s="814">
        <v>11500</v>
      </c>
      <c r="J56" s="814">
        <v>11500</v>
      </c>
      <c r="K56" s="811" t="s">
        <v>462</v>
      </c>
      <c r="L56" s="816" t="s">
        <v>19</v>
      </c>
      <c r="M56" s="125">
        <f>F56/13584.8</f>
        <v>0.28230080678405278</v>
      </c>
      <c r="N56" s="125">
        <f t="shared" si="3"/>
        <v>0.31578947368421051</v>
      </c>
      <c r="O56" s="125">
        <f t="shared" si="3"/>
        <v>0.60526315789473684</v>
      </c>
      <c r="P56" s="125">
        <f t="shared" si="3"/>
        <v>0.60526315789473684</v>
      </c>
      <c r="Q56" s="850">
        <f t="shared" si="3"/>
        <v>0.60526315789473684</v>
      </c>
    </row>
    <row r="57" spans="1:17" s="78" customFormat="1" ht="45" x14ac:dyDescent="0.25">
      <c r="A57" s="1265"/>
      <c r="B57" s="851"/>
      <c r="C57" s="835">
        <v>401</v>
      </c>
      <c r="D57" s="24"/>
      <c r="E57" s="819" t="s">
        <v>474</v>
      </c>
      <c r="F57" s="814">
        <f>14508.8+8180.4</f>
        <v>22689.199999999997</v>
      </c>
      <c r="G57" s="814">
        <f>17976.4+15433</f>
        <v>33409.4</v>
      </c>
      <c r="H57" s="814">
        <f>17976.4+13185</f>
        <v>31161.4</v>
      </c>
      <c r="I57" s="814">
        <f>17976.4+14700</f>
        <v>32676.400000000001</v>
      </c>
      <c r="J57" s="814">
        <f>17976.4+15500</f>
        <v>33476.400000000001</v>
      </c>
      <c r="K57" s="811" t="s">
        <v>475</v>
      </c>
      <c r="L57" s="816" t="s">
        <v>414</v>
      </c>
      <c r="M57" s="825">
        <v>279</v>
      </c>
      <c r="N57" s="825">
        <v>260</v>
      </c>
      <c r="O57" s="825">
        <v>260</v>
      </c>
      <c r="P57" s="825">
        <v>260</v>
      </c>
      <c r="Q57" s="792">
        <v>260</v>
      </c>
    </row>
    <row r="58" spans="1:17" s="78" customFormat="1" ht="30" x14ac:dyDescent="0.25">
      <c r="A58" s="1265"/>
      <c r="B58" s="462"/>
      <c r="C58" s="852">
        <v>501</v>
      </c>
      <c r="D58" s="24"/>
      <c r="E58" s="819" t="s">
        <v>476</v>
      </c>
      <c r="F58" s="814">
        <f>6337.9+450.1</f>
        <v>6788</v>
      </c>
      <c r="G58" s="814">
        <f>6251.8+500</f>
        <v>6751.8</v>
      </c>
      <c r="H58" s="814">
        <f>6655.8+700</f>
        <v>7355.8</v>
      </c>
      <c r="I58" s="814">
        <f>6655.8+750</f>
        <v>7405.8</v>
      </c>
      <c r="J58" s="814">
        <f>6655.8+750</f>
        <v>7405.8</v>
      </c>
      <c r="K58" s="811" t="s">
        <v>477</v>
      </c>
      <c r="L58" s="816" t="s">
        <v>14</v>
      </c>
      <c r="M58" s="825">
        <v>8</v>
      </c>
      <c r="N58" s="825">
        <v>10</v>
      </c>
      <c r="O58" s="825">
        <v>12</v>
      </c>
      <c r="P58" s="825">
        <v>14</v>
      </c>
      <c r="Q58" s="792">
        <v>16</v>
      </c>
    </row>
    <row r="59" spans="1:17" ht="21" customHeight="1" x14ac:dyDescent="0.25">
      <c r="A59" s="1266" t="s">
        <v>23</v>
      </c>
      <c r="B59" s="1267"/>
      <c r="C59" s="1267"/>
      <c r="D59" s="1267"/>
      <c r="E59" s="1267"/>
      <c r="F59" s="81">
        <f>F29+F53</f>
        <v>544683.9</v>
      </c>
      <c r="G59" s="81">
        <f>G29+G53</f>
        <v>662025.19999999995</v>
      </c>
      <c r="H59" s="81">
        <f>H29+H53</f>
        <v>744817.70000000007</v>
      </c>
      <c r="I59" s="81">
        <f>I29+I53</f>
        <v>760674.01100000006</v>
      </c>
      <c r="J59" s="81">
        <f>J29+J53</f>
        <v>783516.25800000003</v>
      </c>
      <c r="K59" s="82"/>
      <c r="L59" s="1063"/>
      <c r="M59" s="1063"/>
      <c r="N59" s="1063"/>
      <c r="O59" s="1063"/>
      <c r="P59" s="1063"/>
      <c r="Q59" s="1064"/>
    </row>
    <row r="60" spans="1:17" s="23" customFormat="1" ht="21.75" customHeight="1" x14ac:dyDescent="0.25">
      <c r="A60" s="1211" t="s">
        <v>694</v>
      </c>
      <c r="B60" s="1212" t="s">
        <v>221</v>
      </c>
      <c r="C60" s="1212"/>
      <c r="D60" s="1212"/>
      <c r="E60" s="1212"/>
      <c r="F60" s="1212"/>
      <c r="G60" s="1212"/>
      <c r="H60" s="1212"/>
      <c r="I60" s="1212"/>
      <c r="J60" s="1212"/>
      <c r="K60" s="1212"/>
      <c r="L60" s="1212"/>
      <c r="M60" s="1212"/>
      <c r="N60" s="1212"/>
      <c r="O60" s="1212"/>
      <c r="P60" s="412"/>
      <c r="Q60" s="477"/>
    </row>
    <row r="61" spans="1:17" s="25" customFormat="1" ht="81.75" customHeight="1" x14ac:dyDescent="0.25">
      <c r="A61" s="1264">
        <v>16</v>
      </c>
      <c r="B61" s="681" t="s">
        <v>428</v>
      </c>
      <c r="C61" s="681"/>
      <c r="D61" s="681"/>
      <c r="E61" s="24" t="s">
        <v>1694</v>
      </c>
      <c r="F61" s="685">
        <f>SUM(F62:F69)</f>
        <v>151754</v>
      </c>
      <c r="G61" s="685">
        <f>SUM(G62:G69)</f>
        <v>152906.20000000001</v>
      </c>
      <c r="H61" s="685">
        <f>SUM(H62:H69)</f>
        <v>201791.4</v>
      </c>
      <c r="I61" s="810">
        <f>SUM(I62:I69)</f>
        <v>196108</v>
      </c>
      <c r="J61" s="810">
        <f>SUM(J62:J69)</f>
        <v>196108</v>
      </c>
      <c r="K61" s="684" t="s">
        <v>108</v>
      </c>
      <c r="L61" s="677" t="s">
        <v>19</v>
      </c>
      <c r="M61" s="677">
        <v>1056</v>
      </c>
      <c r="N61" s="677">
        <v>0</v>
      </c>
      <c r="O61" s="677">
        <v>0</v>
      </c>
      <c r="P61" s="677">
        <v>0</v>
      </c>
      <c r="Q61" s="680">
        <v>0</v>
      </c>
    </row>
    <row r="62" spans="1:17" s="25" customFormat="1" ht="45" x14ac:dyDescent="0.25">
      <c r="A62" s="1264"/>
      <c r="B62" s="672"/>
      <c r="C62" s="672" t="s">
        <v>43</v>
      </c>
      <c r="D62" s="681"/>
      <c r="E62" s="673" t="s">
        <v>109</v>
      </c>
      <c r="F62" s="619">
        <v>151754</v>
      </c>
      <c r="G62" s="619">
        <v>152906.20000000001</v>
      </c>
      <c r="H62" s="619">
        <f>189937.4+11854</f>
        <v>201791.4</v>
      </c>
      <c r="I62" s="619">
        <f>184254+11854</f>
        <v>196108</v>
      </c>
      <c r="J62" s="619">
        <f>184254+11854</f>
        <v>196108</v>
      </c>
      <c r="K62" s="696" t="s">
        <v>110</v>
      </c>
      <c r="L62" s="677" t="s">
        <v>111</v>
      </c>
      <c r="M62" s="677">
        <v>650</v>
      </c>
      <c r="N62" s="746" t="s">
        <v>112</v>
      </c>
      <c r="O62" s="746" t="s">
        <v>112</v>
      </c>
      <c r="P62" s="746" t="s">
        <v>113</v>
      </c>
      <c r="Q62" s="488" t="s">
        <v>113</v>
      </c>
    </row>
    <row r="63" spans="1:17" s="25" customFormat="1" ht="45" hidden="1" customHeight="1" x14ac:dyDescent="0.25">
      <c r="A63" s="489"/>
      <c r="B63" s="672"/>
      <c r="C63" s="672" t="s">
        <v>48</v>
      </c>
      <c r="D63" s="681"/>
      <c r="E63" s="26" t="s">
        <v>114</v>
      </c>
      <c r="F63" s="619"/>
      <c r="G63" s="619"/>
      <c r="H63" s="723"/>
      <c r="I63" s="723"/>
      <c r="J63" s="723"/>
      <c r="K63" s="26" t="s">
        <v>115</v>
      </c>
      <c r="L63" s="677"/>
      <c r="M63" s="677" t="s">
        <v>116</v>
      </c>
      <c r="N63" s="677" t="s">
        <v>116</v>
      </c>
      <c r="O63" s="677" t="s">
        <v>116</v>
      </c>
      <c r="P63" s="677" t="s">
        <v>116</v>
      </c>
      <c r="Q63" s="680" t="s">
        <v>116</v>
      </c>
    </row>
    <row r="64" spans="1:17" s="25" customFormat="1" ht="45" hidden="1" customHeight="1" x14ac:dyDescent="0.25">
      <c r="A64" s="489"/>
      <c r="B64" s="672"/>
      <c r="C64" s="672" t="s">
        <v>37</v>
      </c>
      <c r="D64" s="681"/>
      <c r="E64" s="26" t="s">
        <v>117</v>
      </c>
      <c r="F64" s="619"/>
      <c r="G64" s="619"/>
      <c r="H64" s="619"/>
      <c r="I64" s="619"/>
      <c r="J64" s="619"/>
      <c r="K64" s="26" t="s">
        <v>118</v>
      </c>
      <c r="L64" s="677" t="s">
        <v>19</v>
      </c>
      <c r="M64" s="677">
        <v>100</v>
      </c>
      <c r="N64" s="677">
        <v>100</v>
      </c>
      <c r="O64" s="677">
        <v>100</v>
      </c>
      <c r="P64" s="677">
        <v>100</v>
      </c>
      <c r="Q64" s="680">
        <v>100</v>
      </c>
    </row>
    <row r="65" spans="1:17" s="25" customFormat="1" ht="45" hidden="1" customHeight="1" x14ac:dyDescent="0.25">
      <c r="A65" s="489"/>
      <c r="B65" s="672"/>
      <c r="C65" s="672" t="s">
        <v>73</v>
      </c>
      <c r="D65" s="681"/>
      <c r="E65" s="26" t="s">
        <v>119</v>
      </c>
      <c r="F65" s="619"/>
      <c r="G65" s="619"/>
      <c r="H65" s="697"/>
      <c r="I65" s="697"/>
      <c r="J65" s="697"/>
      <c r="K65" s="26" t="s">
        <v>120</v>
      </c>
      <c r="L65" s="677" t="s">
        <v>19</v>
      </c>
      <c r="M65" s="677">
        <v>100</v>
      </c>
      <c r="N65" s="677">
        <v>100</v>
      </c>
      <c r="O65" s="677">
        <v>100</v>
      </c>
      <c r="P65" s="677">
        <v>100</v>
      </c>
      <c r="Q65" s="680">
        <v>100</v>
      </c>
    </row>
    <row r="66" spans="1:17" s="25" customFormat="1" ht="60" hidden="1" customHeight="1" x14ac:dyDescent="0.25">
      <c r="A66" s="489"/>
      <c r="B66" s="672"/>
      <c r="C66" s="672" t="s">
        <v>76</v>
      </c>
      <c r="D66" s="681"/>
      <c r="E66" s="26" t="s">
        <v>121</v>
      </c>
      <c r="F66" s="619"/>
      <c r="G66" s="619"/>
      <c r="H66" s="697"/>
      <c r="I66" s="697"/>
      <c r="J66" s="697"/>
      <c r="K66" s="26" t="s">
        <v>122</v>
      </c>
      <c r="L66" s="27" t="s">
        <v>123</v>
      </c>
      <c r="M66" s="677">
        <v>30</v>
      </c>
      <c r="N66" s="677">
        <v>30</v>
      </c>
      <c r="O66" s="677">
        <v>30</v>
      </c>
      <c r="P66" s="677">
        <v>30</v>
      </c>
      <c r="Q66" s="680">
        <v>30</v>
      </c>
    </row>
    <row r="67" spans="1:17" s="25" customFormat="1" ht="30" hidden="1" customHeight="1" x14ac:dyDescent="0.25">
      <c r="A67" s="489"/>
      <c r="B67" s="672"/>
      <c r="C67" s="672" t="s">
        <v>79</v>
      </c>
      <c r="D67" s="681"/>
      <c r="E67" s="648" t="s">
        <v>124</v>
      </c>
      <c r="F67" s="619"/>
      <c r="G67" s="619"/>
      <c r="H67" s="697"/>
      <c r="I67" s="697"/>
      <c r="J67" s="697"/>
      <c r="K67" s="26" t="s">
        <v>125</v>
      </c>
      <c r="L67" s="27" t="s">
        <v>111</v>
      </c>
      <c r="M67" s="677">
        <v>14</v>
      </c>
      <c r="N67" s="677">
        <v>14</v>
      </c>
      <c r="O67" s="677"/>
      <c r="P67" s="677"/>
      <c r="Q67" s="680"/>
    </row>
    <row r="68" spans="1:17" s="25" customFormat="1" ht="30" hidden="1" customHeight="1" x14ac:dyDescent="0.25">
      <c r="A68" s="489"/>
      <c r="B68" s="672"/>
      <c r="C68" s="672" t="s">
        <v>82</v>
      </c>
      <c r="D68" s="681"/>
      <c r="E68" s="648" t="s">
        <v>126</v>
      </c>
      <c r="F68" s="619"/>
      <c r="G68" s="619"/>
      <c r="H68" s="697"/>
      <c r="I68" s="697"/>
      <c r="J68" s="697"/>
      <c r="K68" s="26" t="s">
        <v>127</v>
      </c>
      <c r="L68" s="27" t="s">
        <v>111</v>
      </c>
      <c r="M68" s="677">
        <v>278</v>
      </c>
      <c r="N68" s="677">
        <v>280</v>
      </c>
      <c r="O68" s="677"/>
      <c r="P68" s="677"/>
      <c r="Q68" s="680"/>
    </row>
    <row r="69" spans="1:17" s="25" customFormat="1" ht="15" hidden="1" customHeight="1" x14ac:dyDescent="0.25">
      <c r="A69" s="489"/>
      <c r="B69" s="672"/>
      <c r="C69" s="672" t="s">
        <v>83</v>
      </c>
      <c r="D69" s="681"/>
      <c r="E69" s="26" t="s">
        <v>128</v>
      </c>
      <c r="F69" s="619"/>
      <c r="G69" s="619"/>
      <c r="H69" s="697"/>
      <c r="I69" s="697"/>
      <c r="J69" s="697"/>
      <c r="K69" s="26" t="s">
        <v>129</v>
      </c>
      <c r="L69" s="27" t="s">
        <v>111</v>
      </c>
      <c r="M69" s="677">
        <v>88</v>
      </c>
      <c r="N69" s="677">
        <v>90</v>
      </c>
      <c r="O69" s="677"/>
      <c r="P69" s="677"/>
      <c r="Q69" s="680"/>
    </row>
    <row r="70" spans="1:17" ht="21" customHeight="1" x14ac:dyDescent="0.25">
      <c r="A70" s="1266" t="s">
        <v>23</v>
      </c>
      <c r="B70" s="1267"/>
      <c r="C70" s="1267"/>
      <c r="D70" s="1267"/>
      <c r="E70" s="1267"/>
      <c r="F70" s="81">
        <f>F61</f>
        <v>151754</v>
      </c>
      <c r="G70" s="81">
        <f>G61</f>
        <v>152906.20000000001</v>
      </c>
      <c r="H70" s="81">
        <f>H61</f>
        <v>201791.4</v>
      </c>
      <c r="I70" s="81">
        <f>I61</f>
        <v>196108</v>
      </c>
      <c r="J70" s="81">
        <f>J61</f>
        <v>196108</v>
      </c>
      <c r="K70" s="82"/>
      <c r="L70" s="1063"/>
      <c r="M70" s="1063"/>
      <c r="N70" s="1063"/>
      <c r="O70" s="1063"/>
      <c r="P70" s="1063"/>
      <c r="Q70" s="1064"/>
    </row>
    <row r="71" spans="1:17" s="23" customFormat="1" x14ac:dyDescent="0.25">
      <c r="A71" s="1211" t="s">
        <v>130</v>
      </c>
      <c r="B71" s="1212" t="s">
        <v>130</v>
      </c>
      <c r="C71" s="1212"/>
      <c r="D71" s="1212"/>
      <c r="E71" s="1212"/>
      <c r="F71" s="1212"/>
      <c r="G71" s="1212"/>
      <c r="H71" s="1212"/>
      <c r="I71" s="1212"/>
      <c r="J71" s="1212"/>
      <c r="K71" s="1212"/>
      <c r="L71" s="1212"/>
      <c r="M71" s="1212"/>
      <c r="N71" s="1212"/>
      <c r="O71" s="1212"/>
      <c r="P71" s="412"/>
      <c r="Q71" s="477"/>
    </row>
    <row r="72" spans="1:17" s="29" customFormat="1" ht="74.25" x14ac:dyDescent="0.25">
      <c r="A72" s="1220">
        <v>16</v>
      </c>
      <c r="B72" s="37" t="s">
        <v>8</v>
      </c>
      <c r="C72" s="37"/>
      <c r="D72" s="37"/>
      <c r="E72" s="744" t="s">
        <v>1293</v>
      </c>
      <c r="F72" s="652">
        <f>SUM(F73:F74)</f>
        <v>12787.6</v>
      </c>
      <c r="G72" s="652">
        <f>SUM(G73:G74)</f>
        <v>12284.4</v>
      </c>
      <c r="H72" s="652">
        <f>SUM(H73:H74)</f>
        <v>12284.4</v>
      </c>
      <c r="I72" s="652">
        <f>SUM(I73:I74)</f>
        <v>12284.4</v>
      </c>
      <c r="J72" s="652">
        <f>SUM(J73:J74)</f>
        <v>12284.4</v>
      </c>
      <c r="K72" s="651" t="s">
        <v>131</v>
      </c>
      <c r="L72" s="688" t="s">
        <v>19</v>
      </c>
      <c r="M72" s="688">
        <v>27.3</v>
      </c>
      <c r="N72" s="688">
        <v>27.3</v>
      </c>
      <c r="O72" s="688">
        <v>27.3</v>
      </c>
      <c r="P72" s="688">
        <v>27.3</v>
      </c>
      <c r="Q72" s="730">
        <v>27.3</v>
      </c>
    </row>
    <row r="73" spans="1:17" s="29" customFormat="1" ht="45" customHeight="1" x14ac:dyDescent="0.25">
      <c r="A73" s="1220"/>
      <c r="B73" s="30"/>
      <c r="C73" s="30" t="s">
        <v>43</v>
      </c>
      <c r="D73" s="30"/>
      <c r="E73" s="621" t="s">
        <v>11</v>
      </c>
      <c r="F73" s="618">
        <v>12787.6</v>
      </c>
      <c r="G73" s="618">
        <v>12284.4</v>
      </c>
      <c r="H73" s="618">
        <v>12284.4</v>
      </c>
      <c r="I73" s="618">
        <v>12284.4</v>
      </c>
      <c r="J73" s="618">
        <v>12284.4</v>
      </c>
      <c r="K73" s="621" t="s">
        <v>131</v>
      </c>
      <c r="L73" s="640" t="s">
        <v>69</v>
      </c>
      <c r="M73" s="640">
        <v>27.3</v>
      </c>
      <c r="N73" s="640">
        <v>27.3</v>
      </c>
      <c r="O73" s="640">
        <v>27.3</v>
      </c>
      <c r="P73" s="640">
        <v>27.3</v>
      </c>
      <c r="Q73" s="653">
        <v>27.3</v>
      </c>
    </row>
    <row r="74" spans="1:17" s="29" customFormat="1" hidden="1" x14ac:dyDescent="0.25">
      <c r="A74" s="1220"/>
      <c r="B74" s="30"/>
      <c r="C74" s="30" t="s">
        <v>48</v>
      </c>
      <c r="D74" s="30"/>
      <c r="E74" s="621" t="s">
        <v>12</v>
      </c>
      <c r="F74" s="618"/>
      <c r="G74" s="618"/>
      <c r="H74" s="618"/>
      <c r="I74" s="618"/>
      <c r="J74" s="618"/>
      <c r="K74" s="621"/>
      <c r="L74" s="640" t="s">
        <v>19</v>
      </c>
      <c r="M74" s="640">
        <v>0</v>
      </c>
      <c r="N74" s="640">
        <v>0</v>
      </c>
      <c r="O74" s="640">
        <v>0</v>
      </c>
      <c r="P74" s="640">
        <v>0</v>
      </c>
      <c r="Q74" s="653">
        <v>0</v>
      </c>
    </row>
    <row r="75" spans="1:17" s="29" customFormat="1" ht="117.75" x14ac:dyDescent="0.25">
      <c r="A75" s="1220"/>
      <c r="B75" s="650" t="s">
        <v>428</v>
      </c>
      <c r="C75" s="650"/>
      <c r="D75" s="650"/>
      <c r="E75" s="744" t="s">
        <v>1294</v>
      </c>
      <c r="F75" s="652">
        <f>SUM(F76:F82)</f>
        <v>37704.999999999993</v>
      </c>
      <c r="G75" s="652">
        <f>SUM(G76:G82)</f>
        <v>38208.199999999997</v>
      </c>
      <c r="H75" s="652">
        <f>SUM(H76:H82)</f>
        <v>48548.7</v>
      </c>
      <c r="I75" s="652">
        <f>SUM(I76:I82)</f>
        <v>48548.7</v>
      </c>
      <c r="J75" s="652">
        <f>SUM(J76:J82)</f>
        <v>48548.7</v>
      </c>
      <c r="K75" s="651" t="s">
        <v>132</v>
      </c>
      <c r="L75" s="640" t="s">
        <v>111</v>
      </c>
      <c r="M75" s="640">
        <v>23</v>
      </c>
      <c r="N75" s="640">
        <v>23</v>
      </c>
      <c r="O75" s="640">
        <v>23</v>
      </c>
      <c r="P75" s="640">
        <v>23</v>
      </c>
      <c r="Q75" s="653">
        <v>23</v>
      </c>
    </row>
    <row r="76" spans="1:17" s="29" customFormat="1" ht="30" x14ac:dyDescent="0.25">
      <c r="A76" s="1220"/>
      <c r="B76" s="650"/>
      <c r="C76" s="620" t="s">
        <v>43</v>
      </c>
      <c r="D76" s="620"/>
      <c r="E76" s="31" t="s">
        <v>133</v>
      </c>
      <c r="F76" s="618">
        <v>18548</v>
      </c>
      <c r="G76" s="618">
        <v>18479.400000000001</v>
      </c>
      <c r="H76" s="411">
        <v>28819.9</v>
      </c>
      <c r="I76" s="411">
        <v>28819.9</v>
      </c>
      <c r="J76" s="411">
        <v>28819.9</v>
      </c>
      <c r="K76" s="31" t="s">
        <v>134</v>
      </c>
      <c r="L76" s="646" t="s">
        <v>14</v>
      </c>
      <c r="M76" s="640">
        <v>73</v>
      </c>
      <c r="N76" s="640">
        <v>73</v>
      </c>
      <c r="O76" s="640">
        <v>73</v>
      </c>
      <c r="P76" s="640">
        <v>73</v>
      </c>
      <c r="Q76" s="653">
        <v>73</v>
      </c>
    </row>
    <row r="77" spans="1:17" s="29" customFormat="1" ht="41.25" customHeight="1" x14ac:dyDescent="0.25">
      <c r="A77" s="1220"/>
      <c r="B77" s="650"/>
      <c r="C77" s="620" t="s">
        <v>48</v>
      </c>
      <c r="D77" s="620"/>
      <c r="E77" s="31" t="s">
        <v>135</v>
      </c>
      <c r="F77" s="618">
        <v>15978.5</v>
      </c>
      <c r="G77" s="618">
        <v>17252.400000000001</v>
      </c>
      <c r="H77" s="618">
        <v>17252.400000000001</v>
      </c>
      <c r="I77" s="618">
        <v>17252.400000000001</v>
      </c>
      <c r="J77" s="618">
        <v>17252.400000000001</v>
      </c>
      <c r="K77" s="31" t="s">
        <v>134</v>
      </c>
      <c r="L77" s="646" t="s">
        <v>14</v>
      </c>
      <c r="M77" s="640">
        <v>73</v>
      </c>
      <c r="N77" s="640">
        <v>73</v>
      </c>
      <c r="O77" s="640">
        <v>73</v>
      </c>
      <c r="P77" s="640">
        <v>73</v>
      </c>
      <c r="Q77" s="653">
        <v>73</v>
      </c>
    </row>
    <row r="78" spans="1:17" s="29" customFormat="1" ht="30" x14ac:dyDescent="0.25">
      <c r="A78" s="1220"/>
      <c r="B78" s="650"/>
      <c r="C78" s="620" t="s">
        <v>37</v>
      </c>
      <c r="D78" s="620"/>
      <c r="E78" s="31" t="s">
        <v>136</v>
      </c>
      <c r="F78" s="618">
        <v>748.2</v>
      </c>
      <c r="G78" s="618">
        <v>796.2</v>
      </c>
      <c r="H78" s="618">
        <v>796.2</v>
      </c>
      <c r="I78" s="618">
        <v>796.2</v>
      </c>
      <c r="J78" s="618">
        <v>796.2</v>
      </c>
      <c r="K78" s="31" t="s">
        <v>137</v>
      </c>
      <c r="L78" s="646" t="s">
        <v>14</v>
      </c>
      <c r="M78" s="646">
        <v>18</v>
      </c>
      <c r="N78" s="646">
        <v>18</v>
      </c>
      <c r="O78" s="646">
        <v>18</v>
      </c>
      <c r="P78" s="646">
        <v>18</v>
      </c>
      <c r="Q78" s="647">
        <v>18</v>
      </c>
    </row>
    <row r="79" spans="1:17" s="29" customFormat="1" ht="183" customHeight="1" x14ac:dyDescent="0.25">
      <c r="A79" s="1220"/>
      <c r="B79" s="650"/>
      <c r="C79" s="620" t="s">
        <v>73</v>
      </c>
      <c r="D79" s="620"/>
      <c r="E79" s="31" t="s">
        <v>1325</v>
      </c>
      <c r="F79" s="618">
        <v>216.6</v>
      </c>
      <c r="G79" s="618">
        <v>216.6</v>
      </c>
      <c r="H79" s="618">
        <v>216.6</v>
      </c>
      <c r="I79" s="618">
        <v>216.6</v>
      </c>
      <c r="J79" s="618">
        <v>216.6</v>
      </c>
      <c r="K79" s="31" t="s">
        <v>138</v>
      </c>
      <c r="L79" s="646" t="s">
        <v>14</v>
      </c>
      <c r="M79" s="646">
        <v>4</v>
      </c>
      <c r="N79" s="646">
        <v>4</v>
      </c>
      <c r="O79" s="646">
        <v>4</v>
      </c>
      <c r="P79" s="646">
        <v>4</v>
      </c>
      <c r="Q79" s="647">
        <v>4</v>
      </c>
    </row>
    <row r="80" spans="1:17" s="29" customFormat="1" ht="45" x14ac:dyDescent="0.25">
      <c r="A80" s="1220"/>
      <c r="B80" s="650"/>
      <c r="C80" s="620" t="s">
        <v>76</v>
      </c>
      <c r="D80" s="620"/>
      <c r="E80" s="31" t="s">
        <v>139</v>
      </c>
      <c r="F80" s="618">
        <v>2113.6999999999998</v>
      </c>
      <c r="G80" s="618">
        <v>1363.6</v>
      </c>
      <c r="H80" s="618">
        <v>1363.6</v>
      </c>
      <c r="I80" s="618">
        <v>1363.6</v>
      </c>
      <c r="J80" s="618">
        <v>1363.6</v>
      </c>
      <c r="K80" s="31" t="s">
        <v>140</v>
      </c>
      <c r="L80" s="646" t="s">
        <v>14</v>
      </c>
      <c r="M80" s="646">
        <v>1</v>
      </c>
      <c r="N80" s="646">
        <v>0</v>
      </c>
      <c r="O80" s="646">
        <v>1</v>
      </c>
      <c r="P80" s="646">
        <v>0</v>
      </c>
      <c r="Q80" s="647">
        <v>1</v>
      </c>
    </row>
    <row r="81" spans="1:17" s="29" customFormat="1" ht="60" x14ac:dyDescent="0.25">
      <c r="A81" s="1220"/>
      <c r="B81" s="650"/>
      <c r="C81" s="620" t="s">
        <v>79</v>
      </c>
      <c r="D81" s="620"/>
      <c r="E81" s="31" t="s">
        <v>141</v>
      </c>
      <c r="F81" s="411">
        <v>0</v>
      </c>
      <c r="G81" s="618">
        <v>0</v>
      </c>
      <c r="H81" s="618">
        <v>0</v>
      </c>
      <c r="I81" s="618">
        <v>0</v>
      </c>
      <c r="J81" s="618">
        <v>0</v>
      </c>
      <c r="K81" s="31" t="s">
        <v>142</v>
      </c>
      <c r="L81" s="646" t="s">
        <v>14</v>
      </c>
      <c r="M81" s="646">
        <v>0</v>
      </c>
      <c r="N81" s="646">
        <v>1</v>
      </c>
      <c r="O81" s="646">
        <v>0</v>
      </c>
      <c r="P81" s="646">
        <v>1</v>
      </c>
      <c r="Q81" s="647">
        <v>0</v>
      </c>
    </row>
    <row r="82" spans="1:17" s="29" customFormat="1" ht="60" x14ac:dyDescent="0.25">
      <c r="A82" s="1220"/>
      <c r="B82" s="650"/>
      <c r="C82" s="620" t="s">
        <v>82</v>
      </c>
      <c r="D82" s="620"/>
      <c r="E82" s="31" t="s">
        <v>1295</v>
      </c>
      <c r="F82" s="411">
        <v>100</v>
      </c>
      <c r="G82" s="411">
        <v>100</v>
      </c>
      <c r="H82" s="618">
        <v>100</v>
      </c>
      <c r="I82" s="618">
        <v>100</v>
      </c>
      <c r="J82" s="618">
        <f>I82</f>
        <v>100</v>
      </c>
      <c r="K82" s="31" t="s">
        <v>143</v>
      </c>
      <c r="L82" s="646" t="s">
        <v>14</v>
      </c>
      <c r="M82" s="646">
        <v>2</v>
      </c>
      <c r="N82" s="646">
        <v>2</v>
      </c>
      <c r="O82" s="646">
        <v>2</v>
      </c>
      <c r="P82" s="646">
        <v>2</v>
      </c>
      <c r="Q82" s="647">
        <v>2</v>
      </c>
    </row>
    <row r="83" spans="1:17" s="29" customFormat="1" ht="58.5" x14ac:dyDescent="0.25">
      <c r="A83" s="1220"/>
      <c r="B83" s="650" t="s">
        <v>826</v>
      </c>
      <c r="C83" s="650"/>
      <c r="D83" s="650"/>
      <c r="E83" s="32" t="s">
        <v>145</v>
      </c>
      <c r="F83" s="652">
        <f>+F86+F84+F85</f>
        <v>50</v>
      </c>
      <c r="G83" s="652">
        <f>+G86+G84+G85</f>
        <v>50</v>
      </c>
      <c r="H83" s="652">
        <f>+H86+H84+H85</f>
        <v>50</v>
      </c>
      <c r="I83" s="652">
        <f>+I86+I84+I85</f>
        <v>50</v>
      </c>
      <c r="J83" s="652">
        <f>+J86+J84+J85</f>
        <v>50</v>
      </c>
      <c r="K83" s="33" t="s">
        <v>146</v>
      </c>
      <c r="L83" s="640" t="s">
        <v>14</v>
      </c>
      <c r="M83" s="640">
        <v>0</v>
      </c>
      <c r="N83" s="640">
        <v>0</v>
      </c>
      <c r="O83" s="640">
        <v>0</v>
      </c>
      <c r="P83" s="640">
        <v>0</v>
      </c>
      <c r="Q83" s="653">
        <v>0</v>
      </c>
    </row>
    <row r="84" spans="1:17" s="29" customFormat="1" ht="45" hidden="1" x14ac:dyDescent="0.25">
      <c r="A84" s="1220"/>
      <c r="B84" s="620"/>
      <c r="C84" s="620" t="s">
        <v>43</v>
      </c>
      <c r="D84" s="620"/>
      <c r="E84" s="31" t="s">
        <v>147</v>
      </c>
      <c r="F84" s="618">
        <v>0</v>
      </c>
      <c r="G84" s="618">
        <v>0</v>
      </c>
      <c r="H84" s="618">
        <v>0</v>
      </c>
      <c r="I84" s="618">
        <v>0</v>
      </c>
      <c r="J84" s="618">
        <v>0</v>
      </c>
      <c r="K84" s="31" t="s">
        <v>148</v>
      </c>
      <c r="L84" s="646" t="s">
        <v>111</v>
      </c>
      <c r="M84" s="646">
        <v>100</v>
      </c>
      <c r="N84" s="646">
        <v>100</v>
      </c>
      <c r="O84" s="646">
        <v>100</v>
      </c>
      <c r="P84" s="646">
        <v>100</v>
      </c>
      <c r="Q84" s="647">
        <v>100</v>
      </c>
    </row>
    <row r="85" spans="1:17" s="29" customFormat="1" ht="45" hidden="1" x14ac:dyDescent="0.25">
      <c r="A85" s="1220"/>
      <c r="B85" s="620"/>
      <c r="C85" s="620" t="s">
        <v>48</v>
      </c>
      <c r="D85" s="620"/>
      <c r="E85" s="31" t="s">
        <v>149</v>
      </c>
      <c r="F85" s="618">
        <v>0</v>
      </c>
      <c r="G85" s="618">
        <v>0</v>
      </c>
      <c r="H85" s="618">
        <v>0</v>
      </c>
      <c r="I85" s="618">
        <v>0</v>
      </c>
      <c r="J85" s="618">
        <v>0</v>
      </c>
      <c r="K85" s="31" t="s">
        <v>150</v>
      </c>
      <c r="L85" s="646" t="s">
        <v>111</v>
      </c>
      <c r="M85" s="646">
        <v>560</v>
      </c>
      <c r="N85" s="646">
        <v>560</v>
      </c>
      <c r="O85" s="646">
        <v>560</v>
      </c>
      <c r="P85" s="646">
        <v>560</v>
      </c>
      <c r="Q85" s="647">
        <v>560</v>
      </c>
    </row>
    <row r="86" spans="1:17" s="29" customFormat="1" ht="30" x14ac:dyDescent="0.25">
      <c r="A86" s="1220"/>
      <c r="B86" s="620"/>
      <c r="C86" s="620" t="s">
        <v>37</v>
      </c>
      <c r="D86" s="620"/>
      <c r="E86" s="31" t="s">
        <v>151</v>
      </c>
      <c r="F86" s="618">
        <v>50</v>
      </c>
      <c r="G86" s="618">
        <v>50</v>
      </c>
      <c r="H86" s="618">
        <v>50</v>
      </c>
      <c r="I86" s="618">
        <v>50</v>
      </c>
      <c r="J86" s="618">
        <v>50</v>
      </c>
      <c r="K86" s="31" t="s">
        <v>152</v>
      </c>
      <c r="L86" s="646" t="s">
        <v>153</v>
      </c>
      <c r="M86" s="646" t="s">
        <v>116</v>
      </c>
      <c r="N86" s="646" t="s">
        <v>116</v>
      </c>
      <c r="O86" s="646" t="s">
        <v>116</v>
      </c>
      <c r="P86" s="646" t="s">
        <v>116</v>
      </c>
      <c r="Q86" s="647" t="s">
        <v>116</v>
      </c>
    </row>
    <row r="87" spans="1:17" ht="21" customHeight="1" x14ac:dyDescent="0.25">
      <c r="A87" s="1266" t="s">
        <v>23</v>
      </c>
      <c r="B87" s="1267"/>
      <c r="C87" s="1267"/>
      <c r="D87" s="1267"/>
      <c r="E87" s="1267"/>
      <c r="F87" s="81">
        <f>F72+F75+F83</f>
        <v>50542.599999999991</v>
      </c>
      <c r="G87" s="81">
        <f>G72+G75+G83</f>
        <v>50542.6</v>
      </c>
      <c r="H87" s="81">
        <f>H72+H75+H83</f>
        <v>60883.1</v>
      </c>
      <c r="I87" s="81">
        <f>I72+I75+I83</f>
        <v>60883.1</v>
      </c>
      <c r="J87" s="81">
        <f>J72+J75+J83</f>
        <v>60883.1</v>
      </c>
      <c r="K87" s="82"/>
      <c r="L87" s="1063"/>
      <c r="M87" s="1063"/>
      <c r="N87" s="1063"/>
      <c r="O87" s="1063"/>
      <c r="P87" s="1063"/>
      <c r="Q87" s="1064"/>
    </row>
    <row r="88" spans="1:17" s="23" customFormat="1" x14ac:dyDescent="0.25">
      <c r="A88" s="1211" t="s">
        <v>154</v>
      </c>
      <c r="B88" s="1212" t="s">
        <v>154</v>
      </c>
      <c r="C88" s="1212"/>
      <c r="D88" s="1212"/>
      <c r="E88" s="1212"/>
      <c r="F88" s="1212"/>
      <c r="G88" s="1212"/>
      <c r="H88" s="1212"/>
      <c r="I88" s="1212"/>
      <c r="J88" s="1212"/>
      <c r="K88" s="1212"/>
      <c r="L88" s="1212"/>
      <c r="M88" s="1212"/>
      <c r="N88" s="1212"/>
      <c r="O88" s="1212"/>
      <c r="P88" s="412"/>
      <c r="Q88" s="477"/>
    </row>
    <row r="89" spans="1:17" s="25" customFormat="1" ht="74.25" x14ac:dyDescent="0.25">
      <c r="A89" s="1264">
        <v>16</v>
      </c>
      <c r="B89" s="34" t="s">
        <v>8</v>
      </c>
      <c r="C89" s="34"/>
      <c r="D89" s="34"/>
      <c r="E89" s="24" t="s">
        <v>1296</v>
      </c>
      <c r="F89" s="685">
        <f>SUM(F90:F90)</f>
        <v>20298.099999999999</v>
      </c>
      <c r="G89" s="685">
        <f>SUM(G90:G90)</f>
        <v>13914.1</v>
      </c>
      <c r="H89" s="685">
        <f>H90</f>
        <v>13914.1</v>
      </c>
      <c r="I89" s="685">
        <f>I90</f>
        <v>14862.4</v>
      </c>
      <c r="J89" s="685">
        <f>J90</f>
        <v>15292.7</v>
      </c>
      <c r="K89" s="684" t="s">
        <v>155</v>
      </c>
      <c r="L89" s="731" t="s">
        <v>19</v>
      </c>
      <c r="M89" s="731">
        <v>4.9000000000000004</v>
      </c>
      <c r="N89" s="731">
        <v>4.9000000000000004</v>
      </c>
      <c r="O89" s="731">
        <v>4.9000000000000004</v>
      </c>
      <c r="P89" s="731">
        <v>4.9000000000000004</v>
      </c>
      <c r="Q89" s="732">
        <v>4.9000000000000004</v>
      </c>
    </row>
    <row r="90" spans="1:17" s="25" customFormat="1" ht="45" x14ac:dyDescent="0.25">
      <c r="A90" s="1264"/>
      <c r="B90" s="746"/>
      <c r="C90" s="746" t="s">
        <v>43</v>
      </c>
      <c r="D90" s="746"/>
      <c r="E90" s="621" t="s">
        <v>11</v>
      </c>
      <c r="F90" s="619">
        <v>20298.099999999999</v>
      </c>
      <c r="G90" s="619">
        <v>13914.1</v>
      </c>
      <c r="H90" s="619">
        <v>13914.1</v>
      </c>
      <c r="I90" s="619">
        <v>14862.4</v>
      </c>
      <c r="J90" s="619">
        <v>15292.7</v>
      </c>
      <c r="K90" s="673" t="s">
        <v>156</v>
      </c>
      <c r="L90" s="677" t="s">
        <v>111</v>
      </c>
      <c r="M90" s="677">
        <v>4.9000000000000004</v>
      </c>
      <c r="N90" s="677">
        <v>4.9000000000000004</v>
      </c>
      <c r="O90" s="677">
        <v>4.9000000000000004</v>
      </c>
      <c r="P90" s="677">
        <v>4.9000000000000004</v>
      </c>
      <c r="Q90" s="680">
        <v>4.9000000000000004</v>
      </c>
    </row>
    <row r="91" spans="1:17" s="25" customFormat="1" ht="72.75" x14ac:dyDescent="0.25">
      <c r="A91" s="1264"/>
      <c r="B91" s="681" t="s">
        <v>759</v>
      </c>
      <c r="C91" s="681"/>
      <c r="D91" s="681"/>
      <c r="E91" s="24" t="s">
        <v>1297</v>
      </c>
      <c r="F91" s="685">
        <f>SUM(F92:F94)</f>
        <v>11815.7</v>
      </c>
      <c r="G91" s="685">
        <f>SUM(G92:G94)</f>
        <v>8439.7000000000007</v>
      </c>
      <c r="H91" s="685">
        <f>H92+H93+H94</f>
        <v>8439.7000000000007</v>
      </c>
      <c r="I91" s="685">
        <f>I92+I93+I94</f>
        <v>11965.7</v>
      </c>
      <c r="J91" s="685">
        <f>J92+J93+J94</f>
        <v>11815.7</v>
      </c>
      <c r="K91" s="684" t="s">
        <v>157</v>
      </c>
      <c r="L91" s="677" t="s">
        <v>111</v>
      </c>
      <c r="M91" s="677">
        <v>2300</v>
      </c>
      <c r="N91" s="677">
        <v>2500</v>
      </c>
      <c r="O91" s="677">
        <v>2600</v>
      </c>
      <c r="P91" s="677">
        <v>2600</v>
      </c>
      <c r="Q91" s="680">
        <v>2600</v>
      </c>
    </row>
    <row r="92" spans="1:17" s="25" customFormat="1" ht="30" x14ac:dyDescent="0.25">
      <c r="A92" s="1264"/>
      <c r="B92" s="672"/>
      <c r="C92" s="672" t="s">
        <v>43</v>
      </c>
      <c r="D92" s="35"/>
      <c r="E92" s="648" t="s">
        <v>158</v>
      </c>
      <c r="F92" s="619">
        <v>11815.7</v>
      </c>
      <c r="G92" s="619">
        <v>8439.7000000000007</v>
      </c>
      <c r="H92" s="619">
        <v>8439.7000000000007</v>
      </c>
      <c r="I92" s="619">
        <v>11965.7</v>
      </c>
      <c r="J92" s="619">
        <v>11815.7</v>
      </c>
      <c r="K92" s="673" t="s">
        <v>159</v>
      </c>
      <c r="L92" s="683" t="s">
        <v>14</v>
      </c>
      <c r="M92" s="683">
        <v>2300</v>
      </c>
      <c r="N92" s="683">
        <v>2500</v>
      </c>
      <c r="O92" s="683">
        <v>2600</v>
      </c>
      <c r="P92" s="683">
        <v>2600</v>
      </c>
      <c r="Q92" s="486">
        <v>2600</v>
      </c>
    </row>
    <row r="93" spans="1:17" s="25" customFormat="1" ht="30" x14ac:dyDescent="0.25">
      <c r="A93" s="1264"/>
      <c r="B93" s="672"/>
      <c r="C93" s="672" t="s">
        <v>48</v>
      </c>
      <c r="D93" s="35"/>
      <c r="E93" s="648" t="s">
        <v>160</v>
      </c>
      <c r="F93" s="619"/>
      <c r="G93" s="619"/>
      <c r="H93" s="619"/>
      <c r="I93" s="619"/>
      <c r="J93" s="619"/>
      <c r="K93" s="673"/>
      <c r="L93" s="683"/>
      <c r="M93" s="683"/>
      <c r="N93" s="683"/>
      <c r="O93" s="683"/>
      <c r="P93" s="683"/>
      <c r="Q93" s="486"/>
    </row>
    <row r="94" spans="1:17" s="25" customFormat="1" ht="90" x14ac:dyDescent="0.25">
      <c r="A94" s="1264"/>
      <c r="B94" s="672"/>
      <c r="C94" s="672" t="s">
        <v>37</v>
      </c>
      <c r="D94" s="35"/>
      <c r="E94" s="648" t="s">
        <v>161</v>
      </c>
      <c r="F94" s="619"/>
      <c r="G94" s="619"/>
      <c r="H94" s="619"/>
      <c r="I94" s="619"/>
      <c r="J94" s="619"/>
      <c r="K94" s="648" t="s">
        <v>162</v>
      </c>
      <c r="L94" s="683" t="s">
        <v>163</v>
      </c>
      <c r="M94" s="683"/>
      <c r="N94" s="683"/>
      <c r="O94" s="683"/>
      <c r="P94" s="683"/>
      <c r="Q94" s="486"/>
    </row>
    <row r="95" spans="1:17" ht="21" customHeight="1" x14ac:dyDescent="0.25">
      <c r="A95" s="1266" t="s">
        <v>23</v>
      </c>
      <c r="B95" s="1267"/>
      <c r="C95" s="1267"/>
      <c r="D95" s="1267"/>
      <c r="E95" s="1267"/>
      <c r="F95" s="81">
        <f>F89+F91</f>
        <v>32113.8</v>
      </c>
      <c r="G95" s="81">
        <f>G89+G91</f>
        <v>22353.800000000003</v>
      </c>
      <c r="H95" s="81">
        <f>H89+H91</f>
        <v>22353.800000000003</v>
      </c>
      <c r="I95" s="81">
        <f>I89+I91</f>
        <v>26828.1</v>
      </c>
      <c r="J95" s="81">
        <f>J89+J91</f>
        <v>27108.400000000001</v>
      </c>
      <c r="K95" s="82"/>
      <c r="L95" s="1063"/>
      <c r="M95" s="1063"/>
      <c r="N95" s="1063"/>
      <c r="O95" s="1063"/>
      <c r="P95" s="1063"/>
      <c r="Q95" s="1064"/>
    </row>
    <row r="96" spans="1:17" s="23" customFormat="1" ht="21" customHeight="1" x14ac:dyDescent="0.25">
      <c r="A96" s="1211" t="s">
        <v>1484</v>
      </c>
      <c r="B96" s="1212" t="s">
        <v>288</v>
      </c>
      <c r="C96" s="1212"/>
      <c r="D96" s="1212"/>
      <c r="E96" s="1212"/>
      <c r="F96" s="1212"/>
      <c r="G96" s="1212"/>
      <c r="H96" s="1212"/>
      <c r="I96" s="1212"/>
      <c r="J96" s="1212"/>
      <c r="K96" s="1212"/>
      <c r="L96" s="1212"/>
      <c r="M96" s="1212"/>
      <c r="N96" s="1212"/>
      <c r="O96" s="1212"/>
      <c r="P96" s="412"/>
      <c r="Q96" s="477"/>
    </row>
    <row r="97" spans="1:17" s="29" customFormat="1" ht="88.5" x14ac:dyDescent="0.25">
      <c r="A97" s="1220">
        <v>16</v>
      </c>
      <c r="B97" s="37" t="s">
        <v>8</v>
      </c>
      <c r="C97" s="37"/>
      <c r="D97" s="37"/>
      <c r="E97" s="744" t="s">
        <v>1298</v>
      </c>
      <c r="F97" s="652">
        <f>SUM(F98:F101)</f>
        <v>108878.7</v>
      </c>
      <c r="G97" s="652">
        <f>SUM(G98:G101)</f>
        <v>113838</v>
      </c>
      <c r="H97" s="652">
        <f>SUM(H98:H101)</f>
        <v>99351.700000000012</v>
      </c>
      <c r="I97" s="652">
        <f>SUM(I98:I101)</f>
        <v>92861.9</v>
      </c>
      <c r="J97" s="652">
        <f>SUM(J98:J101)</f>
        <v>93255.200000000012</v>
      </c>
      <c r="K97" s="651" t="s">
        <v>164</v>
      </c>
      <c r="L97" s="688" t="s">
        <v>19</v>
      </c>
      <c r="M97" s="688">
        <v>100</v>
      </c>
      <c r="N97" s="688">
        <v>100</v>
      </c>
      <c r="O97" s="688">
        <v>100</v>
      </c>
      <c r="P97" s="688">
        <v>100</v>
      </c>
      <c r="Q97" s="730">
        <v>100</v>
      </c>
    </row>
    <row r="98" spans="1:17" s="29" customFormat="1" ht="60" customHeight="1" x14ac:dyDescent="0.25">
      <c r="A98" s="1220"/>
      <c r="B98" s="30"/>
      <c r="C98" s="30" t="s">
        <v>43</v>
      </c>
      <c r="D98" s="30"/>
      <c r="E98" s="621" t="s">
        <v>11</v>
      </c>
      <c r="F98" s="618">
        <v>43282.1</v>
      </c>
      <c r="G98" s="618">
        <v>44197.4</v>
      </c>
      <c r="H98" s="618">
        <v>37540.300000000003</v>
      </c>
      <c r="I98" s="618">
        <v>39634.800000000003</v>
      </c>
      <c r="J98" s="618">
        <v>39634.800000000003</v>
      </c>
      <c r="K98" s="758" t="s">
        <v>1278</v>
      </c>
      <c r="L98" s="640" t="s">
        <v>19</v>
      </c>
      <c r="M98" s="640">
        <v>100</v>
      </c>
      <c r="N98" s="640">
        <v>100</v>
      </c>
      <c r="O98" s="640">
        <v>100</v>
      </c>
      <c r="P98" s="640">
        <v>100</v>
      </c>
      <c r="Q98" s="653">
        <v>100</v>
      </c>
    </row>
    <row r="99" spans="1:17" s="29" customFormat="1" x14ac:dyDescent="0.25">
      <c r="A99" s="1220"/>
      <c r="B99" s="30"/>
      <c r="C99" s="30" t="s">
        <v>83</v>
      </c>
      <c r="D99" s="30"/>
      <c r="E99" s="621" t="s">
        <v>165</v>
      </c>
      <c r="F99" s="618">
        <v>65508.1</v>
      </c>
      <c r="G99" s="618">
        <v>69640.600000000006</v>
      </c>
      <c r="H99" s="618"/>
      <c r="I99" s="618"/>
      <c r="J99" s="618"/>
      <c r="K99" s="758"/>
      <c r="L99" s="640" t="s">
        <v>19</v>
      </c>
      <c r="M99" s="640">
        <v>100</v>
      </c>
      <c r="N99" s="640">
        <v>100</v>
      </c>
      <c r="O99" s="640"/>
      <c r="P99" s="640"/>
      <c r="Q99" s="653"/>
    </row>
    <row r="100" spans="1:17" s="29" customFormat="1" ht="45" x14ac:dyDescent="0.25">
      <c r="A100" s="1220"/>
      <c r="B100" s="30"/>
      <c r="C100" s="30" t="s">
        <v>48</v>
      </c>
      <c r="D100" s="30"/>
      <c r="E100" s="621" t="s">
        <v>166</v>
      </c>
      <c r="F100" s="618"/>
      <c r="G100" s="618"/>
      <c r="H100" s="618">
        <v>61811.4</v>
      </c>
      <c r="I100" s="618">
        <v>53227.1</v>
      </c>
      <c r="J100" s="618">
        <v>53620.4</v>
      </c>
      <c r="K100" s="621" t="s">
        <v>167</v>
      </c>
      <c r="L100" s="640" t="s">
        <v>19</v>
      </c>
      <c r="M100" s="640"/>
      <c r="N100" s="640"/>
      <c r="O100" s="640">
        <v>100</v>
      </c>
      <c r="P100" s="640">
        <v>100</v>
      </c>
      <c r="Q100" s="653">
        <v>100</v>
      </c>
    </row>
    <row r="101" spans="1:17" s="29" customFormat="1" ht="45" x14ac:dyDescent="0.25">
      <c r="A101" s="1220"/>
      <c r="B101" s="30"/>
      <c r="C101" s="30" t="s">
        <v>79</v>
      </c>
      <c r="D101" s="30"/>
      <c r="E101" s="621" t="s">
        <v>169</v>
      </c>
      <c r="F101" s="618">
        <v>88.5</v>
      </c>
      <c r="G101" s="618"/>
      <c r="H101" s="618"/>
      <c r="I101" s="618"/>
      <c r="J101" s="618"/>
      <c r="K101" s="621" t="s">
        <v>170</v>
      </c>
      <c r="L101" s="640" t="s">
        <v>19</v>
      </c>
      <c r="M101" s="640">
        <v>100</v>
      </c>
      <c r="N101" s="640"/>
      <c r="O101" s="640"/>
      <c r="P101" s="640"/>
      <c r="Q101" s="653"/>
    </row>
    <row r="102" spans="1:17" s="29" customFormat="1" ht="72.75" x14ac:dyDescent="0.25">
      <c r="A102" s="1220"/>
      <c r="B102" s="650" t="s">
        <v>428</v>
      </c>
      <c r="C102" s="650"/>
      <c r="D102" s="650"/>
      <c r="E102" s="744" t="s">
        <v>1299</v>
      </c>
      <c r="F102" s="652">
        <f>SUM(F103:F118)</f>
        <v>1850450.7</v>
      </c>
      <c r="G102" s="652">
        <f>SUM(G103:G118)</f>
        <v>962469.9</v>
      </c>
      <c r="H102" s="652">
        <f>SUM(H103:H118)</f>
        <v>1303962</v>
      </c>
      <c r="I102" s="652">
        <f>SUM(I103:I118)</f>
        <v>1322780.6000000001</v>
      </c>
      <c r="J102" s="652">
        <f>SUM(J103:J118)</f>
        <v>1399662.1</v>
      </c>
      <c r="K102" s="651" t="s">
        <v>1413</v>
      </c>
      <c r="L102" s="640" t="s">
        <v>171</v>
      </c>
      <c r="M102" s="38">
        <v>4.0999999999999996</v>
      </c>
      <c r="N102" s="38">
        <v>4.2</v>
      </c>
      <c r="O102" s="38">
        <v>4.4000000000000004</v>
      </c>
      <c r="P102" s="38">
        <v>4.4000000000000004</v>
      </c>
      <c r="Q102" s="490">
        <v>4.4000000000000004</v>
      </c>
    </row>
    <row r="103" spans="1:17" s="29" customFormat="1" ht="30" x14ac:dyDescent="0.25">
      <c r="A103" s="1220"/>
      <c r="B103" s="620"/>
      <c r="C103" s="620" t="s">
        <v>43</v>
      </c>
      <c r="D103" s="620"/>
      <c r="E103" s="621" t="s">
        <v>172</v>
      </c>
      <c r="F103" s="618">
        <v>4170.3999999999996</v>
      </c>
      <c r="G103" s="618">
        <v>4170.3999999999996</v>
      </c>
      <c r="H103" s="411">
        <v>5886.4</v>
      </c>
      <c r="I103" s="411">
        <v>5886.4</v>
      </c>
      <c r="J103" s="411">
        <v>5886.4</v>
      </c>
      <c r="K103" s="753" t="s">
        <v>157</v>
      </c>
      <c r="L103" s="640" t="s">
        <v>19</v>
      </c>
      <c r="M103" s="640">
        <v>100</v>
      </c>
      <c r="N103" s="640">
        <v>100</v>
      </c>
      <c r="O103" s="640">
        <v>100</v>
      </c>
      <c r="P103" s="640">
        <v>100</v>
      </c>
      <c r="Q103" s="653">
        <v>100</v>
      </c>
    </row>
    <row r="104" spans="1:17" s="29" customFormat="1" ht="51" customHeight="1" x14ac:dyDescent="0.25">
      <c r="A104" s="1220"/>
      <c r="B104" s="620"/>
      <c r="C104" s="620" t="s">
        <v>48</v>
      </c>
      <c r="D104" s="620"/>
      <c r="E104" s="39" t="s">
        <v>173</v>
      </c>
      <c r="F104" s="618">
        <v>32000</v>
      </c>
      <c r="G104" s="618"/>
      <c r="H104" s="411"/>
      <c r="I104" s="411"/>
      <c r="J104" s="411"/>
      <c r="K104" s="1057" t="s">
        <v>1330</v>
      </c>
      <c r="L104" s="640" t="s">
        <v>163</v>
      </c>
      <c r="M104" s="646">
        <v>36</v>
      </c>
      <c r="N104" s="646"/>
      <c r="O104" s="646"/>
      <c r="P104" s="646"/>
      <c r="Q104" s="647"/>
    </row>
    <row r="105" spans="1:17" s="29" customFormat="1" ht="30" x14ac:dyDescent="0.25">
      <c r="A105" s="1220"/>
      <c r="B105" s="620"/>
      <c r="C105" s="620" t="s">
        <v>37</v>
      </c>
      <c r="D105" s="620"/>
      <c r="E105" s="39" t="s">
        <v>174</v>
      </c>
      <c r="F105" s="618">
        <v>0</v>
      </c>
      <c r="G105" s="618"/>
      <c r="H105" s="411">
        <v>0</v>
      </c>
      <c r="I105" s="411">
        <v>0</v>
      </c>
      <c r="J105" s="411">
        <v>0</v>
      </c>
      <c r="K105" s="1057"/>
      <c r="L105" s="640" t="s">
        <v>163</v>
      </c>
      <c r="M105" s="646"/>
      <c r="N105" s="646"/>
      <c r="O105" s="646"/>
      <c r="P105" s="646"/>
      <c r="Q105" s="647"/>
    </row>
    <row r="106" spans="1:17" s="29" customFormat="1" ht="30" customHeight="1" x14ac:dyDescent="0.25">
      <c r="A106" s="1220"/>
      <c r="B106" s="620"/>
      <c r="C106" s="620" t="s">
        <v>73</v>
      </c>
      <c r="D106" s="620"/>
      <c r="E106" s="39" t="s">
        <v>175</v>
      </c>
      <c r="F106" s="618">
        <v>23081</v>
      </c>
      <c r="G106" s="618"/>
      <c r="H106" s="411">
        <v>0</v>
      </c>
      <c r="I106" s="411">
        <v>0</v>
      </c>
      <c r="J106" s="411">
        <v>0</v>
      </c>
      <c r="K106" s="1057"/>
      <c r="L106" s="640" t="s">
        <v>163</v>
      </c>
      <c r="M106" s="646">
        <v>18</v>
      </c>
      <c r="N106" s="646"/>
      <c r="O106" s="646"/>
      <c r="P106" s="646"/>
      <c r="Q106" s="647"/>
    </row>
    <row r="107" spans="1:17" s="29" customFormat="1" ht="30" x14ac:dyDescent="0.25">
      <c r="A107" s="1220"/>
      <c r="B107" s="620"/>
      <c r="C107" s="620" t="s">
        <v>76</v>
      </c>
      <c r="D107" s="620"/>
      <c r="E107" s="39" t="s">
        <v>176</v>
      </c>
      <c r="F107" s="618">
        <v>79404.100000000006</v>
      </c>
      <c r="G107" s="618">
        <v>26933.3</v>
      </c>
      <c r="H107" s="411">
        <v>44447.1</v>
      </c>
      <c r="I107" s="411">
        <v>37515.599999999999</v>
      </c>
      <c r="J107" s="411">
        <v>41117.699999999997</v>
      </c>
      <c r="K107" s="39" t="s">
        <v>177</v>
      </c>
      <c r="L107" s="640" t="s">
        <v>163</v>
      </c>
      <c r="M107" s="640">
        <v>72</v>
      </c>
      <c r="N107" s="640">
        <v>72</v>
      </c>
      <c r="O107" s="640">
        <v>72</v>
      </c>
      <c r="P107" s="640">
        <v>72</v>
      </c>
      <c r="Q107" s="653">
        <v>72</v>
      </c>
    </row>
    <row r="108" spans="1:17" s="29" customFormat="1" ht="60" x14ac:dyDescent="0.25">
      <c r="A108" s="1220"/>
      <c r="B108" s="620"/>
      <c r="C108" s="620" t="s">
        <v>79</v>
      </c>
      <c r="D108" s="620"/>
      <c r="E108" s="39" t="s">
        <v>178</v>
      </c>
      <c r="F108" s="618">
        <v>5360.6</v>
      </c>
      <c r="G108" s="618">
        <v>5360.6</v>
      </c>
      <c r="H108" s="411">
        <v>6584.7</v>
      </c>
      <c r="I108" s="411">
        <v>6556.7</v>
      </c>
      <c r="J108" s="411">
        <v>6556.7</v>
      </c>
      <c r="K108" s="39" t="s">
        <v>301</v>
      </c>
      <c r="L108" s="640" t="s">
        <v>19</v>
      </c>
      <c r="M108" s="646">
        <v>100</v>
      </c>
      <c r="N108" s="646">
        <v>100</v>
      </c>
      <c r="O108" s="646">
        <v>100</v>
      </c>
      <c r="P108" s="646">
        <v>100</v>
      </c>
      <c r="Q108" s="647">
        <v>100</v>
      </c>
    </row>
    <row r="109" spans="1:17" s="29" customFormat="1" ht="45" x14ac:dyDescent="0.25">
      <c r="A109" s="1220"/>
      <c r="B109" s="620"/>
      <c r="C109" s="620" t="s">
        <v>82</v>
      </c>
      <c r="D109" s="620"/>
      <c r="E109" s="39" t="s">
        <v>179</v>
      </c>
      <c r="F109" s="618">
        <v>35000</v>
      </c>
      <c r="G109" s="618">
        <v>0</v>
      </c>
      <c r="H109" s="411">
        <v>0</v>
      </c>
      <c r="I109" s="411">
        <v>0</v>
      </c>
      <c r="J109" s="411">
        <v>0</v>
      </c>
      <c r="K109" s="39" t="s">
        <v>1326</v>
      </c>
      <c r="L109" s="640" t="s">
        <v>163</v>
      </c>
      <c r="M109" s="646">
        <v>181</v>
      </c>
      <c r="N109" s="646">
        <v>181</v>
      </c>
      <c r="O109" s="646">
        <v>181</v>
      </c>
      <c r="P109" s="646">
        <v>181</v>
      </c>
      <c r="Q109" s="647">
        <v>181</v>
      </c>
    </row>
    <row r="110" spans="1:17" s="29" customFormat="1" ht="112.5" customHeight="1" x14ac:dyDescent="0.25">
      <c r="A110" s="1220"/>
      <c r="B110" s="620"/>
      <c r="C110" s="620" t="s">
        <v>83</v>
      </c>
      <c r="D110" s="620"/>
      <c r="E110" s="39" t="s">
        <v>180</v>
      </c>
      <c r="F110" s="618">
        <v>1030648.3</v>
      </c>
      <c r="G110" s="618">
        <v>353814.6</v>
      </c>
      <c r="H110" s="411">
        <v>711039.1</v>
      </c>
      <c r="I110" s="411">
        <v>699524.9</v>
      </c>
      <c r="J110" s="411">
        <v>760386.2</v>
      </c>
      <c r="K110" s="39" t="s">
        <v>302</v>
      </c>
      <c r="L110" s="640" t="s">
        <v>163</v>
      </c>
      <c r="M110" s="640">
        <v>46</v>
      </c>
      <c r="N110" s="640">
        <v>54</v>
      </c>
      <c r="O110" s="640">
        <v>62</v>
      </c>
      <c r="P110" s="640">
        <v>65</v>
      </c>
      <c r="Q110" s="653">
        <v>68</v>
      </c>
    </row>
    <row r="111" spans="1:17" s="29" customFormat="1" ht="36" customHeight="1" x14ac:dyDescent="0.25">
      <c r="A111" s="1220"/>
      <c r="B111" s="620"/>
      <c r="C111" s="620" t="s">
        <v>181</v>
      </c>
      <c r="D111" s="620"/>
      <c r="E111" s="39" t="s">
        <v>182</v>
      </c>
      <c r="F111" s="618">
        <v>1250</v>
      </c>
      <c r="G111" s="618">
        <v>650</v>
      </c>
      <c r="H111" s="411">
        <v>350</v>
      </c>
      <c r="I111" s="411">
        <v>1843.5</v>
      </c>
      <c r="J111" s="411">
        <v>2303.5</v>
      </c>
      <c r="K111" s="39" t="s">
        <v>157</v>
      </c>
      <c r="L111" s="640" t="s">
        <v>163</v>
      </c>
      <c r="M111" s="30" t="s">
        <v>183</v>
      </c>
      <c r="N111" s="30" t="s">
        <v>183</v>
      </c>
      <c r="O111" s="30" t="s">
        <v>183</v>
      </c>
      <c r="P111" s="30" t="s">
        <v>183</v>
      </c>
      <c r="Q111" s="491" t="s">
        <v>183</v>
      </c>
    </row>
    <row r="112" spans="1:17" s="29" customFormat="1" ht="30" x14ac:dyDescent="0.25">
      <c r="A112" s="1220"/>
      <c r="B112" s="620"/>
      <c r="C112" s="620" t="s">
        <v>184</v>
      </c>
      <c r="D112" s="620"/>
      <c r="E112" s="39" t="s">
        <v>185</v>
      </c>
      <c r="F112" s="618">
        <v>67410.8</v>
      </c>
      <c r="G112" s="618">
        <v>53178.2</v>
      </c>
      <c r="H112" s="411">
        <v>48659.199999999997</v>
      </c>
      <c r="I112" s="411">
        <v>64718.3</v>
      </c>
      <c r="J112" s="411">
        <v>66953</v>
      </c>
      <c r="K112" s="621" t="s">
        <v>186</v>
      </c>
      <c r="L112" s="640" t="s">
        <v>19</v>
      </c>
      <c r="M112" s="646">
        <v>30</v>
      </c>
      <c r="N112" s="646">
        <v>80</v>
      </c>
      <c r="O112" s="646">
        <v>80</v>
      </c>
      <c r="P112" s="646">
        <v>100</v>
      </c>
      <c r="Q112" s="647">
        <v>100</v>
      </c>
    </row>
    <row r="113" spans="1:17" s="29" customFormat="1" ht="59.25" x14ac:dyDescent="0.25">
      <c r="A113" s="1220"/>
      <c r="B113" s="620"/>
      <c r="C113" s="620" t="s">
        <v>187</v>
      </c>
      <c r="D113" s="620"/>
      <c r="E113" s="39" t="s">
        <v>188</v>
      </c>
      <c r="F113" s="618">
        <v>102753.4</v>
      </c>
      <c r="G113" s="618">
        <v>82279.3</v>
      </c>
      <c r="H113" s="411">
        <v>77606.600000000006</v>
      </c>
      <c r="I113" s="411">
        <v>92588.4</v>
      </c>
      <c r="J113" s="411">
        <v>95682.6</v>
      </c>
      <c r="K113" s="39" t="s">
        <v>189</v>
      </c>
      <c r="L113" s="640" t="s">
        <v>19</v>
      </c>
      <c r="M113" s="646">
        <v>44</v>
      </c>
      <c r="N113" s="646">
        <v>45</v>
      </c>
      <c r="O113" s="646">
        <v>46</v>
      </c>
      <c r="P113" s="646">
        <v>47</v>
      </c>
      <c r="Q113" s="647">
        <v>48</v>
      </c>
    </row>
    <row r="114" spans="1:17" s="29" customFormat="1" ht="45" x14ac:dyDescent="0.25">
      <c r="A114" s="1220"/>
      <c r="B114" s="620"/>
      <c r="C114" s="620" t="s">
        <v>190</v>
      </c>
      <c r="D114" s="620"/>
      <c r="E114" s="39" t="s">
        <v>191</v>
      </c>
      <c r="F114" s="618">
        <v>423449.9</v>
      </c>
      <c r="G114" s="618">
        <v>436083.5</v>
      </c>
      <c r="H114" s="411">
        <v>409388.9</v>
      </c>
      <c r="I114" s="411">
        <v>414146.8</v>
      </c>
      <c r="J114" s="411">
        <v>420776</v>
      </c>
      <c r="K114" s="39" t="s">
        <v>192</v>
      </c>
      <c r="L114" s="640" t="s">
        <v>19</v>
      </c>
      <c r="M114" s="640">
        <v>11</v>
      </c>
      <c r="N114" s="640">
        <v>9</v>
      </c>
      <c r="O114" s="640">
        <v>2</v>
      </c>
      <c r="P114" s="640">
        <v>2</v>
      </c>
      <c r="Q114" s="653">
        <v>2</v>
      </c>
    </row>
    <row r="115" spans="1:17" s="29" customFormat="1" ht="30" x14ac:dyDescent="0.25">
      <c r="A115" s="1220"/>
      <c r="B115" s="620"/>
      <c r="C115" s="620" t="s">
        <v>193</v>
      </c>
      <c r="D115" s="620"/>
      <c r="E115" s="39" t="s">
        <v>194</v>
      </c>
      <c r="F115" s="618">
        <v>0</v>
      </c>
      <c r="G115" s="618">
        <v>0</v>
      </c>
      <c r="H115" s="411">
        <v>0</v>
      </c>
      <c r="I115" s="411">
        <v>0</v>
      </c>
      <c r="J115" s="411">
        <v>0</v>
      </c>
      <c r="K115" s="40" t="s">
        <v>195</v>
      </c>
      <c r="L115" s="640" t="s">
        <v>19</v>
      </c>
      <c r="M115" s="640"/>
      <c r="N115" s="640"/>
      <c r="O115" s="640"/>
      <c r="P115" s="640"/>
      <c r="Q115" s="653"/>
    </row>
    <row r="116" spans="1:17" s="29" customFormat="1" ht="45" x14ac:dyDescent="0.25">
      <c r="A116" s="1220"/>
      <c r="B116" s="620"/>
      <c r="C116" s="620" t="s">
        <v>196</v>
      </c>
      <c r="D116" s="620"/>
      <c r="E116" s="621" t="s">
        <v>197</v>
      </c>
      <c r="F116" s="618">
        <v>0</v>
      </c>
      <c r="G116" s="618">
        <v>0</v>
      </c>
      <c r="H116" s="411">
        <v>0</v>
      </c>
      <c r="I116" s="411">
        <v>0</v>
      </c>
      <c r="J116" s="411">
        <v>0</v>
      </c>
      <c r="K116" s="40" t="s">
        <v>198</v>
      </c>
      <c r="L116" s="640" t="s">
        <v>19</v>
      </c>
      <c r="M116" s="640"/>
      <c r="N116" s="640"/>
      <c r="O116" s="640"/>
      <c r="P116" s="640"/>
      <c r="Q116" s="653"/>
    </row>
    <row r="117" spans="1:17" s="29" customFormat="1" ht="45" x14ac:dyDescent="0.25">
      <c r="A117" s="1220"/>
      <c r="B117" s="620"/>
      <c r="C117" s="620" t="s">
        <v>199</v>
      </c>
      <c r="D117" s="620"/>
      <c r="E117" s="621" t="s">
        <v>200</v>
      </c>
      <c r="F117" s="618">
        <v>30000</v>
      </c>
      <c r="G117" s="618">
        <v>0</v>
      </c>
      <c r="H117" s="411">
        <v>0</v>
      </c>
      <c r="I117" s="411">
        <v>0</v>
      </c>
      <c r="J117" s="411">
        <v>0</v>
      </c>
      <c r="K117" s="39" t="s">
        <v>1327</v>
      </c>
      <c r="L117" s="640" t="s">
        <v>19</v>
      </c>
      <c r="M117" s="646">
        <v>30</v>
      </c>
      <c r="N117" s="646"/>
      <c r="O117" s="646"/>
      <c r="P117" s="646"/>
      <c r="Q117" s="647"/>
    </row>
    <row r="118" spans="1:17" s="29" customFormat="1" ht="45" x14ac:dyDescent="0.25">
      <c r="A118" s="1220"/>
      <c r="B118" s="620"/>
      <c r="C118" s="620" t="s">
        <v>201</v>
      </c>
      <c r="D118" s="620"/>
      <c r="E118" s="621" t="s">
        <v>202</v>
      </c>
      <c r="F118" s="618">
        <v>15922.2</v>
      </c>
      <c r="G118" s="618">
        <v>0</v>
      </c>
      <c r="H118" s="411"/>
      <c r="I118" s="411">
        <v>0</v>
      </c>
      <c r="J118" s="411">
        <v>0</v>
      </c>
      <c r="K118" s="41" t="s">
        <v>203</v>
      </c>
      <c r="L118" s="640" t="s">
        <v>163</v>
      </c>
      <c r="M118" s="646">
        <v>2</v>
      </c>
      <c r="N118" s="646"/>
      <c r="O118" s="646"/>
      <c r="P118" s="646"/>
      <c r="Q118" s="647"/>
    </row>
    <row r="119" spans="1:17" s="29" customFormat="1" ht="89.25" x14ac:dyDescent="0.25">
      <c r="A119" s="1220"/>
      <c r="B119" s="650" t="s">
        <v>759</v>
      </c>
      <c r="C119" s="650"/>
      <c r="D119" s="650"/>
      <c r="E119" s="744" t="s">
        <v>1300</v>
      </c>
      <c r="F119" s="652">
        <f>F120+F121+F122+F123</f>
        <v>0</v>
      </c>
      <c r="G119" s="652">
        <f>G120+G121+G122+G123</f>
        <v>369628.5</v>
      </c>
      <c r="H119" s="652">
        <f>H120+H121+H122+H123</f>
        <v>407810.8</v>
      </c>
      <c r="I119" s="652">
        <f>I120+I121+I122+I123</f>
        <v>482634.9</v>
      </c>
      <c r="J119" s="652">
        <f>J120+J121+J122+J123</f>
        <v>469999.80000000005</v>
      </c>
      <c r="K119" s="651" t="s">
        <v>204</v>
      </c>
      <c r="L119" s="640" t="s">
        <v>19</v>
      </c>
      <c r="M119" s="38"/>
      <c r="N119" s="38">
        <v>40</v>
      </c>
      <c r="O119" s="38">
        <v>60</v>
      </c>
      <c r="P119" s="38">
        <v>70</v>
      </c>
      <c r="Q119" s="490">
        <v>80</v>
      </c>
    </row>
    <row r="120" spans="1:17" s="29" customFormat="1" ht="30" x14ac:dyDescent="0.25">
      <c r="A120" s="1220"/>
      <c r="B120" s="620"/>
      <c r="C120" s="620" t="s">
        <v>43</v>
      </c>
      <c r="D120" s="620"/>
      <c r="E120" s="621" t="s">
        <v>205</v>
      </c>
      <c r="F120" s="618"/>
      <c r="G120" s="618">
        <v>245525.7</v>
      </c>
      <c r="H120" s="411">
        <v>346154.8</v>
      </c>
      <c r="I120" s="411">
        <v>419011</v>
      </c>
      <c r="J120" s="411">
        <v>407534.4</v>
      </c>
      <c r="K120" s="41" t="s">
        <v>206</v>
      </c>
      <c r="L120" s="640" t="s">
        <v>19</v>
      </c>
      <c r="M120" s="646"/>
      <c r="N120" s="646">
        <v>40</v>
      </c>
      <c r="O120" s="646">
        <v>60</v>
      </c>
      <c r="P120" s="646">
        <v>70</v>
      </c>
      <c r="Q120" s="647">
        <v>80</v>
      </c>
    </row>
    <row r="121" spans="1:17" s="29" customFormat="1" ht="75" x14ac:dyDescent="0.25">
      <c r="A121" s="1220"/>
      <c r="B121" s="620"/>
      <c r="C121" s="620" t="s">
        <v>48</v>
      </c>
      <c r="D121" s="620"/>
      <c r="E121" s="621" t="s">
        <v>207</v>
      </c>
      <c r="F121" s="618"/>
      <c r="G121" s="618">
        <v>45781.8</v>
      </c>
      <c r="H121" s="411">
        <v>41656</v>
      </c>
      <c r="I121" s="411">
        <v>43623.9</v>
      </c>
      <c r="J121" s="411">
        <v>45690.2</v>
      </c>
      <c r="K121" s="41" t="s">
        <v>1328</v>
      </c>
      <c r="L121" s="640" t="s">
        <v>19</v>
      </c>
      <c r="M121" s="646"/>
      <c r="N121" s="646">
        <v>45</v>
      </c>
      <c r="O121" s="646">
        <v>46</v>
      </c>
      <c r="P121" s="646">
        <v>47</v>
      </c>
      <c r="Q121" s="647">
        <v>48</v>
      </c>
    </row>
    <row r="122" spans="1:17" s="29" customFormat="1" ht="45" hidden="1" customHeight="1" x14ac:dyDescent="0.25">
      <c r="A122" s="1220"/>
      <c r="B122" s="620"/>
      <c r="C122" s="620" t="s">
        <v>37</v>
      </c>
      <c r="D122" s="620"/>
      <c r="E122" s="621" t="s">
        <v>202</v>
      </c>
      <c r="F122" s="618"/>
      <c r="G122" s="618"/>
      <c r="H122" s="411"/>
      <c r="I122" s="411"/>
      <c r="J122" s="411"/>
      <c r="K122" s="41" t="s">
        <v>208</v>
      </c>
      <c r="L122" s="640" t="s">
        <v>163</v>
      </c>
      <c r="M122" s="646"/>
      <c r="N122" s="646"/>
      <c r="O122" s="646"/>
      <c r="P122" s="646"/>
      <c r="Q122" s="647"/>
    </row>
    <row r="123" spans="1:17" s="29" customFormat="1" ht="60" x14ac:dyDescent="0.25">
      <c r="A123" s="1220"/>
      <c r="B123" s="620"/>
      <c r="C123" s="620" t="s">
        <v>73</v>
      </c>
      <c r="D123" s="620"/>
      <c r="E123" s="621" t="s">
        <v>1329</v>
      </c>
      <c r="F123" s="618"/>
      <c r="G123" s="618">
        <v>78321</v>
      </c>
      <c r="H123" s="411">
        <v>20000</v>
      </c>
      <c r="I123" s="411">
        <v>20000</v>
      </c>
      <c r="J123" s="411">
        <v>16775.2</v>
      </c>
      <c r="K123" s="41" t="s">
        <v>1331</v>
      </c>
      <c r="L123" s="640" t="s">
        <v>163</v>
      </c>
      <c r="M123" s="646"/>
      <c r="N123" s="646">
        <v>181</v>
      </c>
      <c r="O123" s="646">
        <v>181</v>
      </c>
      <c r="P123" s="646">
        <v>181</v>
      </c>
      <c r="Q123" s="647">
        <v>181</v>
      </c>
    </row>
    <row r="124" spans="1:17" s="29" customFormat="1" ht="42.75" x14ac:dyDescent="0.25">
      <c r="A124" s="1220"/>
      <c r="B124" s="650" t="s">
        <v>825</v>
      </c>
      <c r="C124" s="620"/>
      <c r="D124" s="620"/>
      <c r="E124" s="744" t="s">
        <v>1414</v>
      </c>
      <c r="F124" s="652">
        <f>F125+F126+F127++F128+F129+F130+F131+F132+F133+F134+F135+F136+F137</f>
        <v>0</v>
      </c>
      <c r="G124" s="652">
        <f>G125+G126+G127++G128+G129+G130+G131+G132+G133+G134+G135+G136+G137</f>
        <v>90429.3</v>
      </c>
      <c r="H124" s="652">
        <f>H125+H126+H127++H128+H129+H130+H131+H132+H133+H134+H135+H136+H137</f>
        <v>44677</v>
      </c>
      <c r="I124" s="652">
        <f>I125+I126+I127++I128+I129+I130+I131+I132+I133+I134+I135+I136+I137</f>
        <v>0</v>
      </c>
      <c r="J124" s="652">
        <f>J125+J126+J127++J128+J129+J130+J131+J132+J133+J134+J135+J136+J137</f>
        <v>0</v>
      </c>
      <c r="K124" s="42" t="s">
        <v>198</v>
      </c>
      <c r="L124" s="688" t="s">
        <v>19</v>
      </c>
      <c r="M124" s="666"/>
      <c r="N124" s="666">
        <v>100</v>
      </c>
      <c r="O124" s="666">
        <v>100</v>
      </c>
      <c r="P124" s="666">
        <v>100</v>
      </c>
      <c r="Q124" s="745">
        <v>100</v>
      </c>
    </row>
    <row r="125" spans="1:17" s="29" customFormat="1" ht="30" hidden="1" customHeight="1" x14ac:dyDescent="0.25">
      <c r="A125" s="1220"/>
      <c r="B125" s="620"/>
      <c r="C125" s="620" t="s">
        <v>43</v>
      </c>
      <c r="D125" s="620"/>
      <c r="E125" s="621" t="s">
        <v>209</v>
      </c>
      <c r="F125" s="618"/>
      <c r="G125" s="618"/>
      <c r="H125" s="411"/>
      <c r="I125" s="411"/>
      <c r="J125" s="411"/>
      <c r="K125" s="41" t="s">
        <v>198</v>
      </c>
      <c r="L125" s="640" t="s">
        <v>19</v>
      </c>
      <c r="M125" s="646"/>
      <c r="N125" s="646"/>
      <c r="O125" s="646"/>
      <c r="P125" s="646"/>
      <c r="Q125" s="647"/>
    </row>
    <row r="126" spans="1:17" s="29" customFormat="1" ht="60" hidden="1" customHeight="1" x14ac:dyDescent="0.25">
      <c r="A126" s="1220"/>
      <c r="B126" s="620"/>
      <c r="C126" s="620" t="s">
        <v>48</v>
      </c>
      <c r="D126" s="620"/>
      <c r="E126" s="621" t="s">
        <v>210</v>
      </c>
      <c r="F126" s="618"/>
      <c r="G126" s="618"/>
      <c r="H126" s="411"/>
      <c r="I126" s="411"/>
      <c r="J126" s="411"/>
      <c r="K126" s="41" t="s">
        <v>198</v>
      </c>
      <c r="L126" s="640" t="s">
        <v>19</v>
      </c>
      <c r="M126" s="646"/>
      <c r="N126" s="646"/>
      <c r="O126" s="646"/>
      <c r="P126" s="646"/>
      <c r="Q126" s="647"/>
    </row>
    <row r="127" spans="1:17" s="29" customFormat="1" ht="60" x14ac:dyDescent="0.25">
      <c r="A127" s="1220"/>
      <c r="B127" s="620"/>
      <c r="C127" s="620" t="s">
        <v>37</v>
      </c>
      <c r="D127" s="620"/>
      <c r="E127" s="621" t="s">
        <v>211</v>
      </c>
      <c r="F127" s="618"/>
      <c r="G127" s="618">
        <v>12429.3</v>
      </c>
      <c r="H127" s="411"/>
      <c r="I127" s="411"/>
      <c r="J127" s="411"/>
      <c r="K127" s="41" t="s">
        <v>177</v>
      </c>
      <c r="L127" s="640" t="s">
        <v>163</v>
      </c>
      <c r="M127" s="646"/>
      <c r="N127" s="646">
        <v>72</v>
      </c>
      <c r="O127" s="646"/>
      <c r="P127" s="646"/>
      <c r="Q127" s="647"/>
    </row>
    <row r="128" spans="1:17" s="29" customFormat="1" ht="60" hidden="1" customHeight="1" x14ac:dyDescent="0.25">
      <c r="A128" s="1220"/>
      <c r="B128" s="620"/>
      <c r="C128" s="620" t="s">
        <v>73</v>
      </c>
      <c r="D128" s="620"/>
      <c r="E128" s="621" t="s">
        <v>212</v>
      </c>
      <c r="F128" s="618"/>
      <c r="G128" s="618"/>
      <c r="H128" s="411"/>
      <c r="I128" s="411"/>
      <c r="J128" s="411"/>
      <c r="K128" s="41" t="s">
        <v>198</v>
      </c>
      <c r="L128" s="640" t="s">
        <v>19</v>
      </c>
      <c r="M128" s="646"/>
      <c r="N128" s="646"/>
      <c r="O128" s="646"/>
      <c r="P128" s="646"/>
      <c r="Q128" s="647"/>
    </row>
    <row r="129" spans="1:17" s="29" customFormat="1" ht="45" x14ac:dyDescent="0.25">
      <c r="A129" s="1220"/>
      <c r="B129" s="620"/>
      <c r="C129" s="620" t="s">
        <v>76</v>
      </c>
      <c r="D129" s="620"/>
      <c r="E129" s="621" t="s">
        <v>213</v>
      </c>
      <c r="F129" s="618"/>
      <c r="G129" s="618">
        <v>60000</v>
      </c>
      <c r="H129" s="411">
        <v>44527</v>
      </c>
      <c r="I129" s="411"/>
      <c r="J129" s="411"/>
      <c r="K129" s="41" t="s">
        <v>198</v>
      </c>
      <c r="L129" s="640" t="s">
        <v>19</v>
      </c>
      <c r="M129" s="646"/>
      <c r="N129" s="646">
        <v>100</v>
      </c>
      <c r="O129" s="646">
        <v>100</v>
      </c>
      <c r="P129" s="646"/>
      <c r="Q129" s="647"/>
    </row>
    <row r="130" spans="1:17" s="29" customFormat="1" ht="75" x14ac:dyDescent="0.25">
      <c r="A130" s="1220"/>
      <c r="B130" s="620"/>
      <c r="C130" s="620" t="s">
        <v>79</v>
      </c>
      <c r="D130" s="620"/>
      <c r="E130" s="621" t="s">
        <v>1415</v>
      </c>
      <c r="F130" s="618"/>
      <c r="G130" s="618">
        <v>18000</v>
      </c>
      <c r="H130" s="411">
        <v>150</v>
      </c>
      <c r="I130" s="411"/>
      <c r="J130" s="411"/>
      <c r="K130" s="41" t="s">
        <v>198</v>
      </c>
      <c r="L130" s="640" t="s">
        <v>19</v>
      </c>
      <c r="M130" s="646"/>
      <c r="N130" s="646">
        <v>100</v>
      </c>
      <c r="O130" s="646">
        <v>100</v>
      </c>
      <c r="P130" s="646"/>
      <c r="Q130" s="647"/>
    </row>
    <row r="131" spans="1:17" s="29" customFormat="1" ht="75" hidden="1" customHeight="1" x14ac:dyDescent="0.25">
      <c r="A131" s="492"/>
      <c r="B131" s="620"/>
      <c r="C131" s="620" t="s">
        <v>82</v>
      </c>
      <c r="D131" s="620"/>
      <c r="E131" s="621" t="s">
        <v>214</v>
      </c>
      <c r="F131" s="618"/>
      <c r="G131" s="618"/>
      <c r="H131" s="411"/>
      <c r="I131" s="411"/>
      <c r="J131" s="411"/>
      <c r="K131" s="41" t="s">
        <v>198</v>
      </c>
      <c r="L131" s="640" t="s">
        <v>19</v>
      </c>
      <c r="M131" s="646"/>
      <c r="N131" s="646"/>
      <c r="O131" s="646"/>
      <c r="P131" s="646"/>
      <c r="Q131" s="647"/>
    </row>
    <row r="132" spans="1:17" s="29" customFormat="1" ht="45" hidden="1" customHeight="1" x14ac:dyDescent="0.25">
      <c r="A132" s="492"/>
      <c r="B132" s="620"/>
      <c r="C132" s="620" t="s">
        <v>83</v>
      </c>
      <c r="D132" s="620"/>
      <c r="E132" s="621" t="s">
        <v>215</v>
      </c>
      <c r="F132" s="618"/>
      <c r="G132" s="618"/>
      <c r="H132" s="411"/>
      <c r="I132" s="411"/>
      <c r="J132" s="411"/>
      <c r="K132" s="41" t="s">
        <v>198</v>
      </c>
      <c r="L132" s="640" t="s">
        <v>19</v>
      </c>
      <c r="M132" s="646"/>
      <c r="N132" s="646"/>
      <c r="O132" s="646"/>
      <c r="P132" s="646"/>
      <c r="Q132" s="647"/>
    </row>
    <row r="133" spans="1:17" s="29" customFormat="1" ht="60" hidden="1" customHeight="1" x14ac:dyDescent="0.25">
      <c r="A133" s="492"/>
      <c r="B133" s="620"/>
      <c r="C133" s="620" t="s">
        <v>181</v>
      </c>
      <c r="D133" s="620"/>
      <c r="E133" s="621" t="s">
        <v>216</v>
      </c>
      <c r="F133" s="618"/>
      <c r="G133" s="618"/>
      <c r="H133" s="411"/>
      <c r="I133" s="411"/>
      <c r="J133" s="411"/>
      <c r="K133" s="41" t="s">
        <v>198</v>
      </c>
      <c r="L133" s="640" t="s">
        <v>19</v>
      </c>
      <c r="M133" s="646"/>
      <c r="N133" s="646"/>
      <c r="O133" s="646"/>
      <c r="P133" s="646"/>
      <c r="Q133" s="647"/>
    </row>
    <row r="134" spans="1:17" s="29" customFormat="1" ht="30" hidden="1" customHeight="1" x14ac:dyDescent="0.25">
      <c r="A134" s="492"/>
      <c r="B134" s="620"/>
      <c r="C134" s="620" t="s">
        <v>184</v>
      </c>
      <c r="D134" s="620"/>
      <c r="E134" s="621" t="s">
        <v>217</v>
      </c>
      <c r="F134" s="618"/>
      <c r="G134" s="618"/>
      <c r="H134" s="411"/>
      <c r="I134" s="411"/>
      <c r="J134" s="411"/>
      <c r="K134" s="41" t="s">
        <v>198</v>
      </c>
      <c r="L134" s="640" t="s">
        <v>19</v>
      </c>
      <c r="M134" s="646"/>
      <c r="N134" s="646"/>
      <c r="O134" s="646"/>
      <c r="P134" s="646"/>
      <c r="Q134" s="647"/>
    </row>
    <row r="135" spans="1:17" s="29" customFormat="1" ht="30" hidden="1" customHeight="1" x14ac:dyDescent="0.25">
      <c r="A135" s="492"/>
      <c r="B135" s="620"/>
      <c r="C135" s="620" t="s">
        <v>187</v>
      </c>
      <c r="D135" s="620"/>
      <c r="E135" s="621" t="s">
        <v>218</v>
      </c>
      <c r="F135" s="618"/>
      <c r="G135" s="618"/>
      <c r="H135" s="411"/>
      <c r="I135" s="411"/>
      <c r="J135" s="411"/>
      <c r="K135" s="41" t="s">
        <v>198</v>
      </c>
      <c r="L135" s="640" t="s">
        <v>19</v>
      </c>
      <c r="M135" s="646"/>
      <c r="N135" s="646"/>
      <c r="O135" s="646"/>
      <c r="P135" s="646"/>
      <c r="Q135" s="647"/>
    </row>
    <row r="136" spans="1:17" s="29" customFormat="1" ht="60" hidden="1" customHeight="1" x14ac:dyDescent="0.25">
      <c r="A136" s="492"/>
      <c r="B136" s="620"/>
      <c r="C136" s="620" t="s">
        <v>190</v>
      </c>
      <c r="D136" s="620"/>
      <c r="E136" s="621" t="s">
        <v>1318</v>
      </c>
      <c r="F136" s="618"/>
      <c r="G136" s="618"/>
      <c r="H136" s="411"/>
      <c r="I136" s="411"/>
      <c r="J136" s="411"/>
      <c r="K136" s="41" t="s">
        <v>198</v>
      </c>
      <c r="L136" s="640" t="s">
        <v>19</v>
      </c>
      <c r="M136" s="646"/>
      <c r="N136" s="646"/>
      <c r="O136" s="646"/>
      <c r="P136" s="646"/>
      <c r="Q136" s="647"/>
    </row>
    <row r="137" spans="1:17" s="29" customFormat="1" ht="45" hidden="1" x14ac:dyDescent="0.25">
      <c r="A137" s="492"/>
      <c r="B137" s="620"/>
      <c r="C137" s="620" t="s">
        <v>193</v>
      </c>
      <c r="D137" s="620"/>
      <c r="E137" s="621" t="s">
        <v>1448</v>
      </c>
      <c r="F137" s="618"/>
      <c r="G137" s="618"/>
      <c r="H137" s="411"/>
      <c r="I137" s="411"/>
      <c r="J137" s="411"/>
      <c r="K137" s="41" t="s">
        <v>198</v>
      </c>
      <c r="L137" s="640" t="s">
        <v>19</v>
      </c>
      <c r="M137" s="646"/>
      <c r="N137" s="646"/>
      <c r="O137" s="646"/>
      <c r="P137" s="646"/>
      <c r="Q137" s="647"/>
    </row>
    <row r="138" spans="1:17" s="23" customFormat="1" ht="16.5" customHeight="1" x14ac:dyDescent="0.25">
      <c r="A138" s="1004" t="s">
        <v>23</v>
      </c>
      <c r="B138" s="1005"/>
      <c r="C138" s="1005"/>
      <c r="D138" s="1005"/>
      <c r="E138" s="1005"/>
      <c r="F138" s="28">
        <f>F97+F102+F124+F119</f>
        <v>1959329.4</v>
      </c>
      <c r="G138" s="28">
        <f>G97+G102+G124+G119</f>
        <v>1536365.7</v>
      </c>
      <c r="H138" s="28">
        <f>H97+H102+H124+H119</f>
        <v>1855801.5</v>
      </c>
      <c r="I138" s="28">
        <f>I97+I102+I124+I119</f>
        <v>1898277.4</v>
      </c>
      <c r="J138" s="28">
        <f>J97+J102+J124+J119</f>
        <v>1962917.1</v>
      </c>
      <c r="K138" s="43"/>
      <c r="L138" s="161"/>
      <c r="M138" s="161"/>
      <c r="N138" s="161"/>
      <c r="O138" s="161"/>
      <c r="P138" s="161"/>
      <c r="Q138" s="493"/>
    </row>
    <row r="139" spans="1:17" s="23" customFormat="1" ht="21.75" customHeight="1" x14ac:dyDescent="0.25">
      <c r="A139" s="1004" t="s">
        <v>219</v>
      </c>
      <c r="B139" s="1005"/>
      <c r="C139" s="1005"/>
      <c r="D139" s="1005"/>
      <c r="E139" s="1005"/>
      <c r="F139" s="28">
        <f>F138+F95+F87+F70</f>
        <v>2193739.7999999998</v>
      </c>
      <c r="G139" s="28">
        <f>G138+G95+G87+G70</f>
        <v>1762168.3</v>
      </c>
      <c r="H139" s="28">
        <f>H138+H95+H87+H70</f>
        <v>2140829.8000000003</v>
      </c>
      <c r="I139" s="28">
        <f>I138+I95+I87+I70</f>
        <v>2182096.6</v>
      </c>
      <c r="J139" s="28">
        <f>J138+J95+J87+J70</f>
        <v>2247016.6</v>
      </c>
      <c r="K139" s="43"/>
      <c r="L139" s="161"/>
      <c r="M139" s="161"/>
      <c r="N139" s="161"/>
      <c r="O139" s="161"/>
      <c r="P139" s="161"/>
      <c r="Q139" s="493"/>
    </row>
    <row r="140" spans="1:17" s="23" customFormat="1" ht="30" customHeight="1" x14ac:dyDescent="0.25">
      <c r="A140" s="1211" t="s">
        <v>1308</v>
      </c>
      <c r="B140" s="1212" t="s">
        <v>299</v>
      </c>
      <c r="C140" s="1212"/>
      <c r="D140" s="1212"/>
      <c r="E140" s="1212"/>
      <c r="F140" s="1212"/>
      <c r="G140" s="1212"/>
      <c r="H140" s="1212"/>
      <c r="I140" s="1212"/>
      <c r="J140" s="1212"/>
      <c r="K140" s="1212"/>
      <c r="L140" s="1212"/>
      <c r="M140" s="1212"/>
      <c r="N140" s="1212"/>
      <c r="O140" s="1212"/>
      <c r="P140" s="412"/>
      <c r="Q140" s="477"/>
    </row>
    <row r="141" spans="1:17" s="78" customFormat="1" ht="62.25" customHeight="1" x14ac:dyDescent="0.25">
      <c r="A141" s="1210" t="s">
        <v>300</v>
      </c>
      <c r="B141" s="650" t="s">
        <v>8</v>
      </c>
      <c r="C141" s="620"/>
      <c r="D141" s="418"/>
      <c r="E141" s="755" t="s">
        <v>429</v>
      </c>
      <c r="F141" s="733">
        <f>F142</f>
        <v>74662.600000000006</v>
      </c>
      <c r="G141" s="733">
        <f>G142</f>
        <v>74663.600000000006</v>
      </c>
      <c r="H141" s="733">
        <f>H142</f>
        <v>49464.800000000003</v>
      </c>
      <c r="I141" s="733">
        <f>I142</f>
        <v>80493.600000000006</v>
      </c>
      <c r="J141" s="733">
        <f>J142</f>
        <v>82901.5</v>
      </c>
      <c r="K141" s="641" t="s">
        <v>289</v>
      </c>
      <c r="L141" s="640" t="s">
        <v>14</v>
      </c>
      <c r="M141" s="640">
        <v>1</v>
      </c>
      <c r="N141" s="646">
        <v>1</v>
      </c>
      <c r="O141" s="646">
        <v>1</v>
      </c>
      <c r="P141" s="646">
        <v>1</v>
      </c>
      <c r="Q141" s="647">
        <v>1</v>
      </c>
    </row>
    <row r="142" spans="1:17" s="78" customFormat="1" ht="31.5" customHeight="1" x14ac:dyDescent="0.25">
      <c r="A142" s="1210"/>
      <c r="B142" s="1044"/>
      <c r="C142" s="1045" t="s">
        <v>43</v>
      </c>
      <c r="D142" s="1045"/>
      <c r="E142" s="1057" t="s">
        <v>11</v>
      </c>
      <c r="F142" s="1221">
        <v>74662.600000000006</v>
      </c>
      <c r="G142" s="1221">
        <v>74663.600000000006</v>
      </c>
      <c r="H142" s="1221">
        <v>49464.800000000003</v>
      </c>
      <c r="I142" s="1221">
        <v>80493.600000000006</v>
      </c>
      <c r="J142" s="1221">
        <v>82901.5</v>
      </c>
      <c r="K142" s="758" t="s">
        <v>290</v>
      </c>
      <c r="L142" s="640" t="s">
        <v>19</v>
      </c>
      <c r="M142" s="640">
        <v>100</v>
      </c>
      <c r="N142" s="646">
        <v>100</v>
      </c>
      <c r="O142" s="646">
        <v>100</v>
      </c>
      <c r="P142" s="646">
        <v>100</v>
      </c>
      <c r="Q142" s="647">
        <v>100</v>
      </c>
    </row>
    <row r="143" spans="1:17" s="78" customFormat="1" ht="14.25" customHeight="1" x14ac:dyDescent="0.25">
      <c r="A143" s="1210"/>
      <c r="B143" s="1044"/>
      <c r="C143" s="1045"/>
      <c r="D143" s="1045"/>
      <c r="E143" s="1057"/>
      <c r="F143" s="1222"/>
      <c r="G143" s="1222"/>
      <c r="H143" s="1221"/>
      <c r="I143" s="1221"/>
      <c r="J143" s="1221"/>
      <c r="K143" s="758" t="s">
        <v>291</v>
      </c>
      <c r="L143" s="640" t="s">
        <v>19</v>
      </c>
      <c r="M143" s="640">
        <v>100</v>
      </c>
      <c r="N143" s="640">
        <v>100</v>
      </c>
      <c r="O143" s="640">
        <v>100</v>
      </c>
      <c r="P143" s="640">
        <v>100</v>
      </c>
      <c r="Q143" s="653">
        <v>100</v>
      </c>
    </row>
    <row r="144" spans="1:17" s="78" customFormat="1" ht="51" customHeight="1" x14ac:dyDescent="0.25">
      <c r="A144" s="1210"/>
      <c r="B144" s="1044"/>
      <c r="C144" s="1045"/>
      <c r="D144" s="1045"/>
      <c r="E144" s="1240"/>
      <c r="F144" s="1223"/>
      <c r="G144" s="1223"/>
      <c r="H144" s="1223"/>
      <c r="I144" s="1223"/>
      <c r="J144" s="1223"/>
      <c r="K144" s="758" t="s">
        <v>292</v>
      </c>
      <c r="L144" s="640" t="s">
        <v>19</v>
      </c>
      <c r="M144" s="640">
        <v>90</v>
      </c>
      <c r="N144" s="640">
        <v>90</v>
      </c>
      <c r="O144" s="640">
        <v>90</v>
      </c>
      <c r="P144" s="640">
        <v>90</v>
      </c>
      <c r="Q144" s="653">
        <v>90</v>
      </c>
    </row>
    <row r="145" spans="1:17" s="78" customFormat="1" ht="48.75" customHeight="1" x14ac:dyDescent="0.25">
      <c r="A145" s="1210"/>
      <c r="B145" s="1044"/>
      <c r="C145" s="1045"/>
      <c r="D145" s="1045"/>
      <c r="E145" s="1240"/>
      <c r="F145" s="1223"/>
      <c r="G145" s="1223"/>
      <c r="H145" s="1223"/>
      <c r="I145" s="1223"/>
      <c r="J145" s="1223"/>
      <c r="K145" s="758" t="s">
        <v>293</v>
      </c>
      <c r="L145" s="640" t="s">
        <v>19</v>
      </c>
      <c r="M145" s="640">
        <v>50</v>
      </c>
      <c r="N145" s="640">
        <v>50</v>
      </c>
      <c r="O145" s="640">
        <v>50</v>
      </c>
      <c r="P145" s="640">
        <v>50</v>
      </c>
      <c r="Q145" s="653">
        <v>50</v>
      </c>
    </row>
    <row r="146" spans="1:17" s="78" customFormat="1" ht="48" customHeight="1" x14ac:dyDescent="0.25">
      <c r="A146" s="1210"/>
      <c r="B146" s="1044"/>
      <c r="C146" s="1045"/>
      <c r="D146" s="1045"/>
      <c r="E146" s="1240"/>
      <c r="F146" s="1223"/>
      <c r="G146" s="1223"/>
      <c r="H146" s="1223"/>
      <c r="I146" s="1223"/>
      <c r="J146" s="1223"/>
      <c r="K146" s="758" t="s">
        <v>294</v>
      </c>
      <c r="L146" s="640" t="s">
        <v>14</v>
      </c>
      <c r="M146" s="640">
        <v>10</v>
      </c>
      <c r="N146" s="646">
        <v>8</v>
      </c>
      <c r="O146" s="646">
        <v>8</v>
      </c>
      <c r="P146" s="646">
        <v>8</v>
      </c>
      <c r="Q146" s="647">
        <v>8</v>
      </c>
    </row>
    <row r="147" spans="1:17" s="78" customFormat="1" ht="39.75" customHeight="1" x14ac:dyDescent="0.25">
      <c r="A147" s="1210"/>
      <c r="B147" s="1044"/>
      <c r="C147" s="1045"/>
      <c r="D147" s="1045"/>
      <c r="E147" s="1240"/>
      <c r="F147" s="1223"/>
      <c r="G147" s="1223"/>
      <c r="H147" s="1223"/>
      <c r="I147" s="1223"/>
      <c r="J147" s="1223"/>
      <c r="K147" s="79" t="s">
        <v>295</v>
      </c>
      <c r="L147" s="640" t="s">
        <v>14</v>
      </c>
      <c r="M147" s="637">
        <v>112</v>
      </c>
      <c r="N147" s="637">
        <v>125</v>
      </c>
      <c r="O147" s="637">
        <v>125</v>
      </c>
      <c r="P147" s="637">
        <v>125</v>
      </c>
      <c r="Q147" s="638">
        <v>125</v>
      </c>
    </row>
    <row r="148" spans="1:17" s="78" customFormat="1" ht="51.75" customHeight="1" x14ac:dyDescent="0.25">
      <c r="A148" s="1210"/>
      <c r="B148" s="1044" t="s">
        <v>296</v>
      </c>
      <c r="C148" s="1045"/>
      <c r="D148" s="1046"/>
      <c r="E148" s="1278" t="s">
        <v>430</v>
      </c>
      <c r="F148" s="1221">
        <f>F150</f>
        <v>166184.5</v>
      </c>
      <c r="G148" s="1221">
        <f>G150</f>
        <v>166184.5</v>
      </c>
      <c r="H148" s="1221">
        <f>H150</f>
        <v>205254.8</v>
      </c>
      <c r="I148" s="1221">
        <f>I150</f>
        <v>179163.3</v>
      </c>
      <c r="J148" s="1221">
        <f>J150</f>
        <v>184522.7</v>
      </c>
      <c r="K148" s="758" t="s">
        <v>297</v>
      </c>
      <c r="L148" s="640" t="s">
        <v>14</v>
      </c>
      <c r="M148" s="646">
        <v>90</v>
      </c>
      <c r="N148" s="646">
        <v>287</v>
      </c>
      <c r="O148" s="646">
        <v>287</v>
      </c>
      <c r="P148" s="646">
        <v>287</v>
      </c>
      <c r="Q148" s="647">
        <v>287</v>
      </c>
    </row>
    <row r="149" spans="1:17" s="78" customFormat="1" ht="13.5" hidden="1" customHeight="1" x14ac:dyDescent="0.25">
      <c r="A149" s="1210"/>
      <c r="B149" s="1044"/>
      <c r="C149" s="1045"/>
      <c r="D149" s="1046"/>
      <c r="E149" s="1278"/>
      <c r="F149" s="1221"/>
      <c r="G149" s="1221"/>
      <c r="H149" s="1221"/>
      <c r="I149" s="1221"/>
      <c r="J149" s="1221"/>
      <c r="K149" s="1286" t="s">
        <v>298</v>
      </c>
      <c r="L149" s="1059" t="s">
        <v>19</v>
      </c>
      <c r="M149" s="1059">
        <v>100</v>
      </c>
      <c r="N149" s="1059">
        <v>100</v>
      </c>
      <c r="O149" s="1059">
        <v>100</v>
      </c>
      <c r="P149" s="1059">
        <v>100</v>
      </c>
      <c r="Q149" s="1060">
        <v>100</v>
      </c>
    </row>
    <row r="150" spans="1:17" s="78" customFormat="1" ht="24" customHeight="1" x14ac:dyDescent="0.25">
      <c r="A150" s="1210"/>
      <c r="B150" s="1044"/>
      <c r="C150" s="1045" t="s">
        <v>43</v>
      </c>
      <c r="D150" s="1046"/>
      <c r="E150" s="1270" t="s">
        <v>431</v>
      </c>
      <c r="F150" s="1221">
        <v>166184.5</v>
      </c>
      <c r="G150" s="1221">
        <v>166184.5</v>
      </c>
      <c r="H150" s="1221">
        <v>205254.8</v>
      </c>
      <c r="I150" s="1221">
        <v>179163.3</v>
      </c>
      <c r="J150" s="1221">
        <v>184522.7</v>
      </c>
      <c r="K150" s="1224"/>
      <c r="L150" s="1072"/>
      <c r="M150" s="1072"/>
      <c r="N150" s="1072"/>
      <c r="O150" s="1072"/>
      <c r="P150" s="1072"/>
      <c r="Q150" s="1074"/>
    </row>
    <row r="151" spans="1:17" s="78" customFormat="1" ht="38.25" customHeight="1" x14ac:dyDescent="0.25">
      <c r="A151" s="1210"/>
      <c r="B151" s="1044"/>
      <c r="C151" s="1045"/>
      <c r="D151" s="1046"/>
      <c r="E151" s="1271"/>
      <c r="F151" s="1222"/>
      <c r="G151" s="1222"/>
      <c r="H151" s="1221"/>
      <c r="I151" s="1221"/>
      <c r="J151" s="1221"/>
      <c r="K151" s="1224"/>
      <c r="L151" s="1072"/>
      <c r="M151" s="1072"/>
      <c r="N151" s="1072"/>
      <c r="O151" s="1072"/>
      <c r="P151" s="1072"/>
      <c r="Q151" s="1074"/>
    </row>
    <row r="152" spans="1:17" ht="42.75" customHeight="1" x14ac:dyDescent="0.25">
      <c r="A152" s="1210"/>
      <c r="B152" s="1072"/>
      <c r="C152" s="1269"/>
      <c r="D152" s="1224"/>
      <c r="E152" s="1224"/>
      <c r="F152" s="1224"/>
      <c r="G152" s="1224"/>
      <c r="H152" s="1224"/>
      <c r="I152" s="1224"/>
      <c r="J152" s="1224"/>
      <c r="K152" s="1224"/>
      <c r="L152" s="1072"/>
      <c r="M152" s="1072"/>
      <c r="N152" s="1072"/>
      <c r="O152" s="1072"/>
      <c r="P152" s="1072"/>
      <c r="Q152" s="1074"/>
    </row>
    <row r="153" spans="1:17" s="23" customFormat="1" ht="21.75" customHeight="1" x14ac:dyDescent="0.25">
      <c r="A153" s="1004" t="s">
        <v>23</v>
      </c>
      <c r="B153" s="1005"/>
      <c r="C153" s="1005"/>
      <c r="D153" s="1005"/>
      <c r="E153" s="1005"/>
      <c r="F153" s="28">
        <f>F141+F148</f>
        <v>240847.1</v>
      </c>
      <c r="G153" s="28">
        <f>G141+G148</f>
        <v>240848.1</v>
      </c>
      <c r="H153" s="28">
        <f>H141+H148</f>
        <v>254719.59999999998</v>
      </c>
      <c r="I153" s="28">
        <f>I141+I148</f>
        <v>259656.9</v>
      </c>
      <c r="J153" s="28">
        <f>J141+J148</f>
        <v>267424.2</v>
      </c>
      <c r="K153" s="43"/>
      <c r="L153" s="161"/>
      <c r="M153" s="161"/>
      <c r="N153" s="161"/>
      <c r="O153" s="161"/>
      <c r="P153" s="161"/>
      <c r="Q153" s="493"/>
    </row>
    <row r="154" spans="1:17" s="23" customFormat="1" ht="24.75" customHeight="1" x14ac:dyDescent="0.25">
      <c r="A154" s="1211" t="s">
        <v>1485</v>
      </c>
      <c r="B154" s="1212" t="s">
        <v>487</v>
      </c>
      <c r="C154" s="1212"/>
      <c r="D154" s="1212"/>
      <c r="E154" s="1212"/>
      <c r="F154" s="1212"/>
      <c r="G154" s="1212"/>
      <c r="H154" s="1212"/>
      <c r="I154" s="1212"/>
      <c r="J154" s="1212"/>
      <c r="K154" s="1212"/>
      <c r="L154" s="1212"/>
      <c r="M154" s="1212"/>
      <c r="N154" s="1212"/>
      <c r="O154" s="1212"/>
      <c r="P154" s="412"/>
      <c r="Q154" s="477"/>
    </row>
    <row r="155" spans="1:17" s="83" customFormat="1" ht="70.5" customHeight="1" x14ac:dyDescent="0.25">
      <c r="A155" s="1186">
        <v>18</v>
      </c>
      <c r="B155" s="763" t="s">
        <v>8</v>
      </c>
      <c r="C155" s="678"/>
      <c r="D155" s="678"/>
      <c r="E155" s="24" t="s">
        <v>1276</v>
      </c>
      <c r="F155" s="685">
        <v>89966.8</v>
      </c>
      <c r="G155" s="685">
        <f>G156</f>
        <v>100000</v>
      </c>
      <c r="H155" s="685">
        <f>H156</f>
        <v>100000</v>
      </c>
      <c r="I155" s="685">
        <f>I156</f>
        <v>100000</v>
      </c>
      <c r="J155" s="685">
        <f>J156</f>
        <v>100000</v>
      </c>
      <c r="K155" s="648" t="s">
        <v>224</v>
      </c>
      <c r="L155" s="677" t="s">
        <v>19</v>
      </c>
      <c r="M155" s="677">
        <v>100</v>
      </c>
      <c r="N155" s="677">
        <v>100</v>
      </c>
      <c r="O155" s="677">
        <v>100</v>
      </c>
      <c r="P155" s="677">
        <v>100</v>
      </c>
      <c r="Q155" s="680">
        <v>100</v>
      </c>
    </row>
    <row r="156" spans="1:17" s="83" customFormat="1" ht="51.75" customHeight="1" x14ac:dyDescent="0.25">
      <c r="A156" s="1186"/>
      <c r="B156" s="678"/>
      <c r="C156" s="682" t="s">
        <v>43</v>
      </c>
      <c r="D156" s="678"/>
      <c r="E156" s="648" t="s">
        <v>11</v>
      </c>
      <c r="F156" s="619">
        <v>89966.8</v>
      </c>
      <c r="G156" s="619">
        <v>100000</v>
      </c>
      <c r="H156" s="619">
        <v>100000</v>
      </c>
      <c r="I156" s="619">
        <v>100000</v>
      </c>
      <c r="J156" s="619">
        <v>100000</v>
      </c>
      <c r="K156" s="648" t="s">
        <v>9</v>
      </c>
      <c r="L156" s="677"/>
      <c r="M156" s="677"/>
      <c r="N156" s="677"/>
      <c r="O156" s="677"/>
      <c r="P156" s="677"/>
      <c r="Q156" s="680"/>
    </row>
    <row r="157" spans="1:17" s="83" customFormat="1" ht="99.75" customHeight="1" x14ac:dyDescent="0.25">
      <c r="A157" s="1186"/>
      <c r="B157" s="34" t="s">
        <v>488</v>
      </c>
      <c r="C157" s="34"/>
      <c r="D157" s="132"/>
      <c r="E157" s="24" t="s">
        <v>1275</v>
      </c>
      <c r="F157" s="154">
        <v>872374.2</v>
      </c>
      <c r="G157" s="154">
        <f>G158</f>
        <v>1335671.2</v>
      </c>
      <c r="H157" s="154">
        <f>H158</f>
        <v>133589.1</v>
      </c>
      <c r="I157" s="154">
        <f>I158</f>
        <v>83320.5</v>
      </c>
      <c r="J157" s="154">
        <f>J158</f>
        <v>34892.6</v>
      </c>
      <c r="K157" s="648" t="s">
        <v>70</v>
      </c>
      <c r="L157" s="677"/>
      <c r="M157" s="677"/>
      <c r="N157" s="677"/>
      <c r="O157" s="677"/>
      <c r="P157" s="677"/>
      <c r="Q157" s="680"/>
    </row>
    <row r="158" spans="1:17" s="83" customFormat="1" ht="99" customHeight="1" x14ac:dyDescent="0.25">
      <c r="A158" s="1186"/>
      <c r="B158" s="677"/>
      <c r="C158" s="682" t="s">
        <v>43</v>
      </c>
      <c r="D158" s="648"/>
      <c r="E158" s="91" t="s">
        <v>485</v>
      </c>
      <c r="F158" s="419">
        <v>872374.2</v>
      </c>
      <c r="G158" s="677">
        <v>1335671.2</v>
      </c>
      <c r="H158" s="420">
        <v>133589.1</v>
      </c>
      <c r="I158" s="619">
        <v>83320.5</v>
      </c>
      <c r="J158" s="619">
        <v>34892.6</v>
      </c>
      <c r="K158" s="673" t="s">
        <v>486</v>
      </c>
      <c r="L158" s="677" t="s">
        <v>19</v>
      </c>
      <c r="M158" s="677">
        <v>100</v>
      </c>
      <c r="N158" s="677">
        <v>100</v>
      </c>
      <c r="O158" s="677">
        <v>100</v>
      </c>
      <c r="P158" s="677">
        <v>100</v>
      </c>
      <c r="Q158" s="680">
        <v>100</v>
      </c>
    </row>
    <row r="159" spans="1:17" s="23" customFormat="1" ht="21.75" customHeight="1" x14ac:dyDescent="0.25">
      <c r="A159" s="1004" t="s">
        <v>23</v>
      </c>
      <c r="B159" s="1005"/>
      <c r="C159" s="1005"/>
      <c r="D159" s="1005"/>
      <c r="E159" s="1005"/>
      <c r="F159" s="28">
        <v>962341</v>
      </c>
      <c r="G159" s="28">
        <f>G155+G157</f>
        <v>1435671.2</v>
      </c>
      <c r="H159" s="28">
        <f>H155+H157</f>
        <v>233589.1</v>
      </c>
      <c r="I159" s="28">
        <f>I155+I157</f>
        <v>183320.5</v>
      </c>
      <c r="J159" s="28">
        <f>J155+J157</f>
        <v>134892.6</v>
      </c>
      <c r="K159" s="43"/>
      <c r="L159" s="161"/>
      <c r="M159" s="161"/>
      <c r="N159" s="161"/>
      <c r="O159" s="161"/>
      <c r="P159" s="161"/>
      <c r="Q159" s="493"/>
    </row>
    <row r="160" spans="1:17" s="23" customFormat="1" ht="25.5" customHeight="1" x14ac:dyDescent="0.25">
      <c r="A160" s="1211" t="s">
        <v>695</v>
      </c>
      <c r="B160" s="1212" t="s">
        <v>287</v>
      </c>
      <c r="C160" s="1212"/>
      <c r="D160" s="1212"/>
      <c r="E160" s="1212"/>
      <c r="F160" s="1212"/>
      <c r="G160" s="1212"/>
      <c r="H160" s="1212"/>
      <c r="I160" s="1212"/>
      <c r="J160" s="1212"/>
      <c r="K160" s="1212"/>
      <c r="L160" s="1212"/>
      <c r="M160" s="1212"/>
      <c r="N160" s="1212"/>
      <c r="O160" s="1212"/>
      <c r="P160" s="412"/>
      <c r="Q160" s="477"/>
    </row>
    <row r="161" spans="1:17" s="205" customFormat="1" ht="67.5" customHeight="1" x14ac:dyDescent="0.25">
      <c r="A161" s="1279">
        <v>19</v>
      </c>
      <c r="B161" s="620" t="s">
        <v>8</v>
      </c>
      <c r="C161" s="646"/>
      <c r="D161" s="721"/>
      <c r="E161" s="421" t="s">
        <v>1238</v>
      </c>
      <c r="F161" s="422">
        <f>F162+F163+F164+F165+F166+F167</f>
        <v>236686.7</v>
      </c>
      <c r="G161" s="422">
        <f>G162+G163+G164+G165+G166+G167</f>
        <v>209670.90000000002</v>
      </c>
      <c r="H161" s="422">
        <f>H162+H163+H164+H165+H166+H167</f>
        <v>230644.19999999998</v>
      </c>
      <c r="I161" s="422">
        <f>I162+I163+I164+I165+I166+I167</f>
        <v>243464</v>
      </c>
      <c r="J161" s="422">
        <f>J162+J163+J164+J165+J166+J167</f>
        <v>263835.61499999999</v>
      </c>
      <c r="K161" s="738" t="s">
        <v>224</v>
      </c>
      <c r="L161" s="743" t="s">
        <v>19</v>
      </c>
      <c r="M161" s="423"/>
      <c r="N161" s="424" t="s">
        <v>225</v>
      </c>
      <c r="O161" s="424" t="s">
        <v>225</v>
      </c>
      <c r="P161" s="424" t="s">
        <v>225</v>
      </c>
      <c r="Q161" s="494" t="s">
        <v>225</v>
      </c>
    </row>
    <row r="162" spans="1:17" s="188" customFormat="1" ht="42.75" customHeight="1" x14ac:dyDescent="0.25">
      <c r="A162" s="1279"/>
      <c r="B162" s="682"/>
      <c r="C162" s="682" t="s">
        <v>43</v>
      </c>
      <c r="D162" s="44"/>
      <c r="E162" s="425" t="s">
        <v>226</v>
      </c>
      <c r="F162" s="195">
        <f>5955.2+18979</f>
        <v>24934.2</v>
      </c>
      <c r="G162" s="195">
        <f>4524+17377.2</f>
        <v>21901.200000000001</v>
      </c>
      <c r="H162" s="195">
        <f>61098.4</f>
        <v>61098.400000000001</v>
      </c>
      <c r="I162" s="195">
        <f>67858.8</f>
        <v>67858.8</v>
      </c>
      <c r="J162" s="195">
        <f>76964.215</f>
        <v>76964.214999999997</v>
      </c>
      <c r="K162" s="191" t="s">
        <v>9</v>
      </c>
      <c r="L162" s="192" t="s">
        <v>69</v>
      </c>
      <c r="M162" s="189"/>
      <c r="N162" s="189">
        <v>0</v>
      </c>
      <c r="O162" s="193">
        <v>0</v>
      </c>
      <c r="P162" s="46">
        <v>0</v>
      </c>
      <c r="Q162" s="495">
        <v>0</v>
      </c>
    </row>
    <row r="163" spans="1:17" s="188" customFormat="1" ht="50.25" customHeight="1" x14ac:dyDescent="0.25">
      <c r="A163" s="1279"/>
      <c r="B163" s="682"/>
      <c r="C163" s="682" t="s">
        <v>48</v>
      </c>
      <c r="D163" s="44"/>
      <c r="E163" s="21" t="s">
        <v>227</v>
      </c>
      <c r="F163" s="195">
        <f>2618.3+9429.2</f>
        <v>12047.5</v>
      </c>
      <c r="G163" s="195">
        <f>2599.2+11639.8</f>
        <v>14239</v>
      </c>
      <c r="H163" s="195">
        <f>2442.9+153813+8116.6+4400+773.3</f>
        <v>169545.8</v>
      </c>
      <c r="I163" s="195">
        <f>162315.3+8116.6+4400+773.3</f>
        <v>175605.19999999998</v>
      </c>
      <c r="J163" s="195">
        <f>8480.6+173217.5+4400+773.3</f>
        <v>186871.4</v>
      </c>
      <c r="K163" s="191" t="s">
        <v>99</v>
      </c>
      <c r="L163" s="192" t="s">
        <v>19</v>
      </c>
      <c r="M163" s="189"/>
      <c r="N163" s="193" t="s">
        <v>228</v>
      </c>
      <c r="O163" s="193"/>
      <c r="P163" s="46"/>
      <c r="Q163" s="495"/>
    </row>
    <row r="164" spans="1:17" s="188" customFormat="1" ht="30" x14ac:dyDescent="0.25">
      <c r="A164" s="1279"/>
      <c r="B164" s="682"/>
      <c r="C164" s="682" t="s">
        <v>37</v>
      </c>
      <c r="D164" s="44"/>
      <c r="E164" s="21" t="s">
        <v>71</v>
      </c>
      <c r="F164" s="77">
        <f>5887.9+4980.1</f>
        <v>10868</v>
      </c>
      <c r="G164" s="77">
        <f>2245.4+6370.7</f>
        <v>8616.1</v>
      </c>
      <c r="H164" s="77"/>
      <c r="I164" s="201"/>
      <c r="J164" s="201"/>
      <c r="K164" s="47" t="s">
        <v>229</v>
      </c>
      <c r="L164" s="48" t="s">
        <v>19</v>
      </c>
      <c r="M164" s="45"/>
      <c r="N164" s="49">
        <v>0.9</v>
      </c>
      <c r="O164" s="49">
        <v>0.9</v>
      </c>
      <c r="P164" s="49">
        <v>0.9</v>
      </c>
      <c r="Q164" s="496">
        <v>0.9</v>
      </c>
    </row>
    <row r="165" spans="1:17" s="188" customFormat="1" ht="43.5" customHeight="1" x14ac:dyDescent="0.25">
      <c r="A165" s="1279"/>
      <c r="B165" s="682"/>
      <c r="C165" s="682" t="s">
        <v>76</v>
      </c>
      <c r="D165" s="44"/>
      <c r="E165" s="21" t="s">
        <v>168</v>
      </c>
      <c r="F165" s="77">
        <f>6769.1+2533.6</f>
        <v>9302.7000000000007</v>
      </c>
      <c r="G165" s="77">
        <f>5107.7</f>
        <v>5107.7</v>
      </c>
      <c r="H165" s="77"/>
      <c r="I165" s="201"/>
      <c r="J165" s="201"/>
      <c r="K165" s="47" t="s">
        <v>78</v>
      </c>
      <c r="L165" s="48" t="s">
        <v>14</v>
      </c>
      <c r="M165" s="45"/>
      <c r="N165" s="46">
        <v>741</v>
      </c>
      <c r="O165" s="46">
        <v>741</v>
      </c>
      <c r="P165" s="50">
        <v>741</v>
      </c>
      <c r="Q165" s="495">
        <v>741</v>
      </c>
    </row>
    <row r="166" spans="1:17" s="188" customFormat="1" ht="42" customHeight="1" x14ac:dyDescent="0.25">
      <c r="A166" s="1279"/>
      <c r="B166" s="682"/>
      <c r="C166" s="682" t="s">
        <v>79</v>
      </c>
      <c r="D166" s="44"/>
      <c r="E166" s="51" t="s">
        <v>169</v>
      </c>
      <c r="F166" s="77">
        <f>87051.2-3.6+89680.8-386.9+526.6</f>
        <v>176868.1</v>
      </c>
      <c r="G166" s="77">
        <f>38899.4+113875.8+4400</f>
        <v>157175.20000000001</v>
      </c>
      <c r="H166" s="77"/>
      <c r="I166" s="201"/>
      <c r="J166" s="201"/>
      <c r="K166" s="47" t="s">
        <v>170</v>
      </c>
      <c r="L166" s="48" t="s">
        <v>19</v>
      </c>
      <c r="M166" s="45"/>
      <c r="N166" s="45">
        <v>16.100000000000001</v>
      </c>
      <c r="O166" s="46">
        <v>16.100000000000001</v>
      </c>
      <c r="P166" s="46">
        <v>16.100000000000001</v>
      </c>
      <c r="Q166" s="495">
        <v>16.100000000000001</v>
      </c>
    </row>
    <row r="167" spans="1:17" s="188" customFormat="1" ht="66.75" customHeight="1" x14ac:dyDescent="0.25">
      <c r="A167" s="1279"/>
      <c r="B167" s="682"/>
      <c r="C167" s="682" t="s">
        <v>190</v>
      </c>
      <c r="D167" s="44"/>
      <c r="E167" s="52" t="s">
        <v>230</v>
      </c>
      <c r="F167" s="77">
        <f>2666.2</f>
        <v>2666.2</v>
      </c>
      <c r="G167" s="77">
        <v>2631.7</v>
      </c>
      <c r="H167" s="77"/>
      <c r="I167" s="201"/>
      <c r="J167" s="201"/>
      <c r="K167" s="47" t="s">
        <v>231</v>
      </c>
      <c r="L167" s="48" t="s">
        <v>14</v>
      </c>
      <c r="M167" s="45"/>
      <c r="N167" s="45" t="s">
        <v>232</v>
      </c>
      <c r="O167" s="46"/>
      <c r="P167" s="45" t="s">
        <v>233</v>
      </c>
      <c r="Q167" s="497" t="s">
        <v>232</v>
      </c>
    </row>
    <row r="168" spans="1:17" s="205" customFormat="1" ht="122.25" customHeight="1" x14ac:dyDescent="0.25">
      <c r="A168" s="1279"/>
      <c r="B168" s="620" t="s">
        <v>234</v>
      </c>
      <c r="C168" s="620"/>
      <c r="D168" s="209"/>
      <c r="E168" s="74" t="s">
        <v>235</v>
      </c>
      <c r="F168" s="206">
        <f>F169+F170+F171+F172</f>
        <v>222190.69999999998</v>
      </c>
      <c r="G168" s="206">
        <f>G169+G170+G171+G172</f>
        <v>224015.89999999997</v>
      </c>
      <c r="H168" s="206">
        <f>H169+H170+H171+H172</f>
        <v>224015.89999999997</v>
      </c>
      <c r="I168" s="206">
        <f>I169+I170+I171+I172</f>
        <v>224015.89999999997</v>
      </c>
      <c r="J168" s="206">
        <f>J169+J170+J171+J172</f>
        <v>224015.89999999997</v>
      </c>
      <c r="K168" s="744" t="s">
        <v>749</v>
      </c>
      <c r="L168" s="207" t="s">
        <v>236</v>
      </c>
      <c r="M168" s="207"/>
      <c r="N168" s="207" t="s">
        <v>1695</v>
      </c>
      <c r="O168" s="207" t="s">
        <v>237</v>
      </c>
      <c r="P168" s="207" t="s">
        <v>237</v>
      </c>
      <c r="Q168" s="498" t="s">
        <v>237</v>
      </c>
    </row>
    <row r="169" spans="1:17" s="188" customFormat="1" ht="105" x14ac:dyDescent="0.25">
      <c r="A169" s="1279"/>
      <c r="B169" s="682"/>
      <c r="C169" s="682" t="s">
        <v>43</v>
      </c>
      <c r="D169" s="44"/>
      <c r="E169" s="52" t="s">
        <v>238</v>
      </c>
      <c r="F169" s="195">
        <f>5897.4+207594.8</f>
        <v>213492.19999999998</v>
      </c>
      <c r="G169" s="195">
        <f>4462.4+206947.3</f>
        <v>211409.69999999998</v>
      </c>
      <c r="H169" s="195">
        <f>4579.4+206947.3</f>
        <v>211526.69999999998</v>
      </c>
      <c r="I169" s="195">
        <f>4579.4+206947.3</f>
        <v>211526.69999999998</v>
      </c>
      <c r="J169" s="195">
        <f>4579.4+206947.3</f>
        <v>211526.69999999998</v>
      </c>
      <c r="K169" s="627" t="s">
        <v>750</v>
      </c>
      <c r="L169" s="190"/>
      <c r="M169" s="189"/>
      <c r="N169" s="189" t="s">
        <v>239</v>
      </c>
      <c r="O169" s="189" t="s">
        <v>239</v>
      </c>
      <c r="P169" s="189" t="s">
        <v>239</v>
      </c>
      <c r="Q169" s="499" t="s">
        <v>239</v>
      </c>
    </row>
    <row r="170" spans="1:17" s="188" customFormat="1" ht="105" x14ac:dyDescent="0.25">
      <c r="A170" s="1279"/>
      <c r="B170" s="682"/>
      <c r="C170" s="682" t="s">
        <v>48</v>
      </c>
      <c r="D170" s="44"/>
      <c r="E170" s="52" t="s">
        <v>240</v>
      </c>
      <c r="F170" s="195">
        <f>5706</f>
        <v>5706</v>
      </c>
      <c r="G170" s="195">
        <v>5805</v>
      </c>
      <c r="H170" s="195">
        <f>5688</f>
        <v>5688</v>
      </c>
      <c r="I170" s="195">
        <f>5688</f>
        <v>5688</v>
      </c>
      <c r="J170" s="195">
        <f>5688</f>
        <v>5688</v>
      </c>
      <c r="K170" s="627" t="s">
        <v>750</v>
      </c>
      <c r="L170" s="190"/>
      <c r="M170" s="189"/>
      <c r="N170" s="189" t="s">
        <v>241</v>
      </c>
      <c r="O170" s="189" t="s">
        <v>242</v>
      </c>
      <c r="P170" s="189" t="s">
        <v>243</v>
      </c>
      <c r="Q170" s="499" t="s">
        <v>242</v>
      </c>
    </row>
    <row r="171" spans="1:17" s="188" customFormat="1" ht="105" x14ac:dyDescent="0.25">
      <c r="A171" s="1279"/>
      <c r="B171" s="682"/>
      <c r="C171" s="682" t="s">
        <v>37</v>
      </c>
      <c r="D171" s="44"/>
      <c r="E171" s="52" t="s">
        <v>244</v>
      </c>
      <c r="F171" s="195">
        <f>2992.5</f>
        <v>2992.5</v>
      </c>
      <c r="G171" s="195">
        <v>2776.9</v>
      </c>
      <c r="H171" s="195">
        <f>2776.9</f>
        <v>2776.9</v>
      </c>
      <c r="I171" s="195">
        <f>2776.9</f>
        <v>2776.9</v>
      </c>
      <c r="J171" s="195">
        <f>2776.9</f>
        <v>2776.9</v>
      </c>
      <c r="K171" s="627" t="s">
        <v>750</v>
      </c>
      <c r="L171" s="190"/>
      <c r="M171" s="189"/>
      <c r="N171" s="189" t="s">
        <v>245</v>
      </c>
      <c r="O171" s="189" t="s">
        <v>245</v>
      </c>
      <c r="P171" s="189" t="s">
        <v>245</v>
      </c>
      <c r="Q171" s="499" t="s">
        <v>245</v>
      </c>
    </row>
    <row r="172" spans="1:17" s="188" customFormat="1" ht="128.25" customHeight="1" x14ac:dyDescent="0.25">
      <c r="A172" s="1279"/>
      <c r="B172" s="682"/>
      <c r="C172" s="682" t="s">
        <v>73</v>
      </c>
      <c r="D172" s="44"/>
      <c r="E172" s="52" t="s">
        <v>246</v>
      </c>
      <c r="F172" s="195"/>
      <c r="G172" s="195">
        <v>4024.3</v>
      </c>
      <c r="H172" s="195">
        <f>4024.3</f>
        <v>4024.3</v>
      </c>
      <c r="I172" s="195">
        <f>4024.3</f>
        <v>4024.3</v>
      </c>
      <c r="J172" s="195">
        <f>4024.3</f>
        <v>4024.3</v>
      </c>
      <c r="K172" s="627" t="s">
        <v>750</v>
      </c>
      <c r="L172" s="190"/>
      <c r="M172" s="189"/>
      <c r="N172" s="194" t="s">
        <v>247</v>
      </c>
      <c r="O172" s="194" t="s">
        <v>247</v>
      </c>
      <c r="P172" s="194" t="s">
        <v>247</v>
      </c>
      <c r="Q172" s="500" t="s">
        <v>247</v>
      </c>
    </row>
    <row r="173" spans="1:17" s="205" customFormat="1" ht="224.25" customHeight="1" x14ac:dyDescent="0.25">
      <c r="A173" s="1279"/>
      <c r="B173" s="620" t="s">
        <v>248</v>
      </c>
      <c r="C173" s="620"/>
      <c r="D173" s="209"/>
      <c r="E173" s="74" t="s">
        <v>249</v>
      </c>
      <c r="F173" s="206">
        <f>F174+F175+F176</f>
        <v>50455.199999999997</v>
      </c>
      <c r="G173" s="206">
        <f>G174+G175+G176</f>
        <v>49962.100000000006</v>
      </c>
      <c r="H173" s="206">
        <f>H174+H175+H176</f>
        <v>49962.100000000006</v>
      </c>
      <c r="I173" s="206">
        <f>I174+I175+I176</f>
        <v>49962.100000000006</v>
      </c>
      <c r="J173" s="206">
        <f>J174+J175+J176</f>
        <v>49962.100000000006</v>
      </c>
      <c r="K173" s="744" t="s">
        <v>1696</v>
      </c>
      <c r="L173" s="207" t="s">
        <v>236</v>
      </c>
      <c r="M173" s="210"/>
      <c r="N173" s="208" t="s">
        <v>70</v>
      </c>
      <c r="O173" s="208" t="s">
        <v>250</v>
      </c>
      <c r="P173" s="208" t="s">
        <v>250</v>
      </c>
      <c r="Q173" s="501" t="s">
        <v>250</v>
      </c>
    </row>
    <row r="174" spans="1:17" s="188" customFormat="1" ht="180" x14ac:dyDescent="0.25">
      <c r="A174" s="1279"/>
      <c r="B174" s="682"/>
      <c r="C174" s="682" t="s">
        <v>43</v>
      </c>
      <c r="D174" s="44"/>
      <c r="E174" s="52" t="s">
        <v>251</v>
      </c>
      <c r="F174" s="195">
        <f>8725.5+34435.6</f>
        <v>43161.1</v>
      </c>
      <c r="G174" s="195">
        <f>8139.5+34648.4</f>
        <v>42787.9</v>
      </c>
      <c r="H174" s="195">
        <f>8139.5+34648.4</f>
        <v>42787.9</v>
      </c>
      <c r="I174" s="195">
        <f>8139.5+34648.4</f>
        <v>42787.9</v>
      </c>
      <c r="J174" s="195">
        <f>8139.5+34648.4</f>
        <v>42787.9</v>
      </c>
      <c r="K174" s="627" t="s">
        <v>1697</v>
      </c>
      <c r="L174" s="190"/>
      <c r="M174" s="189"/>
      <c r="N174" s="189" t="s">
        <v>252</v>
      </c>
      <c r="O174" s="189" t="s">
        <v>252</v>
      </c>
      <c r="P174" s="189" t="s">
        <v>252</v>
      </c>
      <c r="Q174" s="499" t="s">
        <v>252</v>
      </c>
    </row>
    <row r="175" spans="1:17" s="188" customFormat="1" ht="165" x14ac:dyDescent="0.25">
      <c r="A175" s="1279"/>
      <c r="B175" s="682" t="s">
        <v>248</v>
      </c>
      <c r="C175" s="682" t="s">
        <v>48</v>
      </c>
      <c r="D175" s="44"/>
      <c r="E175" s="52" t="s">
        <v>1699</v>
      </c>
      <c r="F175" s="195">
        <f>4204.7</f>
        <v>4204.7</v>
      </c>
      <c r="G175" s="195">
        <f>4099.8</f>
        <v>4099.8</v>
      </c>
      <c r="H175" s="195">
        <f>4099.8</f>
        <v>4099.8</v>
      </c>
      <c r="I175" s="195">
        <f>4099.8</f>
        <v>4099.8</v>
      </c>
      <c r="J175" s="195">
        <f>4099.8</f>
        <v>4099.8</v>
      </c>
      <c r="K175" s="627" t="s">
        <v>1698</v>
      </c>
      <c r="L175" s="190"/>
      <c r="M175" s="189"/>
      <c r="N175" s="189" t="s">
        <v>253</v>
      </c>
      <c r="O175" s="189" t="s">
        <v>253</v>
      </c>
      <c r="P175" s="189" t="s">
        <v>253</v>
      </c>
      <c r="Q175" s="499" t="s">
        <v>253</v>
      </c>
    </row>
    <row r="176" spans="1:17" s="188" customFormat="1" ht="165" x14ac:dyDescent="0.25">
      <c r="A176" s="1279"/>
      <c r="B176" s="682"/>
      <c r="C176" s="682" t="s">
        <v>37</v>
      </c>
      <c r="D176" s="44"/>
      <c r="E176" s="52" t="s">
        <v>254</v>
      </c>
      <c r="F176" s="195">
        <f>3089.4</f>
        <v>3089.4</v>
      </c>
      <c r="G176" s="195">
        <f>3074.4</f>
        <v>3074.4</v>
      </c>
      <c r="H176" s="195">
        <f>3074.4</f>
        <v>3074.4</v>
      </c>
      <c r="I176" s="195">
        <f>3074.4</f>
        <v>3074.4</v>
      </c>
      <c r="J176" s="195">
        <v>3074.4</v>
      </c>
      <c r="K176" s="627" t="s">
        <v>1698</v>
      </c>
      <c r="L176" s="190"/>
      <c r="M176" s="189"/>
      <c r="N176" s="189" t="s">
        <v>255</v>
      </c>
      <c r="O176" s="189" t="s">
        <v>255</v>
      </c>
      <c r="P176" s="189" t="s">
        <v>255</v>
      </c>
      <c r="Q176" s="499" t="s">
        <v>255</v>
      </c>
    </row>
    <row r="177" spans="1:17" s="205" customFormat="1" ht="114" x14ac:dyDescent="0.25">
      <c r="A177" s="1279"/>
      <c r="B177" s="650" t="s">
        <v>256</v>
      </c>
      <c r="C177" s="620"/>
      <c r="D177" s="209"/>
      <c r="E177" s="70" t="s">
        <v>257</v>
      </c>
      <c r="F177" s="206">
        <f>F178+F179</f>
        <v>41466.6</v>
      </c>
      <c r="G177" s="206">
        <f>G178+G179</f>
        <v>42923.6</v>
      </c>
      <c r="H177" s="206">
        <f>H178+H179</f>
        <v>42723.6</v>
      </c>
      <c r="I177" s="206">
        <f>I178+I179</f>
        <v>42723.6</v>
      </c>
      <c r="J177" s="206">
        <f>J178+J179</f>
        <v>42723.6</v>
      </c>
      <c r="K177" s="651" t="s">
        <v>258</v>
      </c>
      <c r="L177" s="207" t="s">
        <v>236</v>
      </c>
      <c r="M177" s="211"/>
      <c r="N177" s="207" t="s">
        <v>259</v>
      </c>
      <c r="O177" s="207" t="s">
        <v>259</v>
      </c>
      <c r="P177" s="207" t="s">
        <v>259</v>
      </c>
      <c r="Q177" s="498" t="s">
        <v>259</v>
      </c>
    </row>
    <row r="178" spans="1:17" s="188" customFormat="1" ht="90" x14ac:dyDescent="0.25">
      <c r="A178" s="1279"/>
      <c r="B178" s="682"/>
      <c r="C178" s="682" t="s">
        <v>43</v>
      </c>
      <c r="D178" s="44"/>
      <c r="E178" s="56" t="s">
        <v>260</v>
      </c>
      <c r="F178" s="195">
        <f>7786.2+30696.5</f>
        <v>38482.699999999997</v>
      </c>
      <c r="G178" s="195">
        <f>7653.7+32297.4</f>
        <v>39951.1</v>
      </c>
      <c r="H178" s="195">
        <f>7653.7+32097.4</f>
        <v>39751.1</v>
      </c>
      <c r="I178" s="195">
        <f>7653.7+32097.4</f>
        <v>39751.1</v>
      </c>
      <c r="J178" s="195">
        <f>7653.7+32097.4</f>
        <v>39751.1</v>
      </c>
      <c r="K178" s="191" t="s">
        <v>261</v>
      </c>
      <c r="L178" s="190"/>
      <c r="M178" s="196"/>
      <c r="N178" s="189" t="s">
        <v>262</v>
      </c>
      <c r="O178" s="189" t="s">
        <v>262</v>
      </c>
      <c r="P178" s="189" t="s">
        <v>262</v>
      </c>
      <c r="Q178" s="499" t="s">
        <v>262</v>
      </c>
    </row>
    <row r="179" spans="1:17" s="188" customFormat="1" ht="111.75" customHeight="1" x14ac:dyDescent="0.25">
      <c r="A179" s="1279"/>
      <c r="B179" s="682"/>
      <c r="C179" s="682" t="s">
        <v>48</v>
      </c>
      <c r="D179" s="44"/>
      <c r="E179" s="56" t="s">
        <v>263</v>
      </c>
      <c r="F179" s="195">
        <f>2983.9</f>
        <v>2983.9</v>
      </c>
      <c r="G179" s="195">
        <v>2972.5</v>
      </c>
      <c r="H179" s="195">
        <v>2972.5</v>
      </c>
      <c r="I179" s="195">
        <f>2972.5</f>
        <v>2972.5</v>
      </c>
      <c r="J179" s="195">
        <v>2972.5</v>
      </c>
      <c r="K179" s="198" t="s">
        <v>264</v>
      </c>
      <c r="L179" s="190"/>
      <c r="M179" s="199"/>
      <c r="N179" s="197" t="s">
        <v>265</v>
      </c>
      <c r="O179" s="197" t="s">
        <v>265</v>
      </c>
      <c r="P179" s="197" t="s">
        <v>265</v>
      </c>
      <c r="Q179" s="502" t="s">
        <v>265</v>
      </c>
    </row>
    <row r="180" spans="1:17" s="205" customFormat="1" ht="135" x14ac:dyDescent="0.25">
      <c r="A180" s="1279"/>
      <c r="B180" s="650" t="s">
        <v>266</v>
      </c>
      <c r="C180" s="650"/>
      <c r="D180" s="75"/>
      <c r="E180" s="70" t="s">
        <v>267</v>
      </c>
      <c r="F180" s="206">
        <f>F181+F182</f>
        <v>37980.9</v>
      </c>
      <c r="G180" s="206">
        <f>G181+G182</f>
        <v>37203.800000000003</v>
      </c>
      <c r="H180" s="206">
        <f>H181+H182</f>
        <v>37203.800000000003</v>
      </c>
      <c r="I180" s="206">
        <f>I181+I182</f>
        <v>37203.800000000003</v>
      </c>
      <c r="J180" s="206">
        <f>J181+J182</f>
        <v>37203.800000000003</v>
      </c>
      <c r="K180" s="73" t="s">
        <v>1332</v>
      </c>
      <c r="L180" s="207" t="s">
        <v>236</v>
      </c>
      <c r="M180" s="207"/>
      <c r="N180" s="208" t="s">
        <v>268</v>
      </c>
      <c r="O180" s="208" t="s">
        <v>268</v>
      </c>
      <c r="P180" s="208" t="s">
        <v>268</v>
      </c>
      <c r="Q180" s="501" t="s">
        <v>268</v>
      </c>
    </row>
    <row r="181" spans="1:17" s="188" customFormat="1" ht="283.5" customHeight="1" x14ac:dyDescent="0.25">
      <c r="A181" s="1279"/>
      <c r="B181" s="682"/>
      <c r="C181" s="682" t="s">
        <v>43</v>
      </c>
      <c r="D181" s="44"/>
      <c r="E181" s="62" t="s">
        <v>269</v>
      </c>
      <c r="F181" s="54">
        <f>10116.7+23051.1</f>
        <v>33167.800000000003</v>
      </c>
      <c r="G181" s="77">
        <f>14350.8+22853</f>
        <v>37203.800000000003</v>
      </c>
      <c r="H181" s="54">
        <f>14350.8+22853</f>
        <v>37203.800000000003</v>
      </c>
      <c r="I181" s="77">
        <f>14350.8+22853</f>
        <v>37203.800000000003</v>
      </c>
      <c r="J181" s="77">
        <f>14350.8+22853</f>
        <v>37203.800000000003</v>
      </c>
      <c r="K181" s="59" t="s">
        <v>1333</v>
      </c>
      <c r="L181" s="68"/>
      <c r="M181" s="58"/>
      <c r="N181" s="60" t="s">
        <v>268</v>
      </c>
      <c r="O181" s="60" t="s">
        <v>268</v>
      </c>
      <c r="P181" s="60" t="s">
        <v>268</v>
      </c>
      <c r="Q181" s="503" t="s">
        <v>268</v>
      </c>
    </row>
    <row r="182" spans="1:17" s="188" customFormat="1" ht="60" customHeight="1" x14ac:dyDescent="0.25">
      <c r="A182" s="1279"/>
      <c r="B182" s="682"/>
      <c r="C182" s="682" t="s">
        <v>48</v>
      </c>
      <c r="D182" s="61"/>
      <c r="E182" s="711" t="s">
        <v>270</v>
      </c>
      <c r="F182" s="54">
        <f>4813.1</f>
        <v>4813.1000000000004</v>
      </c>
      <c r="G182" s="77"/>
      <c r="H182" s="54"/>
      <c r="I182" s="201"/>
      <c r="J182" s="201"/>
      <c r="K182" s="59"/>
      <c r="L182" s="68"/>
      <c r="M182" s="58"/>
      <c r="N182" s="63" t="s">
        <v>70</v>
      </c>
      <c r="O182" s="50"/>
      <c r="P182" s="60"/>
      <c r="Q182" s="504"/>
    </row>
    <row r="183" spans="1:17" s="205" customFormat="1" ht="135" x14ac:dyDescent="0.25">
      <c r="A183" s="1279"/>
      <c r="B183" s="650" t="s">
        <v>271</v>
      </c>
      <c r="C183" s="650"/>
      <c r="D183" s="75"/>
      <c r="E183" s="426" t="s">
        <v>1416</v>
      </c>
      <c r="F183" s="72">
        <f>F184+F185</f>
        <v>0</v>
      </c>
      <c r="G183" s="72">
        <f>G184+G185</f>
        <v>7410.2</v>
      </c>
      <c r="H183" s="72">
        <f>H184+H185</f>
        <v>14222.2</v>
      </c>
      <c r="I183" s="72">
        <f>I184+I185</f>
        <v>14222.2</v>
      </c>
      <c r="J183" s="72">
        <f>J184+J185</f>
        <v>14222.2</v>
      </c>
      <c r="K183" s="73" t="s">
        <v>1332</v>
      </c>
      <c r="L183" s="71" t="s">
        <v>236</v>
      </c>
      <c r="M183" s="71"/>
      <c r="N183" s="76" t="s">
        <v>272</v>
      </c>
      <c r="O183" s="76" t="s">
        <v>272</v>
      </c>
      <c r="P183" s="76" t="s">
        <v>272</v>
      </c>
      <c r="Q183" s="505" t="s">
        <v>273</v>
      </c>
    </row>
    <row r="184" spans="1:17" s="188" customFormat="1" ht="138" customHeight="1" x14ac:dyDescent="0.25">
      <c r="A184" s="1279"/>
      <c r="B184" s="682"/>
      <c r="C184" s="682" t="s">
        <v>43</v>
      </c>
      <c r="D184" s="61"/>
      <c r="E184" s="64" t="s">
        <v>1416</v>
      </c>
      <c r="F184" s="54"/>
      <c r="G184" s="77">
        <v>7410.2</v>
      </c>
      <c r="H184" s="54">
        <f>7410.2</f>
        <v>7410.2</v>
      </c>
      <c r="I184" s="195">
        <v>7410.2</v>
      </c>
      <c r="J184" s="195">
        <f>7410.2</f>
        <v>7410.2</v>
      </c>
      <c r="K184" s="59" t="s">
        <v>1332</v>
      </c>
      <c r="L184" s="68"/>
      <c r="M184" s="58"/>
      <c r="N184" s="55" t="s">
        <v>272</v>
      </c>
      <c r="O184" s="55" t="s">
        <v>274</v>
      </c>
      <c r="P184" s="55" t="s">
        <v>275</v>
      </c>
      <c r="Q184" s="506" t="s">
        <v>276</v>
      </c>
    </row>
    <row r="185" spans="1:17" s="188" customFormat="1" ht="34.5" customHeight="1" x14ac:dyDescent="0.25">
      <c r="A185" s="1279"/>
      <c r="B185" s="682"/>
      <c r="C185" s="682" t="s">
        <v>48</v>
      </c>
      <c r="D185" s="61"/>
      <c r="E185" s="64" t="s">
        <v>277</v>
      </c>
      <c r="F185" s="54"/>
      <c r="G185" s="77"/>
      <c r="H185" s="54">
        <f>5312+500+1000</f>
        <v>6812</v>
      </c>
      <c r="I185" s="195">
        <v>6812</v>
      </c>
      <c r="J185" s="195">
        <f>6812</f>
        <v>6812</v>
      </c>
      <c r="K185" s="59" t="s">
        <v>278</v>
      </c>
      <c r="L185" s="68"/>
      <c r="M185" s="58"/>
      <c r="N185" s="55"/>
      <c r="O185" s="46" t="s">
        <v>279</v>
      </c>
      <c r="P185" s="65" t="s">
        <v>279</v>
      </c>
      <c r="Q185" s="507" t="s">
        <v>280</v>
      </c>
    </row>
    <row r="186" spans="1:17" s="188" customFormat="1" ht="29.25" x14ac:dyDescent="0.25">
      <c r="A186" s="1279"/>
      <c r="B186" s="204" t="s">
        <v>281</v>
      </c>
      <c r="C186" s="204"/>
      <c r="D186" s="203"/>
      <c r="E186" s="53" t="s">
        <v>282</v>
      </c>
      <c r="F186" s="202">
        <f>F187+F188+F189</f>
        <v>0</v>
      </c>
      <c r="G186" s="202">
        <f>G187+G188+G189</f>
        <v>0</v>
      </c>
      <c r="H186" s="202">
        <f>H187+H188+H189</f>
        <v>74593.899999999994</v>
      </c>
      <c r="I186" s="200">
        <f>I187+I188+I189</f>
        <v>74593.899999999994</v>
      </c>
      <c r="J186" s="200">
        <f>J187+J188+J189</f>
        <v>74593.899999999994</v>
      </c>
      <c r="K186" s="66" t="s">
        <v>283</v>
      </c>
      <c r="L186" s="68" t="s">
        <v>236</v>
      </c>
      <c r="M186" s="67"/>
      <c r="N186" s="68"/>
      <c r="O186" s="46"/>
      <c r="P186" s="69"/>
      <c r="Q186" s="507"/>
    </row>
    <row r="187" spans="1:17" s="188" customFormat="1" ht="30" x14ac:dyDescent="0.25">
      <c r="A187" s="1279"/>
      <c r="B187" s="682"/>
      <c r="C187" s="682" t="s">
        <v>43</v>
      </c>
      <c r="D187" s="61"/>
      <c r="E187" s="64" t="s">
        <v>284</v>
      </c>
      <c r="F187" s="54"/>
      <c r="G187" s="77"/>
      <c r="H187" s="54">
        <f>6526.7+55792.2</f>
        <v>62318.899999999994</v>
      </c>
      <c r="I187" s="195">
        <f>6526.7+55792.2</f>
        <v>62318.899999999994</v>
      </c>
      <c r="J187" s="195">
        <f>6526.7+55792.2</f>
        <v>62318.899999999994</v>
      </c>
      <c r="K187" s="59" t="s">
        <v>283</v>
      </c>
      <c r="L187" s="68"/>
      <c r="M187" s="58"/>
      <c r="N187" s="55"/>
      <c r="O187" s="46"/>
      <c r="P187" s="69"/>
      <c r="Q187" s="507"/>
    </row>
    <row r="188" spans="1:17" s="188" customFormat="1" ht="30" x14ac:dyDescent="0.25">
      <c r="A188" s="1279"/>
      <c r="B188" s="682"/>
      <c r="C188" s="682" t="s">
        <v>48</v>
      </c>
      <c r="D188" s="61"/>
      <c r="E188" s="64" t="s">
        <v>285</v>
      </c>
      <c r="F188" s="54"/>
      <c r="G188" s="77"/>
      <c r="H188" s="54">
        <v>5866.9</v>
      </c>
      <c r="I188" s="195">
        <v>5866.9</v>
      </c>
      <c r="J188" s="195">
        <f>5866.9</f>
        <v>5866.9</v>
      </c>
      <c r="K188" s="59" t="s">
        <v>283</v>
      </c>
      <c r="L188" s="68"/>
      <c r="M188" s="58"/>
      <c r="N188" s="55"/>
      <c r="O188" s="46"/>
      <c r="P188" s="69"/>
      <c r="Q188" s="507"/>
    </row>
    <row r="189" spans="1:17" s="188" customFormat="1" ht="30" x14ac:dyDescent="0.25">
      <c r="A189" s="1279"/>
      <c r="B189" s="682"/>
      <c r="C189" s="682" t="s">
        <v>37</v>
      </c>
      <c r="D189" s="61"/>
      <c r="E189" s="64" t="s">
        <v>286</v>
      </c>
      <c r="F189" s="54"/>
      <c r="G189" s="77"/>
      <c r="H189" s="54">
        <v>6408.1</v>
      </c>
      <c r="I189" s="195">
        <v>6408.1</v>
      </c>
      <c r="J189" s="195">
        <f>6408.1</f>
        <v>6408.1</v>
      </c>
      <c r="K189" s="59" t="s">
        <v>283</v>
      </c>
      <c r="L189" s="68"/>
      <c r="M189" s="58"/>
      <c r="N189" s="55"/>
      <c r="O189" s="46"/>
      <c r="P189" s="69"/>
      <c r="Q189" s="507"/>
    </row>
    <row r="190" spans="1:17" s="23" customFormat="1" ht="21.75" customHeight="1" x14ac:dyDescent="0.25">
      <c r="A190" s="1004" t="s">
        <v>23</v>
      </c>
      <c r="B190" s="1005"/>
      <c r="C190" s="1005"/>
      <c r="D190" s="1005"/>
      <c r="E190" s="1005"/>
      <c r="F190" s="28">
        <f>F161+F168+F173+F177+F180+F183+F186</f>
        <v>588780.10000000009</v>
      </c>
      <c r="G190" s="28">
        <f>G161+G168+G173+G177+G180+G183+G186</f>
        <v>571186.5</v>
      </c>
      <c r="H190" s="28">
        <f>H161+H168+H173+H177+H180+H183+H186</f>
        <v>673365.7</v>
      </c>
      <c r="I190" s="28">
        <f>I161+I168+I173+I177+I180+I183+I186</f>
        <v>686185.5</v>
      </c>
      <c r="J190" s="28">
        <f>J161+J168+J173+J177+J180+J183+J186</f>
        <v>706557.11499999999</v>
      </c>
      <c r="K190" s="43"/>
      <c r="L190" s="161"/>
      <c r="M190" s="161">
        <v>0</v>
      </c>
      <c r="N190" s="161"/>
      <c r="O190" s="161"/>
      <c r="P190" s="161"/>
      <c r="Q190" s="493"/>
    </row>
    <row r="191" spans="1:17" s="23" customFormat="1" ht="22.5" customHeight="1" x14ac:dyDescent="0.25">
      <c r="A191" s="1211" t="s">
        <v>222</v>
      </c>
      <c r="B191" s="1212" t="s">
        <v>222</v>
      </c>
      <c r="C191" s="1212"/>
      <c r="D191" s="1212"/>
      <c r="E191" s="1212"/>
      <c r="F191" s="1212"/>
      <c r="G191" s="1212"/>
      <c r="H191" s="1212"/>
      <c r="I191" s="1212"/>
      <c r="J191" s="1212"/>
      <c r="K191" s="1212"/>
      <c r="L191" s="1212"/>
      <c r="M191" s="1212"/>
      <c r="N191" s="1212"/>
      <c r="O191" s="1212"/>
      <c r="P191" s="427"/>
      <c r="Q191" s="508"/>
    </row>
    <row r="192" spans="1:17" ht="121.5" customHeight="1" x14ac:dyDescent="0.25">
      <c r="A192" s="994">
        <v>20</v>
      </c>
      <c r="B192" s="428">
        <v>1</v>
      </c>
      <c r="C192" s="429"/>
      <c r="D192" s="430"/>
      <c r="E192" s="431" t="s">
        <v>1301</v>
      </c>
      <c r="F192" s="8">
        <v>18396.2</v>
      </c>
      <c r="G192" s="8">
        <v>21252.799999999999</v>
      </c>
      <c r="H192" s="8">
        <v>22509</v>
      </c>
      <c r="I192" s="8">
        <f>I193+I194</f>
        <v>22967</v>
      </c>
      <c r="J192" s="8">
        <f>J193+J194</f>
        <v>23654</v>
      </c>
      <c r="K192" s="432" t="s">
        <v>24</v>
      </c>
      <c r="L192" s="433" t="s">
        <v>19</v>
      </c>
      <c r="M192" s="434"/>
      <c r="N192" s="434"/>
      <c r="O192" s="434"/>
      <c r="P192" s="434"/>
      <c r="Q192" s="509"/>
    </row>
    <row r="193" spans="1:17" ht="68.25" customHeight="1" x14ac:dyDescent="0.25">
      <c r="A193" s="994"/>
      <c r="B193" s="428"/>
      <c r="C193" s="7">
        <v>1</v>
      </c>
      <c r="D193" s="435"/>
      <c r="E193" s="436" t="s">
        <v>25</v>
      </c>
      <c r="F193" s="5">
        <v>7034.2</v>
      </c>
      <c r="G193" s="5">
        <v>8126</v>
      </c>
      <c r="H193" s="5">
        <v>8679</v>
      </c>
      <c r="I193" s="5">
        <v>8781</v>
      </c>
      <c r="J193" s="5">
        <v>9044</v>
      </c>
      <c r="K193" s="20" t="s">
        <v>1701</v>
      </c>
      <c r="L193" s="6">
        <v>1</v>
      </c>
      <c r="M193" s="6">
        <v>1</v>
      </c>
      <c r="N193" s="6">
        <v>1</v>
      </c>
      <c r="O193" s="6">
        <v>1</v>
      </c>
      <c r="P193" s="6">
        <v>1</v>
      </c>
      <c r="Q193" s="510">
        <v>1</v>
      </c>
    </row>
    <row r="194" spans="1:17" ht="81.75" customHeight="1" x14ac:dyDescent="0.25">
      <c r="A194" s="994"/>
      <c r="B194" s="428"/>
      <c r="C194" s="7">
        <v>2</v>
      </c>
      <c r="D194" s="435"/>
      <c r="E194" s="436" t="s">
        <v>26</v>
      </c>
      <c r="F194" s="5">
        <v>11362</v>
      </c>
      <c r="G194" s="5">
        <v>13126.8</v>
      </c>
      <c r="H194" s="5">
        <v>13830</v>
      </c>
      <c r="I194" s="5">
        <v>14186</v>
      </c>
      <c r="J194" s="5">
        <v>14610</v>
      </c>
      <c r="K194" s="20" t="s">
        <v>1700</v>
      </c>
      <c r="L194" s="6">
        <v>1</v>
      </c>
      <c r="M194" s="6">
        <v>1</v>
      </c>
      <c r="N194" s="6">
        <v>1</v>
      </c>
      <c r="O194" s="6">
        <v>1</v>
      </c>
      <c r="P194" s="6">
        <v>1</v>
      </c>
      <c r="Q194" s="510">
        <v>1</v>
      </c>
    </row>
    <row r="195" spans="1:17" ht="49.5" customHeight="1" x14ac:dyDescent="0.25">
      <c r="A195" s="994"/>
      <c r="B195" s="428">
        <v>202</v>
      </c>
      <c r="C195" s="7"/>
      <c r="D195" s="435"/>
      <c r="E195" s="18" t="s">
        <v>27</v>
      </c>
      <c r="F195" s="8">
        <v>7133</v>
      </c>
      <c r="G195" s="8">
        <v>8070.2</v>
      </c>
      <c r="H195" s="8">
        <v>9268</v>
      </c>
      <c r="I195" s="8">
        <f>I196+I197+I198</f>
        <v>9457.0609999999997</v>
      </c>
      <c r="J195" s="8">
        <f>J196+J197+J198</f>
        <v>9740</v>
      </c>
      <c r="K195" s="432" t="s">
        <v>28</v>
      </c>
      <c r="L195" s="9"/>
      <c r="M195" s="9"/>
      <c r="N195" s="9"/>
      <c r="O195" s="9"/>
      <c r="P195" s="9"/>
      <c r="Q195" s="511"/>
    </row>
    <row r="196" spans="1:17" ht="45" x14ac:dyDescent="0.25">
      <c r="A196" s="994"/>
      <c r="B196" s="428"/>
      <c r="C196" s="7">
        <v>1</v>
      </c>
      <c r="D196" s="435"/>
      <c r="E196" s="19" t="s">
        <v>29</v>
      </c>
      <c r="F196" s="5">
        <v>3076</v>
      </c>
      <c r="G196" s="5">
        <v>3459.1</v>
      </c>
      <c r="H196" s="5">
        <v>3972</v>
      </c>
      <c r="I196" s="5">
        <v>4053</v>
      </c>
      <c r="J196" s="5">
        <v>4174</v>
      </c>
      <c r="K196" s="20" t="s">
        <v>30</v>
      </c>
      <c r="L196" s="9" t="s">
        <v>1335</v>
      </c>
      <c r="M196" s="9" t="s">
        <v>31</v>
      </c>
      <c r="N196" s="9" t="s">
        <v>32</v>
      </c>
      <c r="O196" s="9" t="s">
        <v>33</v>
      </c>
      <c r="P196" s="9" t="s">
        <v>34</v>
      </c>
      <c r="Q196" s="511" t="s">
        <v>68</v>
      </c>
    </row>
    <row r="197" spans="1:17" ht="60" x14ac:dyDescent="0.25">
      <c r="A197" s="994"/>
      <c r="B197" s="428"/>
      <c r="C197" s="7">
        <v>2</v>
      </c>
      <c r="D197" s="435"/>
      <c r="E197" s="19" t="s">
        <v>35</v>
      </c>
      <c r="F197" s="5">
        <v>2346.4</v>
      </c>
      <c r="G197" s="5">
        <v>2326.6</v>
      </c>
      <c r="H197" s="5">
        <v>2648</v>
      </c>
      <c r="I197" s="5">
        <v>2702</v>
      </c>
      <c r="J197" s="5">
        <v>2783</v>
      </c>
      <c r="K197" s="20" t="s">
        <v>36</v>
      </c>
      <c r="L197" s="9" t="s">
        <v>1336</v>
      </c>
      <c r="M197" s="9">
        <v>134</v>
      </c>
      <c r="N197" s="9">
        <v>132</v>
      </c>
      <c r="O197" s="9">
        <v>140</v>
      </c>
      <c r="P197" s="9">
        <v>150</v>
      </c>
      <c r="Q197" s="511">
        <v>160</v>
      </c>
    </row>
    <row r="198" spans="1:17" ht="45" x14ac:dyDescent="0.25">
      <c r="A198" s="994"/>
      <c r="B198" s="428"/>
      <c r="C198" s="437" t="s">
        <v>37</v>
      </c>
      <c r="D198" s="435"/>
      <c r="E198" s="19" t="s">
        <v>38</v>
      </c>
      <c r="F198" s="5">
        <v>1710.6</v>
      </c>
      <c r="G198" s="5">
        <v>2284.5</v>
      </c>
      <c r="H198" s="5">
        <v>2648</v>
      </c>
      <c r="I198" s="5">
        <v>2702.0610000000001</v>
      </c>
      <c r="J198" s="5">
        <v>2783</v>
      </c>
      <c r="K198" s="20" t="s">
        <v>39</v>
      </c>
      <c r="L198" s="9" t="s">
        <v>40</v>
      </c>
      <c r="M198" s="9">
        <v>20</v>
      </c>
      <c r="N198" s="9">
        <v>15</v>
      </c>
      <c r="O198" s="9">
        <v>30</v>
      </c>
      <c r="P198" s="9">
        <v>40</v>
      </c>
      <c r="Q198" s="511">
        <v>50</v>
      </c>
    </row>
    <row r="199" spans="1:17" ht="28.5" x14ac:dyDescent="0.25">
      <c r="A199" s="994"/>
      <c r="B199" s="428" t="s">
        <v>63</v>
      </c>
      <c r="C199" s="437"/>
      <c r="D199" s="435"/>
      <c r="E199" s="18" t="s">
        <v>41</v>
      </c>
      <c r="F199" s="8">
        <v>6245.3</v>
      </c>
      <c r="G199" s="8">
        <v>7486.6</v>
      </c>
      <c r="H199" s="8">
        <v>11255</v>
      </c>
      <c r="I199" s="8">
        <f>I200+I201</f>
        <v>11484</v>
      </c>
      <c r="J199" s="8">
        <f>J200+J201</f>
        <v>11800.084999999999</v>
      </c>
      <c r="K199" s="432" t="s">
        <v>42</v>
      </c>
      <c r="L199" s="9"/>
      <c r="M199" s="9"/>
      <c r="N199" s="5"/>
      <c r="O199" s="5"/>
      <c r="P199" s="5"/>
      <c r="Q199" s="512"/>
    </row>
    <row r="200" spans="1:17" ht="45" x14ac:dyDescent="0.25">
      <c r="A200" s="994"/>
      <c r="B200" s="438"/>
      <c r="C200" s="437" t="s">
        <v>43</v>
      </c>
      <c r="D200" s="435"/>
      <c r="E200" s="19" t="s">
        <v>44</v>
      </c>
      <c r="F200" s="5">
        <v>4215.6000000000004</v>
      </c>
      <c r="G200" s="5">
        <v>4046.9</v>
      </c>
      <c r="H200" s="5">
        <v>5958</v>
      </c>
      <c r="I200" s="5">
        <v>6079</v>
      </c>
      <c r="J200" s="5">
        <v>6261</v>
      </c>
      <c r="K200" s="20" t="s">
        <v>45</v>
      </c>
      <c r="L200" s="9" t="s">
        <v>1337</v>
      </c>
      <c r="M200" s="9" t="s">
        <v>46</v>
      </c>
      <c r="N200" s="9" t="s">
        <v>47</v>
      </c>
      <c r="O200" s="9" t="s">
        <v>65</v>
      </c>
      <c r="P200" s="9" t="s">
        <v>66</v>
      </c>
      <c r="Q200" s="511" t="s">
        <v>67</v>
      </c>
    </row>
    <row r="201" spans="1:17" ht="45" x14ac:dyDescent="0.25">
      <c r="A201" s="994"/>
      <c r="B201" s="438"/>
      <c r="C201" s="437" t="s">
        <v>48</v>
      </c>
      <c r="D201" s="435"/>
      <c r="E201" s="19" t="s">
        <v>49</v>
      </c>
      <c r="F201" s="5">
        <v>2029.7</v>
      </c>
      <c r="G201" s="5">
        <v>3439.7</v>
      </c>
      <c r="H201" s="5">
        <v>5297</v>
      </c>
      <c r="I201" s="5">
        <v>5405</v>
      </c>
      <c r="J201" s="5">
        <v>5539.085</v>
      </c>
      <c r="K201" s="20" t="s">
        <v>50</v>
      </c>
      <c r="L201" s="9" t="s">
        <v>19</v>
      </c>
      <c r="M201" s="9">
        <v>100</v>
      </c>
      <c r="N201" s="9">
        <v>100</v>
      </c>
      <c r="O201" s="9">
        <v>100</v>
      </c>
      <c r="P201" s="9">
        <v>100</v>
      </c>
      <c r="Q201" s="511">
        <v>100</v>
      </c>
    </row>
    <row r="202" spans="1:17" ht="28.5" x14ac:dyDescent="0.25">
      <c r="A202" s="994"/>
      <c r="B202" s="438" t="s">
        <v>64</v>
      </c>
      <c r="C202" s="437"/>
      <c r="D202" s="435"/>
      <c r="E202" s="18" t="s">
        <v>51</v>
      </c>
      <c r="F202" s="8">
        <v>4689.1000000000004</v>
      </c>
      <c r="G202" s="8">
        <v>6018</v>
      </c>
      <c r="H202" s="8">
        <v>6621.9</v>
      </c>
      <c r="I202" s="8">
        <f>I203+I204</f>
        <v>6708.3</v>
      </c>
      <c r="J202" s="8">
        <v>6936.4</v>
      </c>
      <c r="K202" s="432" t="s">
        <v>52</v>
      </c>
      <c r="L202" s="9"/>
      <c r="M202" s="9"/>
      <c r="N202" s="5"/>
      <c r="O202" s="5"/>
      <c r="P202" s="5"/>
      <c r="Q202" s="512"/>
    </row>
    <row r="203" spans="1:17" ht="45" x14ac:dyDescent="0.25">
      <c r="A203" s="994"/>
      <c r="B203" s="438"/>
      <c r="C203" s="437" t="s">
        <v>43</v>
      </c>
      <c r="D203" s="435"/>
      <c r="E203" s="19" t="s">
        <v>53</v>
      </c>
      <c r="F203" s="5">
        <v>2343.5</v>
      </c>
      <c r="G203" s="5">
        <v>3008.8</v>
      </c>
      <c r="H203" s="5">
        <v>3310</v>
      </c>
      <c r="I203" s="5">
        <v>3200</v>
      </c>
      <c r="J203" s="5">
        <v>3300</v>
      </c>
      <c r="K203" s="20" t="s">
        <v>54</v>
      </c>
      <c r="L203" s="9" t="s">
        <v>1337</v>
      </c>
      <c r="M203" s="9" t="s">
        <v>55</v>
      </c>
      <c r="N203" s="9" t="s">
        <v>56</v>
      </c>
      <c r="O203" s="9" t="s">
        <v>57</v>
      </c>
      <c r="P203" s="9" t="s">
        <v>58</v>
      </c>
      <c r="Q203" s="511" t="s">
        <v>59</v>
      </c>
    </row>
    <row r="204" spans="1:17" ht="30" x14ac:dyDescent="0.25">
      <c r="A204" s="994"/>
      <c r="B204" s="438"/>
      <c r="C204" s="437" t="s">
        <v>48</v>
      </c>
      <c r="D204" s="435"/>
      <c r="E204" s="19" t="s">
        <v>60</v>
      </c>
      <c r="F204" s="5">
        <v>2345.6</v>
      </c>
      <c r="G204" s="5">
        <v>3009.2</v>
      </c>
      <c r="H204" s="5">
        <v>3311.9</v>
      </c>
      <c r="I204" s="5">
        <v>3508.3</v>
      </c>
      <c r="J204" s="5">
        <v>3636.4</v>
      </c>
      <c r="K204" s="21" t="s">
        <v>61</v>
      </c>
      <c r="L204" s="9" t="s">
        <v>62</v>
      </c>
      <c r="M204" s="9">
        <v>99</v>
      </c>
      <c r="N204" s="9">
        <v>100</v>
      </c>
      <c r="O204" s="9">
        <v>150</v>
      </c>
      <c r="P204" s="9">
        <v>160</v>
      </c>
      <c r="Q204" s="511">
        <v>170</v>
      </c>
    </row>
    <row r="205" spans="1:17" s="23" customFormat="1" ht="21.75" customHeight="1" x14ac:dyDescent="0.25">
      <c r="A205" s="1004" t="s">
        <v>23</v>
      </c>
      <c r="B205" s="1005"/>
      <c r="C205" s="1005"/>
      <c r="D205" s="1005"/>
      <c r="E205" s="1005"/>
      <c r="F205" s="28">
        <v>36463.599999999999</v>
      </c>
      <c r="G205" s="28">
        <v>42827.6</v>
      </c>
      <c r="H205" s="28">
        <v>49653.9</v>
      </c>
      <c r="I205" s="28">
        <f>I192+I195+I199+I202</f>
        <v>50616.361000000004</v>
      </c>
      <c r="J205" s="28">
        <v>52130.485000000001</v>
      </c>
      <c r="K205" s="43"/>
      <c r="L205" s="161"/>
      <c r="M205" s="161"/>
      <c r="N205" s="161"/>
      <c r="O205" s="161"/>
      <c r="P205" s="161"/>
      <c r="Q205" s="493"/>
    </row>
    <row r="206" spans="1:17" s="23" customFormat="1" ht="26.25" customHeight="1" x14ac:dyDescent="0.25">
      <c r="A206" s="1211" t="s">
        <v>696</v>
      </c>
      <c r="B206" s="1212" t="s">
        <v>100</v>
      </c>
      <c r="C206" s="1212"/>
      <c r="D206" s="1212"/>
      <c r="E206" s="1225"/>
      <c r="F206" s="1212"/>
      <c r="G206" s="1212"/>
      <c r="H206" s="1212"/>
      <c r="I206" s="1212"/>
      <c r="J206" s="1212"/>
      <c r="K206" s="1212"/>
      <c r="L206" s="1212"/>
      <c r="M206" s="1212"/>
      <c r="N206" s="1212"/>
      <c r="O206" s="1212"/>
      <c r="P206" s="412"/>
      <c r="Q206" s="477"/>
    </row>
    <row r="207" spans="1:17" ht="25.5" customHeight="1" x14ac:dyDescent="0.25">
      <c r="A207" s="994">
        <v>21</v>
      </c>
      <c r="B207" s="893" t="s">
        <v>8</v>
      </c>
      <c r="C207" s="898"/>
      <c r="D207" s="899"/>
      <c r="E207" s="768" t="s">
        <v>303</v>
      </c>
      <c r="F207" s="895">
        <v>35009.199999999997</v>
      </c>
      <c r="G207" s="894">
        <v>44232.1</v>
      </c>
      <c r="H207" s="894">
        <v>51444.6</v>
      </c>
      <c r="I207" s="894">
        <v>52500.4</v>
      </c>
      <c r="J207" s="894">
        <v>53950.9</v>
      </c>
      <c r="K207" s="900" t="s">
        <v>9</v>
      </c>
      <c r="L207" s="896" t="s">
        <v>69</v>
      </c>
      <c r="M207" s="896">
        <v>9.5</v>
      </c>
      <c r="N207" s="896">
        <v>9.6</v>
      </c>
      <c r="O207" s="896">
        <v>9.6999999999999993</v>
      </c>
      <c r="P207" s="896">
        <v>10</v>
      </c>
      <c r="Q207" s="897">
        <v>10</v>
      </c>
    </row>
    <row r="208" spans="1:17" ht="75" x14ac:dyDescent="0.25">
      <c r="A208" s="994"/>
      <c r="B208" s="11"/>
      <c r="C208" s="11" t="s">
        <v>43</v>
      </c>
      <c r="D208" s="11"/>
      <c r="E208" s="616" t="s">
        <v>1339</v>
      </c>
      <c r="F208" s="734">
        <v>5385.2</v>
      </c>
      <c r="G208" s="734">
        <v>6301.44</v>
      </c>
      <c r="H208" s="734">
        <v>36608.699999999997</v>
      </c>
      <c r="I208" s="734">
        <v>37331</v>
      </c>
      <c r="J208" s="734">
        <v>38281.5</v>
      </c>
      <c r="K208" s="14" t="s">
        <v>101</v>
      </c>
      <c r="L208" s="13" t="s">
        <v>19</v>
      </c>
      <c r="M208" s="162">
        <v>92</v>
      </c>
      <c r="N208" s="162">
        <v>93</v>
      </c>
      <c r="O208" s="162">
        <v>93</v>
      </c>
      <c r="P208" s="162">
        <v>95</v>
      </c>
      <c r="Q208" s="513">
        <v>96.6</v>
      </c>
    </row>
    <row r="209" spans="1:17" ht="86.25" customHeight="1" x14ac:dyDescent="0.25">
      <c r="A209" s="994"/>
      <c r="B209" s="11"/>
      <c r="C209" s="11" t="s">
        <v>48</v>
      </c>
      <c r="D209" s="11"/>
      <c r="E209" s="12" t="s">
        <v>1338</v>
      </c>
      <c r="F209" s="734">
        <v>2307.3000000000002</v>
      </c>
      <c r="G209" s="734">
        <v>2524.7800000000002</v>
      </c>
      <c r="H209" s="734">
        <v>14835.9</v>
      </c>
      <c r="I209" s="734">
        <v>15169.4</v>
      </c>
      <c r="J209" s="734">
        <v>15669.4</v>
      </c>
      <c r="K209" s="14" t="s">
        <v>102</v>
      </c>
      <c r="L209" s="13" t="s">
        <v>19</v>
      </c>
      <c r="M209" s="163">
        <v>89</v>
      </c>
      <c r="N209" s="163">
        <v>90.5</v>
      </c>
      <c r="O209" s="163">
        <v>90.5</v>
      </c>
      <c r="P209" s="163">
        <v>91</v>
      </c>
      <c r="Q209" s="514">
        <v>91.5</v>
      </c>
    </row>
    <row r="210" spans="1:17" ht="39" customHeight="1" x14ac:dyDescent="0.25">
      <c r="A210" s="994"/>
      <c r="B210" s="11"/>
      <c r="C210" s="11" t="s">
        <v>37</v>
      </c>
      <c r="D210" s="11" t="s">
        <v>70</v>
      </c>
      <c r="E210" s="12" t="s">
        <v>71</v>
      </c>
      <c r="F210" s="734">
        <v>947.2</v>
      </c>
      <c r="G210" s="734">
        <v>1243.74</v>
      </c>
      <c r="H210" s="734" t="s">
        <v>70</v>
      </c>
      <c r="I210" s="734" t="s">
        <v>70</v>
      </c>
      <c r="J210" s="734" t="s">
        <v>70</v>
      </c>
      <c r="K210" s="14" t="s">
        <v>72</v>
      </c>
      <c r="L210" s="13" t="s">
        <v>19</v>
      </c>
      <c r="M210" s="13">
        <v>78.400000000000006</v>
      </c>
      <c r="N210" s="13">
        <v>78.5</v>
      </c>
      <c r="O210" s="13"/>
      <c r="P210" s="13"/>
      <c r="Q210" s="515"/>
    </row>
    <row r="211" spans="1:17" ht="30" x14ac:dyDescent="0.25">
      <c r="A211" s="994"/>
      <c r="B211" s="11"/>
      <c r="C211" s="11" t="s">
        <v>73</v>
      </c>
      <c r="D211" s="11" t="s">
        <v>70</v>
      </c>
      <c r="E211" s="12" t="s">
        <v>74</v>
      </c>
      <c r="F211" s="734">
        <v>1997.3</v>
      </c>
      <c r="G211" s="734">
        <v>2258.63</v>
      </c>
      <c r="H211" s="734" t="s">
        <v>70</v>
      </c>
      <c r="I211" s="734" t="s">
        <v>70</v>
      </c>
      <c r="J211" s="734" t="s">
        <v>70</v>
      </c>
      <c r="K211" s="14" t="s">
        <v>75</v>
      </c>
      <c r="L211" s="13" t="s">
        <v>14</v>
      </c>
      <c r="M211" s="13">
        <v>100</v>
      </c>
      <c r="N211" s="13">
        <v>100</v>
      </c>
      <c r="O211" s="13"/>
      <c r="P211" s="13"/>
      <c r="Q211" s="515"/>
    </row>
    <row r="212" spans="1:17" ht="42.75" customHeight="1" x14ac:dyDescent="0.25">
      <c r="A212" s="994"/>
      <c r="B212" s="11"/>
      <c r="C212" s="11" t="s">
        <v>76</v>
      </c>
      <c r="D212" s="11" t="s">
        <v>70</v>
      </c>
      <c r="E212" s="12" t="s">
        <v>77</v>
      </c>
      <c r="F212" s="734">
        <v>1977.2</v>
      </c>
      <c r="G212" s="734">
        <v>2225.31</v>
      </c>
      <c r="H212" s="734"/>
      <c r="I212" s="734"/>
      <c r="J212" s="734"/>
      <c r="K212" s="14" t="s">
        <v>78</v>
      </c>
      <c r="L212" s="13" t="s">
        <v>19</v>
      </c>
      <c r="M212" s="13">
        <v>8.5</v>
      </c>
      <c r="N212" s="13">
        <v>8.9</v>
      </c>
      <c r="O212" s="13"/>
      <c r="P212" s="13"/>
      <c r="Q212" s="515"/>
    </row>
    <row r="213" spans="1:17" ht="45" x14ac:dyDescent="0.25">
      <c r="A213" s="994"/>
      <c r="B213" s="11"/>
      <c r="C213" s="11" t="s">
        <v>79</v>
      </c>
      <c r="D213" s="11" t="s">
        <v>70</v>
      </c>
      <c r="E213" s="12" t="s">
        <v>80</v>
      </c>
      <c r="F213" s="734">
        <v>5055.1000000000004</v>
      </c>
      <c r="G213" s="734">
        <v>6887.7</v>
      </c>
      <c r="H213" s="734" t="s">
        <v>70</v>
      </c>
      <c r="I213" s="734" t="s">
        <v>70</v>
      </c>
      <c r="J213" s="734" t="s">
        <v>70</v>
      </c>
      <c r="K213" s="15" t="s">
        <v>81</v>
      </c>
      <c r="L213" s="13" t="s">
        <v>19</v>
      </c>
      <c r="M213" s="13">
        <v>100</v>
      </c>
      <c r="N213" s="13">
        <v>100</v>
      </c>
      <c r="O213" s="13"/>
      <c r="P213" s="13"/>
      <c r="Q213" s="515"/>
    </row>
    <row r="214" spans="1:17" ht="45" x14ac:dyDescent="0.25">
      <c r="A214" s="994"/>
      <c r="B214" s="11"/>
      <c r="C214" s="11" t="s">
        <v>82</v>
      </c>
      <c r="D214" s="11"/>
      <c r="E214" s="12" t="s">
        <v>1180</v>
      </c>
      <c r="F214" s="734">
        <v>6250.9</v>
      </c>
      <c r="G214" s="734">
        <v>6981.9</v>
      </c>
      <c r="H214" s="734"/>
      <c r="I214" s="734"/>
      <c r="J214" s="734"/>
      <c r="K214" s="15" t="s">
        <v>81</v>
      </c>
      <c r="L214" s="13" t="s">
        <v>19</v>
      </c>
      <c r="M214" s="13">
        <v>83</v>
      </c>
      <c r="N214" s="13">
        <v>90.1</v>
      </c>
      <c r="O214" s="13"/>
      <c r="P214" s="13"/>
      <c r="Q214" s="515"/>
    </row>
    <row r="215" spans="1:17" x14ac:dyDescent="0.25">
      <c r="A215" s="994"/>
      <c r="B215" s="11"/>
      <c r="C215" s="11" t="s">
        <v>83</v>
      </c>
      <c r="D215" s="11"/>
      <c r="E215" s="10" t="s">
        <v>84</v>
      </c>
      <c r="F215" s="734">
        <v>11089</v>
      </c>
      <c r="G215" s="734">
        <v>15808.6</v>
      </c>
      <c r="H215" s="734"/>
      <c r="I215" s="734"/>
      <c r="J215" s="734"/>
      <c r="K215" s="14" t="s">
        <v>85</v>
      </c>
      <c r="L215" s="13" t="s">
        <v>19</v>
      </c>
      <c r="M215" s="162">
        <v>92</v>
      </c>
      <c r="N215" s="162">
        <v>93</v>
      </c>
      <c r="O215" s="162"/>
      <c r="P215" s="162"/>
      <c r="Q215" s="513"/>
    </row>
    <row r="216" spans="1:17" s="3" customFormat="1" ht="38.25" customHeight="1" x14ac:dyDescent="0.2">
      <c r="A216" s="994"/>
      <c r="B216" s="748" t="s">
        <v>103</v>
      </c>
      <c r="C216" s="748"/>
      <c r="D216" s="748"/>
      <c r="E216" s="16" t="s">
        <v>86</v>
      </c>
      <c r="F216" s="228">
        <v>10370.799999999999</v>
      </c>
      <c r="G216" s="228">
        <v>15914.5</v>
      </c>
      <c r="H216" s="228">
        <v>8702</v>
      </c>
      <c r="I216" s="228">
        <v>8812</v>
      </c>
      <c r="J216" s="228">
        <v>9195.6</v>
      </c>
      <c r="K216" s="22" t="s">
        <v>87</v>
      </c>
      <c r="L216" s="17" t="s">
        <v>19</v>
      </c>
      <c r="M216" s="164">
        <v>90.1</v>
      </c>
      <c r="N216" s="164">
        <v>90.5</v>
      </c>
      <c r="O216" s="164">
        <v>90.5</v>
      </c>
      <c r="P216" s="164">
        <v>91</v>
      </c>
      <c r="Q216" s="516">
        <v>91.5</v>
      </c>
    </row>
    <row r="217" spans="1:17" ht="30" x14ac:dyDescent="0.25">
      <c r="A217" s="994"/>
      <c r="B217" s="11"/>
      <c r="C217" s="11" t="s">
        <v>43</v>
      </c>
      <c r="D217" s="11"/>
      <c r="E217" s="12" t="s">
        <v>88</v>
      </c>
      <c r="F217" s="734"/>
      <c r="G217" s="734">
        <v>15914.5</v>
      </c>
      <c r="H217" s="734">
        <v>8702</v>
      </c>
      <c r="I217" s="734">
        <v>8812</v>
      </c>
      <c r="J217" s="734">
        <v>9195.6</v>
      </c>
      <c r="K217" s="14" t="s">
        <v>87</v>
      </c>
      <c r="L217" s="13" t="s">
        <v>19</v>
      </c>
      <c r="M217" s="163">
        <v>85.9</v>
      </c>
      <c r="N217" s="163">
        <v>90.5</v>
      </c>
      <c r="O217" s="163">
        <v>90.5</v>
      </c>
      <c r="P217" s="163">
        <v>91</v>
      </c>
      <c r="Q217" s="514">
        <v>91.5</v>
      </c>
    </row>
    <row r="218" spans="1:17" ht="45.75" customHeight="1" x14ac:dyDescent="0.25">
      <c r="A218" s="994"/>
      <c r="B218" s="11"/>
      <c r="C218" s="11" t="s">
        <v>43</v>
      </c>
      <c r="D218" s="11"/>
      <c r="E218" s="12" t="s">
        <v>89</v>
      </c>
      <c r="F218" s="734">
        <v>1838.1</v>
      </c>
      <c r="G218" s="734"/>
      <c r="H218" s="734"/>
      <c r="I218" s="734"/>
      <c r="J218" s="734"/>
      <c r="K218" s="14" t="s">
        <v>90</v>
      </c>
      <c r="L218" s="13" t="s">
        <v>19</v>
      </c>
      <c r="M218" s="163">
        <v>90.1</v>
      </c>
      <c r="N218" s="163"/>
      <c r="O218" s="163"/>
      <c r="P218" s="163"/>
      <c r="Q218" s="514"/>
    </row>
    <row r="219" spans="1:17" ht="45" x14ac:dyDescent="0.25">
      <c r="A219" s="994"/>
      <c r="B219" s="11"/>
      <c r="C219" s="11" t="s">
        <v>48</v>
      </c>
      <c r="D219" s="11"/>
      <c r="E219" s="12" t="s">
        <v>91</v>
      </c>
      <c r="F219" s="734">
        <v>2048</v>
      </c>
      <c r="G219" s="734"/>
      <c r="H219" s="734"/>
      <c r="I219" s="734"/>
      <c r="J219" s="734"/>
      <c r="K219" s="14" t="s">
        <v>1340</v>
      </c>
      <c r="L219" s="13" t="s">
        <v>19</v>
      </c>
      <c r="M219" s="162">
        <v>50.8</v>
      </c>
      <c r="N219" s="162"/>
      <c r="O219" s="162"/>
      <c r="P219" s="162"/>
      <c r="Q219" s="513"/>
    </row>
    <row r="220" spans="1:17" ht="45" x14ac:dyDescent="0.25">
      <c r="A220" s="994"/>
      <c r="B220" s="11"/>
      <c r="C220" s="11" t="s">
        <v>37</v>
      </c>
      <c r="D220" s="11"/>
      <c r="E220" s="12" t="s">
        <v>92</v>
      </c>
      <c r="F220" s="734">
        <v>2173.4</v>
      </c>
      <c r="G220" s="734"/>
      <c r="H220" s="734"/>
      <c r="I220" s="734"/>
      <c r="J220" s="734"/>
      <c r="K220" s="14" t="s">
        <v>93</v>
      </c>
      <c r="L220" s="13" t="s">
        <v>19</v>
      </c>
      <c r="M220" s="162">
        <v>64.900000000000006</v>
      </c>
      <c r="N220" s="162"/>
      <c r="O220" s="162"/>
      <c r="P220" s="162"/>
      <c r="Q220" s="513"/>
    </row>
    <row r="221" spans="1:17" ht="68.25" customHeight="1" x14ac:dyDescent="0.25">
      <c r="A221" s="994"/>
      <c r="B221" s="11"/>
      <c r="C221" s="11" t="s">
        <v>73</v>
      </c>
      <c r="D221" s="11"/>
      <c r="E221" s="12" t="s">
        <v>94</v>
      </c>
      <c r="F221" s="734">
        <v>1297.0999999999999</v>
      </c>
      <c r="G221" s="734"/>
      <c r="H221" s="734"/>
      <c r="I221" s="734"/>
      <c r="J221" s="734"/>
      <c r="K221" s="14" t="s">
        <v>95</v>
      </c>
      <c r="L221" s="13" t="s">
        <v>19</v>
      </c>
      <c r="M221" s="162">
        <v>52</v>
      </c>
      <c r="N221" s="162"/>
      <c r="O221" s="162"/>
      <c r="P221" s="162"/>
      <c r="Q221" s="513"/>
    </row>
    <row r="222" spans="1:17" ht="30" x14ac:dyDescent="0.25">
      <c r="A222" s="994"/>
      <c r="B222" s="11"/>
      <c r="C222" s="11" t="s">
        <v>76</v>
      </c>
      <c r="D222" s="11" t="s">
        <v>70</v>
      </c>
      <c r="E222" s="12" t="s">
        <v>96</v>
      </c>
      <c r="F222" s="734">
        <v>1918.6</v>
      </c>
      <c r="G222" s="734" t="s">
        <v>70</v>
      </c>
      <c r="H222" s="734" t="s">
        <v>70</v>
      </c>
      <c r="I222" s="734" t="s">
        <v>70</v>
      </c>
      <c r="J222" s="734" t="s">
        <v>70</v>
      </c>
      <c r="K222" s="14" t="s">
        <v>97</v>
      </c>
      <c r="L222" s="13" t="s">
        <v>19</v>
      </c>
      <c r="M222" s="162">
        <v>52.4</v>
      </c>
      <c r="N222" s="162"/>
      <c r="O222" s="162"/>
      <c r="P222" s="162"/>
      <c r="Q222" s="513"/>
    </row>
    <row r="223" spans="1:17" x14ac:dyDescent="0.25">
      <c r="A223" s="994"/>
      <c r="B223" s="11"/>
      <c r="C223" s="11" t="s">
        <v>79</v>
      </c>
      <c r="D223" s="11" t="s">
        <v>70</v>
      </c>
      <c r="E223" s="12" t="s">
        <v>98</v>
      </c>
      <c r="F223" s="734">
        <v>1095.5999999999999</v>
      </c>
      <c r="G223" s="734" t="s">
        <v>70</v>
      </c>
      <c r="H223" s="734" t="s">
        <v>70</v>
      </c>
      <c r="I223" s="734" t="s">
        <v>70</v>
      </c>
      <c r="J223" s="734" t="s">
        <v>70</v>
      </c>
      <c r="K223" s="14" t="s">
        <v>99</v>
      </c>
      <c r="L223" s="13" t="s">
        <v>19</v>
      </c>
      <c r="M223" s="162">
        <v>100</v>
      </c>
      <c r="N223" s="162"/>
      <c r="O223" s="162"/>
      <c r="P223" s="162"/>
      <c r="Q223" s="513"/>
    </row>
    <row r="224" spans="1:17" s="23" customFormat="1" ht="21.75" customHeight="1" x14ac:dyDescent="0.25">
      <c r="A224" s="1004" t="s">
        <v>23</v>
      </c>
      <c r="B224" s="1005"/>
      <c r="C224" s="1005"/>
      <c r="D224" s="1005"/>
      <c r="E224" s="1005"/>
      <c r="F224" s="28">
        <v>45380</v>
      </c>
      <c r="G224" s="28">
        <v>60146.6</v>
      </c>
      <c r="H224" s="28">
        <v>60146.6</v>
      </c>
      <c r="I224" s="28">
        <v>61312.4</v>
      </c>
      <c r="J224" s="28">
        <v>63146.5</v>
      </c>
      <c r="K224" s="43"/>
      <c r="L224" s="161"/>
      <c r="M224" s="161"/>
      <c r="N224" s="161"/>
      <c r="O224" s="161"/>
      <c r="P224" s="161"/>
      <c r="Q224" s="493"/>
    </row>
    <row r="225" spans="1:17" s="23" customFormat="1" ht="25.5" customHeight="1" x14ac:dyDescent="0.25">
      <c r="A225" s="1211" t="s">
        <v>697</v>
      </c>
      <c r="B225" s="1212" t="s">
        <v>360</v>
      </c>
      <c r="C225" s="1212"/>
      <c r="D225" s="1212"/>
      <c r="E225" s="1212"/>
      <c r="F225" s="1212"/>
      <c r="G225" s="1212"/>
      <c r="H225" s="1212"/>
      <c r="I225" s="1212"/>
      <c r="J225" s="1212"/>
      <c r="K225" s="1212"/>
      <c r="L225" s="1212"/>
      <c r="M225" s="1212"/>
      <c r="N225" s="1212"/>
      <c r="O225" s="1212"/>
      <c r="P225" s="412"/>
      <c r="Q225" s="477"/>
    </row>
    <row r="226" spans="1:17" s="78" customFormat="1" ht="17.649999999999999" customHeight="1" x14ac:dyDescent="0.25">
      <c r="A226" s="1210" t="s">
        <v>361</v>
      </c>
      <c r="B226" s="1044" t="s">
        <v>8</v>
      </c>
      <c r="C226" s="1045"/>
      <c r="D226" s="1046"/>
      <c r="E226" s="1020" t="s">
        <v>303</v>
      </c>
      <c r="F226" s="1214">
        <v>59895</v>
      </c>
      <c r="G226" s="1214">
        <f>G228</f>
        <v>60169.9</v>
      </c>
      <c r="H226" s="1214">
        <f>H228</f>
        <v>70797.100000000006</v>
      </c>
      <c r="I226" s="1214">
        <f>I228</f>
        <v>72004.600000000006</v>
      </c>
      <c r="J226" s="1214">
        <f>J228</f>
        <v>73904.3</v>
      </c>
      <c r="K226" s="1241" t="s">
        <v>9</v>
      </c>
      <c r="L226" s="1058" t="s">
        <v>304</v>
      </c>
      <c r="M226" s="1058">
        <v>100</v>
      </c>
      <c r="N226" s="1058">
        <v>100</v>
      </c>
      <c r="O226" s="1058">
        <v>100</v>
      </c>
      <c r="P226" s="1058">
        <v>100</v>
      </c>
      <c r="Q226" s="1062">
        <v>100</v>
      </c>
    </row>
    <row r="227" spans="1:17" s="78" customFormat="1" ht="14.45" customHeight="1" x14ac:dyDescent="0.25">
      <c r="A227" s="1210"/>
      <c r="B227" s="1044"/>
      <c r="C227" s="1045"/>
      <c r="D227" s="1046"/>
      <c r="E227" s="1020"/>
      <c r="F227" s="1214"/>
      <c r="G227" s="1214"/>
      <c r="H227" s="1214"/>
      <c r="I227" s="1214"/>
      <c r="J227" s="1214"/>
      <c r="K227" s="1241"/>
      <c r="L227" s="1058"/>
      <c r="M227" s="1058"/>
      <c r="N227" s="1058"/>
      <c r="O227" s="1058"/>
      <c r="P227" s="1058"/>
      <c r="Q227" s="1062"/>
    </row>
    <row r="228" spans="1:17" s="78" customFormat="1" ht="30" x14ac:dyDescent="0.25">
      <c r="A228" s="1210"/>
      <c r="B228" s="646"/>
      <c r="C228" s="620" t="s">
        <v>43</v>
      </c>
      <c r="D228" s="639"/>
      <c r="E228" s="621" t="s">
        <v>11</v>
      </c>
      <c r="F228" s="640">
        <v>59895</v>
      </c>
      <c r="G228" s="640">
        <v>60169.9</v>
      </c>
      <c r="H228" s="149">
        <v>70797.100000000006</v>
      </c>
      <c r="I228" s="640">
        <v>72004.600000000006</v>
      </c>
      <c r="J228" s="640">
        <v>73904.3</v>
      </c>
      <c r="K228" s="1093"/>
      <c r="L228" s="1093"/>
      <c r="M228" s="1093"/>
      <c r="N228" s="1093"/>
      <c r="O228" s="1093"/>
      <c r="P228" s="1093"/>
      <c r="Q228" s="1094"/>
    </row>
    <row r="229" spans="1:17" s="78" customFormat="1" ht="30" customHeight="1" x14ac:dyDescent="0.25">
      <c r="A229" s="1210"/>
      <c r="B229" s="1044" t="s">
        <v>362</v>
      </c>
      <c r="C229" s="1045"/>
      <c r="D229" s="1046"/>
      <c r="E229" s="1142" t="s">
        <v>315</v>
      </c>
      <c r="F229" s="1214">
        <f>F231</f>
        <v>65709.3</v>
      </c>
      <c r="G229" s="1214">
        <f>G231</f>
        <v>65709.3</v>
      </c>
      <c r="H229" s="1214">
        <f>H231</f>
        <v>85171.9</v>
      </c>
      <c r="I229" s="1214">
        <f>I231</f>
        <v>86640.2</v>
      </c>
      <c r="J229" s="1214">
        <f>J231</f>
        <v>88902.8</v>
      </c>
      <c r="K229" s="1020" t="s">
        <v>1702</v>
      </c>
      <c r="L229" s="1058"/>
      <c r="M229" s="1214">
        <f>M231+M232+M233+M234</f>
        <v>458800</v>
      </c>
      <c r="N229" s="1214">
        <f>N231+N232+N233+N234</f>
        <v>458900</v>
      </c>
      <c r="O229" s="1214">
        <f>O231+O232+O233+O234</f>
        <v>463489</v>
      </c>
      <c r="P229" s="1226">
        <f>P231+P232+P233+P234</f>
        <v>472758.78</v>
      </c>
      <c r="Q229" s="1227">
        <f>Q231+Q232+Q233+Q234</f>
        <v>486894.26752199989</v>
      </c>
    </row>
    <row r="230" spans="1:17" s="78" customFormat="1" ht="23.25" customHeight="1" x14ac:dyDescent="0.25">
      <c r="A230" s="1210"/>
      <c r="B230" s="1044"/>
      <c r="C230" s="1045"/>
      <c r="D230" s="1046"/>
      <c r="E230" s="1142"/>
      <c r="F230" s="1214"/>
      <c r="G230" s="1214"/>
      <c r="H230" s="1214"/>
      <c r="I230" s="1214"/>
      <c r="J230" s="1214"/>
      <c r="K230" s="1020"/>
      <c r="L230" s="1058"/>
      <c r="M230" s="1214"/>
      <c r="N230" s="1214"/>
      <c r="O230" s="1214"/>
      <c r="P230" s="1226"/>
      <c r="Q230" s="1227"/>
    </row>
    <row r="231" spans="1:17" s="78" customFormat="1" ht="18" customHeight="1" x14ac:dyDescent="0.25">
      <c r="A231" s="1210"/>
      <c r="B231" s="1044"/>
      <c r="C231" s="1045" t="s">
        <v>43</v>
      </c>
      <c r="D231" s="1045"/>
      <c r="E231" s="1057" t="s">
        <v>315</v>
      </c>
      <c r="F231" s="1058">
        <v>65709.3</v>
      </c>
      <c r="G231" s="1058">
        <v>65709.3</v>
      </c>
      <c r="H231" s="1058">
        <v>85171.9</v>
      </c>
      <c r="I231" s="1058">
        <v>86640.2</v>
      </c>
      <c r="J231" s="1058">
        <v>88902.8</v>
      </c>
      <c r="K231" s="673" t="s">
        <v>316</v>
      </c>
      <c r="L231" s="677" t="s">
        <v>163</v>
      </c>
      <c r="M231" s="677">
        <v>6300</v>
      </c>
      <c r="N231" s="677">
        <v>6300</v>
      </c>
      <c r="O231" s="677">
        <f>N231*101/100</f>
        <v>6363</v>
      </c>
      <c r="P231" s="678">
        <f>O231*102/100</f>
        <v>6490.26</v>
      </c>
      <c r="Q231" s="679">
        <f>P231*102.99/100</f>
        <v>6684.3187740000003</v>
      </c>
    </row>
    <row r="232" spans="1:17" s="78" customFormat="1" ht="30.75" customHeight="1" x14ac:dyDescent="0.25">
      <c r="A232" s="1210"/>
      <c r="B232" s="1044"/>
      <c r="C232" s="1045"/>
      <c r="D232" s="1045"/>
      <c r="E232" s="1057"/>
      <c r="F232" s="1058"/>
      <c r="G232" s="1058"/>
      <c r="H232" s="1058"/>
      <c r="I232" s="1058"/>
      <c r="J232" s="1058"/>
      <c r="K232" s="673" t="s">
        <v>317</v>
      </c>
      <c r="L232" s="677" t="s">
        <v>163</v>
      </c>
      <c r="M232" s="677">
        <v>6000</v>
      </c>
      <c r="N232" s="677">
        <v>6000</v>
      </c>
      <c r="O232" s="677">
        <f>N232*101/100</f>
        <v>6060</v>
      </c>
      <c r="P232" s="678">
        <f>O232*102/100</f>
        <v>6181.2</v>
      </c>
      <c r="Q232" s="679">
        <f>P232*102.99/100</f>
        <v>6366.0178799999994</v>
      </c>
    </row>
    <row r="233" spans="1:17" s="78" customFormat="1" ht="23.25" customHeight="1" x14ac:dyDescent="0.25">
      <c r="A233" s="1210"/>
      <c r="B233" s="1044"/>
      <c r="C233" s="1045"/>
      <c r="D233" s="1045"/>
      <c r="E233" s="1057"/>
      <c r="F233" s="1058"/>
      <c r="G233" s="1058"/>
      <c r="H233" s="1058"/>
      <c r="I233" s="1058"/>
      <c r="J233" s="1058"/>
      <c r="K233" s="621" t="s">
        <v>318</v>
      </c>
      <c r="L233" s="640" t="s">
        <v>163</v>
      </c>
      <c r="M233" s="640">
        <v>441100</v>
      </c>
      <c r="N233" s="640">
        <v>441200</v>
      </c>
      <c r="O233" s="677">
        <f>N233*101/100</f>
        <v>445612</v>
      </c>
      <c r="P233" s="678">
        <f>O233*102/100</f>
        <v>454524.24</v>
      </c>
      <c r="Q233" s="679">
        <f>P233*102.99/100</f>
        <v>468114.51477599994</v>
      </c>
    </row>
    <row r="234" spans="1:17" s="78" customFormat="1" ht="46.5" customHeight="1" x14ac:dyDescent="0.25">
      <c r="A234" s="1210"/>
      <c r="B234" s="1044"/>
      <c r="C234" s="1045"/>
      <c r="D234" s="1045"/>
      <c r="E234" s="1057"/>
      <c r="F234" s="1058"/>
      <c r="G234" s="1058"/>
      <c r="H234" s="1058"/>
      <c r="I234" s="1058"/>
      <c r="J234" s="1058"/>
      <c r="K234" s="621" t="s">
        <v>319</v>
      </c>
      <c r="L234" s="640" t="s">
        <v>163</v>
      </c>
      <c r="M234" s="640">
        <v>5400</v>
      </c>
      <c r="N234" s="640">
        <v>5400</v>
      </c>
      <c r="O234" s="677">
        <f>N234*101/100</f>
        <v>5454</v>
      </c>
      <c r="P234" s="678">
        <f>O234*102/100</f>
        <v>5563.08</v>
      </c>
      <c r="Q234" s="679">
        <f>P234*102.99/100</f>
        <v>5729.4160919999995</v>
      </c>
    </row>
    <row r="235" spans="1:17" s="78" customFormat="1" ht="24" customHeight="1" x14ac:dyDescent="0.25">
      <c r="A235" s="1210"/>
      <c r="B235" s="1044" t="s">
        <v>363</v>
      </c>
      <c r="C235" s="1045"/>
      <c r="D235" s="1046"/>
      <c r="E235" s="1020" t="s">
        <v>320</v>
      </c>
      <c r="F235" s="1214">
        <f>F237</f>
        <v>84495.2</v>
      </c>
      <c r="G235" s="1214">
        <f>G237</f>
        <v>84495.2</v>
      </c>
      <c r="H235" s="1214">
        <f>H237</f>
        <v>84756</v>
      </c>
      <c r="I235" s="1214">
        <f>I237</f>
        <v>86398.9</v>
      </c>
      <c r="J235" s="1214">
        <f>J237</f>
        <v>88983.4</v>
      </c>
      <c r="K235" s="1142" t="s">
        <v>321</v>
      </c>
      <c r="L235" s="1058" t="s">
        <v>19</v>
      </c>
      <c r="M235" s="1218">
        <v>40</v>
      </c>
      <c r="N235" s="1218">
        <v>50</v>
      </c>
      <c r="O235" s="1218">
        <v>55</v>
      </c>
      <c r="P235" s="1218">
        <v>60</v>
      </c>
      <c r="Q235" s="1219">
        <v>70</v>
      </c>
    </row>
    <row r="236" spans="1:17" s="78" customFormat="1" ht="13.5" customHeight="1" x14ac:dyDescent="0.25">
      <c r="A236" s="1210"/>
      <c r="B236" s="1044"/>
      <c r="C236" s="1045"/>
      <c r="D236" s="1046"/>
      <c r="E236" s="1020"/>
      <c r="F236" s="1214"/>
      <c r="G236" s="1214"/>
      <c r="H236" s="1214"/>
      <c r="I236" s="1214"/>
      <c r="J236" s="1214"/>
      <c r="K236" s="1142"/>
      <c r="L236" s="1058"/>
      <c r="M236" s="1218"/>
      <c r="N236" s="1218"/>
      <c r="O236" s="1218"/>
      <c r="P236" s="1218"/>
      <c r="Q236" s="1219"/>
    </row>
    <row r="237" spans="1:17" s="78" customFormat="1" x14ac:dyDescent="0.25">
      <c r="A237" s="1210"/>
      <c r="B237" s="1045"/>
      <c r="C237" s="1045" t="s">
        <v>43</v>
      </c>
      <c r="D237" s="1046"/>
      <c r="E237" s="1057" t="s">
        <v>320</v>
      </c>
      <c r="F237" s="1058">
        <v>84495.2</v>
      </c>
      <c r="G237" s="1058">
        <v>84495.2</v>
      </c>
      <c r="H237" s="1058">
        <v>84756</v>
      </c>
      <c r="I237" s="1058">
        <v>86398.9</v>
      </c>
      <c r="J237" s="1058">
        <v>88983.4</v>
      </c>
      <c r="K237" s="1025" t="s">
        <v>322</v>
      </c>
      <c r="L237" s="1058" t="s">
        <v>163</v>
      </c>
      <c r="M237" s="1058">
        <v>6900</v>
      </c>
      <c r="N237" s="1059">
        <v>6900</v>
      </c>
      <c r="O237" s="1059">
        <v>6969</v>
      </c>
      <c r="P237" s="1059">
        <v>7108</v>
      </c>
      <c r="Q237" s="1060">
        <v>7321</v>
      </c>
    </row>
    <row r="238" spans="1:17" s="78" customFormat="1" ht="32.25" customHeight="1" x14ac:dyDescent="0.25">
      <c r="A238" s="1210"/>
      <c r="B238" s="1045"/>
      <c r="C238" s="1045"/>
      <c r="D238" s="1046"/>
      <c r="E238" s="1057"/>
      <c r="F238" s="1058"/>
      <c r="G238" s="1058"/>
      <c r="H238" s="1058"/>
      <c r="I238" s="1058"/>
      <c r="J238" s="1058"/>
      <c r="K238" s="1025"/>
      <c r="L238" s="1058"/>
      <c r="M238" s="1058"/>
      <c r="N238" s="1059"/>
      <c r="O238" s="1059"/>
      <c r="P238" s="1059"/>
      <c r="Q238" s="1060"/>
    </row>
    <row r="239" spans="1:17" s="78" customFormat="1" ht="24.95" customHeight="1" x14ac:dyDescent="0.25">
      <c r="A239" s="1210"/>
      <c r="B239" s="1044" t="s">
        <v>364</v>
      </c>
      <c r="C239" s="1045"/>
      <c r="D239" s="1046"/>
      <c r="E239" s="1142" t="s">
        <v>323</v>
      </c>
      <c r="F239" s="1122">
        <f>F241</f>
        <v>77831.399999999994</v>
      </c>
      <c r="G239" s="1122">
        <f>G241</f>
        <v>77831.399999999994</v>
      </c>
      <c r="H239" s="1122">
        <f>H241</f>
        <v>122071.8</v>
      </c>
      <c r="I239" s="1122">
        <f>I241</f>
        <v>124407.3</v>
      </c>
      <c r="J239" s="1122">
        <f>J241</f>
        <v>128128.8</v>
      </c>
      <c r="K239" s="1020" t="s">
        <v>1703</v>
      </c>
      <c r="L239" s="1058"/>
      <c r="M239" s="1214">
        <f>M241</f>
        <v>1000</v>
      </c>
      <c r="N239" s="1214">
        <f>N241</f>
        <v>12000</v>
      </c>
      <c r="O239" s="1214">
        <f>O241</f>
        <v>1212</v>
      </c>
      <c r="P239" s="1214">
        <f>P241</f>
        <v>1236</v>
      </c>
      <c r="Q239" s="1215">
        <f>Q241</f>
        <v>1273</v>
      </c>
    </row>
    <row r="240" spans="1:17" s="78" customFormat="1" ht="52.5" customHeight="1" x14ac:dyDescent="0.25">
      <c r="A240" s="1210"/>
      <c r="B240" s="1044"/>
      <c r="C240" s="1045"/>
      <c r="D240" s="1046"/>
      <c r="E240" s="1142"/>
      <c r="F240" s="1122"/>
      <c r="G240" s="1122"/>
      <c r="H240" s="1122"/>
      <c r="I240" s="1122"/>
      <c r="J240" s="1122"/>
      <c r="K240" s="1020"/>
      <c r="L240" s="1058"/>
      <c r="M240" s="1214"/>
      <c r="N240" s="1214"/>
      <c r="O240" s="1214"/>
      <c r="P240" s="1214"/>
      <c r="Q240" s="1215"/>
    </row>
    <row r="241" spans="1:12302" s="78" customFormat="1" ht="32.25" customHeight="1" x14ac:dyDescent="0.25">
      <c r="A241" s="1210"/>
      <c r="B241" s="1045"/>
      <c r="C241" s="1045" t="s">
        <v>43</v>
      </c>
      <c r="D241" s="1046"/>
      <c r="E241" s="1025" t="s">
        <v>323</v>
      </c>
      <c r="F241" s="1058">
        <v>77831.399999999994</v>
      </c>
      <c r="G241" s="1058">
        <v>77831.399999999994</v>
      </c>
      <c r="H241" s="1050">
        <v>122071.8</v>
      </c>
      <c r="I241" s="1050">
        <v>124407.3</v>
      </c>
      <c r="J241" s="1050">
        <v>128128.8</v>
      </c>
      <c r="K241" s="1057" t="s">
        <v>1703</v>
      </c>
      <c r="L241" s="1058" t="s">
        <v>163</v>
      </c>
      <c r="M241" s="1058">
        <v>1000</v>
      </c>
      <c r="N241" s="1059">
        <v>12000</v>
      </c>
      <c r="O241" s="1059">
        <v>1212</v>
      </c>
      <c r="P241" s="1059">
        <v>1236</v>
      </c>
      <c r="Q241" s="1060">
        <v>1273</v>
      </c>
    </row>
    <row r="242" spans="1:12302" s="78" customFormat="1" ht="11.25" customHeight="1" x14ac:dyDescent="0.25">
      <c r="A242" s="1210"/>
      <c r="B242" s="1045"/>
      <c r="C242" s="1045"/>
      <c r="D242" s="1046"/>
      <c r="E242" s="1025"/>
      <c r="F242" s="1058"/>
      <c r="G242" s="1058"/>
      <c r="H242" s="1058"/>
      <c r="I242" s="1058"/>
      <c r="J242" s="1058"/>
      <c r="K242" s="1057"/>
      <c r="L242" s="1058"/>
      <c r="M242" s="1058"/>
      <c r="N242" s="1059"/>
      <c r="O242" s="1059"/>
      <c r="P242" s="1059"/>
      <c r="Q242" s="1060"/>
    </row>
    <row r="243" spans="1:12302" s="23" customFormat="1" ht="21.75" customHeight="1" x14ac:dyDescent="0.25">
      <c r="A243" s="1004" t="s">
        <v>219</v>
      </c>
      <c r="B243" s="1005"/>
      <c r="C243" s="1005"/>
      <c r="D243" s="1005"/>
      <c r="E243" s="1005"/>
      <c r="F243" s="28">
        <f>F226+F229+F235+F239</f>
        <v>287930.90000000002</v>
      </c>
      <c r="G243" s="28">
        <f>G226+G229+G235+G239</f>
        <v>288205.80000000005</v>
      </c>
      <c r="H243" s="28">
        <f>H226+H229+H235+H239</f>
        <v>362796.79999999999</v>
      </c>
      <c r="I243" s="28">
        <f>I226+I229+I235+I239</f>
        <v>369451</v>
      </c>
      <c r="J243" s="28">
        <f>J226+J229+J235+J239</f>
        <v>379919.3</v>
      </c>
      <c r="K243" s="43"/>
      <c r="L243" s="161"/>
      <c r="M243" s="161"/>
      <c r="N243" s="161"/>
      <c r="O243" s="161"/>
      <c r="P243" s="161"/>
      <c r="Q243" s="493"/>
    </row>
    <row r="244" spans="1:12302" ht="21.75" customHeight="1" x14ac:dyDescent="0.25">
      <c r="A244" s="1211" t="s">
        <v>700</v>
      </c>
      <c r="B244" s="1212"/>
      <c r="C244" s="1212"/>
      <c r="D244" s="1212"/>
      <c r="E244" s="1212"/>
      <c r="F244" s="1212"/>
      <c r="G244" s="1212"/>
      <c r="H244" s="1212"/>
      <c r="I244" s="1212"/>
      <c r="J244" s="1212"/>
      <c r="K244" s="1212"/>
      <c r="L244" s="1212"/>
      <c r="M244" s="1212"/>
      <c r="N244" s="1212"/>
      <c r="O244" s="1212"/>
      <c r="P244" s="439"/>
      <c r="Q244" s="517"/>
      <c r="R244" s="1206"/>
      <c r="S244" s="1206"/>
      <c r="T244" s="1206"/>
      <c r="U244" s="1206"/>
      <c r="V244" s="1206"/>
      <c r="W244" s="1206"/>
      <c r="X244" s="1206"/>
      <c r="Y244" s="1206"/>
      <c r="Z244" s="1206"/>
      <c r="AA244" s="1206"/>
      <c r="AB244" s="1207"/>
      <c r="AC244" s="1206"/>
      <c r="AD244" s="1206"/>
      <c r="AE244" s="1206"/>
      <c r="AF244" s="1206"/>
      <c r="AG244" s="1206"/>
      <c r="AH244" s="1206"/>
      <c r="AI244" s="1206"/>
      <c r="AJ244" s="1206"/>
      <c r="AK244" s="1206"/>
      <c r="AL244" s="1206"/>
      <c r="AM244" s="1206"/>
      <c r="AN244" s="1206"/>
      <c r="AO244" s="1206"/>
      <c r="AP244" s="1206"/>
      <c r="AQ244" s="1206"/>
      <c r="AR244" s="1206"/>
      <c r="AS244" s="1207"/>
      <c r="AT244" s="1206"/>
      <c r="AU244" s="1206"/>
      <c r="AV244" s="1206"/>
      <c r="AW244" s="1206"/>
      <c r="AX244" s="1206"/>
      <c r="AY244" s="1206"/>
      <c r="AZ244" s="1206"/>
      <c r="BA244" s="1206"/>
      <c r="BB244" s="1206"/>
      <c r="BC244" s="1206"/>
      <c r="BD244" s="1206"/>
      <c r="BE244" s="1206"/>
      <c r="BF244" s="1206"/>
      <c r="BG244" s="1206"/>
      <c r="BH244" s="1206"/>
      <c r="BI244" s="1206"/>
      <c r="BJ244" s="1207"/>
      <c r="BK244" s="1206"/>
      <c r="BL244" s="1206"/>
      <c r="BM244" s="1206"/>
      <c r="BN244" s="1206"/>
      <c r="BO244" s="1206"/>
      <c r="BP244" s="1206"/>
      <c r="BQ244" s="1206"/>
      <c r="BR244" s="1206"/>
      <c r="BS244" s="1206"/>
      <c r="BT244" s="1206"/>
      <c r="BU244" s="1206"/>
      <c r="BV244" s="1206"/>
      <c r="BW244" s="1206"/>
      <c r="BX244" s="1206"/>
      <c r="BY244" s="1206"/>
      <c r="BZ244" s="1206"/>
      <c r="CA244" s="1207"/>
      <c r="CB244" s="1206"/>
      <c r="CC244" s="1206"/>
      <c r="CD244" s="1206"/>
      <c r="CE244" s="1206"/>
      <c r="CF244" s="1206"/>
      <c r="CG244" s="1206"/>
      <c r="CH244" s="1206"/>
      <c r="CI244" s="1206"/>
      <c r="CJ244" s="1206"/>
      <c r="CK244" s="1206"/>
      <c r="CL244" s="1206"/>
      <c r="CM244" s="1206"/>
      <c r="CN244" s="1206"/>
      <c r="CO244" s="1206"/>
      <c r="CP244" s="1206"/>
      <c r="CQ244" s="1206"/>
      <c r="CR244" s="1207"/>
      <c r="CS244" s="1206"/>
      <c r="CT244" s="1206"/>
      <c r="CU244" s="1206"/>
      <c r="CV244" s="1206"/>
      <c r="CW244" s="1206"/>
      <c r="CX244" s="1206"/>
      <c r="CY244" s="1206"/>
      <c r="CZ244" s="1206"/>
      <c r="DA244" s="1206"/>
      <c r="DB244" s="1206"/>
      <c r="DC244" s="1206"/>
      <c r="DD244" s="1206"/>
      <c r="DE244" s="1206"/>
      <c r="DF244" s="1206"/>
      <c r="DG244" s="1206"/>
      <c r="DH244" s="1206"/>
      <c r="DI244" s="1207"/>
      <c r="DJ244" s="1206"/>
      <c r="DK244" s="1206"/>
      <c r="DL244" s="1206"/>
      <c r="DM244" s="1206"/>
      <c r="DN244" s="1206"/>
      <c r="DO244" s="1206"/>
      <c r="DP244" s="1206"/>
      <c r="DQ244" s="1206"/>
      <c r="DR244" s="1206"/>
      <c r="DS244" s="1206"/>
      <c r="DT244" s="1206"/>
      <c r="DU244" s="1206"/>
      <c r="DV244" s="1206"/>
      <c r="DW244" s="1206"/>
      <c r="DX244" s="1206"/>
      <c r="DY244" s="1206"/>
      <c r="DZ244" s="1207"/>
      <c r="EA244" s="1206"/>
      <c r="EB244" s="1206"/>
      <c r="EC244" s="1206"/>
      <c r="ED244" s="1206"/>
      <c r="EE244" s="1206"/>
      <c r="EF244" s="1206"/>
      <c r="EG244" s="1206"/>
      <c r="EH244" s="1206"/>
      <c r="EI244" s="1206"/>
      <c r="EJ244" s="1206"/>
      <c r="EK244" s="1206"/>
      <c r="EL244" s="1206"/>
      <c r="EM244" s="1206"/>
      <c r="EN244" s="1206"/>
      <c r="EO244" s="1206"/>
      <c r="EP244" s="1206"/>
      <c r="EQ244" s="1207"/>
      <c r="ER244" s="1206"/>
      <c r="ES244" s="1206"/>
      <c r="ET244" s="1206"/>
      <c r="EU244" s="1206"/>
      <c r="EV244" s="1206"/>
      <c r="EW244" s="1206"/>
      <c r="EX244" s="1206"/>
      <c r="EY244" s="1206"/>
      <c r="EZ244" s="1206"/>
      <c r="FA244" s="1206"/>
      <c r="FB244" s="1206"/>
      <c r="FC244" s="1206"/>
      <c r="FD244" s="1206"/>
      <c r="FE244" s="1206"/>
      <c r="FF244" s="1206"/>
      <c r="FG244" s="1206"/>
      <c r="FH244" s="1207"/>
      <c r="FI244" s="1206"/>
      <c r="FJ244" s="1206"/>
      <c r="FK244" s="1206"/>
      <c r="FL244" s="1206"/>
      <c r="FM244" s="1206"/>
      <c r="FN244" s="1206"/>
      <c r="FO244" s="1206"/>
      <c r="FP244" s="1206"/>
      <c r="FQ244" s="1206"/>
      <c r="FR244" s="1206"/>
      <c r="FS244" s="1206"/>
      <c r="FT244" s="1206"/>
      <c r="FU244" s="1206"/>
      <c r="FV244" s="1206"/>
      <c r="FW244" s="1206"/>
      <c r="FX244" s="1206"/>
      <c r="FY244" s="1207"/>
      <c r="FZ244" s="1206"/>
      <c r="GA244" s="1206"/>
      <c r="GB244" s="1206"/>
      <c r="GC244" s="1206"/>
      <c r="GD244" s="1206"/>
      <c r="GE244" s="1206"/>
      <c r="GF244" s="1206"/>
      <c r="GG244" s="1206"/>
      <c r="GH244" s="1206"/>
      <c r="GI244" s="1206"/>
      <c r="GJ244" s="1206"/>
      <c r="GK244" s="1206"/>
      <c r="GL244" s="1206"/>
      <c r="GM244" s="1206"/>
      <c r="GN244" s="1206"/>
      <c r="GO244" s="1206"/>
      <c r="GP244" s="1207"/>
      <c r="GQ244" s="1206"/>
      <c r="GR244" s="1206"/>
      <c r="GS244" s="1206"/>
      <c r="GT244" s="1206"/>
      <c r="GU244" s="1206"/>
      <c r="GV244" s="1206"/>
      <c r="GW244" s="1206"/>
      <c r="GX244" s="1206"/>
      <c r="GY244" s="1206"/>
      <c r="GZ244" s="1206"/>
      <c r="HA244" s="1206"/>
      <c r="HB244" s="1206"/>
      <c r="HC244" s="1206"/>
      <c r="HD244" s="1206"/>
      <c r="HE244" s="1206"/>
      <c r="HF244" s="1206"/>
      <c r="HG244" s="1207"/>
      <c r="HH244" s="1206"/>
      <c r="HI244" s="1206"/>
      <c r="HJ244" s="1206"/>
      <c r="HK244" s="1206"/>
      <c r="HL244" s="1206"/>
      <c r="HM244" s="1206"/>
      <c r="HN244" s="1206"/>
      <c r="HO244" s="1206"/>
      <c r="HP244" s="1206"/>
      <c r="HQ244" s="1206"/>
      <c r="HR244" s="1206"/>
      <c r="HS244" s="1206"/>
      <c r="HT244" s="1206"/>
      <c r="HU244" s="1206"/>
      <c r="HV244" s="1206"/>
      <c r="HW244" s="1206"/>
      <c r="HX244" s="1207"/>
      <c r="HY244" s="1206"/>
      <c r="HZ244" s="1206"/>
      <c r="IA244" s="1206"/>
      <c r="IB244" s="1206"/>
      <c r="IC244" s="1206"/>
      <c r="ID244" s="1206"/>
      <c r="IE244" s="1206"/>
      <c r="IF244" s="1206"/>
      <c r="IG244" s="1206"/>
      <c r="IH244" s="1206"/>
      <c r="II244" s="1206"/>
      <c r="IJ244" s="1206"/>
      <c r="IK244" s="1206"/>
      <c r="IL244" s="1206"/>
      <c r="IM244" s="1206"/>
      <c r="IN244" s="1206"/>
      <c r="IO244" s="1207"/>
      <c r="IP244" s="1206"/>
      <c r="IQ244" s="1206"/>
      <c r="IR244" s="1206"/>
      <c r="IS244" s="1206"/>
      <c r="IT244" s="1206"/>
      <c r="IU244" s="1206"/>
      <c r="IV244" s="1206"/>
      <c r="IW244" s="1206"/>
      <c r="IX244" s="1206"/>
      <c r="IY244" s="1206"/>
      <c r="IZ244" s="1206"/>
      <c r="JA244" s="1206"/>
      <c r="JB244" s="1206"/>
      <c r="JC244" s="1206"/>
      <c r="JD244" s="1206"/>
      <c r="JE244" s="1206"/>
      <c r="JF244" s="1207"/>
      <c r="JG244" s="1206"/>
      <c r="JH244" s="1206"/>
      <c r="JI244" s="1206"/>
      <c r="JJ244" s="1206"/>
      <c r="JK244" s="1206"/>
      <c r="JL244" s="1206"/>
      <c r="JM244" s="1206"/>
      <c r="JN244" s="1206"/>
      <c r="JO244" s="1206"/>
      <c r="JP244" s="1206"/>
      <c r="JQ244" s="1206"/>
      <c r="JR244" s="1206"/>
      <c r="JS244" s="1206"/>
      <c r="JT244" s="1206"/>
      <c r="JU244" s="1206"/>
      <c r="JV244" s="1206"/>
      <c r="JW244" s="1207"/>
      <c r="JX244" s="1206"/>
      <c r="JY244" s="1206"/>
      <c r="JZ244" s="1206"/>
      <c r="KA244" s="1206"/>
      <c r="KB244" s="1206"/>
      <c r="KC244" s="1206"/>
      <c r="KD244" s="1206"/>
      <c r="KE244" s="1206"/>
      <c r="KF244" s="1206"/>
      <c r="KG244" s="1206"/>
      <c r="KH244" s="1206"/>
      <c r="KI244" s="1206"/>
      <c r="KJ244" s="1206"/>
      <c r="KK244" s="1206"/>
      <c r="KL244" s="1206"/>
      <c r="KM244" s="1206"/>
      <c r="KN244" s="1207"/>
      <c r="KO244" s="1206"/>
      <c r="KP244" s="1206"/>
      <c r="KQ244" s="1206"/>
      <c r="KR244" s="1206"/>
      <c r="KS244" s="1206"/>
      <c r="KT244" s="1206"/>
      <c r="KU244" s="1206"/>
      <c r="KV244" s="1206"/>
      <c r="KW244" s="1206"/>
      <c r="KX244" s="1206"/>
      <c r="KY244" s="1206"/>
      <c r="KZ244" s="1206"/>
      <c r="LA244" s="1206"/>
      <c r="LB244" s="1206"/>
      <c r="LC244" s="1206"/>
      <c r="LD244" s="1206"/>
      <c r="LE244" s="1207"/>
      <c r="LF244" s="1206"/>
      <c r="LG244" s="1206"/>
      <c r="LH244" s="1206"/>
      <c r="LI244" s="1206"/>
      <c r="LJ244" s="1206"/>
      <c r="LK244" s="1206"/>
      <c r="LL244" s="1206"/>
      <c r="LM244" s="1206"/>
      <c r="LN244" s="1206"/>
      <c r="LO244" s="1206"/>
      <c r="LP244" s="1206"/>
      <c r="LQ244" s="1206"/>
      <c r="LR244" s="1206"/>
      <c r="LS244" s="1206"/>
      <c r="LT244" s="1206"/>
      <c r="LU244" s="1206"/>
      <c r="LV244" s="1207"/>
      <c r="LW244" s="1206"/>
      <c r="LX244" s="1206"/>
      <c r="LY244" s="1206"/>
      <c r="LZ244" s="1206"/>
      <c r="MA244" s="1206"/>
      <c r="MB244" s="1206"/>
      <c r="MC244" s="1206"/>
      <c r="MD244" s="1206"/>
      <c r="ME244" s="1206"/>
      <c r="MF244" s="1206"/>
      <c r="MG244" s="1206"/>
      <c r="MH244" s="1206"/>
      <c r="MI244" s="1206"/>
      <c r="MJ244" s="1206"/>
      <c r="MK244" s="1206"/>
      <c r="ML244" s="1206"/>
      <c r="MM244" s="1207"/>
      <c r="MN244" s="1206"/>
      <c r="MO244" s="1206"/>
      <c r="MP244" s="1206"/>
      <c r="MQ244" s="1206"/>
      <c r="MR244" s="1206"/>
      <c r="MS244" s="1206"/>
      <c r="MT244" s="1206"/>
      <c r="MU244" s="1206"/>
      <c r="MV244" s="1206"/>
      <c r="MW244" s="1206"/>
      <c r="MX244" s="1206"/>
      <c r="MY244" s="1206"/>
      <c r="MZ244" s="1206"/>
      <c r="NA244" s="1206"/>
      <c r="NB244" s="1206"/>
      <c r="NC244" s="1206"/>
      <c r="ND244" s="1207"/>
      <c r="NE244" s="1206"/>
      <c r="NF244" s="1206"/>
      <c r="NG244" s="1206"/>
      <c r="NH244" s="1206"/>
      <c r="NI244" s="1206"/>
      <c r="NJ244" s="1206"/>
      <c r="NK244" s="1206"/>
      <c r="NL244" s="1206"/>
      <c r="NM244" s="1206"/>
      <c r="NN244" s="1206"/>
      <c r="NO244" s="1206"/>
      <c r="NP244" s="1206"/>
      <c r="NQ244" s="1206"/>
      <c r="NR244" s="1206"/>
      <c r="NS244" s="1206"/>
      <c r="NT244" s="1206"/>
      <c r="NU244" s="1207"/>
      <c r="NV244" s="1206"/>
      <c r="NW244" s="1206"/>
      <c r="NX244" s="1206"/>
      <c r="NY244" s="1206"/>
      <c r="NZ244" s="1206"/>
      <c r="OA244" s="1206"/>
      <c r="OB244" s="1206"/>
      <c r="OC244" s="1206"/>
      <c r="OD244" s="1206"/>
      <c r="OE244" s="1206"/>
      <c r="OF244" s="1206"/>
      <c r="OG244" s="1206"/>
      <c r="OH244" s="1206"/>
      <c r="OI244" s="1206"/>
      <c r="OJ244" s="1206"/>
      <c r="OK244" s="1206"/>
      <c r="OL244" s="1207"/>
      <c r="OM244" s="1206"/>
      <c r="ON244" s="1206"/>
      <c r="OO244" s="1206"/>
      <c r="OP244" s="1206"/>
      <c r="OQ244" s="1206"/>
      <c r="OR244" s="1206"/>
      <c r="OS244" s="1206"/>
      <c r="OT244" s="1206"/>
      <c r="OU244" s="1206"/>
      <c r="OV244" s="1206"/>
      <c r="OW244" s="1206"/>
      <c r="OX244" s="1206"/>
      <c r="OY244" s="1206"/>
      <c r="OZ244" s="1206"/>
      <c r="PA244" s="1206"/>
      <c r="PB244" s="1206"/>
      <c r="PC244" s="1207"/>
      <c r="PD244" s="1206"/>
      <c r="PE244" s="1206"/>
      <c r="PF244" s="1206"/>
      <c r="PG244" s="1206"/>
      <c r="PH244" s="1206"/>
      <c r="PI244" s="1206"/>
      <c r="PJ244" s="1206"/>
      <c r="PK244" s="1206"/>
      <c r="PL244" s="1206"/>
      <c r="PM244" s="1206"/>
      <c r="PN244" s="1206"/>
      <c r="PO244" s="1206"/>
      <c r="PP244" s="1206"/>
      <c r="PQ244" s="1206"/>
      <c r="PR244" s="1206"/>
      <c r="PS244" s="1206"/>
      <c r="PT244" s="1207"/>
      <c r="PU244" s="1206"/>
      <c r="PV244" s="1206"/>
      <c r="PW244" s="1206"/>
      <c r="PX244" s="1206"/>
      <c r="PY244" s="1206"/>
      <c r="PZ244" s="1206"/>
      <c r="QA244" s="1206"/>
      <c r="QB244" s="1206"/>
      <c r="QC244" s="1206"/>
      <c r="QD244" s="1206"/>
      <c r="QE244" s="1206"/>
      <c r="QF244" s="1206"/>
      <c r="QG244" s="1206"/>
      <c r="QH244" s="1206"/>
      <c r="QI244" s="1206"/>
      <c r="QJ244" s="1206"/>
      <c r="QK244" s="1207"/>
      <c r="QL244" s="1206"/>
      <c r="QM244" s="1206"/>
      <c r="QN244" s="1206"/>
      <c r="QO244" s="1206"/>
      <c r="QP244" s="1206"/>
      <c r="QQ244" s="1206"/>
      <c r="QR244" s="1206"/>
      <c r="QS244" s="1206"/>
      <c r="QT244" s="1206"/>
      <c r="QU244" s="1206"/>
      <c r="QV244" s="1206"/>
      <c r="QW244" s="1206"/>
      <c r="QX244" s="1206"/>
      <c r="QY244" s="1206"/>
      <c r="QZ244" s="1206"/>
      <c r="RA244" s="1206"/>
      <c r="RB244" s="1207"/>
      <c r="RC244" s="1206"/>
      <c r="RD244" s="1206"/>
      <c r="RE244" s="1206"/>
      <c r="RF244" s="1206"/>
      <c r="RG244" s="1206"/>
      <c r="RH244" s="1206"/>
      <c r="RI244" s="1206"/>
      <c r="RJ244" s="1206"/>
      <c r="RK244" s="1206"/>
      <c r="RL244" s="1206"/>
      <c r="RM244" s="1206"/>
      <c r="RN244" s="1206"/>
      <c r="RO244" s="1206"/>
      <c r="RP244" s="1206"/>
      <c r="RQ244" s="1206"/>
      <c r="RR244" s="1206"/>
      <c r="RS244" s="1207"/>
      <c r="RT244" s="1206"/>
      <c r="RU244" s="1206"/>
      <c r="RV244" s="1206"/>
      <c r="RW244" s="1206"/>
      <c r="RX244" s="1206"/>
      <c r="RY244" s="1206"/>
      <c r="RZ244" s="1206"/>
      <c r="SA244" s="1206"/>
      <c r="SB244" s="1206"/>
      <c r="SC244" s="1206"/>
      <c r="SD244" s="1206"/>
      <c r="SE244" s="1206"/>
      <c r="SF244" s="1206"/>
      <c r="SG244" s="1206"/>
      <c r="SH244" s="1206"/>
      <c r="SI244" s="1206"/>
      <c r="SJ244" s="1207"/>
      <c r="SK244" s="1206"/>
      <c r="SL244" s="1206"/>
      <c r="SM244" s="1206"/>
      <c r="SN244" s="1206"/>
      <c r="SO244" s="1206"/>
      <c r="SP244" s="1206"/>
      <c r="SQ244" s="1206"/>
      <c r="SR244" s="1206"/>
      <c r="SS244" s="1206"/>
      <c r="ST244" s="1206"/>
      <c r="SU244" s="1206"/>
      <c r="SV244" s="1206"/>
      <c r="SW244" s="1206"/>
      <c r="SX244" s="1206"/>
      <c r="SY244" s="1206"/>
      <c r="SZ244" s="1206"/>
      <c r="TA244" s="1207"/>
      <c r="TB244" s="1206"/>
      <c r="TC244" s="1206"/>
      <c r="TD244" s="1206"/>
      <c r="TE244" s="1206"/>
      <c r="TF244" s="1206"/>
      <c r="TG244" s="1206"/>
      <c r="TH244" s="1206"/>
      <c r="TI244" s="1206"/>
      <c r="TJ244" s="1206"/>
      <c r="TK244" s="1206"/>
      <c r="TL244" s="1206"/>
      <c r="TM244" s="1206"/>
      <c r="TN244" s="1206"/>
      <c r="TO244" s="1206"/>
      <c r="TP244" s="1206"/>
      <c r="TQ244" s="1206"/>
      <c r="TR244" s="1207"/>
      <c r="TS244" s="1206"/>
      <c r="TT244" s="1206"/>
      <c r="TU244" s="1206"/>
      <c r="TV244" s="1206"/>
      <c r="TW244" s="1206"/>
      <c r="TX244" s="1206"/>
      <c r="TY244" s="1206"/>
      <c r="TZ244" s="1206"/>
      <c r="UA244" s="1206"/>
      <c r="UB244" s="1206"/>
      <c r="UC244" s="1206"/>
      <c r="UD244" s="1206"/>
      <c r="UE244" s="1206"/>
      <c r="UF244" s="1206"/>
      <c r="UG244" s="1206"/>
      <c r="UH244" s="1206"/>
      <c r="UI244" s="1207"/>
      <c r="UJ244" s="1206"/>
      <c r="UK244" s="1206"/>
      <c r="UL244" s="1206"/>
      <c r="UM244" s="1206"/>
      <c r="UN244" s="1206"/>
      <c r="UO244" s="1206"/>
      <c r="UP244" s="1206"/>
      <c r="UQ244" s="1206"/>
      <c r="UR244" s="1206"/>
      <c r="US244" s="1206"/>
      <c r="UT244" s="1206"/>
      <c r="UU244" s="1206"/>
      <c r="UV244" s="1206"/>
      <c r="UW244" s="1206"/>
      <c r="UX244" s="1206"/>
      <c r="UY244" s="1206"/>
      <c r="UZ244" s="1207"/>
      <c r="VA244" s="1206"/>
      <c r="VB244" s="1206"/>
      <c r="VC244" s="1206"/>
      <c r="VD244" s="1206"/>
      <c r="VE244" s="1206"/>
      <c r="VF244" s="1206"/>
      <c r="VG244" s="1206"/>
      <c r="VH244" s="1206"/>
      <c r="VI244" s="1206"/>
      <c r="VJ244" s="1206"/>
      <c r="VK244" s="1206"/>
      <c r="VL244" s="1206"/>
      <c r="VM244" s="1206"/>
      <c r="VN244" s="1206"/>
      <c r="VO244" s="1206"/>
      <c r="VP244" s="1206"/>
      <c r="VQ244" s="1207"/>
      <c r="VR244" s="1206"/>
      <c r="VS244" s="1206"/>
      <c r="VT244" s="1206"/>
      <c r="VU244" s="1206"/>
      <c r="VV244" s="1206"/>
      <c r="VW244" s="1206"/>
      <c r="VX244" s="1206"/>
      <c r="VY244" s="1206"/>
      <c r="VZ244" s="1206"/>
      <c r="WA244" s="1206"/>
      <c r="WB244" s="1206"/>
      <c r="WC244" s="1206"/>
      <c r="WD244" s="1206"/>
      <c r="WE244" s="1206"/>
      <c r="WF244" s="1206"/>
      <c r="WG244" s="1206"/>
      <c r="WH244" s="1207"/>
      <c r="WI244" s="1206"/>
      <c r="WJ244" s="1206"/>
      <c r="WK244" s="1206"/>
      <c r="WL244" s="1206"/>
      <c r="WM244" s="1206"/>
      <c r="WN244" s="1206"/>
      <c r="WO244" s="1206"/>
      <c r="WP244" s="1206"/>
      <c r="WQ244" s="1206"/>
      <c r="WR244" s="1206"/>
      <c r="WS244" s="1206"/>
      <c r="WT244" s="1206"/>
      <c r="WU244" s="1206"/>
      <c r="WV244" s="1206"/>
      <c r="WW244" s="1206"/>
      <c r="WX244" s="1206"/>
      <c r="WY244" s="1207"/>
      <c r="WZ244" s="1206"/>
      <c r="XA244" s="1206"/>
      <c r="XB244" s="1206"/>
      <c r="XC244" s="1206"/>
      <c r="XD244" s="1206"/>
      <c r="XE244" s="1206"/>
      <c r="XF244" s="1206"/>
      <c r="XG244" s="1206"/>
      <c r="XH244" s="1206"/>
      <c r="XI244" s="1206"/>
      <c r="XJ244" s="1206"/>
      <c r="XK244" s="1206"/>
      <c r="XL244" s="1206"/>
      <c r="XM244" s="1206"/>
      <c r="XN244" s="1206"/>
      <c r="XO244" s="1206"/>
      <c r="XP244" s="1207"/>
      <c r="XQ244" s="1206"/>
      <c r="XR244" s="1206"/>
      <c r="XS244" s="1206"/>
      <c r="XT244" s="1206"/>
      <c r="XU244" s="1206"/>
      <c r="XV244" s="1206"/>
      <c r="XW244" s="1206"/>
      <c r="XX244" s="1206"/>
      <c r="XY244" s="1206"/>
      <c r="XZ244" s="1206"/>
      <c r="YA244" s="1206"/>
      <c r="YB244" s="1206"/>
      <c r="YC244" s="1206"/>
      <c r="YD244" s="1206"/>
      <c r="YE244" s="1206"/>
      <c r="YF244" s="1206"/>
      <c r="YG244" s="1207"/>
      <c r="YH244" s="1206"/>
      <c r="YI244" s="1206"/>
      <c r="YJ244" s="1206"/>
      <c r="YK244" s="1206"/>
      <c r="YL244" s="1206"/>
      <c r="YM244" s="1206"/>
      <c r="YN244" s="1206"/>
      <c r="YO244" s="1206"/>
      <c r="YP244" s="1206"/>
      <c r="YQ244" s="1206"/>
      <c r="YR244" s="1206"/>
      <c r="YS244" s="1206"/>
      <c r="YT244" s="1206"/>
      <c r="YU244" s="1206"/>
      <c r="YV244" s="1206"/>
      <c r="YW244" s="1206"/>
      <c r="YX244" s="1207"/>
      <c r="YY244" s="1206"/>
      <c r="YZ244" s="1206"/>
      <c r="ZA244" s="1206"/>
      <c r="ZB244" s="1206"/>
      <c r="ZC244" s="1206"/>
      <c r="ZD244" s="1206"/>
      <c r="ZE244" s="1206"/>
      <c r="ZF244" s="1206"/>
      <c r="ZG244" s="1206"/>
      <c r="ZH244" s="1206"/>
      <c r="ZI244" s="1206"/>
      <c r="ZJ244" s="1206"/>
      <c r="ZK244" s="1206"/>
      <c r="ZL244" s="1206"/>
      <c r="ZM244" s="1206"/>
      <c r="ZN244" s="1206"/>
      <c r="ZO244" s="1207"/>
      <c r="ZP244" s="1206"/>
      <c r="ZQ244" s="1206"/>
      <c r="ZR244" s="1206"/>
      <c r="ZS244" s="1206"/>
      <c r="ZT244" s="1206"/>
      <c r="ZU244" s="1206"/>
      <c r="ZV244" s="1206"/>
      <c r="ZW244" s="1206"/>
      <c r="ZX244" s="1206"/>
      <c r="ZY244" s="1206"/>
      <c r="ZZ244" s="1206"/>
      <c r="AAA244" s="1206"/>
      <c r="AAB244" s="1206"/>
      <c r="AAC244" s="1206"/>
      <c r="AAD244" s="1206"/>
      <c r="AAE244" s="1206"/>
      <c r="AAF244" s="1207"/>
      <c r="AAG244" s="1206"/>
      <c r="AAH244" s="1206"/>
      <c r="AAI244" s="1206"/>
      <c r="AAJ244" s="1206"/>
      <c r="AAK244" s="1206"/>
      <c r="AAL244" s="1206"/>
      <c r="AAM244" s="1206"/>
      <c r="AAN244" s="1206"/>
      <c r="AAO244" s="1206"/>
      <c r="AAP244" s="1206"/>
      <c r="AAQ244" s="1206"/>
      <c r="AAR244" s="1206"/>
      <c r="AAS244" s="1206"/>
      <c r="AAT244" s="1206"/>
      <c r="AAU244" s="1206"/>
      <c r="AAV244" s="1206"/>
      <c r="AAW244" s="1207"/>
      <c r="AAX244" s="1206"/>
      <c r="AAY244" s="1206"/>
      <c r="AAZ244" s="1206"/>
      <c r="ABA244" s="1206"/>
      <c r="ABB244" s="1206"/>
      <c r="ABC244" s="1206"/>
      <c r="ABD244" s="1206"/>
      <c r="ABE244" s="1206"/>
      <c r="ABF244" s="1206"/>
      <c r="ABG244" s="1206"/>
      <c r="ABH244" s="1206"/>
      <c r="ABI244" s="1206"/>
      <c r="ABJ244" s="1206"/>
      <c r="ABK244" s="1206"/>
      <c r="ABL244" s="1206"/>
      <c r="ABM244" s="1206"/>
      <c r="ABN244" s="1207"/>
      <c r="ABO244" s="1206"/>
      <c r="ABP244" s="1206"/>
      <c r="ABQ244" s="1206"/>
      <c r="ABR244" s="1206"/>
      <c r="ABS244" s="1206"/>
      <c r="ABT244" s="1206"/>
      <c r="ABU244" s="1206"/>
      <c r="ABV244" s="1206"/>
      <c r="ABW244" s="1206"/>
      <c r="ABX244" s="1206"/>
      <c r="ABY244" s="1206"/>
      <c r="ABZ244" s="1206"/>
      <c r="ACA244" s="1206"/>
      <c r="ACB244" s="1206"/>
      <c r="ACC244" s="1206"/>
      <c r="ACD244" s="1206"/>
      <c r="ACE244" s="1207"/>
      <c r="ACF244" s="1206"/>
      <c r="ACG244" s="1206"/>
      <c r="ACH244" s="1206"/>
      <c r="ACI244" s="1206"/>
      <c r="ACJ244" s="1206"/>
      <c r="ACK244" s="1206"/>
      <c r="ACL244" s="1206"/>
      <c r="ACM244" s="1206"/>
      <c r="ACN244" s="1206"/>
      <c r="ACO244" s="1206"/>
      <c r="ACP244" s="1206"/>
      <c r="ACQ244" s="1206"/>
      <c r="ACR244" s="1206"/>
      <c r="ACS244" s="1206"/>
      <c r="ACT244" s="1206"/>
      <c r="ACU244" s="1206"/>
      <c r="ACV244" s="1207"/>
      <c r="ACW244" s="1206"/>
      <c r="ACX244" s="1206"/>
      <c r="ACY244" s="1206"/>
      <c r="ACZ244" s="1206"/>
      <c r="ADA244" s="1206"/>
      <c r="ADB244" s="1206"/>
      <c r="ADC244" s="1206"/>
      <c r="ADD244" s="1206"/>
      <c r="ADE244" s="1206"/>
      <c r="ADF244" s="1206"/>
      <c r="ADG244" s="1206"/>
      <c r="ADH244" s="1206"/>
      <c r="ADI244" s="1206"/>
      <c r="ADJ244" s="1206"/>
      <c r="ADK244" s="1206"/>
      <c r="ADL244" s="1206"/>
      <c r="ADM244" s="1207"/>
      <c r="ADN244" s="1206"/>
      <c r="ADO244" s="1206"/>
      <c r="ADP244" s="1206"/>
      <c r="ADQ244" s="1206"/>
      <c r="ADR244" s="1206"/>
      <c r="ADS244" s="1206"/>
      <c r="ADT244" s="1206"/>
      <c r="ADU244" s="1206"/>
      <c r="ADV244" s="1206"/>
      <c r="ADW244" s="1206"/>
      <c r="ADX244" s="1206"/>
      <c r="ADY244" s="1206"/>
      <c r="ADZ244" s="1206"/>
      <c r="AEA244" s="1206"/>
      <c r="AEB244" s="1206"/>
      <c r="AEC244" s="1206"/>
      <c r="AED244" s="1207"/>
      <c r="AEE244" s="1206"/>
      <c r="AEF244" s="1206"/>
      <c r="AEG244" s="1206"/>
      <c r="AEH244" s="1206"/>
      <c r="AEI244" s="1206"/>
      <c r="AEJ244" s="1206"/>
      <c r="AEK244" s="1206"/>
      <c r="AEL244" s="1206"/>
      <c r="AEM244" s="1206"/>
      <c r="AEN244" s="1206"/>
      <c r="AEO244" s="1206"/>
      <c r="AEP244" s="1206"/>
      <c r="AEQ244" s="1206"/>
      <c r="AER244" s="1206"/>
      <c r="AES244" s="1206"/>
      <c r="AET244" s="1206"/>
      <c r="AEU244" s="1207"/>
      <c r="AEV244" s="1206"/>
      <c r="AEW244" s="1206"/>
      <c r="AEX244" s="1206"/>
      <c r="AEY244" s="1206"/>
      <c r="AEZ244" s="1206"/>
      <c r="AFA244" s="1206"/>
      <c r="AFB244" s="1206"/>
      <c r="AFC244" s="1206"/>
      <c r="AFD244" s="1206"/>
      <c r="AFE244" s="1206"/>
      <c r="AFF244" s="1206"/>
      <c r="AFG244" s="1206"/>
      <c r="AFH244" s="1206"/>
      <c r="AFI244" s="1206"/>
      <c r="AFJ244" s="1206"/>
      <c r="AFK244" s="1206"/>
      <c r="AFL244" s="1207"/>
      <c r="AFM244" s="1206"/>
      <c r="AFN244" s="1206"/>
      <c r="AFO244" s="1206"/>
      <c r="AFP244" s="1206"/>
      <c r="AFQ244" s="1206"/>
      <c r="AFR244" s="1206"/>
      <c r="AFS244" s="1206"/>
      <c r="AFT244" s="1206"/>
      <c r="AFU244" s="1206"/>
      <c r="AFV244" s="1206"/>
      <c r="AFW244" s="1206"/>
      <c r="AFX244" s="1206"/>
      <c r="AFY244" s="1206"/>
      <c r="AFZ244" s="1206"/>
      <c r="AGA244" s="1206"/>
      <c r="AGB244" s="1206"/>
      <c r="AGC244" s="1207"/>
      <c r="AGD244" s="1206"/>
      <c r="AGE244" s="1206"/>
      <c r="AGF244" s="1206"/>
      <c r="AGG244" s="1206"/>
      <c r="AGH244" s="1206"/>
      <c r="AGI244" s="1206"/>
      <c r="AGJ244" s="1206"/>
      <c r="AGK244" s="1206"/>
      <c r="AGL244" s="1206"/>
      <c r="AGM244" s="1206"/>
      <c r="AGN244" s="1206"/>
      <c r="AGO244" s="1206"/>
      <c r="AGP244" s="1206"/>
      <c r="AGQ244" s="1206"/>
      <c r="AGR244" s="1206"/>
      <c r="AGS244" s="1206"/>
      <c r="AGT244" s="1207"/>
      <c r="AGU244" s="1206"/>
      <c r="AGV244" s="1206"/>
      <c r="AGW244" s="1206"/>
      <c r="AGX244" s="1206"/>
      <c r="AGY244" s="1206"/>
      <c r="AGZ244" s="1206"/>
      <c r="AHA244" s="1206"/>
      <c r="AHB244" s="1206"/>
      <c r="AHC244" s="1206"/>
      <c r="AHD244" s="1206"/>
      <c r="AHE244" s="1206"/>
      <c r="AHF244" s="1206"/>
      <c r="AHG244" s="1206"/>
      <c r="AHH244" s="1206"/>
      <c r="AHI244" s="1206"/>
      <c r="AHJ244" s="1206"/>
      <c r="AHK244" s="1207"/>
      <c r="AHL244" s="1206"/>
      <c r="AHM244" s="1206"/>
      <c r="AHN244" s="1206"/>
      <c r="AHO244" s="1206"/>
      <c r="AHP244" s="1206"/>
      <c r="AHQ244" s="1206"/>
      <c r="AHR244" s="1206"/>
      <c r="AHS244" s="1206"/>
      <c r="AHT244" s="1206"/>
      <c r="AHU244" s="1206"/>
      <c r="AHV244" s="1206"/>
      <c r="AHW244" s="1206"/>
      <c r="AHX244" s="1206"/>
      <c r="AHY244" s="1206"/>
      <c r="AHZ244" s="1206"/>
      <c r="AIA244" s="1206"/>
      <c r="AIB244" s="1207"/>
      <c r="AIC244" s="1206"/>
      <c r="AID244" s="1206"/>
      <c r="AIE244" s="1206"/>
      <c r="AIF244" s="1206"/>
      <c r="AIG244" s="1206"/>
      <c r="AIH244" s="1206"/>
      <c r="AII244" s="1206"/>
      <c r="AIJ244" s="1206"/>
      <c r="AIK244" s="1206"/>
      <c r="AIL244" s="1206"/>
      <c r="AIM244" s="1206"/>
      <c r="AIN244" s="1206"/>
      <c r="AIO244" s="1206"/>
      <c r="AIP244" s="1206"/>
      <c r="AIQ244" s="1206"/>
      <c r="AIR244" s="1206"/>
      <c r="AIS244" s="1207"/>
      <c r="AIT244" s="1206"/>
      <c r="AIU244" s="1206"/>
      <c r="AIV244" s="1206"/>
      <c r="AIW244" s="1206"/>
      <c r="AIX244" s="1206"/>
      <c r="AIY244" s="1206"/>
      <c r="AIZ244" s="1206"/>
      <c r="AJA244" s="1206"/>
      <c r="AJB244" s="1206"/>
      <c r="AJC244" s="1206"/>
      <c r="AJD244" s="1206"/>
      <c r="AJE244" s="1206"/>
      <c r="AJF244" s="1206"/>
      <c r="AJG244" s="1206"/>
      <c r="AJH244" s="1206"/>
      <c r="AJI244" s="1206"/>
      <c r="AJJ244" s="1207"/>
      <c r="AJK244" s="1206"/>
      <c r="AJL244" s="1206"/>
      <c r="AJM244" s="1206"/>
      <c r="AJN244" s="1206"/>
      <c r="AJO244" s="1206"/>
      <c r="AJP244" s="1206"/>
      <c r="AJQ244" s="1206"/>
      <c r="AJR244" s="1206"/>
      <c r="AJS244" s="1206"/>
      <c r="AJT244" s="1206"/>
      <c r="AJU244" s="1206"/>
      <c r="AJV244" s="1206"/>
      <c r="AJW244" s="1206"/>
      <c r="AJX244" s="1206"/>
      <c r="AJY244" s="1206"/>
      <c r="AJZ244" s="1206"/>
      <c r="AKA244" s="1207"/>
      <c r="AKB244" s="1206"/>
      <c r="AKC244" s="1206"/>
      <c r="AKD244" s="1206"/>
      <c r="AKE244" s="1206"/>
      <c r="AKF244" s="1206"/>
      <c r="AKG244" s="1206"/>
      <c r="AKH244" s="1206"/>
      <c r="AKI244" s="1206"/>
      <c r="AKJ244" s="1206"/>
      <c r="AKK244" s="1206"/>
      <c r="AKL244" s="1206"/>
      <c r="AKM244" s="1206"/>
      <c r="AKN244" s="1206"/>
      <c r="AKO244" s="1206"/>
      <c r="AKP244" s="1206"/>
      <c r="AKQ244" s="1206"/>
      <c r="AKR244" s="1207"/>
      <c r="AKS244" s="1206"/>
      <c r="AKT244" s="1206"/>
      <c r="AKU244" s="1206"/>
      <c r="AKV244" s="1206"/>
      <c r="AKW244" s="1206"/>
      <c r="AKX244" s="1206"/>
      <c r="AKY244" s="1206"/>
      <c r="AKZ244" s="1206"/>
      <c r="ALA244" s="1206"/>
      <c r="ALB244" s="1206"/>
      <c r="ALC244" s="1206"/>
      <c r="ALD244" s="1206"/>
      <c r="ALE244" s="1206"/>
      <c r="ALF244" s="1206"/>
      <c r="ALG244" s="1206"/>
      <c r="ALH244" s="1206"/>
      <c r="ALI244" s="1207"/>
      <c r="ALJ244" s="1206"/>
      <c r="ALK244" s="1206"/>
      <c r="ALL244" s="1206"/>
      <c r="ALM244" s="1206"/>
      <c r="ALN244" s="1206"/>
      <c r="ALO244" s="1206"/>
      <c r="ALP244" s="1206"/>
      <c r="ALQ244" s="1206"/>
      <c r="ALR244" s="1206"/>
      <c r="ALS244" s="1206"/>
      <c r="ALT244" s="1206"/>
      <c r="ALU244" s="1206"/>
      <c r="ALV244" s="1206"/>
      <c r="ALW244" s="1206"/>
      <c r="ALX244" s="1206"/>
      <c r="ALY244" s="1206"/>
      <c r="ALZ244" s="1207"/>
      <c r="AMA244" s="1206"/>
      <c r="AMB244" s="1206"/>
      <c r="AMC244" s="1206"/>
      <c r="AMD244" s="1206"/>
      <c r="AME244" s="1206"/>
      <c r="AMF244" s="1206"/>
      <c r="AMG244" s="1206"/>
      <c r="AMH244" s="1206"/>
      <c r="AMI244" s="1206"/>
      <c r="AMJ244" s="1206"/>
      <c r="AMK244" s="1206"/>
      <c r="AML244" s="1206"/>
      <c r="AMM244" s="1206"/>
      <c r="AMN244" s="1206"/>
      <c r="AMO244" s="1206"/>
      <c r="AMP244" s="1206"/>
      <c r="AMQ244" s="1207"/>
      <c r="AMR244" s="1206"/>
      <c r="AMS244" s="1206"/>
      <c r="AMT244" s="1206"/>
      <c r="AMU244" s="1206"/>
      <c r="AMV244" s="1206"/>
      <c r="AMW244" s="1206"/>
      <c r="AMX244" s="1206"/>
      <c r="AMY244" s="1206"/>
      <c r="AMZ244" s="1206"/>
      <c r="ANA244" s="1206"/>
      <c r="ANB244" s="1206"/>
      <c r="ANC244" s="1206"/>
      <c r="AND244" s="1206"/>
      <c r="ANE244" s="1206"/>
      <c r="ANF244" s="1206"/>
      <c r="ANG244" s="1206"/>
      <c r="ANH244" s="1207"/>
      <c r="ANI244" s="1206"/>
      <c r="ANJ244" s="1206"/>
      <c r="ANK244" s="1206"/>
      <c r="ANL244" s="1206"/>
      <c r="ANM244" s="1206"/>
      <c r="ANN244" s="1206"/>
      <c r="ANO244" s="1206"/>
      <c r="ANP244" s="1206"/>
      <c r="ANQ244" s="1206"/>
      <c r="ANR244" s="1206"/>
      <c r="ANS244" s="1206"/>
      <c r="ANT244" s="1206"/>
      <c r="ANU244" s="1206"/>
      <c r="ANV244" s="1206"/>
      <c r="ANW244" s="1206"/>
      <c r="ANX244" s="1206"/>
      <c r="ANY244" s="1207"/>
      <c r="ANZ244" s="1206"/>
      <c r="AOA244" s="1206"/>
      <c r="AOB244" s="1206"/>
      <c r="AOC244" s="1206"/>
      <c r="AOD244" s="1206"/>
      <c r="AOE244" s="1206"/>
      <c r="AOF244" s="1206"/>
      <c r="AOG244" s="1206"/>
      <c r="AOH244" s="1206"/>
      <c r="AOI244" s="1206"/>
      <c r="AOJ244" s="1206"/>
      <c r="AOK244" s="1206"/>
      <c r="AOL244" s="1206"/>
      <c r="AOM244" s="1206"/>
      <c r="AON244" s="1206"/>
      <c r="AOO244" s="1206"/>
      <c r="AOP244" s="1207"/>
      <c r="AOQ244" s="1206"/>
      <c r="AOR244" s="1206"/>
      <c r="AOS244" s="1206"/>
      <c r="AOT244" s="1206"/>
      <c r="AOU244" s="1206"/>
      <c r="AOV244" s="1206"/>
      <c r="AOW244" s="1206"/>
      <c r="AOX244" s="1206"/>
      <c r="AOY244" s="1206"/>
      <c r="AOZ244" s="1206"/>
      <c r="APA244" s="1206"/>
      <c r="APB244" s="1206"/>
      <c r="APC244" s="1206"/>
      <c r="APD244" s="1206"/>
      <c r="APE244" s="1206"/>
      <c r="APF244" s="1206"/>
      <c r="APG244" s="1207"/>
      <c r="APH244" s="1206"/>
      <c r="API244" s="1206"/>
      <c r="APJ244" s="1206"/>
      <c r="APK244" s="1206"/>
      <c r="APL244" s="1206"/>
      <c r="APM244" s="1206"/>
      <c r="APN244" s="1206"/>
      <c r="APO244" s="1206"/>
      <c r="APP244" s="1206"/>
      <c r="APQ244" s="1206"/>
      <c r="APR244" s="1206"/>
      <c r="APS244" s="1206"/>
      <c r="APT244" s="1206"/>
      <c r="APU244" s="1206"/>
      <c r="APV244" s="1206"/>
      <c r="APW244" s="1206"/>
      <c r="APX244" s="1207"/>
      <c r="APY244" s="1206"/>
      <c r="APZ244" s="1206"/>
      <c r="AQA244" s="1206"/>
      <c r="AQB244" s="1206"/>
      <c r="AQC244" s="1206"/>
      <c r="AQD244" s="1206"/>
      <c r="AQE244" s="1206"/>
      <c r="AQF244" s="1206"/>
      <c r="AQG244" s="1206"/>
      <c r="AQH244" s="1206"/>
      <c r="AQI244" s="1206"/>
      <c r="AQJ244" s="1206"/>
      <c r="AQK244" s="1206"/>
      <c r="AQL244" s="1206"/>
      <c r="AQM244" s="1206"/>
      <c r="AQN244" s="1206"/>
      <c r="AQO244" s="1207"/>
      <c r="AQP244" s="1206"/>
      <c r="AQQ244" s="1206"/>
      <c r="AQR244" s="1206"/>
      <c r="AQS244" s="1206"/>
      <c r="AQT244" s="1206"/>
      <c r="AQU244" s="1206"/>
      <c r="AQV244" s="1206"/>
      <c r="AQW244" s="1206"/>
      <c r="AQX244" s="1206"/>
      <c r="AQY244" s="1206"/>
      <c r="AQZ244" s="1206"/>
      <c r="ARA244" s="1206"/>
      <c r="ARB244" s="1206"/>
      <c r="ARC244" s="1206"/>
      <c r="ARD244" s="1206"/>
      <c r="ARE244" s="1206"/>
      <c r="ARF244" s="1207"/>
      <c r="ARG244" s="1206"/>
      <c r="ARH244" s="1206"/>
      <c r="ARI244" s="1206"/>
      <c r="ARJ244" s="1206"/>
      <c r="ARK244" s="1206"/>
      <c r="ARL244" s="1206"/>
      <c r="ARM244" s="1206"/>
      <c r="ARN244" s="1206"/>
      <c r="ARO244" s="1206"/>
      <c r="ARP244" s="1206"/>
      <c r="ARQ244" s="1206"/>
      <c r="ARR244" s="1206"/>
      <c r="ARS244" s="1206"/>
      <c r="ART244" s="1206"/>
      <c r="ARU244" s="1206"/>
      <c r="ARV244" s="1206"/>
      <c r="ARW244" s="1207"/>
      <c r="ARX244" s="1206"/>
      <c r="ARY244" s="1206"/>
      <c r="ARZ244" s="1206"/>
      <c r="ASA244" s="1206"/>
      <c r="ASB244" s="1206"/>
      <c r="ASC244" s="1206"/>
      <c r="ASD244" s="1206"/>
      <c r="ASE244" s="1206"/>
      <c r="ASF244" s="1206"/>
      <c r="ASG244" s="1206"/>
      <c r="ASH244" s="1206"/>
      <c r="ASI244" s="1206"/>
      <c r="ASJ244" s="1206"/>
      <c r="ASK244" s="1206"/>
      <c r="ASL244" s="1206"/>
      <c r="ASM244" s="1206"/>
      <c r="ASN244" s="1207"/>
      <c r="ASO244" s="1206"/>
      <c r="ASP244" s="1206"/>
      <c r="ASQ244" s="1206"/>
      <c r="ASR244" s="1206"/>
      <c r="ASS244" s="1206"/>
      <c r="AST244" s="1206"/>
      <c r="ASU244" s="1206"/>
      <c r="ASV244" s="1206"/>
      <c r="ASW244" s="1206"/>
      <c r="ASX244" s="1206"/>
      <c r="ASY244" s="1206"/>
      <c r="ASZ244" s="1206"/>
      <c r="ATA244" s="1206"/>
      <c r="ATB244" s="1206"/>
      <c r="ATC244" s="1206"/>
      <c r="ATD244" s="1206"/>
      <c r="ATE244" s="1207"/>
      <c r="ATF244" s="1206"/>
      <c r="ATG244" s="1206"/>
      <c r="ATH244" s="1206"/>
      <c r="ATI244" s="1206"/>
      <c r="ATJ244" s="1206"/>
      <c r="ATK244" s="1206"/>
      <c r="ATL244" s="1206"/>
      <c r="ATM244" s="1206"/>
      <c r="ATN244" s="1206"/>
      <c r="ATO244" s="1206"/>
      <c r="ATP244" s="1206"/>
      <c r="ATQ244" s="1206"/>
      <c r="ATR244" s="1206"/>
      <c r="ATS244" s="1206"/>
      <c r="ATT244" s="1206"/>
      <c r="ATU244" s="1206"/>
      <c r="ATV244" s="1207"/>
      <c r="ATW244" s="1206"/>
      <c r="ATX244" s="1206"/>
      <c r="ATY244" s="1206"/>
      <c r="ATZ244" s="1206"/>
      <c r="AUA244" s="1206"/>
      <c r="AUB244" s="1206"/>
      <c r="AUC244" s="1206"/>
      <c r="AUD244" s="1206"/>
      <c r="AUE244" s="1206"/>
      <c r="AUF244" s="1206"/>
      <c r="AUG244" s="1206"/>
      <c r="AUH244" s="1206"/>
      <c r="AUI244" s="1206"/>
      <c r="AUJ244" s="1206"/>
      <c r="AUK244" s="1206"/>
      <c r="AUL244" s="1206"/>
      <c r="AUM244" s="1207"/>
      <c r="AUN244" s="1206"/>
      <c r="AUO244" s="1206"/>
      <c r="AUP244" s="1206"/>
      <c r="AUQ244" s="1206"/>
      <c r="AUR244" s="1206"/>
      <c r="AUS244" s="1206"/>
      <c r="AUT244" s="1206"/>
      <c r="AUU244" s="1206"/>
      <c r="AUV244" s="1206"/>
      <c r="AUW244" s="1206"/>
      <c r="AUX244" s="1206"/>
      <c r="AUY244" s="1206"/>
      <c r="AUZ244" s="1206"/>
      <c r="AVA244" s="1206"/>
      <c r="AVB244" s="1206"/>
      <c r="AVC244" s="1206"/>
      <c r="AVD244" s="1207"/>
      <c r="AVE244" s="1206"/>
      <c r="AVF244" s="1206"/>
      <c r="AVG244" s="1206"/>
      <c r="AVH244" s="1206"/>
      <c r="AVI244" s="1206"/>
      <c r="AVJ244" s="1206"/>
      <c r="AVK244" s="1206"/>
      <c r="AVL244" s="1206"/>
      <c r="AVM244" s="1206"/>
      <c r="AVN244" s="1206"/>
      <c r="AVO244" s="1206"/>
      <c r="AVP244" s="1206"/>
      <c r="AVQ244" s="1206"/>
      <c r="AVR244" s="1206"/>
      <c r="AVS244" s="1206"/>
      <c r="AVT244" s="1206"/>
      <c r="AVU244" s="1207"/>
      <c r="AVV244" s="1206"/>
      <c r="AVW244" s="1206"/>
      <c r="AVX244" s="1206"/>
      <c r="AVY244" s="1206"/>
      <c r="AVZ244" s="1206"/>
      <c r="AWA244" s="1206"/>
      <c r="AWB244" s="1206"/>
      <c r="AWC244" s="1206"/>
      <c r="AWD244" s="1206"/>
      <c r="AWE244" s="1206"/>
      <c r="AWF244" s="1206"/>
      <c r="AWG244" s="1206"/>
      <c r="AWH244" s="1206"/>
      <c r="AWI244" s="1206"/>
      <c r="AWJ244" s="1206"/>
      <c r="AWK244" s="1206"/>
      <c r="AWL244" s="1207"/>
      <c r="AWM244" s="1206"/>
      <c r="AWN244" s="1206"/>
      <c r="AWO244" s="1206"/>
      <c r="AWP244" s="1206"/>
      <c r="AWQ244" s="1206"/>
      <c r="AWR244" s="1206"/>
      <c r="AWS244" s="1206"/>
      <c r="AWT244" s="1206"/>
      <c r="AWU244" s="1206"/>
      <c r="AWV244" s="1206"/>
      <c r="AWW244" s="1206"/>
      <c r="AWX244" s="1206"/>
      <c r="AWY244" s="1206"/>
      <c r="AWZ244" s="1206"/>
      <c r="AXA244" s="1206"/>
      <c r="AXB244" s="1206"/>
      <c r="AXC244" s="1207"/>
      <c r="AXD244" s="1206"/>
      <c r="AXE244" s="1206"/>
      <c r="AXF244" s="1206"/>
      <c r="AXG244" s="1206"/>
      <c r="AXH244" s="1206"/>
      <c r="AXI244" s="1206"/>
      <c r="AXJ244" s="1206"/>
      <c r="AXK244" s="1206"/>
      <c r="AXL244" s="1206"/>
      <c r="AXM244" s="1206"/>
      <c r="AXN244" s="1206"/>
      <c r="AXO244" s="1206"/>
      <c r="AXP244" s="1206"/>
      <c r="AXQ244" s="1206"/>
      <c r="AXR244" s="1206"/>
      <c r="AXS244" s="1206"/>
      <c r="AXT244" s="1207"/>
      <c r="AXU244" s="1206"/>
      <c r="AXV244" s="1206"/>
      <c r="AXW244" s="1206"/>
      <c r="AXX244" s="1206"/>
      <c r="AXY244" s="1206"/>
      <c r="AXZ244" s="1206"/>
      <c r="AYA244" s="1206"/>
      <c r="AYB244" s="1206"/>
      <c r="AYC244" s="1206"/>
      <c r="AYD244" s="1206"/>
      <c r="AYE244" s="1206"/>
      <c r="AYF244" s="1206"/>
      <c r="AYG244" s="1206"/>
      <c r="AYH244" s="1206"/>
      <c r="AYI244" s="1206"/>
      <c r="AYJ244" s="1206"/>
      <c r="AYK244" s="1207"/>
      <c r="AYL244" s="1206"/>
      <c r="AYM244" s="1206"/>
      <c r="AYN244" s="1206"/>
      <c r="AYO244" s="1206"/>
      <c r="AYP244" s="1206"/>
      <c r="AYQ244" s="1206"/>
      <c r="AYR244" s="1206"/>
      <c r="AYS244" s="1206"/>
      <c r="AYT244" s="1206"/>
      <c r="AYU244" s="1206"/>
      <c r="AYV244" s="1206"/>
      <c r="AYW244" s="1206"/>
      <c r="AYX244" s="1206"/>
      <c r="AYY244" s="1206"/>
      <c r="AYZ244" s="1206"/>
      <c r="AZA244" s="1206"/>
      <c r="AZB244" s="1207"/>
      <c r="AZC244" s="1206"/>
      <c r="AZD244" s="1206"/>
      <c r="AZE244" s="1206"/>
      <c r="AZF244" s="1206"/>
      <c r="AZG244" s="1206"/>
      <c r="AZH244" s="1206"/>
      <c r="AZI244" s="1206"/>
      <c r="AZJ244" s="1206"/>
      <c r="AZK244" s="1206"/>
      <c r="AZL244" s="1206"/>
      <c r="AZM244" s="1206"/>
      <c r="AZN244" s="1206"/>
      <c r="AZO244" s="1206"/>
      <c r="AZP244" s="1206"/>
      <c r="AZQ244" s="1206"/>
      <c r="AZR244" s="1206"/>
      <c r="AZS244" s="1207"/>
      <c r="AZT244" s="1206"/>
      <c r="AZU244" s="1206"/>
      <c r="AZV244" s="1206"/>
      <c r="AZW244" s="1206"/>
      <c r="AZX244" s="1206"/>
      <c r="AZY244" s="1206"/>
      <c r="AZZ244" s="1206"/>
      <c r="BAA244" s="1206"/>
      <c r="BAB244" s="1206"/>
      <c r="BAC244" s="1206"/>
      <c r="BAD244" s="1206"/>
      <c r="BAE244" s="1206"/>
      <c r="BAF244" s="1206"/>
      <c r="BAG244" s="1206"/>
      <c r="BAH244" s="1206"/>
      <c r="BAI244" s="1206"/>
      <c r="BAJ244" s="1207"/>
      <c r="BAK244" s="1206"/>
      <c r="BAL244" s="1206"/>
      <c r="BAM244" s="1206"/>
      <c r="BAN244" s="1206"/>
      <c r="BAO244" s="1206"/>
      <c r="BAP244" s="1206"/>
      <c r="BAQ244" s="1206"/>
      <c r="BAR244" s="1206"/>
      <c r="BAS244" s="1206"/>
      <c r="BAT244" s="1206"/>
      <c r="BAU244" s="1206"/>
      <c r="BAV244" s="1206"/>
      <c r="BAW244" s="1206"/>
      <c r="BAX244" s="1206"/>
      <c r="BAY244" s="1206"/>
      <c r="BAZ244" s="1206"/>
      <c r="BBA244" s="1207"/>
      <c r="BBB244" s="1206"/>
      <c r="BBC244" s="1206"/>
      <c r="BBD244" s="1206"/>
      <c r="BBE244" s="1206"/>
      <c r="BBF244" s="1206"/>
      <c r="BBG244" s="1206"/>
      <c r="BBH244" s="1206"/>
      <c r="BBI244" s="1206"/>
      <c r="BBJ244" s="1206"/>
      <c r="BBK244" s="1206"/>
      <c r="BBL244" s="1206"/>
      <c r="BBM244" s="1206"/>
      <c r="BBN244" s="1206"/>
      <c r="BBO244" s="1206"/>
      <c r="BBP244" s="1206"/>
      <c r="BBQ244" s="1206"/>
      <c r="BBR244" s="1207"/>
      <c r="BBS244" s="1206"/>
      <c r="BBT244" s="1206"/>
      <c r="BBU244" s="1206"/>
      <c r="BBV244" s="1206"/>
      <c r="BBW244" s="1206"/>
      <c r="BBX244" s="1206"/>
      <c r="BBY244" s="1206"/>
      <c r="BBZ244" s="1206"/>
      <c r="BCA244" s="1206"/>
      <c r="BCB244" s="1206"/>
      <c r="BCC244" s="1206"/>
      <c r="BCD244" s="1206"/>
      <c r="BCE244" s="1206"/>
      <c r="BCF244" s="1206"/>
      <c r="BCG244" s="1206"/>
      <c r="BCH244" s="1206"/>
      <c r="BCI244" s="1207"/>
      <c r="BCJ244" s="1206"/>
      <c r="BCK244" s="1206"/>
      <c r="BCL244" s="1206"/>
      <c r="BCM244" s="1206"/>
      <c r="BCN244" s="1206"/>
      <c r="BCO244" s="1206"/>
      <c r="BCP244" s="1206"/>
      <c r="BCQ244" s="1206"/>
      <c r="BCR244" s="1206"/>
      <c r="BCS244" s="1206"/>
      <c r="BCT244" s="1206"/>
      <c r="BCU244" s="1206"/>
      <c r="BCV244" s="1206"/>
      <c r="BCW244" s="1206"/>
      <c r="BCX244" s="1206"/>
      <c r="BCY244" s="1206"/>
      <c r="BCZ244" s="1207"/>
      <c r="BDA244" s="1206"/>
      <c r="BDB244" s="1206"/>
      <c r="BDC244" s="1206"/>
      <c r="BDD244" s="1206"/>
      <c r="BDE244" s="1206"/>
      <c r="BDF244" s="1206"/>
      <c r="BDG244" s="1206"/>
      <c r="BDH244" s="1206"/>
      <c r="BDI244" s="1206"/>
      <c r="BDJ244" s="1206"/>
      <c r="BDK244" s="1206"/>
      <c r="BDL244" s="1206"/>
      <c r="BDM244" s="1206"/>
      <c r="BDN244" s="1206"/>
      <c r="BDO244" s="1206"/>
      <c r="BDP244" s="1206"/>
      <c r="BDQ244" s="1207"/>
      <c r="BDR244" s="1206"/>
      <c r="BDS244" s="1206"/>
      <c r="BDT244" s="1206"/>
      <c r="BDU244" s="1206"/>
      <c r="BDV244" s="1206"/>
      <c r="BDW244" s="1206"/>
      <c r="BDX244" s="1206"/>
      <c r="BDY244" s="1206"/>
      <c r="BDZ244" s="1206"/>
      <c r="BEA244" s="1206"/>
      <c r="BEB244" s="1206"/>
      <c r="BEC244" s="1206"/>
      <c r="BED244" s="1206"/>
      <c r="BEE244" s="1206"/>
      <c r="BEF244" s="1206"/>
      <c r="BEG244" s="1206"/>
      <c r="BEH244" s="1207"/>
      <c r="BEI244" s="1206"/>
      <c r="BEJ244" s="1206"/>
      <c r="BEK244" s="1206"/>
      <c r="BEL244" s="1206"/>
      <c r="BEM244" s="1206"/>
      <c r="BEN244" s="1206"/>
      <c r="BEO244" s="1206"/>
      <c r="BEP244" s="1206"/>
      <c r="BEQ244" s="1206"/>
      <c r="BER244" s="1206"/>
      <c r="BES244" s="1206"/>
      <c r="BET244" s="1206"/>
      <c r="BEU244" s="1206"/>
      <c r="BEV244" s="1206"/>
      <c r="BEW244" s="1206"/>
      <c r="BEX244" s="1206"/>
      <c r="BEY244" s="1207"/>
      <c r="BEZ244" s="1206"/>
      <c r="BFA244" s="1206"/>
      <c r="BFB244" s="1206"/>
      <c r="BFC244" s="1206"/>
      <c r="BFD244" s="1206"/>
      <c r="BFE244" s="1206"/>
      <c r="BFF244" s="1206"/>
      <c r="BFG244" s="1206"/>
      <c r="BFH244" s="1206"/>
      <c r="BFI244" s="1206"/>
      <c r="BFJ244" s="1206"/>
      <c r="BFK244" s="1206"/>
      <c r="BFL244" s="1206"/>
      <c r="BFM244" s="1206"/>
      <c r="BFN244" s="1206"/>
      <c r="BFO244" s="1206"/>
      <c r="BFP244" s="1207"/>
      <c r="BFQ244" s="1206"/>
      <c r="BFR244" s="1206"/>
      <c r="BFS244" s="1206"/>
      <c r="BFT244" s="1206"/>
      <c r="BFU244" s="1206"/>
      <c r="BFV244" s="1206"/>
      <c r="BFW244" s="1206"/>
      <c r="BFX244" s="1206"/>
      <c r="BFY244" s="1206"/>
      <c r="BFZ244" s="1206"/>
      <c r="BGA244" s="1206"/>
      <c r="BGB244" s="1206"/>
      <c r="BGC244" s="1206"/>
      <c r="BGD244" s="1206"/>
      <c r="BGE244" s="1206"/>
      <c r="BGF244" s="1206"/>
      <c r="BGG244" s="1207"/>
      <c r="BGH244" s="1206"/>
      <c r="BGI244" s="1206"/>
      <c r="BGJ244" s="1206"/>
      <c r="BGK244" s="1206"/>
      <c r="BGL244" s="1206"/>
      <c r="BGM244" s="1206"/>
      <c r="BGN244" s="1206"/>
      <c r="BGO244" s="1206"/>
      <c r="BGP244" s="1206"/>
      <c r="BGQ244" s="1206"/>
      <c r="BGR244" s="1206"/>
      <c r="BGS244" s="1206"/>
      <c r="BGT244" s="1206"/>
      <c r="BGU244" s="1206"/>
      <c r="BGV244" s="1206"/>
      <c r="BGW244" s="1206"/>
      <c r="BGX244" s="1207"/>
      <c r="BGY244" s="1206"/>
      <c r="BGZ244" s="1206"/>
      <c r="BHA244" s="1206"/>
      <c r="BHB244" s="1206"/>
      <c r="BHC244" s="1206"/>
      <c r="BHD244" s="1206"/>
      <c r="BHE244" s="1206"/>
      <c r="BHF244" s="1206"/>
      <c r="BHG244" s="1206"/>
      <c r="BHH244" s="1206"/>
      <c r="BHI244" s="1206"/>
      <c r="BHJ244" s="1206"/>
      <c r="BHK244" s="1206"/>
      <c r="BHL244" s="1206"/>
      <c r="BHM244" s="1206"/>
      <c r="BHN244" s="1206"/>
      <c r="BHO244" s="1207"/>
      <c r="BHP244" s="1206"/>
      <c r="BHQ244" s="1206"/>
      <c r="BHR244" s="1206"/>
      <c r="BHS244" s="1206"/>
      <c r="BHT244" s="1206"/>
      <c r="BHU244" s="1206"/>
      <c r="BHV244" s="1206"/>
      <c r="BHW244" s="1206"/>
      <c r="BHX244" s="1206"/>
      <c r="BHY244" s="1206"/>
      <c r="BHZ244" s="1206"/>
      <c r="BIA244" s="1206"/>
      <c r="BIB244" s="1206"/>
      <c r="BIC244" s="1206"/>
      <c r="BID244" s="1206"/>
      <c r="BIE244" s="1206"/>
      <c r="BIF244" s="1207"/>
      <c r="BIG244" s="1206"/>
      <c r="BIH244" s="1206"/>
      <c r="BII244" s="1206"/>
      <c r="BIJ244" s="1206"/>
      <c r="BIK244" s="1206"/>
      <c r="BIL244" s="1206"/>
      <c r="BIM244" s="1206"/>
      <c r="BIN244" s="1206"/>
      <c r="BIO244" s="1206"/>
      <c r="BIP244" s="1206"/>
      <c r="BIQ244" s="1206"/>
      <c r="BIR244" s="1206"/>
      <c r="BIS244" s="1206"/>
      <c r="BIT244" s="1206"/>
      <c r="BIU244" s="1206"/>
      <c r="BIV244" s="1206"/>
      <c r="BIW244" s="1207"/>
      <c r="BIX244" s="1206"/>
      <c r="BIY244" s="1206"/>
      <c r="BIZ244" s="1206"/>
      <c r="BJA244" s="1206"/>
      <c r="BJB244" s="1206"/>
      <c r="BJC244" s="1206"/>
      <c r="BJD244" s="1206"/>
      <c r="BJE244" s="1206"/>
      <c r="BJF244" s="1206"/>
      <c r="BJG244" s="1206"/>
      <c r="BJH244" s="1206"/>
      <c r="BJI244" s="1206"/>
      <c r="BJJ244" s="1206"/>
      <c r="BJK244" s="1206"/>
      <c r="BJL244" s="1206"/>
      <c r="BJM244" s="1206"/>
      <c r="BJN244" s="1207"/>
      <c r="BJO244" s="1206"/>
      <c r="BJP244" s="1206"/>
      <c r="BJQ244" s="1206"/>
      <c r="BJR244" s="1206"/>
      <c r="BJS244" s="1206"/>
      <c r="BJT244" s="1206"/>
      <c r="BJU244" s="1206"/>
      <c r="BJV244" s="1206"/>
      <c r="BJW244" s="1206"/>
      <c r="BJX244" s="1206"/>
      <c r="BJY244" s="1206"/>
      <c r="BJZ244" s="1206"/>
      <c r="BKA244" s="1206"/>
      <c r="BKB244" s="1206"/>
      <c r="BKC244" s="1206"/>
      <c r="BKD244" s="1206"/>
      <c r="BKE244" s="1207"/>
      <c r="BKF244" s="1206"/>
      <c r="BKG244" s="1206"/>
      <c r="BKH244" s="1206"/>
      <c r="BKI244" s="1206"/>
      <c r="BKJ244" s="1206"/>
      <c r="BKK244" s="1206"/>
      <c r="BKL244" s="1206"/>
      <c r="BKM244" s="1206"/>
      <c r="BKN244" s="1206"/>
      <c r="BKO244" s="1206"/>
      <c r="BKP244" s="1206"/>
      <c r="BKQ244" s="1206"/>
      <c r="BKR244" s="1206"/>
      <c r="BKS244" s="1206"/>
      <c r="BKT244" s="1206"/>
      <c r="BKU244" s="1206"/>
      <c r="BKV244" s="1207"/>
      <c r="BKW244" s="1206"/>
      <c r="BKX244" s="1206"/>
      <c r="BKY244" s="1206"/>
      <c r="BKZ244" s="1206"/>
      <c r="BLA244" s="1206"/>
      <c r="BLB244" s="1206"/>
      <c r="BLC244" s="1206"/>
      <c r="BLD244" s="1206"/>
      <c r="BLE244" s="1206"/>
      <c r="BLF244" s="1206"/>
      <c r="BLG244" s="1206"/>
      <c r="BLH244" s="1206"/>
      <c r="BLI244" s="1206"/>
      <c r="BLJ244" s="1206"/>
      <c r="BLK244" s="1206"/>
      <c r="BLL244" s="1206"/>
      <c r="BLM244" s="1207"/>
      <c r="BLN244" s="1206"/>
      <c r="BLO244" s="1206"/>
      <c r="BLP244" s="1206"/>
      <c r="BLQ244" s="1206"/>
      <c r="BLR244" s="1206"/>
      <c r="BLS244" s="1206"/>
      <c r="BLT244" s="1206"/>
      <c r="BLU244" s="1206"/>
      <c r="BLV244" s="1206"/>
      <c r="BLW244" s="1206"/>
      <c r="BLX244" s="1206"/>
      <c r="BLY244" s="1206"/>
      <c r="BLZ244" s="1206"/>
      <c r="BMA244" s="1206"/>
      <c r="BMB244" s="1206"/>
      <c r="BMC244" s="1206"/>
      <c r="BMD244" s="1207"/>
      <c r="BME244" s="1206"/>
      <c r="BMF244" s="1206"/>
      <c r="BMG244" s="1206"/>
      <c r="BMH244" s="1206"/>
      <c r="BMI244" s="1206"/>
      <c r="BMJ244" s="1206"/>
      <c r="BMK244" s="1206"/>
      <c r="BML244" s="1206"/>
      <c r="BMM244" s="1206"/>
      <c r="BMN244" s="1206"/>
      <c r="BMO244" s="1206"/>
      <c r="BMP244" s="1206"/>
      <c r="BMQ244" s="1206"/>
      <c r="BMR244" s="1206"/>
      <c r="BMS244" s="1206"/>
      <c r="BMT244" s="1206"/>
      <c r="BMU244" s="1207"/>
      <c r="BMV244" s="1206"/>
      <c r="BMW244" s="1206"/>
      <c r="BMX244" s="1206"/>
      <c r="BMY244" s="1206"/>
      <c r="BMZ244" s="1206"/>
      <c r="BNA244" s="1206"/>
      <c r="BNB244" s="1206"/>
      <c r="BNC244" s="1206"/>
      <c r="BND244" s="1206"/>
      <c r="BNE244" s="1206"/>
      <c r="BNF244" s="1206"/>
      <c r="BNG244" s="1206"/>
      <c r="BNH244" s="1206"/>
      <c r="BNI244" s="1206"/>
      <c r="BNJ244" s="1206"/>
      <c r="BNK244" s="1206"/>
      <c r="BNL244" s="1207"/>
      <c r="BNM244" s="1206"/>
      <c r="BNN244" s="1206"/>
      <c r="BNO244" s="1206"/>
      <c r="BNP244" s="1206"/>
      <c r="BNQ244" s="1206"/>
      <c r="BNR244" s="1206"/>
      <c r="BNS244" s="1206"/>
      <c r="BNT244" s="1206"/>
      <c r="BNU244" s="1206"/>
      <c r="BNV244" s="1206"/>
      <c r="BNW244" s="1206"/>
      <c r="BNX244" s="1206"/>
      <c r="BNY244" s="1206"/>
      <c r="BNZ244" s="1206"/>
      <c r="BOA244" s="1206"/>
      <c r="BOB244" s="1206"/>
      <c r="BOC244" s="1207"/>
      <c r="BOD244" s="1206"/>
      <c r="BOE244" s="1206"/>
      <c r="BOF244" s="1206"/>
      <c r="BOG244" s="1206"/>
      <c r="BOH244" s="1206"/>
      <c r="BOI244" s="1206"/>
      <c r="BOJ244" s="1206"/>
      <c r="BOK244" s="1206"/>
      <c r="BOL244" s="1206"/>
      <c r="BOM244" s="1206"/>
      <c r="BON244" s="1206"/>
      <c r="BOO244" s="1206"/>
      <c r="BOP244" s="1206"/>
      <c r="BOQ244" s="1206"/>
      <c r="BOR244" s="1206"/>
      <c r="BOS244" s="1206"/>
      <c r="BOT244" s="1207"/>
      <c r="BOU244" s="1206"/>
      <c r="BOV244" s="1206"/>
      <c r="BOW244" s="1206"/>
      <c r="BOX244" s="1206"/>
      <c r="BOY244" s="1206"/>
      <c r="BOZ244" s="1206"/>
      <c r="BPA244" s="1206"/>
      <c r="BPB244" s="1206"/>
      <c r="BPC244" s="1206"/>
      <c r="BPD244" s="1206"/>
      <c r="BPE244" s="1206"/>
      <c r="BPF244" s="1206"/>
      <c r="BPG244" s="1206"/>
      <c r="BPH244" s="1206"/>
      <c r="BPI244" s="1206"/>
      <c r="BPJ244" s="1206"/>
      <c r="BPK244" s="1207"/>
      <c r="BPL244" s="1206"/>
      <c r="BPM244" s="1206"/>
      <c r="BPN244" s="1206"/>
      <c r="BPO244" s="1206"/>
      <c r="BPP244" s="1206"/>
      <c r="BPQ244" s="1206"/>
      <c r="BPR244" s="1206"/>
      <c r="BPS244" s="1206"/>
      <c r="BPT244" s="1206"/>
      <c r="BPU244" s="1206"/>
      <c r="BPV244" s="1206"/>
      <c r="BPW244" s="1206"/>
      <c r="BPX244" s="1206"/>
      <c r="BPY244" s="1206"/>
      <c r="BPZ244" s="1206"/>
      <c r="BQA244" s="1206"/>
      <c r="BQB244" s="1207"/>
      <c r="BQC244" s="1206"/>
      <c r="BQD244" s="1206"/>
      <c r="BQE244" s="1206"/>
      <c r="BQF244" s="1206"/>
      <c r="BQG244" s="1206"/>
      <c r="BQH244" s="1206"/>
      <c r="BQI244" s="1206"/>
      <c r="BQJ244" s="1206"/>
      <c r="BQK244" s="1206"/>
      <c r="BQL244" s="1206"/>
      <c r="BQM244" s="1206"/>
      <c r="BQN244" s="1206"/>
      <c r="BQO244" s="1206"/>
      <c r="BQP244" s="1206"/>
      <c r="BQQ244" s="1206"/>
      <c r="BQR244" s="1206"/>
      <c r="BQS244" s="1207"/>
      <c r="BQT244" s="1206"/>
      <c r="BQU244" s="1206"/>
      <c r="BQV244" s="1206"/>
      <c r="BQW244" s="1206"/>
      <c r="BQX244" s="1206"/>
      <c r="BQY244" s="1206"/>
      <c r="BQZ244" s="1206"/>
      <c r="BRA244" s="1206"/>
      <c r="BRB244" s="1206"/>
      <c r="BRC244" s="1206"/>
      <c r="BRD244" s="1206"/>
      <c r="BRE244" s="1206"/>
      <c r="BRF244" s="1206"/>
      <c r="BRG244" s="1206"/>
      <c r="BRH244" s="1206"/>
      <c r="BRI244" s="1206"/>
      <c r="BRJ244" s="1207"/>
      <c r="BRK244" s="1206"/>
      <c r="BRL244" s="1206"/>
      <c r="BRM244" s="1206"/>
      <c r="BRN244" s="1206"/>
      <c r="BRO244" s="1206"/>
      <c r="BRP244" s="1206"/>
      <c r="BRQ244" s="1206"/>
      <c r="BRR244" s="1206"/>
      <c r="BRS244" s="1206"/>
      <c r="BRT244" s="1206"/>
      <c r="BRU244" s="1206"/>
      <c r="BRV244" s="1206"/>
      <c r="BRW244" s="1206"/>
      <c r="BRX244" s="1206"/>
      <c r="BRY244" s="1206"/>
      <c r="BRZ244" s="1206"/>
      <c r="BSA244" s="1207"/>
      <c r="BSB244" s="1206"/>
      <c r="BSC244" s="1206"/>
      <c r="BSD244" s="1206"/>
      <c r="BSE244" s="1206"/>
      <c r="BSF244" s="1206"/>
      <c r="BSG244" s="1206"/>
      <c r="BSH244" s="1206"/>
      <c r="BSI244" s="1206"/>
      <c r="BSJ244" s="1206"/>
      <c r="BSK244" s="1206"/>
      <c r="BSL244" s="1206"/>
      <c r="BSM244" s="1206"/>
      <c r="BSN244" s="1206"/>
      <c r="BSO244" s="1206"/>
      <c r="BSP244" s="1206"/>
      <c r="BSQ244" s="1206"/>
      <c r="BSR244" s="1207"/>
      <c r="BSS244" s="1206"/>
      <c r="BST244" s="1206"/>
      <c r="BSU244" s="1206"/>
      <c r="BSV244" s="1206"/>
      <c r="BSW244" s="1206"/>
      <c r="BSX244" s="1206"/>
      <c r="BSY244" s="1206"/>
      <c r="BSZ244" s="1206"/>
      <c r="BTA244" s="1206"/>
      <c r="BTB244" s="1206"/>
      <c r="BTC244" s="1206"/>
      <c r="BTD244" s="1206"/>
      <c r="BTE244" s="1206"/>
      <c r="BTF244" s="1206"/>
      <c r="BTG244" s="1206"/>
      <c r="BTH244" s="1206"/>
      <c r="BTI244" s="1207"/>
      <c r="BTJ244" s="1206"/>
      <c r="BTK244" s="1206"/>
      <c r="BTL244" s="1206"/>
      <c r="BTM244" s="1206"/>
      <c r="BTN244" s="1206"/>
      <c r="BTO244" s="1206"/>
      <c r="BTP244" s="1206"/>
      <c r="BTQ244" s="1206"/>
      <c r="BTR244" s="1206"/>
      <c r="BTS244" s="1206"/>
      <c r="BTT244" s="1206"/>
      <c r="BTU244" s="1206"/>
      <c r="BTV244" s="1206"/>
      <c r="BTW244" s="1206"/>
      <c r="BTX244" s="1206"/>
      <c r="BTY244" s="1206"/>
      <c r="BTZ244" s="1207"/>
      <c r="BUA244" s="1206"/>
      <c r="BUB244" s="1206"/>
      <c r="BUC244" s="1206"/>
      <c r="BUD244" s="1206"/>
      <c r="BUE244" s="1206"/>
      <c r="BUF244" s="1206"/>
      <c r="BUG244" s="1206"/>
      <c r="BUH244" s="1206"/>
      <c r="BUI244" s="1206"/>
      <c r="BUJ244" s="1206"/>
      <c r="BUK244" s="1206"/>
      <c r="BUL244" s="1206"/>
      <c r="BUM244" s="1206"/>
      <c r="BUN244" s="1206"/>
      <c r="BUO244" s="1206"/>
      <c r="BUP244" s="1206"/>
      <c r="BUQ244" s="1207"/>
      <c r="BUR244" s="1206"/>
      <c r="BUS244" s="1206"/>
      <c r="BUT244" s="1206"/>
      <c r="BUU244" s="1206"/>
      <c r="BUV244" s="1206"/>
      <c r="BUW244" s="1206"/>
      <c r="BUX244" s="1206"/>
      <c r="BUY244" s="1206"/>
      <c r="BUZ244" s="1206"/>
      <c r="BVA244" s="1206"/>
      <c r="BVB244" s="1206"/>
      <c r="BVC244" s="1206"/>
      <c r="BVD244" s="1206"/>
      <c r="BVE244" s="1206"/>
      <c r="BVF244" s="1206"/>
      <c r="BVG244" s="1206"/>
      <c r="BVH244" s="1207"/>
      <c r="BVI244" s="1206"/>
      <c r="BVJ244" s="1206"/>
      <c r="BVK244" s="1206"/>
      <c r="BVL244" s="1206"/>
      <c r="BVM244" s="1206"/>
      <c r="BVN244" s="1206"/>
      <c r="BVO244" s="1206"/>
      <c r="BVP244" s="1206"/>
      <c r="BVQ244" s="1206"/>
      <c r="BVR244" s="1206"/>
      <c r="BVS244" s="1206"/>
      <c r="BVT244" s="1206"/>
      <c r="BVU244" s="1206"/>
      <c r="BVV244" s="1206"/>
      <c r="BVW244" s="1206"/>
      <c r="BVX244" s="1206"/>
      <c r="BVY244" s="1207"/>
      <c r="BVZ244" s="1206"/>
      <c r="BWA244" s="1206"/>
      <c r="BWB244" s="1206"/>
      <c r="BWC244" s="1206"/>
      <c r="BWD244" s="1206"/>
      <c r="BWE244" s="1206"/>
      <c r="BWF244" s="1206"/>
      <c r="BWG244" s="1206"/>
      <c r="BWH244" s="1206"/>
      <c r="BWI244" s="1206"/>
      <c r="BWJ244" s="1206"/>
      <c r="BWK244" s="1206"/>
      <c r="BWL244" s="1206"/>
      <c r="BWM244" s="1206"/>
      <c r="BWN244" s="1206"/>
      <c r="BWO244" s="1206"/>
      <c r="BWP244" s="1207"/>
      <c r="BWQ244" s="1206"/>
      <c r="BWR244" s="1206"/>
      <c r="BWS244" s="1206"/>
      <c r="BWT244" s="1206"/>
      <c r="BWU244" s="1206"/>
      <c r="BWV244" s="1206"/>
      <c r="BWW244" s="1206"/>
      <c r="BWX244" s="1206"/>
      <c r="BWY244" s="1206"/>
      <c r="BWZ244" s="1206"/>
      <c r="BXA244" s="1206"/>
      <c r="BXB244" s="1206"/>
      <c r="BXC244" s="1206"/>
      <c r="BXD244" s="1206"/>
      <c r="BXE244" s="1206"/>
      <c r="BXF244" s="1206"/>
      <c r="BXG244" s="1207"/>
      <c r="BXH244" s="1206"/>
      <c r="BXI244" s="1206"/>
      <c r="BXJ244" s="1206"/>
      <c r="BXK244" s="1206"/>
      <c r="BXL244" s="1206"/>
      <c r="BXM244" s="1206"/>
      <c r="BXN244" s="1206"/>
      <c r="BXO244" s="1206"/>
      <c r="BXP244" s="1206"/>
      <c r="BXQ244" s="1206"/>
      <c r="BXR244" s="1206"/>
      <c r="BXS244" s="1206"/>
      <c r="BXT244" s="1206"/>
      <c r="BXU244" s="1206"/>
      <c r="BXV244" s="1206"/>
      <c r="BXW244" s="1206"/>
      <c r="BXX244" s="1207"/>
      <c r="BXY244" s="1206"/>
      <c r="BXZ244" s="1206"/>
      <c r="BYA244" s="1206"/>
      <c r="BYB244" s="1206"/>
      <c r="BYC244" s="1206"/>
      <c r="BYD244" s="1206"/>
      <c r="BYE244" s="1206"/>
      <c r="BYF244" s="1206"/>
      <c r="BYG244" s="1206"/>
      <c r="BYH244" s="1206"/>
      <c r="BYI244" s="1206"/>
      <c r="BYJ244" s="1206"/>
      <c r="BYK244" s="1206"/>
      <c r="BYL244" s="1206"/>
      <c r="BYM244" s="1206"/>
      <c r="BYN244" s="1206"/>
      <c r="BYO244" s="1207"/>
      <c r="BYP244" s="1206"/>
      <c r="BYQ244" s="1206"/>
      <c r="BYR244" s="1206"/>
      <c r="BYS244" s="1206"/>
      <c r="BYT244" s="1206"/>
      <c r="BYU244" s="1206"/>
      <c r="BYV244" s="1206"/>
      <c r="BYW244" s="1206"/>
      <c r="BYX244" s="1206"/>
      <c r="BYY244" s="1206"/>
      <c r="BYZ244" s="1206"/>
      <c r="BZA244" s="1206"/>
      <c r="BZB244" s="1206"/>
      <c r="BZC244" s="1206"/>
      <c r="BZD244" s="1206"/>
      <c r="BZE244" s="1206"/>
      <c r="BZF244" s="1207"/>
      <c r="BZG244" s="1206"/>
      <c r="BZH244" s="1206"/>
      <c r="BZI244" s="1206"/>
      <c r="BZJ244" s="1206"/>
      <c r="BZK244" s="1206"/>
      <c r="BZL244" s="1206"/>
      <c r="BZM244" s="1206"/>
      <c r="BZN244" s="1206"/>
      <c r="BZO244" s="1206"/>
      <c r="BZP244" s="1206"/>
      <c r="BZQ244" s="1206"/>
      <c r="BZR244" s="1206"/>
      <c r="BZS244" s="1206"/>
      <c r="BZT244" s="1206"/>
      <c r="BZU244" s="1206"/>
      <c r="BZV244" s="1206"/>
      <c r="BZW244" s="1207"/>
      <c r="BZX244" s="1206"/>
      <c r="BZY244" s="1206"/>
      <c r="BZZ244" s="1206"/>
      <c r="CAA244" s="1206"/>
      <c r="CAB244" s="1206"/>
      <c r="CAC244" s="1206"/>
      <c r="CAD244" s="1206"/>
      <c r="CAE244" s="1206"/>
      <c r="CAF244" s="1206"/>
      <c r="CAG244" s="1206"/>
      <c r="CAH244" s="1206"/>
      <c r="CAI244" s="1206"/>
      <c r="CAJ244" s="1206"/>
      <c r="CAK244" s="1206"/>
      <c r="CAL244" s="1206"/>
      <c r="CAM244" s="1206"/>
      <c r="CAN244" s="1207"/>
      <c r="CAO244" s="1206"/>
      <c r="CAP244" s="1206"/>
      <c r="CAQ244" s="1206"/>
      <c r="CAR244" s="1206"/>
      <c r="CAS244" s="1206"/>
      <c r="CAT244" s="1206"/>
      <c r="CAU244" s="1206"/>
      <c r="CAV244" s="1206"/>
      <c r="CAW244" s="1206"/>
      <c r="CAX244" s="1206"/>
      <c r="CAY244" s="1206"/>
      <c r="CAZ244" s="1206"/>
      <c r="CBA244" s="1206"/>
      <c r="CBB244" s="1206"/>
      <c r="CBC244" s="1206"/>
      <c r="CBD244" s="1206"/>
      <c r="CBE244" s="1207"/>
      <c r="CBF244" s="1206"/>
      <c r="CBG244" s="1206"/>
      <c r="CBH244" s="1206"/>
      <c r="CBI244" s="1206"/>
      <c r="CBJ244" s="1206"/>
      <c r="CBK244" s="1206"/>
      <c r="CBL244" s="1206"/>
      <c r="CBM244" s="1206"/>
      <c r="CBN244" s="1206"/>
      <c r="CBO244" s="1206"/>
      <c r="CBP244" s="1206"/>
      <c r="CBQ244" s="1206"/>
      <c r="CBR244" s="1206"/>
      <c r="CBS244" s="1206"/>
      <c r="CBT244" s="1206"/>
      <c r="CBU244" s="1206"/>
      <c r="CBV244" s="1207"/>
      <c r="CBW244" s="1206"/>
      <c r="CBX244" s="1206"/>
      <c r="CBY244" s="1206"/>
      <c r="CBZ244" s="1206"/>
      <c r="CCA244" s="1206"/>
      <c r="CCB244" s="1206"/>
      <c r="CCC244" s="1206"/>
      <c r="CCD244" s="1206"/>
      <c r="CCE244" s="1206"/>
      <c r="CCF244" s="1206"/>
      <c r="CCG244" s="1206"/>
      <c r="CCH244" s="1206"/>
      <c r="CCI244" s="1206"/>
      <c r="CCJ244" s="1206"/>
      <c r="CCK244" s="1206"/>
      <c r="CCL244" s="1206"/>
      <c r="CCM244" s="1207"/>
      <c r="CCN244" s="1206"/>
      <c r="CCO244" s="1206"/>
      <c r="CCP244" s="1206"/>
      <c r="CCQ244" s="1206"/>
      <c r="CCR244" s="1206"/>
      <c r="CCS244" s="1206"/>
      <c r="CCT244" s="1206"/>
      <c r="CCU244" s="1206"/>
      <c r="CCV244" s="1206"/>
      <c r="CCW244" s="1206"/>
      <c r="CCX244" s="1206"/>
      <c r="CCY244" s="1206"/>
      <c r="CCZ244" s="1206"/>
      <c r="CDA244" s="1206"/>
      <c r="CDB244" s="1206"/>
      <c r="CDC244" s="1206"/>
      <c r="CDD244" s="1207"/>
      <c r="CDE244" s="1206"/>
      <c r="CDF244" s="1206"/>
      <c r="CDG244" s="1206"/>
      <c r="CDH244" s="1206"/>
      <c r="CDI244" s="1206"/>
      <c r="CDJ244" s="1206"/>
      <c r="CDK244" s="1206"/>
      <c r="CDL244" s="1206"/>
      <c r="CDM244" s="1206"/>
      <c r="CDN244" s="1206"/>
      <c r="CDO244" s="1206"/>
      <c r="CDP244" s="1206"/>
      <c r="CDQ244" s="1206"/>
      <c r="CDR244" s="1206"/>
      <c r="CDS244" s="1206"/>
      <c r="CDT244" s="1206"/>
      <c r="CDU244" s="1207"/>
      <c r="CDV244" s="1206"/>
      <c r="CDW244" s="1206"/>
      <c r="CDX244" s="1206"/>
      <c r="CDY244" s="1206"/>
      <c r="CDZ244" s="1206"/>
      <c r="CEA244" s="1206"/>
      <c r="CEB244" s="1206"/>
      <c r="CEC244" s="1206"/>
      <c r="CED244" s="1206"/>
      <c r="CEE244" s="1206"/>
      <c r="CEF244" s="1206"/>
      <c r="CEG244" s="1206"/>
      <c r="CEH244" s="1206"/>
      <c r="CEI244" s="1206"/>
      <c r="CEJ244" s="1206"/>
      <c r="CEK244" s="1206"/>
      <c r="CEL244" s="1207"/>
      <c r="CEM244" s="1206"/>
      <c r="CEN244" s="1206"/>
      <c r="CEO244" s="1206"/>
      <c r="CEP244" s="1206"/>
      <c r="CEQ244" s="1206"/>
      <c r="CER244" s="1206"/>
      <c r="CES244" s="1206"/>
      <c r="CET244" s="1206"/>
      <c r="CEU244" s="1206"/>
      <c r="CEV244" s="1206"/>
      <c r="CEW244" s="1206"/>
      <c r="CEX244" s="1206"/>
      <c r="CEY244" s="1206"/>
      <c r="CEZ244" s="1206"/>
      <c r="CFA244" s="1206"/>
      <c r="CFB244" s="1206"/>
      <c r="CFC244" s="1207"/>
      <c r="CFD244" s="1206"/>
      <c r="CFE244" s="1206"/>
      <c r="CFF244" s="1206"/>
      <c r="CFG244" s="1206"/>
      <c r="CFH244" s="1206"/>
      <c r="CFI244" s="1206"/>
      <c r="CFJ244" s="1206"/>
      <c r="CFK244" s="1206"/>
      <c r="CFL244" s="1206"/>
      <c r="CFM244" s="1206"/>
      <c r="CFN244" s="1206"/>
      <c r="CFO244" s="1206"/>
      <c r="CFP244" s="1206"/>
      <c r="CFQ244" s="1206"/>
      <c r="CFR244" s="1206"/>
      <c r="CFS244" s="1206"/>
      <c r="CFT244" s="1207"/>
      <c r="CFU244" s="1206"/>
      <c r="CFV244" s="1206"/>
      <c r="CFW244" s="1206"/>
      <c r="CFX244" s="1206"/>
      <c r="CFY244" s="1206"/>
      <c r="CFZ244" s="1206"/>
      <c r="CGA244" s="1206"/>
      <c r="CGB244" s="1206"/>
      <c r="CGC244" s="1206"/>
      <c r="CGD244" s="1206"/>
      <c r="CGE244" s="1206"/>
      <c r="CGF244" s="1206"/>
      <c r="CGG244" s="1206"/>
      <c r="CGH244" s="1206"/>
      <c r="CGI244" s="1206"/>
      <c r="CGJ244" s="1206"/>
      <c r="CGK244" s="1207"/>
      <c r="CGL244" s="1206"/>
      <c r="CGM244" s="1206"/>
      <c r="CGN244" s="1206"/>
      <c r="CGO244" s="1206"/>
      <c r="CGP244" s="1206"/>
      <c r="CGQ244" s="1206"/>
      <c r="CGR244" s="1206"/>
      <c r="CGS244" s="1206"/>
      <c r="CGT244" s="1206"/>
      <c r="CGU244" s="1206"/>
      <c r="CGV244" s="1206"/>
      <c r="CGW244" s="1206"/>
      <c r="CGX244" s="1206"/>
      <c r="CGY244" s="1206"/>
      <c r="CGZ244" s="1206"/>
      <c r="CHA244" s="1206"/>
      <c r="CHB244" s="1207"/>
      <c r="CHC244" s="1206"/>
      <c r="CHD244" s="1206"/>
      <c r="CHE244" s="1206"/>
      <c r="CHF244" s="1206"/>
      <c r="CHG244" s="1206"/>
      <c r="CHH244" s="1206"/>
      <c r="CHI244" s="1206"/>
      <c r="CHJ244" s="1206"/>
      <c r="CHK244" s="1206"/>
      <c r="CHL244" s="1206"/>
      <c r="CHM244" s="1206"/>
      <c r="CHN244" s="1206"/>
      <c r="CHO244" s="1206"/>
      <c r="CHP244" s="1206"/>
      <c r="CHQ244" s="1206"/>
      <c r="CHR244" s="1206"/>
      <c r="CHS244" s="1207"/>
      <c r="CHT244" s="1206"/>
      <c r="CHU244" s="1206"/>
      <c r="CHV244" s="1206"/>
      <c r="CHW244" s="1206"/>
      <c r="CHX244" s="1206"/>
      <c r="CHY244" s="1206"/>
      <c r="CHZ244" s="1206"/>
      <c r="CIA244" s="1206"/>
      <c r="CIB244" s="1206"/>
      <c r="CIC244" s="1206"/>
      <c r="CID244" s="1206"/>
      <c r="CIE244" s="1206"/>
      <c r="CIF244" s="1206"/>
      <c r="CIG244" s="1206"/>
      <c r="CIH244" s="1206"/>
      <c r="CII244" s="1206"/>
      <c r="CIJ244" s="1207"/>
      <c r="CIK244" s="1206"/>
      <c r="CIL244" s="1206"/>
      <c r="CIM244" s="1206"/>
      <c r="CIN244" s="1206"/>
      <c r="CIO244" s="1206"/>
      <c r="CIP244" s="1206"/>
      <c r="CIQ244" s="1206"/>
      <c r="CIR244" s="1206"/>
      <c r="CIS244" s="1206"/>
      <c r="CIT244" s="1206"/>
      <c r="CIU244" s="1206"/>
      <c r="CIV244" s="1206"/>
      <c r="CIW244" s="1206"/>
      <c r="CIX244" s="1206"/>
      <c r="CIY244" s="1206"/>
      <c r="CIZ244" s="1206"/>
      <c r="CJA244" s="1207"/>
      <c r="CJB244" s="1206"/>
      <c r="CJC244" s="1206"/>
      <c r="CJD244" s="1206"/>
      <c r="CJE244" s="1206"/>
      <c r="CJF244" s="1206"/>
      <c r="CJG244" s="1206"/>
      <c r="CJH244" s="1206"/>
      <c r="CJI244" s="1206"/>
      <c r="CJJ244" s="1206"/>
      <c r="CJK244" s="1206"/>
      <c r="CJL244" s="1206"/>
      <c r="CJM244" s="1206"/>
      <c r="CJN244" s="1206"/>
      <c r="CJO244" s="1206"/>
      <c r="CJP244" s="1206"/>
      <c r="CJQ244" s="1206"/>
      <c r="CJR244" s="1207"/>
      <c r="CJS244" s="1206"/>
      <c r="CJT244" s="1206"/>
      <c r="CJU244" s="1206"/>
      <c r="CJV244" s="1206"/>
      <c r="CJW244" s="1206"/>
      <c r="CJX244" s="1206"/>
      <c r="CJY244" s="1206"/>
      <c r="CJZ244" s="1206"/>
      <c r="CKA244" s="1206"/>
      <c r="CKB244" s="1206"/>
      <c r="CKC244" s="1206"/>
      <c r="CKD244" s="1206"/>
      <c r="CKE244" s="1206"/>
      <c r="CKF244" s="1206"/>
      <c r="CKG244" s="1206"/>
      <c r="CKH244" s="1206"/>
      <c r="CKI244" s="1207"/>
      <c r="CKJ244" s="1206"/>
      <c r="CKK244" s="1206"/>
      <c r="CKL244" s="1206"/>
      <c r="CKM244" s="1206"/>
      <c r="CKN244" s="1206"/>
      <c r="CKO244" s="1206"/>
      <c r="CKP244" s="1206"/>
      <c r="CKQ244" s="1206"/>
      <c r="CKR244" s="1206"/>
      <c r="CKS244" s="1206"/>
      <c r="CKT244" s="1206"/>
      <c r="CKU244" s="1206"/>
      <c r="CKV244" s="1206"/>
      <c r="CKW244" s="1206"/>
      <c r="CKX244" s="1206"/>
      <c r="CKY244" s="1206"/>
      <c r="CKZ244" s="1207"/>
      <c r="CLA244" s="1206"/>
      <c r="CLB244" s="1206"/>
      <c r="CLC244" s="1206"/>
      <c r="CLD244" s="1206"/>
      <c r="CLE244" s="1206"/>
      <c r="CLF244" s="1206"/>
      <c r="CLG244" s="1206"/>
      <c r="CLH244" s="1206"/>
      <c r="CLI244" s="1206"/>
      <c r="CLJ244" s="1206"/>
      <c r="CLK244" s="1206"/>
      <c r="CLL244" s="1206"/>
      <c r="CLM244" s="1206"/>
      <c r="CLN244" s="1206"/>
      <c r="CLO244" s="1206"/>
      <c r="CLP244" s="1206"/>
      <c r="CLQ244" s="1207"/>
      <c r="CLR244" s="1206"/>
      <c r="CLS244" s="1206"/>
      <c r="CLT244" s="1206"/>
      <c r="CLU244" s="1206"/>
      <c r="CLV244" s="1206"/>
      <c r="CLW244" s="1206"/>
      <c r="CLX244" s="1206"/>
      <c r="CLY244" s="1206"/>
      <c r="CLZ244" s="1206"/>
      <c r="CMA244" s="1206"/>
      <c r="CMB244" s="1206"/>
      <c r="CMC244" s="1206"/>
      <c r="CMD244" s="1206"/>
      <c r="CME244" s="1206"/>
      <c r="CMF244" s="1206"/>
      <c r="CMG244" s="1206"/>
      <c r="CMH244" s="1207"/>
      <c r="CMI244" s="1206"/>
      <c r="CMJ244" s="1206"/>
      <c r="CMK244" s="1206"/>
      <c r="CML244" s="1206"/>
      <c r="CMM244" s="1206"/>
      <c r="CMN244" s="1206"/>
      <c r="CMO244" s="1206"/>
      <c r="CMP244" s="1206"/>
      <c r="CMQ244" s="1206"/>
      <c r="CMR244" s="1206"/>
      <c r="CMS244" s="1206"/>
      <c r="CMT244" s="1206"/>
      <c r="CMU244" s="1206"/>
      <c r="CMV244" s="1206"/>
      <c r="CMW244" s="1206"/>
      <c r="CMX244" s="1206"/>
      <c r="CMY244" s="1207"/>
      <c r="CMZ244" s="1206"/>
      <c r="CNA244" s="1206"/>
      <c r="CNB244" s="1206"/>
      <c r="CNC244" s="1206"/>
      <c r="CND244" s="1206"/>
      <c r="CNE244" s="1206"/>
      <c r="CNF244" s="1206"/>
      <c r="CNG244" s="1206"/>
      <c r="CNH244" s="1206"/>
      <c r="CNI244" s="1206"/>
      <c r="CNJ244" s="1206"/>
      <c r="CNK244" s="1206"/>
      <c r="CNL244" s="1206"/>
      <c r="CNM244" s="1206"/>
      <c r="CNN244" s="1206"/>
      <c r="CNO244" s="1206"/>
      <c r="CNP244" s="1207"/>
      <c r="CNQ244" s="1206"/>
      <c r="CNR244" s="1206"/>
      <c r="CNS244" s="1206"/>
      <c r="CNT244" s="1206"/>
      <c r="CNU244" s="1206"/>
      <c r="CNV244" s="1206"/>
      <c r="CNW244" s="1206"/>
      <c r="CNX244" s="1206"/>
      <c r="CNY244" s="1206"/>
      <c r="CNZ244" s="1206"/>
      <c r="COA244" s="1206"/>
      <c r="COB244" s="1206"/>
      <c r="COC244" s="1206"/>
      <c r="COD244" s="1206"/>
      <c r="COE244" s="1206"/>
      <c r="COF244" s="1206"/>
      <c r="COG244" s="1207"/>
      <c r="COH244" s="1206"/>
      <c r="COI244" s="1206"/>
      <c r="COJ244" s="1206"/>
      <c r="COK244" s="1206"/>
      <c r="COL244" s="1206"/>
      <c r="COM244" s="1206"/>
      <c r="CON244" s="1206"/>
      <c r="COO244" s="1206"/>
      <c r="COP244" s="1206"/>
      <c r="COQ244" s="1206"/>
      <c r="COR244" s="1206"/>
      <c r="COS244" s="1206"/>
      <c r="COT244" s="1206"/>
      <c r="COU244" s="1206"/>
      <c r="COV244" s="1206"/>
      <c r="COW244" s="1206"/>
      <c r="COX244" s="1207"/>
      <c r="COY244" s="1206"/>
      <c r="COZ244" s="1206"/>
      <c r="CPA244" s="1206"/>
      <c r="CPB244" s="1206"/>
      <c r="CPC244" s="1206"/>
      <c r="CPD244" s="1206"/>
      <c r="CPE244" s="1206"/>
      <c r="CPF244" s="1206"/>
      <c r="CPG244" s="1206"/>
      <c r="CPH244" s="1206"/>
      <c r="CPI244" s="1206"/>
      <c r="CPJ244" s="1206"/>
      <c r="CPK244" s="1206"/>
      <c r="CPL244" s="1206"/>
      <c r="CPM244" s="1206"/>
      <c r="CPN244" s="1206"/>
      <c r="CPO244" s="1207"/>
      <c r="CPP244" s="1206"/>
      <c r="CPQ244" s="1206"/>
      <c r="CPR244" s="1206"/>
      <c r="CPS244" s="1206"/>
      <c r="CPT244" s="1206"/>
      <c r="CPU244" s="1206"/>
      <c r="CPV244" s="1206"/>
      <c r="CPW244" s="1206"/>
      <c r="CPX244" s="1206"/>
      <c r="CPY244" s="1206"/>
      <c r="CPZ244" s="1206"/>
      <c r="CQA244" s="1206"/>
      <c r="CQB244" s="1206"/>
      <c r="CQC244" s="1206"/>
      <c r="CQD244" s="1206"/>
      <c r="CQE244" s="1206"/>
      <c r="CQF244" s="1207"/>
      <c r="CQG244" s="1206"/>
      <c r="CQH244" s="1206"/>
      <c r="CQI244" s="1206"/>
      <c r="CQJ244" s="1206"/>
      <c r="CQK244" s="1206"/>
      <c r="CQL244" s="1206"/>
      <c r="CQM244" s="1206"/>
      <c r="CQN244" s="1206"/>
      <c r="CQO244" s="1206"/>
      <c r="CQP244" s="1206"/>
      <c r="CQQ244" s="1206"/>
      <c r="CQR244" s="1206"/>
      <c r="CQS244" s="1206"/>
      <c r="CQT244" s="1206"/>
      <c r="CQU244" s="1206"/>
      <c r="CQV244" s="1206"/>
      <c r="CQW244" s="1207"/>
      <c r="CQX244" s="1206"/>
      <c r="CQY244" s="1206"/>
      <c r="CQZ244" s="1206"/>
      <c r="CRA244" s="1206"/>
      <c r="CRB244" s="1206"/>
      <c r="CRC244" s="1206"/>
      <c r="CRD244" s="1206"/>
      <c r="CRE244" s="1206"/>
      <c r="CRF244" s="1206"/>
      <c r="CRG244" s="1206"/>
      <c r="CRH244" s="1206"/>
      <c r="CRI244" s="1206"/>
      <c r="CRJ244" s="1206"/>
      <c r="CRK244" s="1206"/>
      <c r="CRL244" s="1206"/>
      <c r="CRM244" s="1206"/>
      <c r="CRN244" s="1207"/>
      <c r="CRO244" s="1206"/>
      <c r="CRP244" s="1206"/>
      <c r="CRQ244" s="1206"/>
      <c r="CRR244" s="1206"/>
      <c r="CRS244" s="1206"/>
      <c r="CRT244" s="1206"/>
      <c r="CRU244" s="1206"/>
      <c r="CRV244" s="1206"/>
      <c r="CRW244" s="1206"/>
      <c r="CRX244" s="1206"/>
      <c r="CRY244" s="1206"/>
      <c r="CRZ244" s="1206"/>
      <c r="CSA244" s="1206"/>
      <c r="CSB244" s="1206"/>
      <c r="CSC244" s="1206"/>
      <c r="CSD244" s="1206"/>
      <c r="CSE244" s="1207"/>
      <c r="CSF244" s="1206"/>
      <c r="CSG244" s="1206"/>
      <c r="CSH244" s="1206"/>
      <c r="CSI244" s="1206"/>
      <c r="CSJ244" s="1206"/>
      <c r="CSK244" s="1206"/>
      <c r="CSL244" s="1206"/>
      <c r="CSM244" s="1206"/>
      <c r="CSN244" s="1206"/>
      <c r="CSO244" s="1206"/>
      <c r="CSP244" s="1206"/>
      <c r="CSQ244" s="1206"/>
      <c r="CSR244" s="1206"/>
      <c r="CSS244" s="1206"/>
      <c r="CST244" s="1206"/>
      <c r="CSU244" s="1206"/>
      <c r="CSV244" s="1207"/>
      <c r="CSW244" s="1206"/>
      <c r="CSX244" s="1206"/>
      <c r="CSY244" s="1206"/>
      <c r="CSZ244" s="1206"/>
      <c r="CTA244" s="1206"/>
      <c r="CTB244" s="1206"/>
      <c r="CTC244" s="1206"/>
      <c r="CTD244" s="1206"/>
      <c r="CTE244" s="1206"/>
      <c r="CTF244" s="1206"/>
      <c r="CTG244" s="1206"/>
      <c r="CTH244" s="1206"/>
      <c r="CTI244" s="1206"/>
      <c r="CTJ244" s="1206"/>
      <c r="CTK244" s="1206"/>
      <c r="CTL244" s="1206"/>
      <c r="CTM244" s="1207"/>
      <c r="CTN244" s="1206"/>
      <c r="CTO244" s="1206"/>
      <c r="CTP244" s="1206"/>
      <c r="CTQ244" s="1206"/>
      <c r="CTR244" s="1206"/>
      <c r="CTS244" s="1206"/>
      <c r="CTT244" s="1206"/>
      <c r="CTU244" s="1206"/>
      <c r="CTV244" s="1206"/>
      <c r="CTW244" s="1206"/>
      <c r="CTX244" s="1206"/>
      <c r="CTY244" s="1206"/>
      <c r="CTZ244" s="1206"/>
      <c r="CUA244" s="1206"/>
      <c r="CUB244" s="1206"/>
      <c r="CUC244" s="1206"/>
      <c r="CUD244" s="1207"/>
      <c r="CUE244" s="1206"/>
      <c r="CUF244" s="1206"/>
      <c r="CUG244" s="1206"/>
      <c r="CUH244" s="1206"/>
      <c r="CUI244" s="1206"/>
      <c r="CUJ244" s="1206"/>
      <c r="CUK244" s="1206"/>
      <c r="CUL244" s="1206"/>
      <c r="CUM244" s="1206"/>
      <c r="CUN244" s="1206"/>
      <c r="CUO244" s="1206"/>
      <c r="CUP244" s="1206"/>
      <c r="CUQ244" s="1206"/>
      <c r="CUR244" s="1206"/>
      <c r="CUS244" s="1206"/>
      <c r="CUT244" s="1206"/>
      <c r="CUU244" s="1207"/>
      <c r="CUV244" s="1206"/>
      <c r="CUW244" s="1206"/>
      <c r="CUX244" s="1206"/>
      <c r="CUY244" s="1206"/>
      <c r="CUZ244" s="1206"/>
      <c r="CVA244" s="1206"/>
      <c r="CVB244" s="1206"/>
      <c r="CVC244" s="1206"/>
      <c r="CVD244" s="1206"/>
      <c r="CVE244" s="1206"/>
      <c r="CVF244" s="1206"/>
      <c r="CVG244" s="1206"/>
      <c r="CVH244" s="1206"/>
      <c r="CVI244" s="1206"/>
      <c r="CVJ244" s="1206"/>
      <c r="CVK244" s="1206"/>
      <c r="CVL244" s="1207"/>
      <c r="CVM244" s="1206"/>
      <c r="CVN244" s="1206"/>
      <c r="CVO244" s="1206"/>
      <c r="CVP244" s="1206"/>
      <c r="CVQ244" s="1206"/>
      <c r="CVR244" s="1206"/>
      <c r="CVS244" s="1206"/>
      <c r="CVT244" s="1206"/>
      <c r="CVU244" s="1206"/>
      <c r="CVV244" s="1206"/>
      <c r="CVW244" s="1206"/>
      <c r="CVX244" s="1206"/>
      <c r="CVY244" s="1206"/>
      <c r="CVZ244" s="1206"/>
      <c r="CWA244" s="1206"/>
      <c r="CWB244" s="1206"/>
      <c r="CWC244" s="1207"/>
      <c r="CWD244" s="1206"/>
      <c r="CWE244" s="1206"/>
      <c r="CWF244" s="1206"/>
      <c r="CWG244" s="1206"/>
      <c r="CWH244" s="1206"/>
      <c r="CWI244" s="1206"/>
      <c r="CWJ244" s="1206"/>
      <c r="CWK244" s="1206"/>
      <c r="CWL244" s="1206"/>
      <c r="CWM244" s="1206"/>
      <c r="CWN244" s="1206"/>
      <c r="CWO244" s="1206"/>
      <c r="CWP244" s="1206"/>
      <c r="CWQ244" s="1206"/>
      <c r="CWR244" s="1206"/>
      <c r="CWS244" s="1206"/>
      <c r="CWT244" s="1207"/>
      <c r="CWU244" s="1206"/>
      <c r="CWV244" s="1206"/>
      <c r="CWW244" s="1206"/>
      <c r="CWX244" s="1206"/>
      <c r="CWY244" s="1206"/>
      <c r="CWZ244" s="1206"/>
      <c r="CXA244" s="1206"/>
      <c r="CXB244" s="1206"/>
      <c r="CXC244" s="1206"/>
      <c r="CXD244" s="1206"/>
      <c r="CXE244" s="1206"/>
      <c r="CXF244" s="1206"/>
      <c r="CXG244" s="1206"/>
      <c r="CXH244" s="1206"/>
      <c r="CXI244" s="1206"/>
      <c r="CXJ244" s="1206"/>
      <c r="CXK244" s="1207"/>
      <c r="CXL244" s="1206"/>
      <c r="CXM244" s="1206"/>
      <c r="CXN244" s="1206"/>
      <c r="CXO244" s="1206"/>
      <c r="CXP244" s="1206"/>
      <c r="CXQ244" s="1206"/>
      <c r="CXR244" s="1206"/>
      <c r="CXS244" s="1206"/>
      <c r="CXT244" s="1206"/>
      <c r="CXU244" s="1206"/>
      <c r="CXV244" s="1206"/>
      <c r="CXW244" s="1206"/>
      <c r="CXX244" s="1206"/>
      <c r="CXY244" s="1206"/>
      <c r="CXZ244" s="1206"/>
      <c r="CYA244" s="1206"/>
      <c r="CYB244" s="1207"/>
      <c r="CYC244" s="1206"/>
      <c r="CYD244" s="1206"/>
      <c r="CYE244" s="1206"/>
      <c r="CYF244" s="1206"/>
      <c r="CYG244" s="1206"/>
      <c r="CYH244" s="1206"/>
      <c r="CYI244" s="1206"/>
      <c r="CYJ244" s="1206"/>
      <c r="CYK244" s="1206"/>
      <c r="CYL244" s="1206"/>
      <c r="CYM244" s="1206"/>
      <c r="CYN244" s="1206"/>
      <c r="CYO244" s="1206"/>
      <c r="CYP244" s="1206"/>
      <c r="CYQ244" s="1206"/>
      <c r="CYR244" s="1206"/>
      <c r="CYS244" s="1207"/>
      <c r="CYT244" s="1206"/>
      <c r="CYU244" s="1206"/>
      <c r="CYV244" s="1206"/>
      <c r="CYW244" s="1206"/>
      <c r="CYX244" s="1206"/>
      <c r="CYY244" s="1206"/>
      <c r="CYZ244" s="1206"/>
      <c r="CZA244" s="1206"/>
      <c r="CZB244" s="1206"/>
      <c r="CZC244" s="1206"/>
      <c r="CZD244" s="1206"/>
      <c r="CZE244" s="1206"/>
      <c r="CZF244" s="1206"/>
      <c r="CZG244" s="1206"/>
      <c r="CZH244" s="1206"/>
      <c r="CZI244" s="1206"/>
      <c r="CZJ244" s="1207"/>
      <c r="CZK244" s="1206"/>
      <c r="CZL244" s="1206"/>
      <c r="CZM244" s="1206"/>
      <c r="CZN244" s="1206"/>
      <c r="CZO244" s="1206"/>
      <c r="CZP244" s="1206"/>
      <c r="CZQ244" s="1206"/>
      <c r="CZR244" s="1206"/>
      <c r="CZS244" s="1206"/>
      <c r="CZT244" s="1206"/>
      <c r="CZU244" s="1206"/>
      <c r="CZV244" s="1206"/>
      <c r="CZW244" s="1206"/>
      <c r="CZX244" s="1206"/>
      <c r="CZY244" s="1206"/>
      <c r="CZZ244" s="1206"/>
      <c r="DAA244" s="1207"/>
      <c r="DAB244" s="1206"/>
      <c r="DAC244" s="1206"/>
      <c r="DAD244" s="1206"/>
      <c r="DAE244" s="1206"/>
      <c r="DAF244" s="1206"/>
      <c r="DAG244" s="1206"/>
      <c r="DAH244" s="1206"/>
      <c r="DAI244" s="1206"/>
      <c r="DAJ244" s="1206"/>
      <c r="DAK244" s="1206"/>
      <c r="DAL244" s="1206"/>
      <c r="DAM244" s="1206"/>
      <c r="DAN244" s="1206"/>
      <c r="DAO244" s="1206"/>
      <c r="DAP244" s="1206"/>
      <c r="DAQ244" s="1206"/>
      <c r="DAR244" s="1207"/>
      <c r="DAS244" s="1206"/>
      <c r="DAT244" s="1206"/>
      <c r="DAU244" s="1206"/>
      <c r="DAV244" s="1206"/>
      <c r="DAW244" s="1206"/>
      <c r="DAX244" s="1206"/>
      <c r="DAY244" s="1206"/>
      <c r="DAZ244" s="1206"/>
      <c r="DBA244" s="1206"/>
      <c r="DBB244" s="1206"/>
      <c r="DBC244" s="1206"/>
      <c r="DBD244" s="1206"/>
      <c r="DBE244" s="1206"/>
      <c r="DBF244" s="1206"/>
      <c r="DBG244" s="1206"/>
      <c r="DBH244" s="1206"/>
      <c r="DBI244" s="1207"/>
      <c r="DBJ244" s="1206"/>
      <c r="DBK244" s="1206"/>
      <c r="DBL244" s="1206"/>
      <c r="DBM244" s="1206"/>
      <c r="DBN244" s="1206"/>
      <c r="DBO244" s="1206"/>
      <c r="DBP244" s="1206"/>
      <c r="DBQ244" s="1206"/>
      <c r="DBR244" s="1206"/>
      <c r="DBS244" s="1206"/>
      <c r="DBT244" s="1206"/>
      <c r="DBU244" s="1206"/>
      <c r="DBV244" s="1206"/>
      <c r="DBW244" s="1206"/>
      <c r="DBX244" s="1206"/>
      <c r="DBY244" s="1206"/>
      <c r="DBZ244" s="1207"/>
      <c r="DCA244" s="1206"/>
      <c r="DCB244" s="1206"/>
      <c r="DCC244" s="1206"/>
      <c r="DCD244" s="1206"/>
      <c r="DCE244" s="1206"/>
      <c r="DCF244" s="1206"/>
      <c r="DCG244" s="1206"/>
      <c r="DCH244" s="1206"/>
      <c r="DCI244" s="1206"/>
      <c r="DCJ244" s="1206"/>
      <c r="DCK244" s="1206"/>
      <c r="DCL244" s="1206"/>
      <c r="DCM244" s="1206"/>
      <c r="DCN244" s="1206"/>
      <c r="DCO244" s="1206"/>
      <c r="DCP244" s="1206"/>
      <c r="DCQ244" s="1207"/>
      <c r="DCR244" s="1206"/>
      <c r="DCS244" s="1206"/>
      <c r="DCT244" s="1206"/>
      <c r="DCU244" s="1206"/>
      <c r="DCV244" s="1206"/>
      <c r="DCW244" s="1206"/>
      <c r="DCX244" s="1206"/>
      <c r="DCY244" s="1206"/>
      <c r="DCZ244" s="1206"/>
      <c r="DDA244" s="1206"/>
      <c r="DDB244" s="1206"/>
      <c r="DDC244" s="1206"/>
      <c r="DDD244" s="1206"/>
      <c r="DDE244" s="1206"/>
      <c r="DDF244" s="1206"/>
      <c r="DDG244" s="1206"/>
      <c r="DDH244" s="1207"/>
      <c r="DDI244" s="1206"/>
      <c r="DDJ244" s="1206"/>
      <c r="DDK244" s="1206"/>
      <c r="DDL244" s="1206"/>
      <c r="DDM244" s="1206"/>
      <c r="DDN244" s="1206"/>
      <c r="DDO244" s="1206"/>
      <c r="DDP244" s="1206"/>
      <c r="DDQ244" s="1206"/>
      <c r="DDR244" s="1206"/>
      <c r="DDS244" s="1206"/>
      <c r="DDT244" s="1206"/>
      <c r="DDU244" s="1206"/>
      <c r="DDV244" s="1206"/>
      <c r="DDW244" s="1206"/>
      <c r="DDX244" s="1206"/>
      <c r="DDY244" s="1207"/>
      <c r="DDZ244" s="1206"/>
      <c r="DEA244" s="1206"/>
      <c r="DEB244" s="1206"/>
      <c r="DEC244" s="1206"/>
      <c r="DED244" s="1206"/>
      <c r="DEE244" s="1206"/>
      <c r="DEF244" s="1206"/>
      <c r="DEG244" s="1206"/>
      <c r="DEH244" s="1206"/>
      <c r="DEI244" s="1206"/>
      <c r="DEJ244" s="1206"/>
      <c r="DEK244" s="1206"/>
      <c r="DEL244" s="1206"/>
      <c r="DEM244" s="1206"/>
      <c r="DEN244" s="1206"/>
      <c r="DEO244" s="1206"/>
      <c r="DEP244" s="1207"/>
      <c r="DEQ244" s="1206"/>
      <c r="DER244" s="1206"/>
      <c r="DES244" s="1206"/>
      <c r="DET244" s="1206"/>
      <c r="DEU244" s="1206"/>
      <c r="DEV244" s="1206"/>
      <c r="DEW244" s="1206"/>
      <c r="DEX244" s="1206"/>
      <c r="DEY244" s="1206"/>
      <c r="DEZ244" s="1206"/>
      <c r="DFA244" s="1206"/>
      <c r="DFB244" s="1206"/>
      <c r="DFC244" s="1206"/>
      <c r="DFD244" s="1206"/>
      <c r="DFE244" s="1206"/>
      <c r="DFF244" s="1206"/>
      <c r="DFG244" s="1207"/>
      <c r="DFH244" s="1206"/>
      <c r="DFI244" s="1206"/>
      <c r="DFJ244" s="1206"/>
      <c r="DFK244" s="1206"/>
      <c r="DFL244" s="1206"/>
      <c r="DFM244" s="1206"/>
      <c r="DFN244" s="1206"/>
      <c r="DFO244" s="1206"/>
      <c r="DFP244" s="1206"/>
      <c r="DFQ244" s="1206"/>
      <c r="DFR244" s="1206"/>
      <c r="DFS244" s="1206"/>
      <c r="DFT244" s="1206"/>
      <c r="DFU244" s="1206"/>
      <c r="DFV244" s="1206"/>
      <c r="DFW244" s="1206"/>
      <c r="DFX244" s="1207"/>
      <c r="DFY244" s="1206"/>
      <c r="DFZ244" s="1206"/>
      <c r="DGA244" s="1206"/>
      <c r="DGB244" s="1206"/>
      <c r="DGC244" s="1206"/>
      <c r="DGD244" s="1206"/>
      <c r="DGE244" s="1206"/>
      <c r="DGF244" s="1206"/>
      <c r="DGG244" s="1206"/>
      <c r="DGH244" s="1206"/>
      <c r="DGI244" s="1206"/>
      <c r="DGJ244" s="1206"/>
      <c r="DGK244" s="1206"/>
      <c r="DGL244" s="1206"/>
      <c r="DGM244" s="1206"/>
      <c r="DGN244" s="1206"/>
      <c r="DGO244" s="1207"/>
      <c r="DGP244" s="1206"/>
      <c r="DGQ244" s="1206"/>
      <c r="DGR244" s="1206"/>
      <c r="DGS244" s="1206"/>
      <c r="DGT244" s="1206"/>
      <c r="DGU244" s="1206"/>
      <c r="DGV244" s="1206"/>
      <c r="DGW244" s="1206"/>
      <c r="DGX244" s="1206"/>
      <c r="DGY244" s="1206"/>
      <c r="DGZ244" s="1206"/>
      <c r="DHA244" s="1206"/>
      <c r="DHB244" s="1206"/>
      <c r="DHC244" s="1206"/>
      <c r="DHD244" s="1206"/>
      <c r="DHE244" s="1206"/>
      <c r="DHF244" s="1207"/>
      <c r="DHG244" s="1206"/>
      <c r="DHH244" s="1206"/>
      <c r="DHI244" s="1206"/>
      <c r="DHJ244" s="1206"/>
      <c r="DHK244" s="1206"/>
      <c r="DHL244" s="1206"/>
      <c r="DHM244" s="1206"/>
      <c r="DHN244" s="1206"/>
      <c r="DHO244" s="1206"/>
      <c r="DHP244" s="1206"/>
      <c r="DHQ244" s="1206"/>
      <c r="DHR244" s="1206"/>
      <c r="DHS244" s="1206"/>
      <c r="DHT244" s="1206"/>
      <c r="DHU244" s="1206"/>
      <c r="DHV244" s="1206"/>
      <c r="DHW244" s="1207"/>
      <c r="DHX244" s="1206"/>
      <c r="DHY244" s="1206"/>
      <c r="DHZ244" s="1206"/>
      <c r="DIA244" s="1206"/>
      <c r="DIB244" s="1206"/>
      <c r="DIC244" s="1206"/>
      <c r="DID244" s="1206"/>
      <c r="DIE244" s="1206"/>
      <c r="DIF244" s="1206"/>
      <c r="DIG244" s="1206"/>
      <c r="DIH244" s="1206"/>
      <c r="DII244" s="1206"/>
      <c r="DIJ244" s="1206"/>
      <c r="DIK244" s="1206"/>
      <c r="DIL244" s="1206"/>
      <c r="DIM244" s="1206"/>
      <c r="DIN244" s="1207"/>
      <c r="DIO244" s="1206"/>
      <c r="DIP244" s="1206"/>
      <c r="DIQ244" s="1206"/>
      <c r="DIR244" s="1206"/>
      <c r="DIS244" s="1206"/>
      <c r="DIT244" s="1206"/>
      <c r="DIU244" s="1206"/>
      <c r="DIV244" s="1206"/>
      <c r="DIW244" s="1206"/>
      <c r="DIX244" s="1206"/>
      <c r="DIY244" s="1206"/>
      <c r="DIZ244" s="1206"/>
      <c r="DJA244" s="1206"/>
      <c r="DJB244" s="1206"/>
      <c r="DJC244" s="1206"/>
      <c r="DJD244" s="1206"/>
      <c r="DJE244" s="1207"/>
      <c r="DJF244" s="1206"/>
      <c r="DJG244" s="1206"/>
      <c r="DJH244" s="1206"/>
      <c r="DJI244" s="1206"/>
      <c r="DJJ244" s="1206"/>
      <c r="DJK244" s="1206"/>
      <c r="DJL244" s="1206"/>
      <c r="DJM244" s="1206"/>
      <c r="DJN244" s="1206"/>
      <c r="DJO244" s="1206"/>
      <c r="DJP244" s="1206"/>
      <c r="DJQ244" s="1206"/>
      <c r="DJR244" s="1206"/>
      <c r="DJS244" s="1206"/>
      <c r="DJT244" s="1206"/>
      <c r="DJU244" s="1206"/>
      <c r="DJV244" s="1207"/>
      <c r="DJW244" s="1206"/>
      <c r="DJX244" s="1206"/>
      <c r="DJY244" s="1206"/>
      <c r="DJZ244" s="1206"/>
      <c r="DKA244" s="1206"/>
      <c r="DKB244" s="1206"/>
      <c r="DKC244" s="1206"/>
      <c r="DKD244" s="1206"/>
      <c r="DKE244" s="1206"/>
      <c r="DKF244" s="1206"/>
      <c r="DKG244" s="1206"/>
      <c r="DKH244" s="1206"/>
      <c r="DKI244" s="1206"/>
      <c r="DKJ244" s="1206"/>
      <c r="DKK244" s="1206"/>
      <c r="DKL244" s="1206"/>
      <c r="DKM244" s="1207"/>
      <c r="DKN244" s="1206"/>
      <c r="DKO244" s="1206"/>
      <c r="DKP244" s="1206"/>
      <c r="DKQ244" s="1206"/>
      <c r="DKR244" s="1206"/>
      <c r="DKS244" s="1206"/>
      <c r="DKT244" s="1206"/>
      <c r="DKU244" s="1206"/>
      <c r="DKV244" s="1206"/>
      <c r="DKW244" s="1206"/>
      <c r="DKX244" s="1206"/>
      <c r="DKY244" s="1206"/>
      <c r="DKZ244" s="1206"/>
      <c r="DLA244" s="1206"/>
      <c r="DLB244" s="1206"/>
      <c r="DLC244" s="1206"/>
      <c r="DLD244" s="1207"/>
      <c r="DLE244" s="1206"/>
      <c r="DLF244" s="1206"/>
      <c r="DLG244" s="1206"/>
      <c r="DLH244" s="1206"/>
      <c r="DLI244" s="1206"/>
      <c r="DLJ244" s="1206"/>
      <c r="DLK244" s="1206"/>
      <c r="DLL244" s="1206"/>
      <c r="DLM244" s="1206"/>
      <c r="DLN244" s="1206"/>
      <c r="DLO244" s="1206"/>
      <c r="DLP244" s="1206"/>
      <c r="DLQ244" s="1206"/>
      <c r="DLR244" s="1206"/>
      <c r="DLS244" s="1206"/>
      <c r="DLT244" s="1206"/>
      <c r="DLU244" s="1207"/>
      <c r="DLV244" s="1206"/>
      <c r="DLW244" s="1206"/>
      <c r="DLX244" s="1206"/>
      <c r="DLY244" s="1206"/>
      <c r="DLZ244" s="1206"/>
      <c r="DMA244" s="1206"/>
      <c r="DMB244" s="1206"/>
      <c r="DMC244" s="1206"/>
      <c r="DMD244" s="1206"/>
      <c r="DME244" s="1206"/>
      <c r="DMF244" s="1206"/>
      <c r="DMG244" s="1206"/>
      <c r="DMH244" s="1206"/>
      <c r="DMI244" s="1206"/>
      <c r="DMJ244" s="1206"/>
      <c r="DMK244" s="1206"/>
      <c r="DML244" s="1207"/>
      <c r="DMM244" s="1206"/>
      <c r="DMN244" s="1206"/>
      <c r="DMO244" s="1206"/>
      <c r="DMP244" s="1206"/>
      <c r="DMQ244" s="1206"/>
      <c r="DMR244" s="1206"/>
      <c r="DMS244" s="1206"/>
      <c r="DMT244" s="1206"/>
      <c r="DMU244" s="1206"/>
      <c r="DMV244" s="1206"/>
      <c r="DMW244" s="1206"/>
      <c r="DMX244" s="1206"/>
      <c r="DMY244" s="1206"/>
      <c r="DMZ244" s="1206"/>
      <c r="DNA244" s="1206"/>
      <c r="DNB244" s="1206"/>
      <c r="DNC244" s="1207"/>
      <c r="DND244" s="1206"/>
      <c r="DNE244" s="1206"/>
      <c r="DNF244" s="1206"/>
      <c r="DNG244" s="1206"/>
      <c r="DNH244" s="1206"/>
      <c r="DNI244" s="1206"/>
      <c r="DNJ244" s="1206"/>
      <c r="DNK244" s="1206"/>
      <c r="DNL244" s="1206"/>
      <c r="DNM244" s="1206"/>
      <c r="DNN244" s="1206"/>
      <c r="DNO244" s="1206"/>
      <c r="DNP244" s="1206"/>
      <c r="DNQ244" s="1206"/>
      <c r="DNR244" s="1206"/>
      <c r="DNS244" s="1206"/>
      <c r="DNT244" s="1207"/>
      <c r="DNU244" s="1206"/>
      <c r="DNV244" s="1206"/>
      <c r="DNW244" s="1206"/>
      <c r="DNX244" s="1206"/>
      <c r="DNY244" s="1206"/>
      <c r="DNZ244" s="1206"/>
      <c r="DOA244" s="1206"/>
      <c r="DOB244" s="1206"/>
      <c r="DOC244" s="1206"/>
      <c r="DOD244" s="1206"/>
      <c r="DOE244" s="1206"/>
      <c r="DOF244" s="1206"/>
      <c r="DOG244" s="1206"/>
      <c r="DOH244" s="1206"/>
      <c r="DOI244" s="1206"/>
      <c r="DOJ244" s="1206"/>
      <c r="DOK244" s="1207"/>
      <c r="DOL244" s="1206"/>
      <c r="DOM244" s="1206"/>
      <c r="DON244" s="1206"/>
      <c r="DOO244" s="1206"/>
      <c r="DOP244" s="1206"/>
      <c r="DOQ244" s="1206"/>
      <c r="DOR244" s="1206"/>
      <c r="DOS244" s="1206"/>
      <c r="DOT244" s="1206"/>
      <c r="DOU244" s="1206"/>
      <c r="DOV244" s="1206"/>
      <c r="DOW244" s="1206"/>
      <c r="DOX244" s="1206"/>
      <c r="DOY244" s="1206"/>
      <c r="DOZ244" s="1206"/>
      <c r="DPA244" s="1206"/>
      <c r="DPB244" s="1207"/>
      <c r="DPC244" s="1206"/>
      <c r="DPD244" s="1206"/>
      <c r="DPE244" s="1206"/>
      <c r="DPF244" s="1206"/>
      <c r="DPG244" s="1206"/>
      <c r="DPH244" s="1206"/>
      <c r="DPI244" s="1206"/>
      <c r="DPJ244" s="1206"/>
      <c r="DPK244" s="1206"/>
      <c r="DPL244" s="1206"/>
      <c r="DPM244" s="1206"/>
      <c r="DPN244" s="1206"/>
      <c r="DPO244" s="1206"/>
      <c r="DPP244" s="1206"/>
      <c r="DPQ244" s="1206"/>
      <c r="DPR244" s="1206"/>
      <c r="DPS244" s="1207"/>
      <c r="DPT244" s="1206"/>
      <c r="DPU244" s="1206"/>
      <c r="DPV244" s="1206"/>
      <c r="DPW244" s="1206"/>
      <c r="DPX244" s="1206"/>
      <c r="DPY244" s="1206"/>
      <c r="DPZ244" s="1206"/>
      <c r="DQA244" s="1206"/>
      <c r="DQB244" s="1206"/>
      <c r="DQC244" s="1206"/>
      <c r="DQD244" s="1206"/>
      <c r="DQE244" s="1206"/>
      <c r="DQF244" s="1206"/>
      <c r="DQG244" s="1206"/>
      <c r="DQH244" s="1206"/>
      <c r="DQI244" s="1206"/>
      <c r="DQJ244" s="1207"/>
      <c r="DQK244" s="1206"/>
      <c r="DQL244" s="1206"/>
      <c r="DQM244" s="1206"/>
      <c r="DQN244" s="1206"/>
      <c r="DQO244" s="1206"/>
      <c r="DQP244" s="1206"/>
      <c r="DQQ244" s="1206"/>
      <c r="DQR244" s="1206"/>
      <c r="DQS244" s="1206"/>
      <c r="DQT244" s="1206"/>
      <c r="DQU244" s="1206"/>
      <c r="DQV244" s="1206"/>
      <c r="DQW244" s="1206"/>
      <c r="DQX244" s="1206"/>
      <c r="DQY244" s="1206"/>
      <c r="DQZ244" s="1206"/>
      <c r="DRA244" s="1207"/>
      <c r="DRB244" s="1206"/>
      <c r="DRC244" s="1206"/>
      <c r="DRD244" s="1206"/>
      <c r="DRE244" s="1206"/>
      <c r="DRF244" s="1206"/>
      <c r="DRG244" s="1206"/>
      <c r="DRH244" s="1206"/>
      <c r="DRI244" s="1206"/>
      <c r="DRJ244" s="1206"/>
      <c r="DRK244" s="1206"/>
      <c r="DRL244" s="1206"/>
      <c r="DRM244" s="1206"/>
      <c r="DRN244" s="1206"/>
      <c r="DRO244" s="1206"/>
      <c r="DRP244" s="1206"/>
      <c r="DRQ244" s="1206"/>
      <c r="DRR244" s="1207"/>
      <c r="DRS244" s="1206"/>
      <c r="DRT244" s="1206"/>
      <c r="DRU244" s="1206"/>
      <c r="DRV244" s="1206"/>
      <c r="DRW244" s="1206"/>
      <c r="DRX244" s="1206"/>
      <c r="DRY244" s="1206"/>
      <c r="DRZ244" s="1206"/>
      <c r="DSA244" s="1206"/>
      <c r="DSB244" s="1206"/>
      <c r="DSC244" s="1206"/>
      <c r="DSD244" s="1206"/>
      <c r="DSE244" s="1206"/>
      <c r="DSF244" s="1206"/>
      <c r="DSG244" s="1206"/>
      <c r="DSH244" s="1206"/>
      <c r="DSI244" s="1207"/>
      <c r="DSJ244" s="1206"/>
      <c r="DSK244" s="1206"/>
      <c r="DSL244" s="1206"/>
      <c r="DSM244" s="1206"/>
      <c r="DSN244" s="1206"/>
      <c r="DSO244" s="1206"/>
      <c r="DSP244" s="1206"/>
      <c r="DSQ244" s="1206"/>
      <c r="DSR244" s="1206"/>
      <c r="DSS244" s="1206"/>
      <c r="DST244" s="1206"/>
      <c r="DSU244" s="1206"/>
      <c r="DSV244" s="1206"/>
      <c r="DSW244" s="1206"/>
      <c r="DSX244" s="1206"/>
      <c r="DSY244" s="1206"/>
      <c r="DSZ244" s="1207"/>
      <c r="DTA244" s="1206"/>
      <c r="DTB244" s="1206"/>
      <c r="DTC244" s="1206"/>
      <c r="DTD244" s="1206"/>
      <c r="DTE244" s="1206"/>
      <c r="DTF244" s="1206"/>
      <c r="DTG244" s="1206"/>
      <c r="DTH244" s="1206"/>
      <c r="DTI244" s="1206"/>
      <c r="DTJ244" s="1206"/>
      <c r="DTK244" s="1206"/>
      <c r="DTL244" s="1206"/>
      <c r="DTM244" s="1206"/>
      <c r="DTN244" s="1206"/>
      <c r="DTO244" s="1206"/>
      <c r="DTP244" s="1206"/>
      <c r="DTQ244" s="1207"/>
      <c r="DTR244" s="1206"/>
      <c r="DTS244" s="1206"/>
      <c r="DTT244" s="1206"/>
      <c r="DTU244" s="1206"/>
      <c r="DTV244" s="1206"/>
      <c r="DTW244" s="1206"/>
      <c r="DTX244" s="1206"/>
      <c r="DTY244" s="1206"/>
      <c r="DTZ244" s="1206"/>
      <c r="DUA244" s="1206"/>
      <c r="DUB244" s="1206"/>
      <c r="DUC244" s="1206"/>
      <c r="DUD244" s="1206"/>
      <c r="DUE244" s="1206"/>
      <c r="DUF244" s="1206"/>
      <c r="DUG244" s="1206"/>
      <c r="DUH244" s="1207"/>
      <c r="DUI244" s="1206"/>
      <c r="DUJ244" s="1206"/>
      <c r="DUK244" s="1206"/>
      <c r="DUL244" s="1206"/>
      <c r="DUM244" s="1206"/>
      <c r="DUN244" s="1206"/>
      <c r="DUO244" s="1206"/>
      <c r="DUP244" s="1206"/>
      <c r="DUQ244" s="1206"/>
      <c r="DUR244" s="1206"/>
      <c r="DUS244" s="1206"/>
      <c r="DUT244" s="1206"/>
      <c r="DUU244" s="1206"/>
      <c r="DUV244" s="1206"/>
      <c r="DUW244" s="1206"/>
      <c r="DUX244" s="1206"/>
      <c r="DUY244" s="1207"/>
      <c r="DUZ244" s="1206"/>
      <c r="DVA244" s="1206"/>
      <c r="DVB244" s="1206"/>
      <c r="DVC244" s="1206"/>
      <c r="DVD244" s="1206"/>
      <c r="DVE244" s="1206"/>
      <c r="DVF244" s="1206"/>
      <c r="DVG244" s="1206"/>
      <c r="DVH244" s="1206"/>
      <c r="DVI244" s="1206"/>
      <c r="DVJ244" s="1206"/>
      <c r="DVK244" s="1206"/>
      <c r="DVL244" s="1206"/>
      <c r="DVM244" s="1206"/>
      <c r="DVN244" s="1206"/>
      <c r="DVO244" s="1206"/>
      <c r="DVP244" s="1207"/>
      <c r="DVQ244" s="1206"/>
      <c r="DVR244" s="1206"/>
      <c r="DVS244" s="1206"/>
      <c r="DVT244" s="1206"/>
      <c r="DVU244" s="1206"/>
      <c r="DVV244" s="1206"/>
      <c r="DVW244" s="1206"/>
      <c r="DVX244" s="1206"/>
      <c r="DVY244" s="1206"/>
      <c r="DVZ244" s="1206"/>
      <c r="DWA244" s="1206"/>
      <c r="DWB244" s="1206"/>
      <c r="DWC244" s="1206"/>
      <c r="DWD244" s="1206"/>
      <c r="DWE244" s="1206"/>
      <c r="DWF244" s="1206"/>
      <c r="DWG244" s="1207"/>
      <c r="DWH244" s="1206"/>
      <c r="DWI244" s="1206"/>
      <c r="DWJ244" s="1206"/>
      <c r="DWK244" s="1206"/>
      <c r="DWL244" s="1206"/>
      <c r="DWM244" s="1206"/>
      <c r="DWN244" s="1206"/>
      <c r="DWO244" s="1206"/>
      <c r="DWP244" s="1206"/>
      <c r="DWQ244" s="1206"/>
      <c r="DWR244" s="1206"/>
      <c r="DWS244" s="1206"/>
      <c r="DWT244" s="1206"/>
      <c r="DWU244" s="1206"/>
      <c r="DWV244" s="1206"/>
      <c r="DWW244" s="1206"/>
      <c r="DWX244" s="1207"/>
      <c r="DWY244" s="1206"/>
      <c r="DWZ244" s="1206"/>
      <c r="DXA244" s="1206"/>
      <c r="DXB244" s="1206"/>
      <c r="DXC244" s="1206"/>
      <c r="DXD244" s="1206"/>
      <c r="DXE244" s="1206"/>
      <c r="DXF244" s="1206"/>
      <c r="DXG244" s="1206"/>
      <c r="DXH244" s="1206"/>
      <c r="DXI244" s="1206"/>
      <c r="DXJ244" s="1206"/>
      <c r="DXK244" s="1206"/>
      <c r="DXL244" s="1206"/>
      <c r="DXM244" s="1206"/>
      <c r="DXN244" s="1206"/>
      <c r="DXO244" s="1207"/>
      <c r="DXP244" s="1206"/>
      <c r="DXQ244" s="1206"/>
      <c r="DXR244" s="1206"/>
      <c r="DXS244" s="1206"/>
      <c r="DXT244" s="1206"/>
      <c r="DXU244" s="1206"/>
      <c r="DXV244" s="1206"/>
      <c r="DXW244" s="1206"/>
      <c r="DXX244" s="1206"/>
      <c r="DXY244" s="1206"/>
      <c r="DXZ244" s="1206"/>
      <c r="DYA244" s="1206"/>
      <c r="DYB244" s="1206"/>
      <c r="DYC244" s="1206"/>
      <c r="DYD244" s="1206"/>
      <c r="DYE244" s="1206"/>
      <c r="DYF244" s="1207"/>
      <c r="DYG244" s="1206"/>
      <c r="DYH244" s="1206"/>
      <c r="DYI244" s="1206"/>
      <c r="DYJ244" s="1206"/>
      <c r="DYK244" s="1206"/>
      <c r="DYL244" s="1206"/>
      <c r="DYM244" s="1206"/>
      <c r="DYN244" s="1206"/>
      <c r="DYO244" s="1206"/>
      <c r="DYP244" s="1206"/>
      <c r="DYQ244" s="1206"/>
      <c r="DYR244" s="1206"/>
      <c r="DYS244" s="1206"/>
      <c r="DYT244" s="1206"/>
      <c r="DYU244" s="1206"/>
      <c r="DYV244" s="1206"/>
      <c r="DYW244" s="1207"/>
      <c r="DYX244" s="1206"/>
      <c r="DYY244" s="1206"/>
      <c r="DYZ244" s="1206"/>
      <c r="DZA244" s="1206"/>
      <c r="DZB244" s="1206"/>
      <c r="DZC244" s="1206"/>
      <c r="DZD244" s="1206"/>
      <c r="DZE244" s="1206"/>
      <c r="DZF244" s="1206"/>
      <c r="DZG244" s="1206"/>
      <c r="DZH244" s="1206"/>
      <c r="DZI244" s="1206"/>
      <c r="DZJ244" s="1206"/>
      <c r="DZK244" s="1206"/>
      <c r="DZL244" s="1206"/>
      <c r="DZM244" s="1206"/>
      <c r="DZN244" s="1207"/>
      <c r="DZO244" s="1206"/>
      <c r="DZP244" s="1206"/>
      <c r="DZQ244" s="1206"/>
      <c r="DZR244" s="1206"/>
      <c r="DZS244" s="1206"/>
      <c r="DZT244" s="1206"/>
      <c r="DZU244" s="1206"/>
      <c r="DZV244" s="1206"/>
      <c r="DZW244" s="1206"/>
      <c r="DZX244" s="1206"/>
      <c r="DZY244" s="1206"/>
      <c r="DZZ244" s="1206"/>
      <c r="EAA244" s="1206"/>
      <c r="EAB244" s="1206"/>
      <c r="EAC244" s="1206"/>
      <c r="EAD244" s="1206"/>
      <c r="EAE244" s="1207"/>
      <c r="EAF244" s="1206"/>
      <c r="EAG244" s="1206"/>
      <c r="EAH244" s="1206"/>
      <c r="EAI244" s="1206"/>
      <c r="EAJ244" s="1206"/>
      <c r="EAK244" s="1206"/>
      <c r="EAL244" s="1206"/>
      <c r="EAM244" s="1206"/>
      <c r="EAN244" s="1206"/>
      <c r="EAO244" s="1206"/>
      <c r="EAP244" s="1206"/>
      <c r="EAQ244" s="1206"/>
      <c r="EAR244" s="1206"/>
      <c r="EAS244" s="1206"/>
      <c r="EAT244" s="1206"/>
      <c r="EAU244" s="1206"/>
      <c r="EAV244" s="1207"/>
      <c r="EAW244" s="1206"/>
      <c r="EAX244" s="1206"/>
      <c r="EAY244" s="1206"/>
      <c r="EAZ244" s="1206"/>
      <c r="EBA244" s="1206"/>
      <c r="EBB244" s="1206"/>
      <c r="EBC244" s="1206"/>
      <c r="EBD244" s="1206"/>
      <c r="EBE244" s="1206"/>
      <c r="EBF244" s="1206"/>
      <c r="EBG244" s="1206"/>
      <c r="EBH244" s="1206"/>
      <c r="EBI244" s="1206"/>
      <c r="EBJ244" s="1206"/>
      <c r="EBK244" s="1206"/>
      <c r="EBL244" s="1206"/>
      <c r="EBM244" s="1207"/>
      <c r="EBN244" s="1206"/>
      <c r="EBO244" s="1206"/>
      <c r="EBP244" s="1206"/>
      <c r="EBQ244" s="1206"/>
      <c r="EBR244" s="1206"/>
      <c r="EBS244" s="1206"/>
      <c r="EBT244" s="1206"/>
      <c r="EBU244" s="1206"/>
      <c r="EBV244" s="1206"/>
      <c r="EBW244" s="1206"/>
      <c r="EBX244" s="1206"/>
      <c r="EBY244" s="1206"/>
      <c r="EBZ244" s="1206"/>
      <c r="ECA244" s="1206"/>
      <c r="ECB244" s="1206"/>
      <c r="ECC244" s="1206"/>
      <c r="ECD244" s="1207"/>
      <c r="ECE244" s="1206"/>
      <c r="ECF244" s="1206"/>
      <c r="ECG244" s="1206"/>
      <c r="ECH244" s="1206"/>
      <c r="ECI244" s="1206"/>
      <c r="ECJ244" s="1206"/>
      <c r="ECK244" s="1206"/>
      <c r="ECL244" s="1206"/>
      <c r="ECM244" s="1206"/>
      <c r="ECN244" s="1206"/>
      <c r="ECO244" s="1206"/>
      <c r="ECP244" s="1206"/>
      <c r="ECQ244" s="1206"/>
      <c r="ECR244" s="1206"/>
      <c r="ECS244" s="1206"/>
      <c r="ECT244" s="1206"/>
      <c r="ECU244" s="1207"/>
      <c r="ECV244" s="1206"/>
      <c r="ECW244" s="1206"/>
      <c r="ECX244" s="1206"/>
      <c r="ECY244" s="1206"/>
      <c r="ECZ244" s="1206"/>
      <c r="EDA244" s="1206"/>
      <c r="EDB244" s="1206"/>
      <c r="EDC244" s="1206"/>
      <c r="EDD244" s="1206"/>
      <c r="EDE244" s="1206"/>
      <c r="EDF244" s="1206"/>
      <c r="EDG244" s="1206"/>
      <c r="EDH244" s="1206"/>
      <c r="EDI244" s="1206"/>
      <c r="EDJ244" s="1206"/>
      <c r="EDK244" s="1206"/>
      <c r="EDL244" s="1207"/>
      <c r="EDM244" s="1206"/>
      <c r="EDN244" s="1206"/>
      <c r="EDO244" s="1206"/>
      <c r="EDP244" s="1206"/>
      <c r="EDQ244" s="1206"/>
      <c r="EDR244" s="1206"/>
      <c r="EDS244" s="1206"/>
      <c r="EDT244" s="1206"/>
      <c r="EDU244" s="1206"/>
      <c r="EDV244" s="1206"/>
      <c r="EDW244" s="1206"/>
      <c r="EDX244" s="1206"/>
      <c r="EDY244" s="1206"/>
      <c r="EDZ244" s="1206"/>
      <c r="EEA244" s="1206"/>
      <c r="EEB244" s="1206"/>
      <c r="EEC244" s="1207"/>
      <c r="EED244" s="1206"/>
      <c r="EEE244" s="1206"/>
      <c r="EEF244" s="1206"/>
      <c r="EEG244" s="1206"/>
      <c r="EEH244" s="1206"/>
      <c r="EEI244" s="1206"/>
      <c r="EEJ244" s="1206"/>
      <c r="EEK244" s="1206"/>
      <c r="EEL244" s="1206"/>
      <c r="EEM244" s="1206"/>
      <c r="EEN244" s="1206"/>
      <c r="EEO244" s="1206"/>
      <c r="EEP244" s="1206"/>
      <c r="EEQ244" s="1206"/>
      <c r="EER244" s="1206"/>
      <c r="EES244" s="1206"/>
      <c r="EET244" s="1207"/>
      <c r="EEU244" s="1206"/>
      <c r="EEV244" s="1206"/>
      <c r="EEW244" s="1206"/>
      <c r="EEX244" s="1206"/>
      <c r="EEY244" s="1206"/>
      <c r="EEZ244" s="1206"/>
      <c r="EFA244" s="1206"/>
      <c r="EFB244" s="1206"/>
      <c r="EFC244" s="1206"/>
      <c r="EFD244" s="1206"/>
      <c r="EFE244" s="1206"/>
      <c r="EFF244" s="1206"/>
      <c r="EFG244" s="1206"/>
      <c r="EFH244" s="1206"/>
      <c r="EFI244" s="1206"/>
      <c r="EFJ244" s="1206"/>
      <c r="EFK244" s="1207"/>
      <c r="EFL244" s="1206"/>
      <c r="EFM244" s="1206"/>
      <c r="EFN244" s="1206"/>
      <c r="EFO244" s="1206"/>
      <c r="EFP244" s="1206"/>
      <c r="EFQ244" s="1206"/>
      <c r="EFR244" s="1206"/>
      <c r="EFS244" s="1206"/>
      <c r="EFT244" s="1206"/>
      <c r="EFU244" s="1206"/>
      <c r="EFV244" s="1206"/>
      <c r="EFW244" s="1206"/>
      <c r="EFX244" s="1206"/>
      <c r="EFY244" s="1206"/>
      <c r="EFZ244" s="1206"/>
      <c r="EGA244" s="1206"/>
      <c r="EGB244" s="1207"/>
      <c r="EGC244" s="1206"/>
      <c r="EGD244" s="1206"/>
      <c r="EGE244" s="1206"/>
      <c r="EGF244" s="1206"/>
      <c r="EGG244" s="1206"/>
      <c r="EGH244" s="1206"/>
      <c r="EGI244" s="1206"/>
      <c r="EGJ244" s="1206"/>
      <c r="EGK244" s="1206"/>
      <c r="EGL244" s="1206"/>
      <c r="EGM244" s="1206"/>
      <c r="EGN244" s="1206"/>
      <c r="EGO244" s="1206"/>
      <c r="EGP244" s="1206"/>
      <c r="EGQ244" s="1206"/>
      <c r="EGR244" s="1206"/>
      <c r="EGS244" s="1207"/>
      <c r="EGT244" s="1206"/>
      <c r="EGU244" s="1206"/>
      <c r="EGV244" s="1206"/>
      <c r="EGW244" s="1206"/>
      <c r="EGX244" s="1206"/>
      <c r="EGY244" s="1206"/>
      <c r="EGZ244" s="1206"/>
      <c r="EHA244" s="1206"/>
      <c r="EHB244" s="1206"/>
      <c r="EHC244" s="1206"/>
      <c r="EHD244" s="1206"/>
      <c r="EHE244" s="1206"/>
      <c r="EHF244" s="1206"/>
      <c r="EHG244" s="1206"/>
      <c r="EHH244" s="1206"/>
      <c r="EHI244" s="1206"/>
      <c r="EHJ244" s="1207"/>
      <c r="EHK244" s="1206"/>
      <c r="EHL244" s="1206"/>
      <c r="EHM244" s="1206"/>
      <c r="EHN244" s="1206"/>
      <c r="EHO244" s="1206"/>
      <c r="EHP244" s="1206"/>
      <c r="EHQ244" s="1206"/>
      <c r="EHR244" s="1206"/>
      <c r="EHS244" s="1206"/>
      <c r="EHT244" s="1206"/>
      <c r="EHU244" s="1206"/>
      <c r="EHV244" s="1206"/>
      <c r="EHW244" s="1206"/>
      <c r="EHX244" s="1206"/>
      <c r="EHY244" s="1206"/>
      <c r="EHZ244" s="1206"/>
      <c r="EIA244" s="1207"/>
      <c r="EIB244" s="1206"/>
      <c r="EIC244" s="1206"/>
      <c r="EID244" s="1206"/>
      <c r="EIE244" s="1206"/>
      <c r="EIF244" s="1206"/>
      <c r="EIG244" s="1206"/>
      <c r="EIH244" s="1206"/>
      <c r="EII244" s="1206"/>
      <c r="EIJ244" s="1206"/>
      <c r="EIK244" s="1206"/>
      <c r="EIL244" s="1206"/>
      <c r="EIM244" s="1206"/>
      <c r="EIN244" s="1206"/>
      <c r="EIO244" s="1206"/>
      <c r="EIP244" s="1206"/>
      <c r="EIQ244" s="1206"/>
      <c r="EIR244" s="1207"/>
      <c r="EIS244" s="1206"/>
      <c r="EIT244" s="1206"/>
      <c r="EIU244" s="1206"/>
      <c r="EIV244" s="1206"/>
      <c r="EIW244" s="1206"/>
      <c r="EIX244" s="1206"/>
      <c r="EIY244" s="1206"/>
      <c r="EIZ244" s="1206"/>
      <c r="EJA244" s="1206"/>
      <c r="EJB244" s="1206"/>
      <c r="EJC244" s="1206"/>
      <c r="EJD244" s="1206"/>
      <c r="EJE244" s="1206"/>
      <c r="EJF244" s="1206"/>
      <c r="EJG244" s="1206"/>
      <c r="EJH244" s="1206"/>
      <c r="EJI244" s="1207"/>
      <c r="EJJ244" s="1206"/>
      <c r="EJK244" s="1206"/>
      <c r="EJL244" s="1206"/>
      <c r="EJM244" s="1206"/>
      <c r="EJN244" s="1206"/>
      <c r="EJO244" s="1206"/>
      <c r="EJP244" s="1206"/>
      <c r="EJQ244" s="1206"/>
      <c r="EJR244" s="1206"/>
      <c r="EJS244" s="1206"/>
      <c r="EJT244" s="1206"/>
      <c r="EJU244" s="1206"/>
      <c r="EJV244" s="1206"/>
      <c r="EJW244" s="1206"/>
      <c r="EJX244" s="1206"/>
      <c r="EJY244" s="1206"/>
      <c r="EJZ244" s="1207"/>
      <c r="EKA244" s="1206"/>
      <c r="EKB244" s="1206"/>
      <c r="EKC244" s="1206"/>
      <c r="EKD244" s="1206"/>
      <c r="EKE244" s="1206"/>
      <c r="EKF244" s="1206"/>
      <c r="EKG244" s="1206"/>
      <c r="EKH244" s="1206"/>
      <c r="EKI244" s="1206"/>
      <c r="EKJ244" s="1206"/>
      <c r="EKK244" s="1206"/>
      <c r="EKL244" s="1206"/>
      <c r="EKM244" s="1206"/>
      <c r="EKN244" s="1206"/>
      <c r="EKO244" s="1206"/>
      <c r="EKP244" s="1206"/>
      <c r="EKQ244" s="1207"/>
      <c r="EKR244" s="1206"/>
      <c r="EKS244" s="1206"/>
      <c r="EKT244" s="1206"/>
      <c r="EKU244" s="1206"/>
      <c r="EKV244" s="1206"/>
      <c r="EKW244" s="1206"/>
      <c r="EKX244" s="1206"/>
      <c r="EKY244" s="1206"/>
      <c r="EKZ244" s="1206"/>
      <c r="ELA244" s="1206"/>
      <c r="ELB244" s="1206"/>
      <c r="ELC244" s="1206"/>
      <c r="ELD244" s="1206"/>
      <c r="ELE244" s="1206"/>
      <c r="ELF244" s="1206"/>
      <c r="ELG244" s="1206"/>
      <c r="ELH244" s="1207"/>
      <c r="ELI244" s="1206"/>
      <c r="ELJ244" s="1206"/>
      <c r="ELK244" s="1206"/>
      <c r="ELL244" s="1206"/>
      <c r="ELM244" s="1206"/>
      <c r="ELN244" s="1206"/>
      <c r="ELO244" s="1206"/>
      <c r="ELP244" s="1206"/>
      <c r="ELQ244" s="1206"/>
      <c r="ELR244" s="1206"/>
      <c r="ELS244" s="1206"/>
      <c r="ELT244" s="1206"/>
      <c r="ELU244" s="1206"/>
      <c r="ELV244" s="1206"/>
      <c r="ELW244" s="1206"/>
      <c r="ELX244" s="1206"/>
      <c r="ELY244" s="1207"/>
      <c r="ELZ244" s="1206"/>
      <c r="EMA244" s="1206"/>
      <c r="EMB244" s="1206"/>
      <c r="EMC244" s="1206"/>
      <c r="EMD244" s="1206"/>
      <c r="EME244" s="1206"/>
      <c r="EMF244" s="1206"/>
      <c r="EMG244" s="1206"/>
      <c r="EMH244" s="1206"/>
      <c r="EMI244" s="1206"/>
      <c r="EMJ244" s="1206"/>
      <c r="EMK244" s="1206"/>
      <c r="EML244" s="1206"/>
      <c r="EMM244" s="1206"/>
      <c r="EMN244" s="1206"/>
      <c r="EMO244" s="1206"/>
      <c r="EMP244" s="1207"/>
      <c r="EMQ244" s="1206"/>
      <c r="EMR244" s="1206"/>
      <c r="EMS244" s="1206"/>
      <c r="EMT244" s="1206"/>
      <c r="EMU244" s="1206"/>
      <c r="EMV244" s="1206"/>
      <c r="EMW244" s="1206"/>
      <c r="EMX244" s="1206"/>
      <c r="EMY244" s="1206"/>
      <c r="EMZ244" s="1206"/>
      <c r="ENA244" s="1206"/>
      <c r="ENB244" s="1206"/>
      <c r="ENC244" s="1206"/>
      <c r="END244" s="1206"/>
      <c r="ENE244" s="1206"/>
      <c r="ENF244" s="1206"/>
      <c r="ENG244" s="1207"/>
      <c r="ENH244" s="1206"/>
      <c r="ENI244" s="1206"/>
      <c r="ENJ244" s="1206"/>
      <c r="ENK244" s="1206"/>
      <c r="ENL244" s="1206"/>
      <c r="ENM244" s="1206"/>
      <c r="ENN244" s="1206"/>
      <c r="ENO244" s="1206"/>
      <c r="ENP244" s="1206"/>
      <c r="ENQ244" s="1206"/>
      <c r="ENR244" s="1206"/>
      <c r="ENS244" s="1206"/>
      <c r="ENT244" s="1206"/>
      <c r="ENU244" s="1206"/>
      <c r="ENV244" s="1206"/>
      <c r="ENW244" s="1206"/>
      <c r="ENX244" s="1207"/>
      <c r="ENY244" s="1206"/>
      <c r="ENZ244" s="1206"/>
      <c r="EOA244" s="1206"/>
      <c r="EOB244" s="1206"/>
      <c r="EOC244" s="1206"/>
      <c r="EOD244" s="1206"/>
      <c r="EOE244" s="1206"/>
      <c r="EOF244" s="1206"/>
      <c r="EOG244" s="1206"/>
      <c r="EOH244" s="1206"/>
      <c r="EOI244" s="1206"/>
      <c r="EOJ244" s="1206"/>
      <c r="EOK244" s="1206"/>
      <c r="EOL244" s="1206"/>
      <c r="EOM244" s="1206"/>
      <c r="EON244" s="1206"/>
      <c r="EOO244" s="1207"/>
      <c r="EOP244" s="1206"/>
      <c r="EOQ244" s="1206"/>
      <c r="EOR244" s="1206"/>
      <c r="EOS244" s="1206"/>
      <c r="EOT244" s="1206"/>
      <c r="EOU244" s="1206"/>
      <c r="EOV244" s="1206"/>
      <c r="EOW244" s="1206"/>
      <c r="EOX244" s="1206"/>
      <c r="EOY244" s="1206"/>
      <c r="EOZ244" s="1206"/>
      <c r="EPA244" s="1206"/>
      <c r="EPB244" s="1206"/>
      <c r="EPC244" s="1206"/>
      <c r="EPD244" s="1206"/>
      <c r="EPE244" s="1206"/>
      <c r="EPF244" s="1207"/>
      <c r="EPG244" s="1206"/>
      <c r="EPH244" s="1206"/>
      <c r="EPI244" s="1206"/>
      <c r="EPJ244" s="1206"/>
      <c r="EPK244" s="1206"/>
      <c r="EPL244" s="1206"/>
      <c r="EPM244" s="1206"/>
      <c r="EPN244" s="1206"/>
      <c r="EPO244" s="1206"/>
      <c r="EPP244" s="1206"/>
      <c r="EPQ244" s="1206"/>
      <c r="EPR244" s="1206"/>
      <c r="EPS244" s="1206"/>
      <c r="EPT244" s="1206"/>
      <c r="EPU244" s="1206"/>
      <c r="EPV244" s="1206"/>
      <c r="EPW244" s="1207"/>
      <c r="EPX244" s="1206"/>
      <c r="EPY244" s="1206"/>
      <c r="EPZ244" s="1206"/>
      <c r="EQA244" s="1206"/>
      <c r="EQB244" s="1206"/>
      <c r="EQC244" s="1206"/>
      <c r="EQD244" s="1206"/>
      <c r="EQE244" s="1206"/>
      <c r="EQF244" s="1206"/>
      <c r="EQG244" s="1206"/>
      <c r="EQH244" s="1206"/>
      <c r="EQI244" s="1206"/>
      <c r="EQJ244" s="1206"/>
      <c r="EQK244" s="1206"/>
      <c r="EQL244" s="1206"/>
      <c r="EQM244" s="1206"/>
      <c r="EQN244" s="1207"/>
      <c r="EQO244" s="1206"/>
      <c r="EQP244" s="1206"/>
      <c r="EQQ244" s="1206"/>
      <c r="EQR244" s="1206"/>
      <c r="EQS244" s="1206"/>
      <c r="EQT244" s="1206"/>
      <c r="EQU244" s="1206"/>
      <c r="EQV244" s="1206"/>
      <c r="EQW244" s="1206"/>
      <c r="EQX244" s="1206"/>
      <c r="EQY244" s="1206"/>
      <c r="EQZ244" s="1206"/>
      <c r="ERA244" s="1206"/>
      <c r="ERB244" s="1206"/>
      <c r="ERC244" s="1206"/>
      <c r="ERD244" s="1206"/>
      <c r="ERE244" s="1207"/>
      <c r="ERF244" s="1206"/>
      <c r="ERG244" s="1206"/>
      <c r="ERH244" s="1206"/>
      <c r="ERI244" s="1206"/>
      <c r="ERJ244" s="1206"/>
      <c r="ERK244" s="1206"/>
      <c r="ERL244" s="1206"/>
      <c r="ERM244" s="1206"/>
      <c r="ERN244" s="1206"/>
      <c r="ERO244" s="1206"/>
      <c r="ERP244" s="1206"/>
      <c r="ERQ244" s="1206"/>
      <c r="ERR244" s="1206"/>
      <c r="ERS244" s="1206"/>
      <c r="ERT244" s="1206"/>
      <c r="ERU244" s="1206"/>
      <c r="ERV244" s="1207"/>
      <c r="ERW244" s="1206"/>
      <c r="ERX244" s="1206"/>
      <c r="ERY244" s="1206"/>
      <c r="ERZ244" s="1206"/>
      <c r="ESA244" s="1206"/>
      <c r="ESB244" s="1206"/>
      <c r="ESC244" s="1206"/>
      <c r="ESD244" s="1206"/>
      <c r="ESE244" s="1206"/>
      <c r="ESF244" s="1206"/>
      <c r="ESG244" s="1206"/>
      <c r="ESH244" s="1206"/>
      <c r="ESI244" s="1206"/>
      <c r="ESJ244" s="1206"/>
      <c r="ESK244" s="1206"/>
      <c r="ESL244" s="1206"/>
      <c r="ESM244" s="1207"/>
      <c r="ESN244" s="1206"/>
      <c r="ESO244" s="1206"/>
      <c r="ESP244" s="1206"/>
      <c r="ESQ244" s="1206"/>
      <c r="ESR244" s="1206"/>
      <c r="ESS244" s="1206"/>
      <c r="EST244" s="1206"/>
      <c r="ESU244" s="1206"/>
      <c r="ESV244" s="1206"/>
      <c r="ESW244" s="1206"/>
      <c r="ESX244" s="1206"/>
      <c r="ESY244" s="1206"/>
      <c r="ESZ244" s="1206"/>
      <c r="ETA244" s="1206"/>
      <c r="ETB244" s="1206"/>
      <c r="ETC244" s="1206"/>
      <c r="ETD244" s="1207"/>
      <c r="ETE244" s="1206"/>
      <c r="ETF244" s="1206"/>
      <c r="ETG244" s="1206"/>
      <c r="ETH244" s="1206"/>
      <c r="ETI244" s="1206"/>
      <c r="ETJ244" s="1206"/>
      <c r="ETK244" s="1206"/>
      <c r="ETL244" s="1206"/>
      <c r="ETM244" s="1206"/>
      <c r="ETN244" s="1206"/>
      <c r="ETO244" s="1206"/>
      <c r="ETP244" s="1206"/>
      <c r="ETQ244" s="1206"/>
      <c r="ETR244" s="1206"/>
      <c r="ETS244" s="1206"/>
      <c r="ETT244" s="1206"/>
      <c r="ETU244" s="1207"/>
      <c r="ETV244" s="1206"/>
      <c r="ETW244" s="1206"/>
      <c r="ETX244" s="1206"/>
      <c r="ETY244" s="1206"/>
      <c r="ETZ244" s="1206"/>
      <c r="EUA244" s="1206"/>
      <c r="EUB244" s="1206"/>
      <c r="EUC244" s="1206"/>
      <c r="EUD244" s="1206"/>
      <c r="EUE244" s="1206"/>
      <c r="EUF244" s="1206"/>
      <c r="EUG244" s="1206"/>
      <c r="EUH244" s="1206"/>
      <c r="EUI244" s="1206"/>
      <c r="EUJ244" s="1206"/>
      <c r="EUK244" s="1206"/>
      <c r="EUL244" s="1207"/>
      <c r="EUM244" s="1206"/>
      <c r="EUN244" s="1206"/>
      <c r="EUO244" s="1206"/>
      <c r="EUP244" s="1206"/>
      <c r="EUQ244" s="1206"/>
      <c r="EUR244" s="1206"/>
      <c r="EUS244" s="1206"/>
      <c r="EUT244" s="1206"/>
      <c r="EUU244" s="1206"/>
      <c r="EUV244" s="1206"/>
      <c r="EUW244" s="1206"/>
      <c r="EUX244" s="1206"/>
      <c r="EUY244" s="1206"/>
      <c r="EUZ244" s="1206"/>
      <c r="EVA244" s="1206"/>
      <c r="EVB244" s="1206"/>
      <c r="EVC244" s="1207"/>
      <c r="EVD244" s="1206"/>
      <c r="EVE244" s="1206"/>
      <c r="EVF244" s="1206"/>
      <c r="EVG244" s="1206"/>
      <c r="EVH244" s="1206"/>
      <c r="EVI244" s="1206"/>
      <c r="EVJ244" s="1206"/>
      <c r="EVK244" s="1206"/>
      <c r="EVL244" s="1206"/>
      <c r="EVM244" s="1206"/>
      <c r="EVN244" s="1206"/>
      <c r="EVO244" s="1206"/>
      <c r="EVP244" s="1206"/>
      <c r="EVQ244" s="1206"/>
      <c r="EVR244" s="1206"/>
      <c r="EVS244" s="1206"/>
      <c r="EVT244" s="1207"/>
      <c r="EVU244" s="1206"/>
      <c r="EVV244" s="1206"/>
      <c r="EVW244" s="1206"/>
      <c r="EVX244" s="1206"/>
      <c r="EVY244" s="1206"/>
      <c r="EVZ244" s="1206"/>
      <c r="EWA244" s="1206"/>
      <c r="EWB244" s="1206"/>
      <c r="EWC244" s="1206"/>
      <c r="EWD244" s="1206"/>
      <c r="EWE244" s="1206"/>
      <c r="EWF244" s="1206"/>
      <c r="EWG244" s="1206"/>
      <c r="EWH244" s="1206"/>
      <c r="EWI244" s="1206"/>
      <c r="EWJ244" s="1206"/>
      <c r="EWK244" s="1207"/>
      <c r="EWL244" s="1206"/>
      <c r="EWM244" s="1206"/>
      <c r="EWN244" s="1206"/>
      <c r="EWO244" s="1206"/>
      <c r="EWP244" s="1206"/>
      <c r="EWQ244" s="1206"/>
      <c r="EWR244" s="1206"/>
      <c r="EWS244" s="1206"/>
      <c r="EWT244" s="1206"/>
      <c r="EWU244" s="1206"/>
      <c r="EWV244" s="1206"/>
      <c r="EWW244" s="1206"/>
      <c r="EWX244" s="1206"/>
      <c r="EWY244" s="1206"/>
      <c r="EWZ244" s="1206"/>
      <c r="EXA244" s="1206"/>
      <c r="EXB244" s="1207"/>
      <c r="EXC244" s="1206"/>
      <c r="EXD244" s="1206"/>
      <c r="EXE244" s="1206"/>
      <c r="EXF244" s="1206"/>
      <c r="EXG244" s="1206"/>
      <c r="EXH244" s="1206"/>
      <c r="EXI244" s="1206"/>
      <c r="EXJ244" s="1206"/>
      <c r="EXK244" s="1206"/>
      <c r="EXL244" s="1206"/>
      <c r="EXM244" s="1206"/>
      <c r="EXN244" s="1206"/>
      <c r="EXO244" s="1206"/>
      <c r="EXP244" s="1206"/>
      <c r="EXQ244" s="1206"/>
      <c r="EXR244" s="1206"/>
      <c r="EXS244" s="1207"/>
      <c r="EXT244" s="1206"/>
      <c r="EXU244" s="1206"/>
      <c r="EXV244" s="1206"/>
      <c r="EXW244" s="1206"/>
      <c r="EXX244" s="1206"/>
      <c r="EXY244" s="1206"/>
      <c r="EXZ244" s="1206"/>
      <c r="EYA244" s="1206"/>
      <c r="EYB244" s="1206"/>
      <c r="EYC244" s="1206"/>
      <c r="EYD244" s="1206"/>
      <c r="EYE244" s="1206"/>
      <c r="EYF244" s="1206"/>
      <c r="EYG244" s="1206"/>
      <c r="EYH244" s="1206"/>
      <c r="EYI244" s="1206"/>
      <c r="EYJ244" s="1207"/>
      <c r="EYK244" s="1206"/>
      <c r="EYL244" s="1206"/>
      <c r="EYM244" s="1206"/>
      <c r="EYN244" s="1206"/>
      <c r="EYO244" s="1206"/>
      <c r="EYP244" s="1206"/>
      <c r="EYQ244" s="1206"/>
      <c r="EYR244" s="1206"/>
      <c r="EYS244" s="1206"/>
      <c r="EYT244" s="1206"/>
      <c r="EYU244" s="1206"/>
      <c r="EYV244" s="1206"/>
      <c r="EYW244" s="1206"/>
      <c r="EYX244" s="1206"/>
      <c r="EYY244" s="1206"/>
      <c r="EYZ244" s="1206"/>
      <c r="EZA244" s="1207"/>
      <c r="EZB244" s="1206"/>
      <c r="EZC244" s="1206"/>
      <c r="EZD244" s="1206"/>
      <c r="EZE244" s="1206"/>
      <c r="EZF244" s="1206"/>
      <c r="EZG244" s="1206"/>
      <c r="EZH244" s="1206"/>
      <c r="EZI244" s="1206"/>
      <c r="EZJ244" s="1206"/>
      <c r="EZK244" s="1206"/>
      <c r="EZL244" s="1206"/>
      <c r="EZM244" s="1206"/>
      <c r="EZN244" s="1206"/>
      <c r="EZO244" s="1206"/>
      <c r="EZP244" s="1206"/>
      <c r="EZQ244" s="1206"/>
      <c r="EZR244" s="1207"/>
      <c r="EZS244" s="1206"/>
      <c r="EZT244" s="1206"/>
      <c r="EZU244" s="1206"/>
      <c r="EZV244" s="1206"/>
      <c r="EZW244" s="1206"/>
      <c r="EZX244" s="1206"/>
      <c r="EZY244" s="1206"/>
      <c r="EZZ244" s="1206"/>
      <c r="FAA244" s="1206"/>
      <c r="FAB244" s="1206"/>
      <c r="FAC244" s="1206"/>
      <c r="FAD244" s="1206"/>
      <c r="FAE244" s="1206"/>
      <c r="FAF244" s="1206"/>
      <c r="FAG244" s="1206"/>
      <c r="FAH244" s="1206"/>
      <c r="FAI244" s="1207"/>
      <c r="FAJ244" s="1206"/>
      <c r="FAK244" s="1206"/>
      <c r="FAL244" s="1206"/>
      <c r="FAM244" s="1206"/>
      <c r="FAN244" s="1206"/>
      <c r="FAO244" s="1206"/>
      <c r="FAP244" s="1206"/>
      <c r="FAQ244" s="1206"/>
      <c r="FAR244" s="1206"/>
      <c r="FAS244" s="1206"/>
      <c r="FAT244" s="1206"/>
      <c r="FAU244" s="1206"/>
      <c r="FAV244" s="1206"/>
      <c r="FAW244" s="1206"/>
      <c r="FAX244" s="1206"/>
      <c r="FAY244" s="1206"/>
      <c r="FAZ244" s="1207"/>
      <c r="FBA244" s="1206"/>
      <c r="FBB244" s="1206"/>
      <c r="FBC244" s="1206"/>
      <c r="FBD244" s="1206"/>
      <c r="FBE244" s="1206"/>
      <c r="FBF244" s="1206"/>
      <c r="FBG244" s="1206"/>
      <c r="FBH244" s="1206"/>
      <c r="FBI244" s="1206"/>
      <c r="FBJ244" s="1206"/>
      <c r="FBK244" s="1206"/>
      <c r="FBL244" s="1206"/>
      <c r="FBM244" s="1206"/>
      <c r="FBN244" s="1206"/>
      <c r="FBO244" s="1206"/>
      <c r="FBP244" s="1206"/>
      <c r="FBQ244" s="1207"/>
      <c r="FBR244" s="1206"/>
      <c r="FBS244" s="1206"/>
      <c r="FBT244" s="1206"/>
      <c r="FBU244" s="1206"/>
      <c r="FBV244" s="1206"/>
      <c r="FBW244" s="1206"/>
      <c r="FBX244" s="1206"/>
      <c r="FBY244" s="1206"/>
      <c r="FBZ244" s="1206"/>
      <c r="FCA244" s="1206"/>
      <c r="FCB244" s="1206"/>
      <c r="FCC244" s="1206"/>
      <c r="FCD244" s="1206"/>
      <c r="FCE244" s="1206"/>
      <c r="FCF244" s="1206"/>
      <c r="FCG244" s="1206"/>
      <c r="FCH244" s="1207"/>
      <c r="FCI244" s="1206"/>
      <c r="FCJ244" s="1206"/>
      <c r="FCK244" s="1206"/>
      <c r="FCL244" s="1206"/>
      <c r="FCM244" s="1206"/>
      <c r="FCN244" s="1206"/>
      <c r="FCO244" s="1206"/>
      <c r="FCP244" s="1206"/>
      <c r="FCQ244" s="1206"/>
      <c r="FCR244" s="1206"/>
      <c r="FCS244" s="1206"/>
      <c r="FCT244" s="1206"/>
      <c r="FCU244" s="1206"/>
      <c r="FCV244" s="1206"/>
      <c r="FCW244" s="1206"/>
      <c r="FCX244" s="1206"/>
      <c r="FCY244" s="1207"/>
      <c r="FCZ244" s="1206"/>
      <c r="FDA244" s="1206"/>
      <c r="FDB244" s="1206"/>
      <c r="FDC244" s="1206"/>
      <c r="FDD244" s="1206"/>
      <c r="FDE244" s="1206"/>
      <c r="FDF244" s="1206"/>
      <c r="FDG244" s="1206"/>
      <c r="FDH244" s="1206"/>
      <c r="FDI244" s="1206"/>
      <c r="FDJ244" s="1206"/>
      <c r="FDK244" s="1206"/>
      <c r="FDL244" s="1206"/>
      <c r="FDM244" s="1206"/>
      <c r="FDN244" s="1206"/>
      <c r="FDO244" s="1206"/>
      <c r="FDP244" s="1207"/>
      <c r="FDQ244" s="1206"/>
      <c r="FDR244" s="1206"/>
      <c r="FDS244" s="1206"/>
      <c r="FDT244" s="1206"/>
      <c r="FDU244" s="1206"/>
      <c r="FDV244" s="1206"/>
      <c r="FDW244" s="1206"/>
      <c r="FDX244" s="1206"/>
      <c r="FDY244" s="1206"/>
      <c r="FDZ244" s="1206"/>
      <c r="FEA244" s="1206"/>
      <c r="FEB244" s="1206"/>
      <c r="FEC244" s="1206"/>
      <c r="FED244" s="1206"/>
      <c r="FEE244" s="1206"/>
      <c r="FEF244" s="1206"/>
      <c r="FEG244" s="1207"/>
      <c r="FEH244" s="1206"/>
      <c r="FEI244" s="1206"/>
      <c r="FEJ244" s="1206"/>
      <c r="FEK244" s="1206"/>
      <c r="FEL244" s="1206"/>
      <c r="FEM244" s="1206"/>
      <c r="FEN244" s="1206"/>
      <c r="FEO244" s="1206"/>
      <c r="FEP244" s="1206"/>
      <c r="FEQ244" s="1206"/>
      <c r="FER244" s="1206"/>
      <c r="FES244" s="1206"/>
      <c r="FET244" s="1206"/>
      <c r="FEU244" s="1206"/>
      <c r="FEV244" s="1206"/>
      <c r="FEW244" s="1206"/>
      <c r="FEX244" s="1207"/>
      <c r="FEY244" s="1206"/>
      <c r="FEZ244" s="1206"/>
      <c r="FFA244" s="1206"/>
      <c r="FFB244" s="1206"/>
      <c r="FFC244" s="1206"/>
      <c r="FFD244" s="1206"/>
      <c r="FFE244" s="1206"/>
      <c r="FFF244" s="1206"/>
      <c r="FFG244" s="1206"/>
      <c r="FFH244" s="1206"/>
      <c r="FFI244" s="1206"/>
      <c r="FFJ244" s="1206"/>
      <c r="FFK244" s="1206"/>
      <c r="FFL244" s="1206"/>
      <c r="FFM244" s="1206"/>
      <c r="FFN244" s="1206"/>
      <c r="FFO244" s="1207"/>
      <c r="FFP244" s="1206"/>
      <c r="FFQ244" s="1206"/>
      <c r="FFR244" s="1206"/>
      <c r="FFS244" s="1206"/>
      <c r="FFT244" s="1206"/>
      <c r="FFU244" s="1206"/>
      <c r="FFV244" s="1206"/>
      <c r="FFW244" s="1206"/>
      <c r="FFX244" s="1206"/>
      <c r="FFY244" s="1206"/>
      <c r="FFZ244" s="1206"/>
      <c r="FGA244" s="1206"/>
      <c r="FGB244" s="1206"/>
      <c r="FGC244" s="1206"/>
      <c r="FGD244" s="1206"/>
      <c r="FGE244" s="1206"/>
      <c r="FGF244" s="1207"/>
      <c r="FGG244" s="1206"/>
      <c r="FGH244" s="1206"/>
      <c r="FGI244" s="1206"/>
      <c r="FGJ244" s="1206"/>
      <c r="FGK244" s="1206"/>
      <c r="FGL244" s="1206"/>
      <c r="FGM244" s="1206"/>
      <c r="FGN244" s="1206"/>
      <c r="FGO244" s="1206"/>
      <c r="FGP244" s="1206"/>
      <c r="FGQ244" s="1206"/>
      <c r="FGR244" s="1206"/>
      <c r="FGS244" s="1206"/>
      <c r="FGT244" s="1206"/>
      <c r="FGU244" s="1206"/>
      <c r="FGV244" s="1206"/>
      <c r="FGW244" s="1207"/>
      <c r="FGX244" s="1206"/>
      <c r="FGY244" s="1206"/>
      <c r="FGZ244" s="1206"/>
      <c r="FHA244" s="1206"/>
      <c r="FHB244" s="1206"/>
      <c r="FHC244" s="1206"/>
      <c r="FHD244" s="1206"/>
      <c r="FHE244" s="1206"/>
      <c r="FHF244" s="1206"/>
      <c r="FHG244" s="1206"/>
      <c r="FHH244" s="1206"/>
      <c r="FHI244" s="1206"/>
      <c r="FHJ244" s="1206"/>
      <c r="FHK244" s="1206"/>
      <c r="FHL244" s="1206"/>
      <c r="FHM244" s="1206"/>
      <c r="FHN244" s="1207"/>
      <c r="FHO244" s="1206"/>
      <c r="FHP244" s="1206"/>
      <c r="FHQ244" s="1206"/>
      <c r="FHR244" s="1206"/>
      <c r="FHS244" s="1206"/>
      <c r="FHT244" s="1206"/>
      <c r="FHU244" s="1206"/>
      <c r="FHV244" s="1206"/>
      <c r="FHW244" s="1206"/>
      <c r="FHX244" s="1206"/>
      <c r="FHY244" s="1206"/>
      <c r="FHZ244" s="1206"/>
      <c r="FIA244" s="1206"/>
      <c r="FIB244" s="1206"/>
      <c r="FIC244" s="1206"/>
      <c r="FID244" s="1206"/>
      <c r="FIE244" s="1207"/>
      <c r="FIF244" s="1206"/>
      <c r="FIG244" s="1206"/>
      <c r="FIH244" s="1206"/>
      <c r="FII244" s="1206"/>
      <c r="FIJ244" s="1206"/>
      <c r="FIK244" s="1206"/>
      <c r="FIL244" s="1206"/>
      <c r="FIM244" s="1206"/>
      <c r="FIN244" s="1206"/>
      <c r="FIO244" s="1206"/>
      <c r="FIP244" s="1206"/>
      <c r="FIQ244" s="1206"/>
      <c r="FIR244" s="1206"/>
      <c r="FIS244" s="1206"/>
      <c r="FIT244" s="1206"/>
      <c r="FIU244" s="1206"/>
      <c r="FIV244" s="1207"/>
      <c r="FIW244" s="1206"/>
      <c r="FIX244" s="1206"/>
      <c r="FIY244" s="1206"/>
      <c r="FIZ244" s="1206"/>
      <c r="FJA244" s="1206"/>
      <c r="FJB244" s="1206"/>
      <c r="FJC244" s="1206"/>
      <c r="FJD244" s="1206"/>
      <c r="FJE244" s="1206"/>
      <c r="FJF244" s="1206"/>
      <c r="FJG244" s="1206"/>
      <c r="FJH244" s="1206"/>
      <c r="FJI244" s="1206"/>
      <c r="FJJ244" s="1206"/>
      <c r="FJK244" s="1206"/>
      <c r="FJL244" s="1206"/>
      <c r="FJM244" s="1207"/>
      <c r="FJN244" s="1206"/>
      <c r="FJO244" s="1206"/>
      <c r="FJP244" s="1206"/>
      <c r="FJQ244" s="1206"/>
      <c r="FJR244" s="1206"/>
      <c r="FJS244" s="1206"/>
      <c r="FJT244" s="1206"/>
      <c r="FJU244" s="1206"/>
      <c r="FJV244" s="1206"/>
      <c r="FJW244" s="1206"/>
      <c r="FJX244" s="1206"/>
      <c r="FJY244" s="1206"/>
      <c r="FJZ244" s="1206"/>
      <c r="FKA244" s="1206"/>
      <c r="FKB244" s="1206"/>
      <c r="FKC244" s="1206"/>
      <c r="FKD244" s="1207"/>
      <c r="FKE244" s="1206"/>
      <c r="FKF244" s="1206"/>
      <c r="FKG244" s="1206"/>
      <c r="FKH244" s="1206"/>
      <c r="FKI244" s="1206"/>
      <c r="FKJ244" s="1206"/>
      <c r="FKK244" s="1206"/>
      <c r="FKL244" s="1206"/>
      <c r="FKM244" s="1206"/>
      <c r="FKN244" s="1206"/>
      <c r="FKO244" s="1206"/>
      <c r="FKP244" s="1206"/>
      <c r="FKQ244" s="1206"/>
      <c r="FKR244" s="1206"/>
      <c r="FKS244" s="1206"/>
      <c r="FKT244" s="1206"/>
      <c r="FKU244" s="1207"/>
      <c r="FKV244" s="1206"/>
      <c r="FKW244" s="1206"/>
      <c r="FKX244" s="1206"/>
      <c r="FKY244" s="1206"/>
      <c r="FKZ244" s="1206"/>
      <c r="FLA244" s="1206"/>
      <c r="FLB244" s="1206"/>
      <c r="FLC244" s="1206"/>
      <c r="FLD244" s="1206"/>
      <c r="FLE244" s="1206"/>
      <c r="FLF244" s="1206"/>
      <c r="FLG244" s="1206"/>
      <c r="FLH244" s="1206"/>
      <c r="FLI244" s="1206"/>
      <c r="FLJ244" s="1206"/>
      <c r="FLK244" s="1206"/>
      <c r="FLL244" s="1207"/>
      <c r="FLM244" s="1206"/>
      <c r="FLN244" s="1206"/>
      <c r="FLO244" s="1206"/>
      <c r="FLP244" s="1206"/>
      <c r="FLQ244" s="1206"/>
      <c r="FLR244" s="1206"/>
      <c r="FLS244" s="1206"/>
      <c r="FLT244" s="1206"/>
      <c r="FLU244" s="1206"/>
      <c r="FLV244" s="1206"/>
      <c r="FLW244" s="1206"/>
      <c r="FLX244" s="1206"/>
      <c r="FLY244" s="1206"/>
      <c r="FLZ244" s="1206"/>
      <c r="FMA244" s="1206"/>
      <c r="FMB244" s="1206"/>
      <c r="FMC244" s="1207"/>
      <c r="FMD244" s="1206"/>
      <c r="FME244" s="1206"/>
      <c r="FMF244" s="1206"/>
      <c r="FMG244" s="1206"/>
      <c r="FMH244" s="1206"/>
      <c r="FMI244" s="1206"/>
      <c r="FMJ244" s="1206"/>
      <c r="FMK244" s="1206"/>
      <c r="FML244" s="1206"/>
      <c r="FMM244" s="1206"/>
      <c r="FMN244" s="1206"/>
      <c r="FMO244" s="1206"/>
      <c r="FMP244" s="1206"/>
      <c r="FMQ244" s="1206"/>
      <c r="FMR244" s="1206"/>
      <c r="FMS244" s="1206"/>
      <c r="FMT244" s="1207"/>
      <c r="FMU244" s="1206"/>
      <c r="FMV244" s="1206"/>
      <c r="FMW244" s="1206"/>
      <c r="FMX244" s="1206"/>
      <c r="FMY244" s="1206"/>
      <c r="FMZ244" s="1206"/>
      <c r="FNA244" s="1206"/>
      <c r="FNB244" s="1206"/>
      <c r="FNC244" s="1206"/>
      <c r="FND244" s="1206"/>
      <c r="FNE244" s="1206"/>
      <c r="FNF244" s="1206"/>
      <c r="FNG244" s="1206"/>
      <c r="FNH244" s="1206"/>
      <c r="FNI244" s="1206"/>
      <c r="FNJ244" s="1206"/>
      <c r="FNK244" s="1207"/>
      <c r="FNL244" s="1206"/>
      <c r="FNM244" s="1206"/>
      <c r="FNN244" s="1206"/>
      <c r="FNO244" s="1206"/>
      <c r="FNP244" s="1206"/>
      <c r="FNQ244" s="1206"/>
      <c r="FNR244" s="1206"/>
      <c r="FNS244" s="1206"/>
      <c r="FNT244" s="1206"/>
      <c r="FNU244" s="1206"/>
      <c r="FNV244" s="1206"/>
      <c r="FNW244" s="1206"/>
      <c r="FNX244" s="1206"/>
      <c r="FNY244" s="1206"/>
      <c r="FNZ244" s="1206"/>
      <c r="FOA244" s="1206"/>
      <c r="FOB244" s="1207"/>
      <c r="FOC244" s="1206"/>
      <c r="FOD244" s="1206"/>
      <c r="FOE244" s="1206"/>
      <c r="FOF244" s="1206"/>
      <c r="FOG244" s="1206"/>
      <c r="FOH244" s="1206"/>
      <c r="FOI244" s="1206"/>
      <c r="FOJ244" s="1206"/>
      <c r="FOK244" s="1206"/>
      <c r="FOL244" s="1206"/>
      <c r="FOM244" s="1206"/>
      <c r="FON244" s="1206"/>
      <c r="FOO244" s="1206"/>
      <c r="FOP244" s="1206"/>
      <c r="FOQ244" s="1206"/>
      <c r="FOR244" s="1206"/>
      <c r="FOS244" s="1207"/>
      <c r="FOT244" s="1206"/>
      <c r="FOU244" s="1206"/>
      <c r="FOV244" s="1206"/>
      <c r="FOW244" s="1206"/>
      <c r="FOX244" s="1206"/>
      <c r="FOY244" s="1206"/>
      <c r="FOZ244" s="1206"/>
      <c r="FPA244" s="1206"/>
      <c r="FPB244" s="1206"/>
      <c r="FPC244" s="1206"/>
      <c r="FPD244" s="1206"/>
      <c r="FPE244" s="1206"/>
      <c r="FPF244" s="1206"/>
      <c r="FPG244" s="1206"/>
      <c r="FPH244" s="1206"/>
      <c r="FPI244" s="1206"/>
      <c r="FPJ244" s="1207"/>
      <c r="FPK244" s="1206"/>
      <c r="FPL244" s="1206"/>
      <c r="FPM244" s="1206"/>
      <c r="FPN244" s="1206"/>
      <c r="FPO244" s="1206"/>
      <c r="FPP244" s="1206"/>
      <c r="FPQ244" s="1206"/>
      <c r="FPR244" s="1206"/>
      <c r="FPS244" s="1206"/>
      <c r="FPT244" s="1206"/>
      <c r="FPU244" s="1206"/>
      <c r="FPV244" s="1206"/>
      <c r="FPW244" s="1206"/>
      <c r="FPX244" s="1206"/>
      <c r="FPY244" s="1206"/>
      <c r="FPZ244" s="1206"/>
      <c r="FQA244" s="1207"/>
      <c r="FQB244" s="1206"/>
      <c r="FQC244" s="1206"/>
      <c r="FQD244" s="1206"/>
      <c r="FQE244" s="1206"/>
      <c r="FQF244" s="1206"/>
      <c r="FQG244" s="1206"/>
      <c r="FQH244" s="1206"/>
      <c r="FQI244" s="1206"/>
      <c r="FQJ244" s="1206"/>
      <c r="FQK244" s="1206"/>
      <c r="FQL244" s="1206"/>
      <c r="FQM244" s="1206"/>
      <c r="FQN244" s="1206"/>
      <c r="FQO244" s="1206"/>
      <c r="FQP244" s="1206"/>
      <c r="FQQ244" s="1206"/>
      <c r="FQR244" s="1207"/>
      <c r="FQS244" s="1206"/>
      <c r="FQT244" s="1206"/>
      <c r="FQU244" s="1206"/>
      <c r="FQV244" s="1206"/>
      <c r="FQW244" s="1206"/>
      <c r="FQX244" s="1206"/>
      <c r="FQY244" s="1206"/>
      <c r="FQZ244" s="1206"/>
      <c r="FRA244" s="1206"/>
      <c r="FRB244" s="1206"/>
      <c r="FRC244" s="1206"/>
      <c r="FRD244" s="1206"/>
      <c r="FRE244" s="1206"/>
      <c r="FRF244" s="1206"/>
      <c r="FRG244" s="1206"/>
      <c r="FRH244" s="1206"/>
      <c r="FRI244" s="1207"/>
      <c r="FRJ244" s="1206"/>
      <c r="FRK244" s="1206"/>
      <c r="FRL244" s="1206"/>
      <c r="FRM244" s="1206"/>
      <c r="FRN244" s="1206"/>
      <c r="FRO244" s="1206"/>
      <c r="FRP244" s="1206"/>
      <c r="FRQ244" s="1206"/>
      <c r="FRR244" s="1206"/>
      <c r="FRS244" s="1206"/>
      <c r="FRT244" s="1206"/>
      <c r="FRU244" s="1206"/>
      <c r="FRV244" s="1206"/>
      <c r="FRW244" s="1206"/>
      <c r="FRX244" s="1206"/>
      <c r="FRY244" s="1206"/>
      <c r="FRZ244" s="1207"/>
      <c r="FSA244" s="1206"/>
      <c r="FSB244" s="1206"/>
      <c r="FSC244" s="1206"/>
      <c r="FSD244" s="1206"/>
      <c r="FSE244" s="1206"/>
      <c r="FSF244" s="1206"/>
      <c r="FSG244" s="1206"/>
      <c r="FSH244" s="1206"/>
      <c r="FSI244" s="1206"/>
      <c r="FSJ244" s="1206"/>
      <c r="FSK244" s="1206"/>
      <c r="FSL244" s="1206"/>
      <c r="FSM244" s="1206"/>
      <c r="FSN244" s="1206"/>
      <c r="FSO244" s="1206"/>
      <c r="FSP244" s="1206"/>
      <c r="FSQ244" s="1207"/>
      <c r="FSR244" s="1206"/>
      <c r="FSS244" s="1206"/>
      <c r="FST244" s="1206"/>
      <c r="FSU244" s="1206"/>
      <c r="FSV244" s="1206"/>
      <c r="FSW244" s="1206"/>
      <c r="FSX244" s="1206"/>
      <c r="FSY244" s="1206"/>
      <c r="FSZ244" s="1206"/>
      <c r="FTA244" s="1206"/>
      <c r="FTB244" s="1206"/>
      <c r="FTC244" s="1206"/>
      <c r="FTD244" s="1206"/>
      <c r="FTE244" s="1206"/>
      <c r="FTF244" s="1206"/>
      <c r="FTG244" s="1206"/>
      <c r="FTH244" s="1207"/>
      <c r="FTI244" s="1206"/>
      <c r="FTJ244" s="1206"/>
      <c r="FTK244" s="1206"/>
      <c r="FTL244" s="1206"/>
      <c r="FTM244" s="1206"/>
      <c r="FTN244" s="1206"/>
      <c r="FTO244" s="1206"/>
      <c r="FTP244" s="1206"/>
      <c r="FTQ244" s="1206"/>
      <c r="FTR244" s="1206"/>
      <c r="FTS244" s="1206"/>
      <c r="FTT244" s="1206"/>
      <c r="FTU244" s="1206"/>
      <c r="FTV244" s="1206"/>
      <c r="FTW244" s="1206"/>
      <c r="FTX244" s="1206"/>
      <c r="FTY244" s="1207"/>
      <c r="FTZ244" s="1206"/>
      <c r="FUA244" s="1206"/>
      <c r="FUB244" s="1206"/>
      <c r="FUC244" s="1206"/>
      <c r="FUD244" s="1206"/>
      <c r="FUE244" s="1206"/>
      <c r="FUF244" s="1206"/>
      <c r="FUG244" s="1206"/>
      <c r="FUH244" s="1206"/>
      <c r="FUI244" s="1206"/>
      <c r="FUJ244" s="1206"/>
      <c r="FUK244" s="1206"/>
      <c r="FUL244" s="1206"/>
      <c r="FUM244" s="1206"/>
      <c r="FUN244" s="1206"/>
      <c r="FUO244" s="1206"/>
      <c r="FUP244" s="1207"/>
      <c r="FUQ244" s="1206"/>
      <c r="FUR244" s="1206"/>
      <c r="FUS244" s="1206"/>
      <c r="FUT244" s="1206"/>
      <c r="FUU244" s="1206"/>
      <c r="FUV244" s="1206"/>
      <c r="FUW244" s="1206"/>
      <c r="FUX244" s="1206"/>
      <c r="FUY244" s="1206"/>
      <c r="FUZ244" s="1206"/>
      <c r="FVA244" s="1206"/>
      <c r="FVB244" s="1206"/>
      <c r="FVC244" s="1206"/>
      <c r="FVD244" s="1206"/>
      <c r="FVE244" s="1206"/>
      <c r="FVF244" s="1206"/>
      <c r="FVG244" s="1207"/>
      <c r="FVH244" s="1206"/>
      <c r="FVI244" s="1206"/>
      <c r="FVJ244" s="1206"/>
      <c r="FVK244" s="1206"/>
      <c r="FVL244" s="1206"/>
      <c r="FVM244" s="1206"/>
      <c r="FVN244" s="1206"/>
      <c r="FVO244" s="1206"/>
      <c r="FVP244" s="1206"/>
      <c r="FVQ244" s="1206"/>
      <c r="FVR244" s="1206"/>
      <c r="FVS244" s="1206"/>
      <c r="FVT244" s="1206"/>
      <c r="FVU244" s="1206"/>
      <c r="FVV244" s="1206"/>
      <c r="FVW244" s="1206"/>
      <c r="FVX244" s="1207"/>
      <c r="FVY244" s="1206"/>
      <c r="FVZ244" s="1206"/>
      <c r="FWA244" s="1206"/>
      <c r="FWB244" s="1206"/>
      <c r="FWC244" s="1206"/>
      <c r="FWD244" s="1206"/>
      <c r="FWE244" s="1206"/>
      <c r="FWF244" s="1206"/>
      <c r="FWG244" s="1206"/>
      <c r="FWH244" s="1206"/>
      <c r="FWI244" s="1206"/>
      <c r="FWJ244" s="1206"/>
      <c r="FWK244" s="1206"/>
      <c r="FWL244" s="1206"/>
      <c r="FWM244" s="1206"/>
      <c r="FWN244" s="1206"/>
      <c r="FWO244" s="1207"/>
      <c r="FWP244" s="1206"/>
      <c r="FWQ244" s="1206"/>
      <c r="FWR244" s="1206"/>
      <c r="FWS244" s="1206"/>
      <c r="FWT244" s="1206"/>
      <c r="FWU244" s="1206"/>
      <c r="FWV244" s="1206"/>
      <c r="FWW244" s="1206"/>
      <c r="FWX244" s="1206"/>
      <c r="FWY244" s="1206"/>
      <c r="FWZ244" s="1206"/>
      <c r="FXA244" s="1206"/>
      <c r="FXB244" s="1206"/>
      <c r="FXC244" s="1206"/>
      <c r="FXD244" s="1206"/>
      <c r="FXE244" s="1206"/>
      <c r="FXF244" s="1207"/>
      <c r="FXG244" s="1206"/>
      <c r="FXH244" s="1206"/>
      <c r="FXI244" s="1206"/>
      <c r="FXJ244" s="1206"/>
      <c r="FXK244" s="1206"/>
      <c r="FXL244" s="1206"/>
      <c r="FXM244" s="1206"/>
      <c r="FXN244" s="1206"/>
      <c r="FXO244" s="1206"/>
      <c r="FXP244" s="1206"/>
      <c r="FXQ244" s="1206"/>
      <c r="FXR244" s="1206"/>
      <c r="FXS244" s="1206"/>
      <c r="FXT244" s="1206"/>
      <c r="FXU244" s="1206"/>
      <c r="FXV244" s="1206"/>
      <c r="FXW244" s="1207"/>
      <c r="FXX244" s="1206"/>
      <c r="FXY244" s="1206"/>
      <c r="FXZ244" s="1206"/>
      <c r="FYA244" s="1206"/>
      <c r="FYB244" s="1206"/>
      <c r="FYC244" s="1206"/>
      <c r="FYD244" s="1206"/>
      <c r="FYE244" s="1206"/>
      <c r="FYF244" s="1206"/>
      <c r="FYG244" s="1206"/>
      <c r="FYH244" s="1206"/>
      <c r="FYI244" s="1206"/>
      <c r="FYJ244" s="1206"/>
      <c r="FYK244" s="1206"/>
      <c r="FYL244" s="1206"/>
      <c r="FYM244" s="1206"/>
      <c r="FYN244" s="1207"/>
      <c r="FYO244" s="1206"/>
      <c r="FYP244" s="1206"/>
      <c r="FYQ244" s="1206"/>
      <c r="FYR244" s="1206"/>
      <c r="FYS244" s="1206"/>
      <c r="FYT244" s="1206"/>
      <c r="FYU244" s="1206"/>
      <c r="FYV244" s="1206"/>
      <c r="FYW244" s="1206"/>
      <c r="FYX244" s="1206"/>
      <c r="FYY244" s="1206"/>
      <c r="FYZ244" s="1206"/>
      <c r="FZA244" s="1206"/>
      <c r="FZB244" s="1206"/>
      <c r="FZC244" s="1206"/>
      <c r="FZD244" s="1206"/>
      <c r="FZE244" s="1207"/>
      <c r="FZF244" s="1206"/>
      <c r="FZG244" s="1206"/>
      <c r="FZH244" s="1206"/>
      <c r="FZI244" s="1206"/>
      <c r="FZJ244" s="1206"/>
      <c r="FZK244" s="1206"/>
      <c r="FZL244" s="1206"/>
      <c r="FZM244" s="1206"/>
      <c r="FZN244" s="1206"/>
      <c r="FZO244" s="1206"/>
      <c r="FZP244" s="1206"/>
      <c r="FZQ244" s="1206"/>
      <c r="FZR244" s="1206"/>
      <c r="FZS244" s="1206"/>
      <c r="FZT244" s="1206"/>
      <c r="FZU244" s="1206"/>
      <c r="FZV244" s="1207"/>
      <c r="FZW244" s="1206"/>
      <c r="FZX244" s="1206"/>
      <c r="FZY244" s="1206"/>
      <c r="FZZ244" s="1206"/>
      <c r="GAA244" s="1206"/>
      <c r="GAB244" s="1206"/>
      <c r="GAC244" s="1206"/>
      <c r="GAD244" s="1206"/>
      <c r="GAE244" s="1206"/>
      <c r="GAF244" s="1206"/>
      <c r="GAG244" s="1206"/>
      <c r="GAH244" s="1206"/>
      <c r="GAI244" s="1206"/>
      <c r="GAJ244" s="1206"/>
      <c r="GAK244" s="1206"/>
      <c r="GAL244" s="1206"/>
      <c r="GAM244" s="1207"/>
      <c r="GAN244" s="1206"/>
      <c r="GAO244" s="1206"/>
      <c r="GAP244" s="1206"/>
      <c r="GAQ244" s="1206"/>
      <c r="GAR244" s="1206"/>
      <c r="GAS244" s="1206"/>
      <c r="GAT244" s="1206"/>
      <c r="GAU244" s="1206"/>
      <c r="GAV244" s="1206"/>
      <c r="GAW244" s="1206"/>
      <c r="GAX244" s="1206"/>
      <c r="GAY244" s="1206"/>
      <c r="GAZ244" s="1206"/>
      <c r="GBA244" s="1206"/>
      <c r="GBB244" s="1206"/>
      <c r="GBC244" s="1206"/>
      <c r="GBD244" s="1207"/>
      <c r="GBE244" s="1206"/>
      <c r="GBF244" s="1206"/>
      <c r="GBG244" s="1206"/>
      <c r="GBH244" s="1206"/>
      <c r="GBI244" s="1206"/>
      <c r="GBJ244" s="1206"/>
      <c r="GBK244" s="1206"/>
      <c r="GBL244" s="1206"/>
      <c r="GBM244" s="1206"/>
      <c r="GBN244" s="1206"/>
      <c r="GBO244" s="1206"/>
      <c r="GBP244" s="1206"/>
      <c r="GBQ244" s="1206"/>
      <c r="GBR244" s="1206"/>
      <c r="GBS244" s="1206"/>
      <c r="GBT244" s="1206"/>
      <c r="GBU244" s="1207"/>
      <c r="GBV244" s="1206"/>
      <c r="GBW244" s="1206"/>
      <c r="GBX244" s="1206"/>
      <c r="GBY244" s="1206"/>
      <c r="GBZ244" s="1206"/>
      <c r="GCA244" s="1206"/>
      <c r="GCB244" s="1206"/>
      <c r="GCC244" s="1206"/>
      <c r="GCD244" s="1206"/>
      <c r="GCE244" s="1206"/>
      <c r="GCF244" s="1206"/>
      <c r="GCG244" s="1206"/>
      <c r="GCH244" s="1206"/>
      <c r="GCI244" s="1206"/>
      <c r="GCJ244" s="1206"/>
      <c r="GCK244" s="1206"/>
      <c r="GCL244" s="1207"/>
      <c r="GCM244" s="1206"/>
      <c r="GCN244" s="1206"/>
      <c r="GCO244" s="1206"/>
      <c r="GCP244" s="1206"/>
      <c r="GCQ244" s="1206"/>
      <c r="GCR244" s="1206"/>
      <c r="GCS244" s="1206"/>
      <c r="GCT244" s="1206"/>
      <c r="GCU244" s="1206"/>
      <c r="GCV244" s="1206"/>
      <c r="GCW244" s="1206"/>
      <c r="GCX244" s="1206"/>
      <c r="GCY244" s="1206"/>
      <c r="GCZ244" s="1206"/>
      <c r="GDA244" s="1206"/>
      <c r="GDB244" s="1206"/>
      <c r="GDC244" s="1207"/>
      <c r="GDD244" s="1206"/>
      <c r="GDE244" s="1206"/>
      <c r="GDF244" s="1206"/>
      <c r="GDG244" s="1206"/>
      <c r="GDH244" s="1206"/>
      <c r="GDI244" s="1206"/>
      <c r="GDJ244" s="1206"/>
      <c r="GDK244" s="1206"/>
      <c r="GDL244" s="1206"/>
      <c r="GDM244" s="1206"/>
      <c r="GDN244" s="1206"/>
      <c r="GDO244" s="1206"/>
      <c r="GDP244" s="1206"/>
      <c r="GDQ244" s="1206"/>
      <c r="GDR244" s="1206"/>
      <c r="GDS244" s="1206"/>
      <c r="GDT244" s="1207"/>
      <c r="GDU244" s="1206"/>
      <c r="GDV244" s="1206"/>
      <c r="GDW244" s="1206"/>
      <c r="GDX244" s="1206"/>
      <c r="GDY244" s="1206"/>
      <c r="GDZ244" s="1206"/>
      <c r="GEA244" s="1206"/>
      <c r="GEB244" s="1206"/>
      <c r="GEC244" s="1206"/>
      <c r="GED244" s="1206"/>
      <c r="GEE244" s="1206"/>
      <c r="GEF244" s="1206"/>
      <c r="GEG244" s="1206"/>
      <c r="GEH244" s="1206"/>
      <c r="GEI244" s="1206"/>
      <c r="GEJ244" s="1206"/>
      <c r="GEK244" s="1207"/>
      <c r="GEL244" s="1206"/>
      <c r="GEM244" s="1206"/>
      <c r="GEN244" s="1206"/>
      <c r="GEO244" s="1206"/>
      <c r="GEP244" s="1206"/>
      <c r="GEQ244" s="1206"/>
      <c r="GER244" s="1206"/>
      <c r="GES244" s="1206"/>
      <c r="GET244" s="1206"/>
      <c r="GEU244" s="1206"/>
      <c r="GEV244" s="1206"/>
      <c r="GEW244" s="1206"/>
      <c r="GEX244" s="1206"/>
      <c r="GEY244" s="1206"/>
      <c r="GEZ244" s="1206"/>
      <c r="GFA244" s="1206"/>
      <c r="GFB244" s="1207"/>
      <c r="GFC244" s="1206"/>
      <c r="GFD244" s="1206"/>
      <c r="GFE244" s="1206"/>
      <c r="GFF244" s="1206"/>
      <c r="GFG244" s="1206"/>
      <c r="GFH244" s="1206"/>
      <c r="GFI244" s="1206"/>
      <c r="GFJ244" s="1206"/>
      <c r="GFK244" s="1206"/>
      <c r="GFL244" s="1206"/>
      <c r="GFM244" s="1206"/>
      <c r="GFN244" s="1206"/>
      <c r="GFO244" s="1206"/>
      <c r="GFP244" s="1206"/>
      <c r="GFQ244" s="1206"/>
      <c r="GFR244" s="1206"/>
      <c r="GFS244" s="1207"/>
      <c r="GFT244" s="1206"/>
      <c r="GFU244" s="1206"/>
      <c r="GFV244" s="1206"/>
      <c r="GFW244" s="1206"/>
      <c r="GFX244" s="1206"/>
      <c r="GFY244" s="1206"/>
      <c r="GFZ244" s="1206"/>
      <c r="GGA244" s="1206"/>
      <c r="GGB244" s="1206"/>
      <c r="GGC244" s="1206"/>
      <c r="GGD244" s="1206"/>
      <c r="GGE244" s="1206"/>
      <c r="GGF244" s="1206"/>
      <c r="GGG244" s="1206"/>
      <c r="GGH244" s="1206"/>
      <c r="GGI244" s="1206"/>
      <c r="GGJ244" s="1207"/>
      <c r="GGK244" s="1206"/>
      <c r="GGL244" s="1206"/>
      <c r="GGM244" s="1206"/>
      <c r="GGN244" s="1206"/>
      <c r="GGO244" s="1206"/>
      <c r="GGP244" s="1206"/>
      <c r="GGQ244" s="1206"/>
      <c r="GGR244" s="1206"/>
      <c r="GGS244" s="1206"/>
      <c r="GGT244" s="1206"/>
      <c r="GGU244" s="1206"/>
      <c r="GGV244" s="1206"/>
      <c r="GGW244" s="1206"/>
      <c r="GGX244" s="1206"/>
      <c r="GGY244" s="1206"/>
      <c r="GGZ244" s="1206"/>
      <c r="GHA244" s="1207"/>
      <c r="GHB244" s="1206"/>
      <c r="GHC244" s="1206"/>
      <c r="GHD244" s="1206"/>
      <c r="GHE244" s="1206"/>
      <c r="GHF244" s="1206"/>
      <c r="GHG244" s="1206"/>
      <c r="GHH244" s="1206"/>
      <c r="GHI244" s="1206"/>
      <c r="GHJ244" s="1206"/>
      <c r="GHK244" s="1206"/>
      <c r="GHL244" s="1206"/>
      <c r="GHM244" s="1206"/>
      <c r="GHN244" s="1206"/>
      <c r="GHO244" s="1206"/>
      <c r="GHP244" s="1206"/>
      <c r="GHQ244" s="1206"/>
      <c r="GHR244" s="1207"/>
      <c r="GHS244" s="1206"/>
      <c r="GHT244" s="1206"/>
      <c r="GHU244" s="1206"/>
      <c r="GHV244" s="1206"/>
      <c r="GHW244" s="1206"/>
      <c r="GHX244" s="1206"/>
      <c r="GHY244" s="1206"/>
      <c r="GHZ244" s="1206"/>
      <c r="GIA244" s="1206"/>
      <c r="GIB244" s="1206"/>
      <c r="GIC244" s="1206"/>
      <c r="GID244" s="1206"/>
      <c r="GIE244" s="1206"/>
      <c r="GIF244" s="1206"/>
      <c r="GIG244" s="1206"/>
      <c r="GIH244" s="1206"/>
      <c r="GII244" s="1207"/>
      <c r="GIJ244" s="1206"/>
      <c r="GIK244" s="1206"/>
      <c r="GIL244" s="1206"/>
      <c r="GIM244" s="1206"/>
      <c r="GIN244" s="1206"/>
      <c r="GIO244" s="1206"/>
      <c r="GIP244" s="1206"/>
      <c r="GIQ244" s="1206"/>
      <c r="GIR244" s="1206"/>
      <c r="GIS244" s="1206"/>
      <c r="GIT244" s="1206"/>
      <c r="GIU244" s="1206"/>
      <c r="GIV244" s="1206"/>
      <c r="GIW244" s="1206"/>
      <c r="GIX244" s="1206"/>
      <c r="GIY244" s="1206"/>
      <c r="GIZ244" s="1207"/>
      <c r="GJA244" s="1206"/>
      <c r="GJB244" s="1206"/>
      <c r="GJC244" s="1206"/>
      <c r="GJD244" s="1206"/>
      <c r="GJE244" s="1206"/>
      <c r="GJF244" s="1206"/>
      <c r="GJG244" s="1206"/>
      <c r="GJH244" s="1206"/>
      <c r="GJI244" s="1206"/>
      <c r="GJJ244" s="1206"/>
      <c r="GJK244" s="1206"/>
      <c r="GJL244" s="1206"/>
      <c r="GJM244" s="1206"/>
      <c r="GJN244" s="1206"/>
      <c r="GJO244" s="1206"/>
      <c r="GJP244" s="1206"/>
      <c r="GJQ244" s="1207"/>
      <c r="GJR244" s="1206"/>
      <c r="GJS244" s="1206"/>
      <c r="GJT244" s="1206"/>
      <c r="GJU244" s="1206"/>
      <c r="GJV244" s="1206"/>
      <c r="GJW244" s="1206"/>
      <c r="GJX244" s="1206"/>
      <c r="GJY244" s="1206"/>
      <c r="GJZ244" s="1206"/>
      <c r="GKA244" s="1206"/>
      <c r="GKB244" s="1206"/>
      <c r="GKC244" s="1206"/>
      <c r="GKD244" s="1206"/>
      <c r="GKE244" s="1206"/>
      <c r="GKF244" s="1206"/>
      <c r="GKG244" s="1206"/>
      <c r="GKH244" s="1207"/>
      <c r="GKI244" s="1206"/>
      <c r="GKJ244" s="1206"/>
      <c r="GKK244" s="1206"/>
      <c r="GKL244" s="1206"/>
      <c r="GKM244" s="1206"/>
      <c r="GKN244" s="1206"/>
      <c r="GKO244" s="1206"/>
      <c r="GKP244" s="1206"/>
      <c r="GKQ244" s="1206"/>
      <c r="GKR244" s="1206"/>
      <c r="GKS244" s="1206"/>
      <c r="GKT244" s="1206"/>
      <c r="GKU244" s="1206"/>
      <c r="GKV244" s="1206"/>
      <c r="GKW244" s="1206"/>
      <c r="GKX244" s="1206"/>
      <c r="GKY244" s="1207"/>
      <c r="GKZ244" s="1206"/>
      <c r="GLA244" s="1206"/>
      <c r="GLB244" s="1206"/>
      <c r="GLC244" s="1206"/>
      <c r="GLD244" s="1206"/>
      <c r="GLE244" s="1206"/>
      <c r="GLF244" s="1206"/>
      <c r="GLG244" s="1206"/>
      <c r="GLH244" s="1206"/>
      <c r="GLI244" s="1206"/>
      <c r="GLJ244" s="1206"/>
      <c r="GLK244" s="1206"/>
      <c r="GLL244" s="1206"/>
      <c r="GLM244" s="1206"/>
      <c r="GLN244" s="1206"/>
      <c r="GLO244" s="1206"/>
      <c r="GLP244" s="1207"/>
      <c r="GLQ244" s="1206"/>
      <c r="GLR244" s="1206"/>
      <c r="GLS244" s="1206"/>
      <c r="GLT244" s="1206"/>
      <c r="GLU244" s="1206"/>
      <c r="GLV244" s="1206"/>
      <c r="GLW244" s="1206"/>
      <c r="GLX244" s="1206"/>
      <c r="GLY244" s="1206"/>
      <c r="GLZ244" s="1206"/>
      <c r="GMA244" s="1206"/>
      <c r="GMB244" s="1206"/>
      <c r="GMC244" s="1206"/>
      <c r="GMD244" s="1206"/>
      <c r="GME244" s="1206"/>
      <c r="GMF244" s="1206"/>
      <c r="GMG244" s="1207"/>
      <c r="GMH244" s="1206"/>
      <c r="GMI244" s="1206"/>
      <c r="GMJ244" s="1206"/>
      <c r="GMK244" s="1206"/>
      <c r="GML244" s="1206"/>
      <c r="GMM244" s="1206"/>
      <c r="GMN244" s="1206"/>
      <c r="GMO244" s="1206"/>
      <c r="GMP244" s="1206"/>
      <c r="GMQ244" s="1206"/>
      <c r="GMR244" s="1206"/>
      <c r="GMS244" s="1206"/>
      <c r="GMT244" s="1206"/>
      <c r="GMU244" s="1206"/>
      <c r="GMV244" s="1206"/>
      <c r="GMW244" s="1206"/>
      <c r="GMX244" s="1207"/>
      <c r="GMY244" s="1206"/>
      <c r="GMZ244" s="1206"/>
      <c r="GNA244" s="1206"/>
      <c r="GNB244" s="1206"/>
      <c r="GNC244" s="1206"/>
      <c r="GND244" s="1206"/>
      <c r="GNE244" s="1206"/>
      <c r="GNF244" s="1206"/>
      <c r="GNG244" s="1206"/>
      <c r="GNH244" s="1206"/>
      <c r="GNI244" s="1206"/>
      <c r="GNJ244" s="1206"/>
      <c r="GNK244" s="1206"/>
      <c r="GNL244" s="1206"/>
      <c r="GNM244" s="1206"/>
      <c r="GNN244" s="1206"/>
      <c r="GNO244" s="1207"/>
      <c r="GNP244" s="1206"/>
      <c r="GNQ244" s="1206"/>
      <c r="GNR244" s="1206"/>
      <c r="GNS244" s="1206"/>
      <c r="GNT244" s="1206"/>
      <c r="GNU244" s="1206"/>
      <c r="GNV244" s="1206"/>
      <c r="GNW244" s="1206"/>
      <c r="GNX244" s="1206"/>
      <c r="GNY244" s="1206"/>
      <c r="GNZ244" s="1206"/>
      <c r="GOA244" s="1206"/>
      <c r="GOB244" s="1206"/>
      <c r="GOC244" s="1206"/>
      <c r="GOD244" s="1206"/>
      <c r="GOE244" s="1206"/>
      <c r="GOF244" s="1207"/>
      <c r="GOG244" s="1206"/>
      <c r="GOH244" s="1206"/>
      <c r="GOI244" s="1206"/>
      <c r="GOJ244" s="1206"/>
      <c r="GOK244" s="1206"/>
      <c r="GOL244" s="1206"/>
      <c r="GOM244" s="1206"/>
      <c r="GON244" s="1206"/>
      <c r="GOO244" s="1206"/>
      <c r="GOP244" s="1206"/>
      <c r="GOQ244" s="1206"/>
      <c r="GOR244" s="1206"/>
      <c r="GOS244" s="1206"/>
      <c r="GOT244" s="1206"/>
      <c r="GOU244" s="1206"/>
      <c r="GOV244" s="1206"/>
      <c r="GOW244" s="1207"/>
      <c r="GOX244" s="1206"/>
      <c r="GOY244" s="1206"/>
      <c r="GOZ244" s="1206"/>
      <c r="GPA244" s="1206"/>
      <c r="GPB244" s="1206"/>
      <c r="GPC244" s="1206"/>
      <c r="GPD244" s="1206"/>
      <c r="GPE244" s="1206"/>
      <c r="GPF244" s="1206"/>
      <c r="GPG244" s="1206"/>
      <c r="GPH244" s="1206"/>
      <c r="GPI244" s="1206"/>
      <c r="GPJ244" s="1206"/>
      <c r="GPK244" s="1206"/>
      <c r="GPL244" s="1206"/>
      <c r="GPM244" s="1206"/>
      <c r="GPN244" s="1207"/>
      <c r="GPO244" s="1206"/>
      <c r="GPP244" s="1206"/>
      <c r="GPQ244" s="1206"/>
      <c r="GPR244" s="1206"/>
      <c r="GPS244" s="1206"/>
      <c r="GPT244" s="1206"/>
      <c r="GPU244" s="1206"/>
      <c r="GPV244" s="1206"/>
      <c r="GPW244" s="1206"/>
      <c r="GPX244" s="1206"/>
      <c r="GPY244" s="1206"/>
      <c r="GPZ244" s="1206"/>
      <c r="GQA244" s="1206"/>
      <c r="GQB244" s="1206"/>
      <c r="GQC244" s="1206"/>
      <c r="GQD244" s="1206"/>
      <c r="GQE244" s="1207"/>
      <c r="GQF244" s="1206"/>
      <c r="GQG244" s="1206"/>
      <c r="GQH244" s="1206"/>
      <c r="GQI244" s="1206"/>
      <c r="GQJ244" s="1206"/>
      <c r="GQK244" s="1206"/>
      <c r="GQL244" s="1206"/>
      <c r="GQM244" s="1206"/>
      <c r="GQN244" s="1206"/>
      <c r="GQO244" s="1206"/>
      <c r="GQP244" s="1206"/>
      <c r="GQQ244" s="1206"/>
      <c r="GQR244" s="1206"/>
      <c r="GQS244" s="1206"/>
      <c r="GQT244" s="1206"/>
      <c r="GQU244" s="1206"/>
      <c r="GQV244" s="1207"/>
      <c r="GQW244" s="1206"/>
      <c r="GQX244" s="1206"/>
      <c r="GQY244" s="1206"/>
      <c r="GQZ244" s="1206"/>
      <c r="GRA244" s="1206"/>
      <c r="GRB244" s="1206"/>
      <c r="GRC244" s="1206"/>
      <c r="GRD244" s="1206"/>
      <c r="GRE244" s="1206"/>
      <c r="GRF244" s="1206"/>
      <c r="GRG244" s="1206"/>
      <c r="GRH244" s="1206"/>
      <c r="GRI244" s="1206"/>
      <c r="GRJ244" s="1206"/>
      <c r="GRK244" s="1206"/>
      <c r="GRL244" s="1206"/>
      <c r="GRM244" s="1207"/>
      <c r="GRN244" s="1206"/>
      <c r="GRO244" s="1206"/>
      <c r="GRP244" s="1206"/>
      <c r="GRQ244" s="1206"/>
      <c r="GRR244" s="1206"/>
      <c r="GRS244" s="1206"/>
      <c r="GRT244" s="1206"/>
      <c r="GRU244" s="1206"/>
      <c r="GRV244" s="1206"/>
      <c r="GRW244" s="1206"/>
      <c r="GRX244" s="1206"/>
      <c r="GRY244" s="1206"/>
      <c r="GRZ244" s="1206"/>
      <c r="GSA244" s="1206"/>
      <c r="GSB244" s="1206"/>
      <c r="GSC244" s="1206"/>
      <c r="GSD244" s="1207"/>
      <c r="GSE244" s="1206"/>
      <c r="GSF244" s="1206"/>
      <c r="GSG244" s="1206"/>
      <c r="GSH244" s="1206"/>
      <c r="GSI244" s="1206"/>
      <c r="GSJ244" s="1206"/>
      <c r="GSK244" s="1206"/>
      <c r="GSL244" s="1206"/>
      <c r="GSM244" s="1206"/>
      <c r="GSN244" s="1206"/>
      <c r="GSO244" s="1206"/>
      <c r="GSP244" s="1206"/>
      <c r="GSQ244" s="1206"/>
      <c r="GSR244" s="1206"/>
      <c r="GSS244" s="1206"/>
      <c r="GST244" s="1206"/>
      <c r="GSU244" s="1207"/>
      <c r="GSV244" s="1206"/>
      <c r="GSW244" s="1206"/>
      <c r="GSX244" s="1206"/>
      <c r="GSY244" s="1206"/>
      <c r="GSZ244" s="1206"/>
      <c r="GTA244" s="1206"/>
      <c r="GTB244" s="1206"/>
      <c r="GTC244" s="1206"/>
      <c r="GTD244" s="1206"/>
      <c r="GTE244" s="1206"/>
      <c r="GTF244" s="1206"/>
      <c r="GTG244" s="1206"/>
      <c r="GTH244" s="1206"/>
      <c r="GTI244" s="1206"/>
      <c r="GTJ244" s="1206"/>
      <c r="GTK244" s="1206"/>
      <c r="GTL244" s="1207"/>
      <c r="GTM244" s="1206"/>
      <c r="GTN244" s="1206"/>
      <c r="GTO244" s="1206"/>
      <c r="GTP244" s="1206"/>
      <c r="GTQ244" s="1206"/>
      <c r="GTR244" s="1206"/>
      <c r="GTS244" s="1206"/>
      <c r="GTT244" s="1206"/>
      <c r="GTU244" s="1206"/>
      <c r="GTV244" s="1206"/>
      <c r="GTW244" s="1206"/>
      <c r="GTX244" s="1206"/>
      <c r="GTY244" s="1206"/>
      <c r="GTZ244" s="1206"/>
      <c r="GUA244" s="1206"/>
      <c r="GUB244" s="1206"/>
      <c r="GUC244" s="1207"/>
      <c r="GUD244" s="1206"/>
      <c r="GUE244" s="1206"/>
      <c r="GUF244" s="1206"/>
      <c r="GUG244" s="1206"/>
      <c r="GUH244" s="1206"/>
      <c r="GUI244" s="1206"/>
      <c r="GUJ244" s="1206"/>
      <c r="GUK244" s="1206"/>
      <c r="GUL244" s="1206"/>
      <c r="GUM244" s="1206"/>
      <c r="GUN244" s="1206"/>
      <c r="GUO244" s="1206"/>
      <c r="GUP244" s="1206"/>
      <c r="GUQ244" s="1206"/>
      <c r="GUR244" s="1206"/>
      <c r="GUS244" s="1206"/>
      <c r="GUT244" s="1207"/>
      <c r="GUU244" s="1206"/>
      <c r="GUV244" s="1206"/>
      <c r="GUW244" s="1206"/>
      <c r="GUX244" s="1206"/>
      <c r="GUY244" s="1206"/>
      <c r="GUZ244" s="1206"/>
      <c r="GVA244" s="1206"/>
      <c r="GVB244" s="1206"/>
      <c r="GVC244" s="1206"/>
      <c r="GVD244" s="1206"/>
      <c r="GVE244" s="1206"/>
      <c r="GVF244" s="1206"/>
      <c r="GVG244" s="1206"/>
      <c r="GVH244" s="1206"/>
      <c r="GVI244" s="1206"/>
      <c r="GVJ244" s="1206"/>
      <c r="GVK244" s="1207"/>
      <c r="GVL244" s="1206"/>
      <c r="GVM244" s="1206"/>
      <c r="GVN244" s="1206"/>
      <c r="GVO244" s="1206"/>
      <c r="GVP244" s="1206"/>
      <c r="GVQ244" s="1206"/>
      <c r="GVR244" s="1206"/>
      <c r="GVS244" s="1206"/>
      <c r="GVT244" s="1206"/>
      <c r="GVU244" s="1206"/>
      <c r="GVV244" s="1206"/>
      <c r="GVW244" s="1206"/>
      <c r="GVX244" s="1206"/>
      <c r="GVY244" s="1206"/>
      <c r="GVZ244" s="1206"/>
      <c r="GWA244" s="1206"/>
      <c r="GWB244" s="1207"/>
      <c r="GWC244" s="1206"/>
      <c r="GWD244" s="1206"/>
      <c r="GWE244" s="1206"/>
      <c r="GWF244" s="1206"/>
      <c r="GWG244" s="1206"/>
      <c r="GWH244" s="1206"/>
      <c r="GWI244" s="1206"/>
      <c r="GWJ244" s="1206"/>
      <c r="GWK244" s="1206"/>
      <c r="GWL244" s="1206"/>
      <c r="GWM244" s="1206"/>
      <c r="GWN244" s="1206"/>
      <c r="GWO244" s="1206"/>
      <c r="GWP244" s="1206"/>
      <c r="GWQ244" s="1206"/>
      <c r="GWR244" s="1206"/>
      <c r="GWS244" s="1207"/>
      <c r="GWT244" s="1206"/>
      <c r="GWU244" s="1206"/>
      <c r="GWV244" s="1206"/>
      <c r="GWW244" s="1206"/>
      <c r="GWX244" s="1206"/>
      <c r="GWY244" s="1206"/>
      <c r="GWZ244" s="1206"/>
      <c r="GXA244" s="1206"/>
      <c r="GXB244" s="1206"/>
      <c r="GXC244" s="1206"/>
      <c r="GXD244" s="1206"/>
      <c r="GXE244" s="1206"/>
      <c r="GXF244" s="1206"/>
      <c r="GXG244" s="1206"/>
      <c r="GXH244" s="1206"/>
      <c r="GXI244" s="1206"/>
      <c r="GXJ244" s="1207"/>
      <c r="GXK244" s="1206"/>
      <c r="GXL244" s="1206"/>
      <c r="GXM244" s="1206"/>
      <c r="GXN244" s="1206"/>
      <c r="GXO244" s="1206"/>
      <c r="GXP244" s="1206"/>
      <c r="GXQ244" s="1206"/>
      <c r="GXR244" s="1206"/>
      <c r="GXS244" s="1206"/>
      <c r="GXT244" s="1206"/>
      <c r="GXU244" s="1206"/>
      <c r="GXV244" s="1206"/>
      <c r="GXW244" s="1206"/>
      <c r="GXX244" s="1206"/>
      <c r="GXY244" s="1206"/>
      <c r="GXZ244" s="1206"/>
      <c r="GYA244" s="1207"/>
      <c r="GYB244" s="1206"/>
      <c r="GYC244" s="1206"/>
      <c r="GYD244" s="1206"/>
      <c r="GYE244" s="1206"/>
      <c r="GYF244" s="1206"/>
      <c r="GYG244" s="1206"/>
      <c r="GYH244" s="1206"/>
      <c r="GYI244" s="1206"/>
      <c r="GYJ244" s="1206"/>
      <c r="GYK244" s="1206"/>
      <c r="GYL244" s="1206"/>
      <c r="GYM244" s="1206"/>
      <c r="GYN244" s="1206"/>
      <c r="GYO244" s="1206"/>
      <c r="GYP244" s="1206"/>
      <c r="GYQ244" s="1206"/>
      <c r="GYR244" s="1207"/>
      <c r="GYS244" s="1206"/>
      <c r="GYT244" s="1206"/>
      <c r="GYU244" s="1206"/>
      <c r="GYV244" s="1206"/>
      <c r="GYW244" s="1206"/>
      <c r="GYX244" s="1206"/>
      <c r="GYY244" s="1206"/>
      <c r="GYZ244" s="1206"/>
      <c r="GZA244" s="1206"/>
      <c r="GZB244" s="1206"/>
      <c r="GZC244" s="1206"/>
      <c r="GZD244" s="1206"/>
      <c r="GZE244" s="1206"/>
      <c r="GZF244" s="1206"/>
      <c r="GZG244" s="1206"/>
      <c r="GZH244" s="1206"/>
      <c r="GZI244" s="1207"/>
      <c r="GZJ244" s="1206"/>
      <c r="GZK244" s="1206"/>
      <c r="GZL244" s="1206"/>
      <c r="GZM244" s="1206"/>
      <c r="GZN244" s="1206"/>
      <c r="GZO244" s="1206"/>
      <c r="GZP244" s="1206"/>
      <c r="GZQ244" s="1206"/>
      <c r="GZR244" s="1206"/>
      <c r="GZS244" s="1206"/>
      <c r="GZT244" s="1206"/>
      <c r="GZU244" s="1206"/>
      <c r="GZV244" s="1206"/>
      <c r="GZW244" s="1206"/>
      <c r="GZX244" s="1206"/>
      <c r="GZY244" s="1206"/>
      <c r="GZZ244" s="1207"/>
      <c r="HAA244" s="1206"/>
      <c r="HAB244" s="1206"/>
      <c r="HAC244" s="1206"/>
      <c r="HAD244" s="1206"/>
      <c r="HAE244" s="1206"/>
      <c r="HAF244" s="1206"/>
      <c r="HAG244" s="1206"/>
      <c r="HAH244" s="1206"/>
      <c r="HAI244" s="1206"/>
      <c r="HAJ244" s="1206"/>
      <c r="HAK244" s="1206"/>
      <c r="HAL244" s="1206"/>
      <c r="HAM244" s="1206"/>
      <c r="HAN244" s="1206"/>
      <c r="HAO244" s="1206"/>
      <c r="HAP244" s="1206"/>
      <c r="HAQ244" s="1207"/>
      <c r="HAR244" s="1206"/>
      <c r="HAS244" s="1206"/>
      <c r="HAT244" s="1206"/>
      <c r="HAU244" s="1206"/>
      <c r="HAV244" s="1206"/>
      <c r="HAW244" s="1206"/>
      <c r="HAX244" s="1206"/>
      <c r="HAY244" s="1206"/>
      <c r="HAZ244" s="1206"/>
      <c r="HBA244" s="1206"/>
      <c r="HBB244" s="1206"/>
      <c r="HBC244" s="1206"/>
      <c r="HBD244" s="1206"/>
      <c r="HBE244" s="1206"/>
      <c r="HBF244" s="1206"/>
      <c r="HBG244" s="1206"/>
      <c r="HBH244" s="1207"/>
      <c r="HBI244" s="1206"/>
      <c r="HBJ244" s="1206"/>
      <c r="HBK244" s="1206"/>
      <c r="HBL244" s="1206"/>
      <c r="HBM244" s="1206"/>
      <c r="HBN244" s="1206"/>
      <c r="HBO244" s="1206"/>
      <c r="HBP244" s="1206"/>
      <c r="HBQ244" s="1206"/>
      <c r="HBR244" s="1206"/>
      <c r="HBS244" s="1206"/>
      <c r="HBT244" s="1206"/>
      <c r="HBU244" s="1206"/>
      <c r="HBV244" s="1206"/>
      <c r="HBW244" s="1206"/>
      <c r="HBX244" s="1206"/>
      <c r="HBY244" s="1207"/>
      <c r="HBZ244" s="1206"/>
      <c r="HCA244" s="1206"/>
      <c r="HCB244" s="1206"/>
      <c r="HCC244" s="1206"/>
      <c r="HCD244" s="1206"/>
      <c r="HCE244" s="1206"/>
      <c r="HCF244" s="1206"/>
      <c r="HCG244" s="1206"/>
      <c r="HCH244" s="1206"/>
      <c r="HCI244" s="1206"/>
      <c r="HCJ244" s="1206"/>
      <c r="HCK244" s="1206"/>
      <c r="HCL244" s="1206"/>
      <c r="HCM244" s="1206"/>
      <c r="HCN244" s="1206"/>
      <c r="HCO244" s="1206"/>
      <c r="HCP244" s="1207"/>
      <c r="HCQ244" s="1206"/>
      <c r="HCR244" s="1206"/>
      <c r="HCS244" s="1206"/>
      <c r="HCT244" s="1206"/>
      <c r="HCU244" s="1206"/>
      <c r="HCV244" s="1206"/>
      <c r="HCW244" s="1206"/>
      <c r="HCX244" s="1206"/>
      <c r="HCY244" s="1206"/>
      <c r="HCZ244" s="1206"/>
      <c r="HDA244" s="1206"/>
      <c r="HDB244" s="1206"/>
      <c r="HDC244" s="1206"/>
      <c r="HDD244" s="1206"/>
      <c r="HDE244" s="1206"/>
      <c r="HDF244" s="1206"/>
      <c r="HDG244" s="1207"/>
      <c r="HDH244" s="1206"/>
      <c r="HDI244" s="1206"/>
      <c r="HDJ244" s="1206"/>
      <c r="HDK244" s="1206"/>
      <c r="HDL244" s="1206"/>
      <c r="HDM244" s="1206"/>
      <c r="HDN244" s="1206"/>
      <c r="HDO244" s="1206"/>
      <c r="HDP244" s="1206"/>
      <c r="HDQ244" s="1206"/>
      <c r="HDR244" s="1206"/>
      <c r="HDS244" s="1206"/>
      <c r="HDT244" s="1206"/>
      <c r="HDU244" s="1206"/>
      <c r="HDV244" s="1206"/>
      <c r="HDW244" s="1206"/>
      <c r="HDX244" s="1207"/>
      <c r="HDY244" s="1206"/>
      <c r="HDZ244" s="1206"/>
      <c r="HEA244" s="1206"/>
      <c r="HEB244" s="1206"/>
      <c r="HEC244" s="1206"/>
      <c r="HED244" s="1206"/>
      <c r="HEE244" s="1206"/>
      <c r="HEF244" s="1206"/>
      <c r="HEG244" s="1206"/>
      <c r="HEH244" s="1206"/>
      <c r="HEI244" s="1206"/>
      <c r="HEJ244" s="1206"/>
      <c r="HEK244" s="1206"/>
      <c r="HEL244" s="1206"/>
      <c r="HEM244" s="1206"/>
      <c r="HEN244" s="1206"/>
      <c r="HEO244" s="1207"/>
      <c r="HEP244" s="1206"/>
      <c r="HEQ244" s="1206"/>
      <c r="HER244" s="1206"/>
      <c r="HES244" s="1206"/>
      <c r="HET244" s="1206"/>
      <c r="HEU244" s="1206"/>
      <c r="HEV244" s="1206"/>
      <c r="HEW244" s="1206"/>
      <c r="HEX244" s="1206"/>
      <c r="HEY244" s="1206"/>
      <c r="HEZ244" s="1206"/>
      <c r="HFA244" s="1206"/>
      <c r="HFB244" s="1206"/>
      <c r="HFC244" s="1206"/>
      <c r="HFD244" s="1206"/>
      <c r="HFE244" s="1206"/>
      <c r="HFF244" s="1207"/>
      <c r="HFG244" s="1206"/>
      <c r="HFH244" s="1206"/>
      <c r="HFI244" s="1206"/>
      <c r="HFJ244" s="1206"/>
      <c r="HFK244" s="1206"/>
      <c r="HFL244" s="1206"/>
      <c r="HFM244" s="1206"/>
      <c r="HFN244" s="1206"/>
      <c r="HFO244" s="1206"/>
      <c r="HFP244" s="1206"/>
      <c r="HFQ244" s="1206"/>
      <c r="HFR244" s="1206"/>
      <c r="HFS244" s="1206"/>
      <c r="HFT244" s="1206"/>
      <c r="HFU244" s="1206"/>
      <c r="HFV244" s="1206"/>
      <c r="HFW244" s="1207"/>
      <c r="HFX244" s="1206"/>
      <c r="HFY244" s="1206"/>
      <c r="HFZ244" s="1206"/>
      <c r="HGA244" s="1206"/>
      <c r="HGB244" s="1206"/>
      <c r="HGC244" s="1206"/>
      <c r="HGD244" s="1206"/>
      <c r="HGE244" s="1206"/>
      <c r="HGF244" s="1206"/>
      <c r="HGG244" s="1206"/>
      <c r="HGH244" s="1206"/>
      <c r="HGI244" s="1206"/>
      <c r="HGJ244" s="1206"/>
      <c r="HGK244" s="1206"/>
      <c r="HGL244" s="1206"/>
      <c r="HGM244" s="1206"/>
      <c r="HGN244" s="1207"/>
      <c r="HGO244" s="1206"/>
      <c r="HGP244" s="1206"/>
      <c r="HGQ244" s="1206"/>
      <c r="HGR244" s="1206"/>
      <c r="HGS244" s="1206"/>
      <c r="HGT244" s="1206"/>
      <c r="HGU244" s="1206"/>
      <c r="HGV244" s="1206"/>
      <c r="HGW244" s="1206"/>
      <c r="HGX244" s="1206"/>
      <c r="HGY244" s="1206"/>
      <c r="HGZ244" s="1206"/>
      <c r="HHA244" s="1206"/>
      <c r="HHB244" s="1206"/>
      <c r="HHC244" s="1206"/>
      <c r="HHD244" s="1206"/>
      <c r="HHE244" s="1207"/>
      <c r="HHF244" s="1206"/>
      <c r="HHG244" s="1206"/>
      <c r="HHH244" s="1206"/>
      <c r="HHI244" s="1206"/>
      <c r="HHJ244" s="1206"/>
      <c r="HHK244" s="1206"/>
      <c r="HHL244" s="1206"/>
      <c r="HHM244" s="1206"/>
      <c r="HHN244" s="1206"/>
      <c r="HHO244" s="1206"/>
      <c r="HHP244" s="1206"/>
      <c r="HHQ244" s="1206"/>
      <c r="HHR244" s="1206"/>
      <c r="HHS244" s="1206"/>
      <c r="HHT244" s="1206"/>
      <c r="HHU244" s="1206"/>
      <c r="HHV244" s="1207"/>
      <c r="HHW244" s="1206"/>
      <c r="HHX244" s="1206"/>
      <c r="HHY244" s="1206"/>
      <c r="HHZ244" s="1206"/>
      <c r="HIA244" s="1206"/>
      <c r="HIB244" s="1206"/>
      <c r="HIC244" s="1206"/>
      <c r="HID244" s="1206"/>
      <c r="HIE244" s="1206"/>
      <c r="HIF244" s="1206"/>
      <c r="HIG244" s="1206"/>
      <c r="HIH244" s="1206"/>
      <c r="HII244" s="1206"/>
      <c r="HIJ244" s="1206"/>
      <c r="HIK244" s="1206"/>
      <c r="HIL244" s="1206"/>
      <c r="HIM244" s="1207"/>
      <c r="HIN244" s="1206"/>
      <c r="HIO244" s="1206"/>
      <c r="HIP244" s="1206"/>
      <c r="HIQ244" s="1206"/>
      <c r="HIR244" s="1206"/>
      <c r="HIS244" s="1206"/>
      <c r="HIT244" s="1206"/>
      <c r="HIU244" s="1206"/>
      <c r="HIV244" s="1206"/>
      <c r="HIW244" s="1206"/>
      <c r="HIX244" s="1206"/>
      <c r="HIY244" s="1206"/>
      <c r="HIZ244" s="1206"/>
      <c r="HJA244" s="1206"/>
      <c r="HJB244" s="1206"/>
      <c r="HJC244" s="1206"/>
      <c r="HJD244" s="1207"/>
      <c r="HJE244" s="1206"/>
      <c r="HJF244" s="1206"/>
      <c r="HJG244" s="1206"/>
      <c r="HJH244" s="1206"/>
      <c r="HJI244" s="1206"/>
      <c r="HJJ244" s="1206"/>
      <c r="HJK244" s="1206"/>
      <c r="HJL244" s="1206"/>
      <c r="HJM244" s="1206"/>
      <c r="HJN244" s="1206"/>
      <c r="HJO244" s="1206"/>
      <c r="HJP244" s="1206"/>
      <c r="HJQ244" s="1206"/>
      <c r="HJR244" s="1206"/>
      <c r="HJS244" s="1206"/>
      <c r="HJT244" s="1206"/>
      <c r="HJU244" s="1207"/>
      <c r="HJV244" s="1206"/>
      <c r="HJW244" s="1206"/>
      <c r="HJX244" s="1206"/>
      <c r="HJY244" s="1206"/>
      <c r="HJZ244" s="1206"/>
      <c r="HKA244" s="1206"/>
      <c r="HKB244" s="1206"/>
      <c r="HKC244" s="1206"/>
      <c r="HKD244" s="1206"/>
      <c r="HKE244" s="1206"/>
      <c r="HKF244" s="1206"/>
      <c r="HKG244" s="1206"/>
      <c r="HKH244" s="1206"/>
      <c r="HKI244" s="1206"/>
      <c r="HKJ244" s="1206"/>
      <c r="HKK244" s="1206"/>
      <c r="HKL244" s="1207"/>
      <c r="HKM244" s="1206"/>
      <c r="HKN244" s="1206"/>
      <c r="HKO244" s="1206"/>
      <c r="HKP244" s="1206"/>
      <c r="HKQ244" s="1206"/>
      <c r="HKR244" s="1206"/>
      <c r="HKS244" s="1206"/>
      <c r="HKT244" s="1206"/>
      <c r="HKU244" s="1206"/>
      <c r="HKV244" s="1206"/>
      <c r="HKW244" s="1206"/>
      <c r="HKX244" s="1206"/>
      <c r="HKY244" s="1206"/>
      <c r="HKZ244" s="1206"/>
      <c r="HLA244" s="1206"/>
      <c r="HLB244" s="1206"/>
      <c r="HLC244" s="1207"/>
      <c r="HLD244" s="1206"/>
      <c r="HLE244" s="1206"/>
      <c r="HLF244" s="1206"/>
      <c r="HLG244" s="1206"/>
      <c r="HLH244" s="1206"/>
      <c r="HLI244" s="1206"/>
      <c r="HLJ244" s="1206"/>
      <c r="HLK244" s="1206"/>
      <c r="HLL244" s="1206"/>
      <c r="HLM244" s="1206"/>
      <c r="HLN244" s="1206"/>
      <c r="HLO244" s="1206"/>
      <c r="HLP244" s="1206"/>
      <c r="HLQ244" s="1206"/>
      <c r="HLR244" s="1206"/>
      <c r="HLS244" s="1206"/>
      <c r="HLT244" s="1207"/>
      <c r="HLU244" s="1206"/>
      <c r="HLV244" s="1206"/>
      <c r="HLW244" s="1206"/>
      <c r="HLX244" s="1206"/>
      <c r="HLY244" s="1206"/>
      <c r="HLZ244" s="1206"/>
      <c r="HMA244" s="1206"/>
      <c r="HMB244" s="1206"/>
      <c r="HMC244" s="1206"/>
      <c r="HMD244" s="1206"/>
      <c r="HME244" s="1206"/>
      <c r="HMF244" s="1206"/>
      <c r="HMG244" s="1206"/>
      <c r="HMH244" s="1206"/>
      <c r="HMI244" s="1206"/>
      <c r="HMJ244" s="1206"/>
      <c r="HMK244" s="1207"/>
      <c r="HML244" s="1206"/>
      <c r="HMM244" s="1206"/>
      <c r="HMN244" s="1206"/>
      <c r="HMO244" s="1206"/>
      <c r="HMP244" s="1206"/>
      <c r="HMQ244" s="1206"/>
      <c r="HMR244" s="1206"/>
      <c r="HMS244" s="1206"/>
      <c r="HMT244" s="1206"/>
      <c r="HMU244" s="1206"/>
      <c r="HMV244" s="1206"/>
      <c r="HMW244" s="1206"/>
      <c r="HMX244" s="1206"/>
      <c r="HMY244" s="1206"/>
      <c r="HMZ244" s="1206"/>
      <c r="HNA244" s="1206"/>
      <c r="HNB244" s="1207"/>
      <c r="HNC244" s="1206"/>
      <c r="HND244" s="1206"/>
      <c r="HNE244" s="1206"/>
      <c r="HNF244" s="1206"/>
      <c r="HNG244" s="1206"/>
      <c r="HNH244" s="1206"/>
      <c r="HNI244" s="1206"/>
      <c r="HNJ244" s="1206"/>
      <c r="HNK244" s="1206"/>
      <c r="HNL244" s="1206"/>
      <c r="HNM244" s="1206"/>
      <c r="HNN244" s="1206"/>
      <c r="HNO244" s="1206"/>
      <c r="HNP244" s="1206"/>
      <c r="HNQ244" s="1206"/>
      <c r="HNR244" s="1206"/>
      <c r="HNS244" s="1207"/>
      <c r="HNT244" s="1206"/>
      <c r="HNU244" s="1206"/>
      <c r="HNV244" s="1206"/>
      <c r="HNW244" s="1206"/>
      <c r="HNX244" s="1206"/>
      <c r="HNY244" s="1206"/>
      <c r="HNZ244" s="1206"/>
      <c r="HOA244" s="1206"/>
      <c r="HOB244" s="1206"/>
      <c r="HOC244" s="1206"/>
      <c r="HOD244" s="1206"/>
      <c r="HOE244" s="1206"/>
      <c r="HOF244" s="1206"/>
      <c r="HOG244" s="1206"/>
      <c r="HOH244" s="1206"/>
      <c r="HOI244" s="1206"/>
      <c r="HOJ244" s="1207"/>
      <c r="HOK244" s="1206"/>
      <c r="HOL244" s="1206"/>
      <c r="HOM244" s="1206"/>
      <c r="HON244" s="1206"/>
      <c r="HOO244" s="1206"/>
      <c r="HOP244" s="1206"/>
      <c r="HOQ244" s="1206"/>
      <c r="HOR244" s="1206"/>
      <c r="HOS244" s="1206"/>
      <c r="HOT244" s="1206"/>
      <c r="HOU244" s="1206"/>
      <c r="HOV244" s="1206"/>
      <c r="HOW244" s="1206"/>
      <c r="HOX244" s="1206"/>
      <c r="HOY244" s="1206"/>
      <c r="HOZ244" s="1206"/>
      <c r="HPA244" s="1207"/>
      <c r="HPB244" s="1206"/>
      <c r="HPC244" s="1206"/>
      <c r="HPD244" s="1206"/>
      <c r="HPE244" s="1206"/>
      <c r="HPF244" s="1206"/>
      <c r="HPG244" s="1206"/>
      <c r="HPH244" s="1206"/>
      <c r="HPI244" s="1206"/>
      <c r="HPJ244" s="1206"/>
      <c r="HPK244" s="1206"/>
      <c r="HPL244" s="1206"/>
      <c r="HPM244" s="1206"/>
      <c r="HPN244" s="1206"/>
      <c r="HPO244" s="1206"/>
      <c r="HPP244" s="1206"/>
      <c r="HPQ244" s="1206"/>
      <c r="HPR244" s="1207"/>
      <c r="HPS244" s="1206"/>
      <c r="HPT244" s="1206"/>
      <c r="HPU244" s="1206"/>
      <c r="HPV244" s="1206"/>
      <c r="HPW244" s="1206"/>
      <c r="HPX244" s="1206"/>
      <c r="HPY244" s="1206"/>
      <c r="HPZ244" s="1206"/>
      <c r="HQA244" s="1206"/>
      <c r="HQB244" s="1206"/>
      <c r="HQC244" s="1206"/>
      <c r="HQD244" s="1206"/>
      <c r="HQE244" s="1206"/>
      <c r="HQF244" s="1206"/>
      <c r="HQG244" s="1206"/>
      <c r="HQH244" s="1206"/>
      <c r="HQI244" s="1207"/>
      <c r="HQJ244" s="1206"/>
      <c r="HQK244" s="1206"/>
      <c r="HQL244" s="1206"/>
      <c r="HQM244" s="1206"/>
      <c r="HQN244" s="1206"/>
      <c r="HQO244" s="1206"/>
      <c r="HQP244" s="1206"/>
      <c r="HQQ244" s="1206"/>
      <c r="HQR244" s="1206"/>
      <c r="HQS244" s="1206"/>
      <c r="HQT244" s="1206"/>
      <c r="HQU244" s="1206"/>
      <c r="HQV244" s="1206"/>
      <c r="HQW244" s="1206"/>
      <c r="HQX244" s="1206"/>
      <c r="HQY244" s="1206"/>
      <c r="HQZ244" s="1207"/>
      <c r="HRA244" s="1206"/>
      <c r="HRB244" s="1206"/>
      <c r="HRC244" s="1206"/>
      <c r="HRD244" s="1206"/>
      <c r="HRE244" s="1206"/>
      <c r="HRF244" s="1206"/>
      <c r="HRG244" s="1206"/>
      <c r="HRH244" s="1206"/>
      <c r="HRI244" s="1206"/>
      <c r="HRJ244" s="1206"/>
      <c r="HRK244" s="1206"/>
      <c r="HRL244" s="1206"/>
      <c r="HRM244" s="1206"/>
      <c r="HRN244" s="1206"/>
      <c r="HRO244" s="1206"/>
      <c r="HRP244" s="1206"/>
      <c r="HRQ244" s="1207"/>
      <c r="HRR244" s="1206"/>
      <c r="HRS244" s="1206"/>
      <c r="HRT244" s="1206"/>
      <c r="HRU244" s="1206"/>
      <c r="HRV244" s="1206"/>
      <c r="HRW244" s="1206"/>
      <c r="HRX244" s="1206"/>
      <c r="HRY244" s="1206"/>
      <c r="HRZ244" s="1206"/>
      <c r="HSA244" s="1206"/>
      <c r="HSB244" s="1206"/>
      <c r="HSC244" s="1206"/>
      <c r="HSD244" s="1206"/>
      <c r="HSE244" s="1206"/>
      <c r="HSF244" s="1206"/>
      <c r="HSG244" s="1206"/>
      <c r="HSH244" s="1207"/>
      <c r="HSI244" s="1206"/>
      <c r="HSJ244" s="1206"/>
      <c r="HSK244" s="1206"/>
      <c r="HSL244" s="1206"/>
      <c r="HSM244" s="1206"/>
      <c r="HSN244" s="1206"/>
      <c r="HSO244" s="1206"/>
      <c r="HSP244" s="1206"/>
      <c r="HSQ244" s="1206"/>
      <c r="HSR244" s="1206"/>
      <c r="HSS244" s="1206"/>
      <c r="HST244" s="1206"/>
      <c r="HSU244" s="1206"/>
      <c r="HSV244" s="1206"/>
      <c r="HSW244" s="1206"/>
      <c r="HSX244" s="1206"/>
      <c r="HSY244" s="1207"/>
      <c r="HSZ244" s="1206"/>
      <c r="HTA244" s="1206"/>
      <c r="HTB244" s="1206"/>
      <c r="HTC244" s="1206"/>
      <c r="HTD244" s="1206"/>
      <c r="HTE244" s="1206"/>
      <c r="HTF244" s="1206"/>
      <c r="HTG244" s="1206"/>
      <c r="HTH244" s="1206"/>
      <c r="HTI244" s="1206"/>
      <c r="HTJ244" s="1206"/>
      <c r="HTK244" s="1206"/>
      <c r="HTL244" s="1206"/>
      <c r="HTM244" s="1206"/>
      <c r="HTN244" s="1206"/>
      <c r="HTO244" s="1206"/>
      <c r="HTP244" s="1207"/>
      <c r="HTQ244" s="1206"/>
      <c r="HTR244" s="1206"/>
      <c r="HTS244" s="1206"/>
      <c r="HTT244" s="1206"/>
      <c r="HTU244" s="1206"/>
      <c r="HTV244" s="1206"/>
      <c r="HTW244" s="1206"/>
      <c r="HTX244" s="1206"/>
      <c r="HTY244" s="1206"/>
      <c r="HTZ244" s="1206"/>
      <c r="HUA244" s="1206"/>
      <c r="HUB244" s="1206"/>
      <c r="HUC244" s="1206"/>
      <c r="HUD244" s="1206"/>
      <c r="HUE244" s="1206"/>
      <c r="HUF244" s="1206"/>
      <c r="HUG244" s="1207"/>
      <c r="HUH244" s="1206"/>
      <c r="HUI244" s="1206"/>
      <c r="HUJ244" s="1206"/>
      <c r="HUK244" s="1206"/>
      <c r="HUL244" s="1206"/>
      <c r="HUM244" s="1206"/>
      <c r="HUN244" s="1206"/>
      <c r="HUO244" s="1206"/>
      <c r="HUP244" s="1206"/>
      <c r="HUQ244" s="1206"/>
      <c r="HUR244" s="1206"/>
      <c r="HUS244" s="1206"/>
      <c r="HUT244" s="1206"/>
      <c r="HUU244" s="1206"/>
      <c r="HUV244" s="1206"/>
      <c r="HUW244" s="1206"/>
      <c r="HUX244" s="1207"/>
      <c r="HUY244" s="1206"/>
      <c r="HUZ244" s="1206"/>
      <c r="HVA244" s="1206"/>
      <c r="HVB244" s="1206"/>
      <c r="HVC244" s="1206"/>
      <c r="HVD244" s="1206"/>
      <c r="HVE244" s="1206"/>
      <c r="HVF244" s="1206"/>
      <c r="HVG244" s="1206"/>
      <c r="HVH244" s="1206"/>
      <c r="HVI244" s="1206"/>
      <c r="HVJ244" s="1206"/>
      <c r="HVK244" s="1206"/>
      <c r="HVL244" s="1206"/>
      <c r="HVM244" s="1206"/>
      <c r="HVN244" s="1206"/>
      <c r="HVO244" s="1207"/>
      <c r="HVP244" s="1206"/>
      <c r="HVQ244" s="1206"/>
      <c r="HVR244" s="1206"/>
      <c r="HVS244" s="1206"/>
      <c r="HVT244" s="1206"/>
      <c r="HVU244" s="1206"/>
      <c r="HVV244" s="1206"/>
      <c r="HVW244" s="1206"/>
      <c r="HVX244" s="1206"/>
      <c r="HVY244" s="1206"/>
      <c r="HVZ244" s="1206"/>
      <c r="HWA244" s="1206"/>
      <c r="HWB244" s="1206"/>
      <c r="HWC244" s="1206"/>
      <c r="HWD244" s="1206"/>
      <c r="HWE244" s="1206"/>
      <c r="HWF244" s="1207"/>
      <c r="HWG244" s="1206"/>
      <c r="HWH244" s="1206"/>
      <c r="HWI244" s="1206"/>
      <c r="HWJ244" s="1206"/>
      <c r="HWK244" s="1206"/>
      <c r="HWL244" s="1206"/>
      <c r="HWM244" s="1206"/>
      <c r="HWN244" s="1206"/>
      <c r="HWO244" s="1206"/>
      <c r="HWP244" s="1206"/>
      <c r="HWQ244" s="1206"/>
      <c r="HWR244" s="1206"/>
      <c r="HWS244" s="1206"/>
      <c r="HWT244" s="1206"/>
      <c r="HWU244" s="1206"/>
      <c r="HWV244" s="1206"/>
      <c r="HWW244" s="1207"/>
      <c r="HWX244" s="1206"/>
      <c r="HWY244" s="1206"/>
      <c r="HWZ244" s="1206"/>
      <c r="HXA244" s="1206"/>
      <c r="HXB244" s="1206"/>
      <c r="HXC244" s="1206"/>
      <c r="HXD244" s="1206"/>
      <c r="HXE244" s="1206"/>
      <c r="HXF244" s="1206"/>
      <c r="HXG244" s="1206"/>
      <c r="HXH244" s="1206"/>
      <c r="HXI244" s="1206"/>
      <c r="HXJ244" s="1206"/>
      <c r="HXK244" s="1206"/>
      <c r="HXL244" s="1206"/>
      <c r="HXM244" s="1206"/>
      <c r="HXN244" s="1207"/>
      <c r="HXO244" s="1206"/>
      <c r="HXP244" s="1206"/>
      <c r="HXQ244" s="1206"/>
      <c r="HXR244" s="1206"/>
      <c r="HXS244" s="1206"/>
      <c r="HXT244" s="1206"/>
      <c r="HXU244" s="1206"/>
      <c r="HXV244" s="1206"/>
      <c r="HXW244" s="1206"/>
      <c r="HXX244" s="1206"/>
      <c r="HXY244" s="1206"/>
      <c r="HXZ244" s="1206"/>
      <c r="HYA244" s="1206"/>
      <c r="HYB244" s="1206"/>
      <c r="HYC244" s="1206"/>
      <c r="HYD244" s="1206"/>
      <c r="HYE244" s="1207"/>
      <c r="HYF244" s="1206"/>
      <c r="HYG244" s="1206"/>
      <c r="HYH244" s="1206"/>
      <c r="HYI244" s="1206"/>
      <c r="HYJ244" s="1206"/>
      <c r="HYK244" s="1206"/>
      <c r="HYL244" s="1206"/>
      <c r="HYM244" s="1206"/>
      <c r="HYN244" s="1206"/>
      <c r="HYO244" s="1206"/>
      <c r="HYP244" s="1206"/>
      <c r="HYQ244" s="1206"/>
      <c r="HYR244" s="1206"/>
      <c r="HYS244" s="1206"/>
      <c r="HYT244" s="1206"/>
      <c r="HYU244" s="1206"/>
      <c r="HYV244" s="1207"/>
      <c r="HYW244" s="1206"/>
      <c r="HYX244" s="1206"/>
      <c r="HYY244" s="1206"/>
      <c r="HYZ244" s="1206"/>
      <c r="HZA244" s="1206"/>
      <c r="HZB244" s="1206"/>
      <c r="HZC244" s="1206"/>
      <c r="HZD244" s="1206"/>
      <c r="HZE244" s="1206"/>
      <c r="HZF244" s="1206"/>
      <c r="HZG244" s="1206"/>
      <c r="HZH244" s="1206"/>
      <c r="HZI244" s="1206"/>
      <c r="HZJ244" s="1206"/>
      <c r="HZK244" s="1206"/>
      <c r="HZL244" s="1206"/>
      <c r="HZM244" s="1207"/>
      <c r="HZN244" s="1206"/>
      <c r="HZO244" s="1206"/>
      <c r="HZP244" s="1206"/>
      <c r="HZQ244" s="1206"/>
      <c r="HZR244" s="1206"/>
      <c r="HZS244" s="1206"/>
      <c r="HZT244" s="1206"/>
      <c r="HZU244" s="1206"/>
      <c r="HZV244" s="1206"/>
      <c r="HZW244" s="1206"/>
      <c r="HZX244" s="1206"/>
      <c r="HZY244" s="1206"/>
      <c r="HZZ244" s="1206"/>
      <c r="IAA244" s="1206"/>
      <c r="IAB244" s="1206"/>
      <c r="IAC244" s="1206"/>
      <c r="IAD244" s="1207"/>
      <c r="IAE244" s="1206"/>
      <c r="IAF244" s="1206"/>
      <c r="IAG244" s="1206"/>
      <c r="IAH244" s="1206"/>
      <c r="IAI244" s="1206"/>
      <c r="IAJ244" s="1206"/>
      <c r="IAK244" s="1206"/>
      <c r="IAL244" s="1206"/>
      <c r="IAM244" s="1206"/>
      <c r="IAN244" s="1206"/>
      <c r="IAO244" s="1206"/>
      <c r="IAP244" s="1206"/>
      <c r="IAQ244" s="1206"/>
      <c r="IAR244" s="1206"/>
      <c r="IAS244" s="1206"/>
      <c r="IAT244" s="1206"/>
      <c r="IAU244" s="1207"/>
      <c r="IAV244" s="1206"/>
      <c r="IAW244" s="1206"/>
      <c r="IAX244" s="1206"/>
      <c r="IAY244" s="1206"/>
      <c r="IAZ244" s="1206"/>
      <c r="IBA244" s="1206"/>
      <c r="IBB244" s="1206"/>
      <c r="IBC244" s="1206"/>
      <c r="IBD244" s="1206"/>
      <c r="IBE244" s="1206"/>
      <c r="IBF244" s="1206"/>
      <c r="IBG244" s="1206"/>
      <c r="IBH244" s="1206"/>
      <c r="IBI244" s="1206"/>
      <c r="IBJ244" s="1206"/>
      <c r="IBK244" s="1206"/>
      <c r="IBL244" s="1207"/>
      <c r="IBM244" s="1206"/>
      <c r="IBN244" s="1206"/>
      <c r="IBO244" s="1206"/>
      <c r="IBP244" s="1206"/>
      <c r="IBQ244" s="1206"/>
      <c r="IBR244" s="1206"/>
      <c r="IBS244" s="1206"/>
      <c r="IBT244" s="1206"/>
      <c r="IBU244" s="1206"/>
      <c r="IBV244" s="1206"/>
      <c r="IBW244" s="1206"/>
      <c r="IBX244" s="1206"/>
      <c r="IBY244" s="1206"/>
      <c r="IBZ244" s="1206"/>
      <c r="ICA244" s="1206"/>
      <c r="ICB244" s="1206"/>
      <c r="ICC244" s="1207"/>
      <c r="ICD244" s="1206"/>
      <c r="ICE244" s="1206"/>
      <c r="ICF244" s="1206"/>
      <c r="ICG244" s="1206"/>
      <c r="ICH244" s="1206"/>
      <c r="ICI244" s="1206"/>
      <c r="ICJ244" s="1206"/>
      <c r="ICK244" s="1206"/>
      <c r="ICL244" s="1206"/>
      <c r="ICM244" s="1206"/>
      <c r="ICN244" s="1206"/>
      <c r="ICO244" s="1206"/>
      <c r="ICP244" s="1206"/>
      <c r="ICQ244" s="1206"/>
      <c r="ICR244" s="1206"/>
      <c r="ICS244" s="1206"/>
      <c r="ICT244" s="1207"/>
      <c r="ICU244" s="1206"/>
      <c r="ICV244" s="1206"/>
      <c r="ICW244" s="1206"/>
      <c r="ICX244" s="1206"/>
      <c r="ICY244" s="1206"/>
      <c r="ICZ244" s="1206"/>
      <c r="IDA244" s="1206"/>
      <c r="IDB244" s="1206"/>
      <c r="IDC244" s="1206"/>
      <c r="IDD244" s="1206"/>
      <c r="IDE244" s="1206"/>
      <c r="IDF244" s="1206"/>
      <c r="IDG244" s="1206"/>
      <c r="IDH244" s="1206"/>
      <c r="IDI244" s="1206"/>
      <c r="IDJ244" s="1206"/>
      <c r="IDK244" s="1207"/>
      <c r="IDL244" s="1206"/>
      <c r="IDM244" s="1206"/>
      <c r="IDN244" s="1206"/>
      <c r="IDO244" s="1206"/>
      <c r="IDP244" s="1206"/>
      <c r="IDQ244" s="1206"/>
      <c r="IDR244" s="1206"/>
      <c r="IDS244" s="1206"/>
      <c r="IDT244" s="1206"/>
      <c r="IDU244" s="1206"/>
      <c r="IDV244" s="1206"/>
      <c r="IDW244" s="1206"/>
      <c r="IDX244" s="1206"/>
      <c r="IDY244" s="1206"/>
      <c r="IDZ244" s="1206"/>
      <c r="IEA244" s="1206"/>
      <c r="IEB244" s="1207"/>
      <c r="IEC244" s="1206"/>
      <c r="IED244" s="1206"/>
      <c r="IEE244" s="1206"/>
      <c r="IEF244" s="1206"/>
      <c r="IEG244" s="1206"/>
      <c r="IEH244" s="1206"/>
      <c r="IEI244" s="1206"/>
      <c r="IEJ244" s="1206"/>
      <c r="IEK244" s="1206"/>
      <c r="IEL244" s="1206"/>
      <c r="IEM244" s="1206"/>
      <c r="IEN244" s="1206"/>
      <c r="IEO244" s="1206"/>
      <c r="IEP244" s="1206"/>
      <c r="IEQ244" s="1206"/>
      <c r="IER244" s="1206"/>
      <c r="IES244" s="1207"/>
      <c r="IET244" s="1206"/>
      <c r="IEU244" s="1206"/>
      <c r="IEV244" s="1206"/>
      <c r="IEW244" s="1206"/>
      <c r="IEX244" s="1206"/>
      <c r="IEY244" s="1206"/>
      <c r="IEZ244" s="1206"/>
      <c r="IFA244" s="1206"/>
      <c r="IFB244" s="1206"/>
      <c r="IFC244" s="1206"/>
      <c r="IFD244" s="1206"/>
      <c r="IFE244" s="1206"/>
      <c r="IFF244" s="1206"/>
      <c r="IFG244" s="1206"/>
      <c r="IFH244" s="1206"/>
      <c r="IFI244" s="1206"/>
      <c r="IFJ244" s="1207"/>
      <c r="IFK244" s="1206"/>
      <c r="IFL244" s="1206"/>
      <c r="IFM244" s="1206"/>
      <c r="IFN244" s="1206"/>
      <c r="IFO244" s="1206"/>
      <c r="IFP244" s="1206"/>
      <c r="IFQ244" s="1206"/>
      <c r="IFR244" s="1206"/>
      <c r="IFS244" s="1206"/>
      <c r="IFT244" s="1206"/>
      <c r="IFU244" s="1206"/>
      <c r="IFV244" s="1206"/>
      <c r="IFW244" s="1206"/>
      <c r="IFX244" s="1206"/>
      <c r="IFY244" s="1206"/>
      <c r="IFZ244" s="1206"/>
      <c r="IGA244" s="1207"/>
      <c r="IGB244" s="1206"/>
      <c r="IGC244" s="1206"/>
      <c r="IGD244" s="1206"/>
      <c r="IGE244" s="1206"/>
      <c r="IGF244" s="1206"/>
      <c r="IGG244" s="1206"/>
      <c r="IGH244" s="1206"/>
      <c r="IGI244" s="1206"/>
      <c r="IGJ244" s="1206"/>
      <c r="IGK244" s="1206"/>
      <c r="IGL244" s="1206"/>
      <c r="IGM244" s="1206"/>
      <c r="IGN244" s="1206"/>
      <c r="IGO244" s="1206"/>
      <c r="IGP244" s="1206"/>
      <c r="IGQ244" s="1206"/>
      <c r="IGR244" s="1207"/>
      <c r="IGS244" s="1206"/>
      <c r="IGT244" s="1206"/>
      <c r="IGU244" s="1206"/>
      <c r="IGV244" s="1206"/>
      <c r="IGW244" s="1206"/>
      <c r="IGX244" s="1206"/>
      <c r="IGY244" s="1206"/>
      <c r="IGZ244" s="1206"/>
      <c r="IHA244" s="1206"/>
      <c r="IHB244" s="1206"/>
      <c r="IHC244" s="1206"/>
      <c r="IHD244" s="1206"/>
      <c r="IHE244" s="1206"/>
      <c r="IHF244" s="1206"/>
      <c r="IHG244" s="1206"/>
      <c r="IHH244" s="1206"/>
      <c r="IHI244" s="1207"/>
      <c r="IHJ244" s="1206"/>
      <c r="IHK244" s="1206"/>
      <c r="IHL244" s="1206"/>
      <c r="IHM244" s="1206"/>
      <c r="IHN244" s="1206"/>
      <c r="IHO244" s="1206"/>
      <c r="IHP244" s="1206"/>
      <c r="IHQ244" s="1206"/>
      <c r="IHR244" s="1206"/>
      <c r="IHS244" s="1206"/>
      <c r="IHT244" s="1206"/>
      <c r="IHU244" s="1206"/>
      <c r="IHV244" s="1206"/>
      <c r="IHW244" s="1206"/>
      <c r="IHX244" s="1206"/>
      <c r="IHY244" s="1206"/>
      <c r="IHZ244" s="1207"/>
      <c r="IIA244" s="1206"/>
      <c r="IIB244" s="1206"/>
      <c r="IIC244" s="1206"/>
      <c r="IID244" s="1206"/>
      <c r="IIE244" s="1206"/>
      <c r="IIF244" s="1206"/>
      <c r="IIG244" s="1206"/>
      <c r="IIH244" s="1206"/>
      <c r="III244" s="1206"/>
      <c r="IIJ244" s="1206"/>
      <c r="IIK244" s="1206"/>
      <c r="IIL244" s="1206"/>
      <c r="IIM244" s="1206"/>
      <c r="IIN244" s="1206"/>
      <c r="IIO244" s="1206"/>
      <c r="IIP244" s="1206"/>
      <c r="IIQ244" s="1207"/>
      <c r="IIR244" s="1206"/>
      <c r="IIS244" s="1206"/>
      <c r="IIT244" s="1206"/>
      <c r="IIU244" s="1206"/>
      <c r="IIV244" s="1206"/>
      <c r="IIW244" s="1206"/>
      <c r="IIX244" s="1206"/>
      <c r="IIY244" s="1206"/>
      <c r="IIZ244" s="1206"/>
      <c r="IJA244" s="1206"/>
      <c r="IJB244" s="1206"/>
      <c r="IJC244" s="1206"/>
      <c r="IJD244" s="1206"/>
      <c r="IJE244" s="1206"/>
      <c r="IJF244" s="1206"/>
      <c r="IJG244" s="1206"/>
      <c r="IJH244" s="1207"/>
      <c r="IJI244" s="1206"/>
      <c r="IJJ244" s="1206"/>
      <c r="IJK244" s="1206"/>
      <c r="IJL244" s="1206"/>
      <c r="IJM244" s="1206"/>
      <c r="IJN244" s="1206"/>
      <c r="IJO244" s="1206"/>
      <c r="IJP244" s="1206"/>
      <c r="IJQ244" s="1206"/>
      <c r="IJR244" s="1206"/>
      <c r="IJS244" s="1206"/>
      <c r="IJT244" s="1206"/>
      <c r="IJU244" s="1206"/>
      <c r="IJV244" s="1206"/>
      <c r="IJW244" s="1206"/>
      <c r="IJX244" s="1206"/>
      <c r="IJY244" s="1207"/>
      <c r="IJZ244" s="1206"/>
      <c r="IKA244" s="1206"/>
      <c r="IKB244" s="1206"/>
      <c r="IKC244" s="1206"/>
      <c r="IKD244" s="1206"/>
      <c r="IKE244" s="1206"/>
      <c r="IKF244" s="1206"/>
      <c r="IKG244" s="1206"/>
      <c r="IKH244" s="1206"/>
      <c r="IKI244" s="1206"/>
      <c r="IKJ244" s="1206"/>
      <c r="IKK244" s="1206"/>
      <c r="IKL244" s="1206"/>
      <c r="IKM244" s="1206"/>
      <c r="IKN244" s="1206"/>
      <c r="IKO244" s="1206"/>
      <c r="IKP244" s="1207"/>
      <c r="IKQ244" s="1206"/>
      <c r="IKR244" s="1206"/>
      <c r="IKS244" s="1206"/>
      <c r="IKT244" s="1206"/>
      <c r="IKU244" s="1206"/>
      <c r="IKV244" s="1206"/>
      <c r="IKW244" s="1206"/>
      <c r="IKX244" s="1206"/>
      <c r="IKY244" s="1206"/>
      <c r="IKZ244" s="1206"/>
      <c r="ILA244" s="1206"/>
      <c r="ILB244" s="1206"/>
      <c r="ILC244" s="1206"/>
      <c r="ILD244" s="1206"/>
      <c r="ILE244" s="1206"/>
      <c r="ILF244" s="1206"/>
      <c r="ILG244" s="1207"/>
      <c r="ILH244" s="1206"/>
      <c r="ILI244" s="1206"/>
      <c r="ILJ244" s="1206"/>
      <c r="ILK244" s="1206"/>
      <c r="ILL244" s="1206"/>
      <c r="ILM244" s="1206"/>
      <c r="ILN244" s="1206"/>
      <c r="ILO244" s="1206"/>
      <c r="ILP244" s="1206"/>
      <c r="ILQ244" s="1206"/>
      <c r="ILR244" s="1206"/>
      <c r="ILS244" s="1206"/>
      <c r="ILT244" s="1206"/>
      <c r="ILU244" s="1206"/>
      <c r="ILV244" s="1206"/>
      <c r="ILW244" s="1206"/>
      <c r="ILX244" s="1207"/>
      <c r="ILY244" s="1206"/>
      <c r="ILZ244" s="1206"/>
      <c r="IMA244" s="1206"/>
      <c r="IMB244" s="1206"/>
      <c r="IMC244" s="1206"/>
      <c r="IMD244" s="1206"/>
      <c r="IME244" s="1206"/>
      <c r="IMF244" s="1206"/>
      <c r="IMG244" s="1206"/>
      <c r="IMH244" s="1206"/>
      <c r="IMI244" s="1206"/>
      <c r="IMJ244" s="1206"/>
      <c r="IMK244" s="1206"/>
      <c r="IML244" s="1206"/>
      <c r="IMM244" s="1206"/>
      <c r="IMN244" s="1206"/>
      <c r="IMO244" s="1207"/>
      <c r="IMP244" s="1206"/>
      <c r="IMQ244" s="1206"/>
      <c r="IMR244" s="1206"/>
      <c r="IMS244" s="1206"/>
      <c r="IMT244" s="1206"/>
      <c r="IMU244" s="1206"/>
      <c r="IMV244" s="1206"/>
      <c r="IMW244" s="1206"/>
      <c r="IMX244" s="1206"/>
      <c r="IMY244" s="1206"/>
      <c r="IMZ244" s="1206"/>
      <c r="INA244" s="1206"/>
      <c r="INB244" s="1206"/>
      <c r="INC244" s="1206"/>
      <c r="IND244" s="1206"/>
      <c r="INE244" s="1206"/>
      <c r="INF244" s="1207"/>
      <c r="ING244" s="1206"/>
      <c r="INH244" s="1206"/>
      <c r="INI244" s="1206"/>
      <c r="INJ244" s="1206"/>
      <c r="INK244" s="1206"/>
      <c r="INL244" s="1206"/>
      <c r="INM244" s="1206"/>
      <c r="INN244" s="1206"/>
      <c r="INO244" s="1206"/>
      <c r="INP244" s="1206"/>
      <c r="INQ244" s="1206"/>
      <c r="INR244" s="1206"/>
      <c r="INS244" s="1206"/>
      <c r="INT244" s="1206"/>
      <c r="INU244" s="1206"/>
      <c r="INV244" s="1206"/>
      <c r="INW244" s="1207"/>
      <c r="INX244" s="1206"/>
      <c r="INY244" s="1206"/>
      <c r="INZ244" s="1206"/>
      <c r="IOA244" s="1206"/>
      <c r="IOB244" s="1206"/>
      <c r="IOC244" s="1206"/>
      <c r="IOD244" s="1206"/>
      <c r="IOE244" s="1206"/>
      <c r="IOF244" s="1206"/>
      <c r="IOG244" s="1206"/>
      <c r="IOH244" s="1206"/>
      <c r="IOI244" s="1206"/>
      <c r="IOJ244" s="1206"/>
      <c r="IOK244" s="1206"/>
      <c r="IOL244" s="1206"/>
      <c r="IOM244" s="1206"/>
      <c r="ION244" s="1207"/>
      <c r="IOO244" s="1206"/>
      <c r="IOP244" s="1206"/>
      <c r="IOQ244" s="1206"/>
      <c r="IOR244" s="1206"/>
      <c r="IOS244" s="1206"/>
      <c r="IOT244" s="1206"/>
      <c r="IOU244" s="1206"/>
      <c r="IOV244" s="1206"/>
      <c r="IOW244" s="1206"/>
      <c r="IOX244" s="1206"/>
      <c r="IOY244" s="1206"/>
      <c r="IOZ244" s="1206"/>
      <c r="IPA244" s="1206"/>
      <c r="IPB244" s="1206"/>
      <c r="IPC244" s="1206"/>
      <c r="IPD244" s="1206"/>
      <c r="IPE244" s="1207"/>
      <c r="IPF244" s="1206"/>
      <c r="IPG244" s="1206"/>
      <c r="IPH244" s="1206"/>
      <c r="IPI244" s="1206"/>
      <c r="IPJ244" s="1206"/>
      <c r="IPK244" s="1206"/>
      <c r="IPL244" s="1206"/>
      <c r="IPM244" s="1206"/>
      <c r="IPN244" s="1206"/>
      <c r="IPO244" s="1206"/>
      <c r="IPP244" s="1206"/>
      <c r="IPQ244" s="1206"/>
      <c r="IPR244" s="1206"/>
      <c r="IPS244" s="1206"/>
      <c r="IPT244" s="1206"/>
      <c r="IPU244" s="1206"/>
      <c r="IPV244" s="1207"/>
      <c r="IPW244" s="1206"/>
      <c r="IPX244" s="1206"/>
      <c r="IPY244" s="1206"/>
      <c r="IPZ244" s="1206"/>
      <c r="IQA244" s="1206"/>
      <c r="IQB244" s="1206"/>
      <c r="IQC244" s="1206"/>
      <c r="IQD244" s="1206"/>
      <c r="IQE244" s="1206"/>
      <c r="IQF244" s="1206"/>
      <c r="IQG244" s="1206"/>
      <c r="IQH244" s="1206"/>
      <c r="IQI244" s="1206"/>
      <c r="IQJ244" s="1206"/>
      <c r="IQK244" s="1206"/>
      <c r="IQL244" s="1206"/>
      <c r="IQM244" s="1207"/>
      <c r="IQN244" s="1206"/>
      <c r="IQO244" s="1206"/>
      <c r="IQP244" s="1206"/>
      <c r="IQQ244" s="1206"/>
      <c r="IQR244" s="1206"/>
      <c r="IQS244" s="1206"/>
      <c r="IQT244" s="1206"/>
      <c r="IQU244" s="1206"/>
      <c r="IQV244" s="1206"/>
      <c r="IQW244" s="1206"/>
      <c r="IQX244" s="1206"/>
      <c r="IQY244" s="1206"/>
      <c r="IQZ244" s="1206"/>
      <c r="IRA244" s="1206"/>
      <c r="IRB244" s="1206"/>
      <c r="IRC244" s="1206"/>
      <c r="IRD244" s="1207"/>
      <c r="IRE244" s="1206"/>
      <c r="IRF244" s="1206"/>
      <c r="IRG244" s="1206"/>
      <c r="IRH244" s="1206"/>
      <c r="IRI244" s="1206"/>
      <c r="IRJ244" s="1206"/>
      <c r="IRK244" s="1206"/>
      <c r="IRL244" s="1206"/>
      <c r="IRM244" s="1206"/>
      <c r="IRN244" s="1206"/>
      <c r="IRO244" s="1206"/>
      <c r="IRP244" s="1206"/>
      <c r="IRQ244" s="1206"/>
      <c r="IRR244" s="1206"/>
      <c r="IRS244" s="1206"/>
      <c r="IRT244" s="1206"/>
      <c r="IRU244" s="1207"/>
      <c r="IRV244" s="1206"/>
      <c r="IRW244" s="1206"/>
      <c r="IRX244" s="1206"/>
      <c r="IRY244" s="1206"/>
      <c r="IRZ244" s="1206"/>
      <c r="ISA244" s="1206"/>
      <c r="ISB244" s="1206"/>
      <c r="ISC244" s="1206"/>
      <c r="ISD244" s="1206"/>
      <c r="ISE244" s="1206"/>
      <c r="ISF244" s="1206"/>
      <c r="ISG244" s="1206"/>
      <c r="ISH244" s="1206"/>
      <c r="ISI244" s="1206"/>
      <c r="ISJ244" s="1206"/>
      <c r="ISK244" s="1206"/>
      <c r="ISL244" s="1207"/>
      <c r="ISM244" s="1206"/>
      <c r="ISN244" s="1206"/>
      <c r="ISO244" s="1206"/>
      <c r="ISP244" s="1206"/>
      <c r="ISQ244" s="1206"/>
      <c r="ISR244" s="1206"/>
      <c r="ISS244" s="1206"/>
      <c r="IST244" s="1206"/>
      <c r="ISU244" s="1206"/>
      <c r="ISV244" s="1206"/>
      <c r="ISW244" s="1206"/>
      <c r="ISX244" s="1206"/>
      <c r="ISY244" s="1206"/>
      <c r="ISZ244" s="1206"/>
      <c r="ITA244" s="1206"/>
      <c r="ITB244" s="1206"/>
      <c r="ITC244" s="1207"/>
      <c r="ITD244" s="1206"/>
      <c r="ITE244" s="1206"/>
      <c r="ITF244" s="1206"/>
      <c r="ITG244" s="1206"/>
      <c r="ITH244" s="1206"/>
      <c r="ITI244" s="1206"/>
      <c r="ITJ244" s="1206"/>
      <c r="ITK244" s="1206"/>
      <c r="ITL244" s="1206"/>
      <c r="ITM244" s="1206"/>
      <c r="ITN244" s="1206"/>
      <c r="ITO244" s="1206"/>
      <c r="ITP244" s="1206"/>
      <c r="ITQ244" s="1206"/>
      <c r="ITR244" s="1206"/>
      <c r="ITS244" s="1206"/>
      <c r="ITT244" s="1207"/>
      <c r="ITU244" s="1206"/>
      <c r="ITV244" s="1206"/>
      <c r="ITW244" s="1206"/>
      <c r="ITX244" s="1206"/>
      <c r="ITY244" s="1206"/>
      <c r="ITZ244" s="1206"/>
      <c r="IUA244" s="1206"/>
      <c r="IUB244" s="1206"/>
      <c r="IUC244" s="1206"/>
      <c r="IUD244" s="1206"/>
      <c r="IUE244" s="1206"/>
      <c r="IUF244" s="1206"/>
      <c r="IUG244" s="1206"/>
      <c r="IUH244" s="1206"/>
      <c r="IUI244" s="1206"/>
      <c r="IUJ244" s="1206"/>
      <c r="IUK244" s="1207"/>
      <c r="IUL244" s="1206"/>
      <c r="IUM244" s="1206"/>
      <c r="IUN244" s="1206"/>
      <c r="IUO244" s="1206"/>
      <c r="IUP244" s="1206"/>
      <c r="IUQ244" s="1206"/>
      <c r="IUR244" s="1206"/>
      <c r="IUS244" s="1206"/>
      <c r="IUT244" s="1206"/>
      <c r="IUU244" s="1206"/>
      <c r="IUV244" s="1206"/>
      <c r="IUW244" s="1206"/>
      <c r="IUX244" s="1206"/>
      <c r="IUY244" s="1206"/>
      <c r="IUZ244" s="1206"/>
      <c r="IVA244" s="1206"/>
      <c r="IVB244" s="1207"/>
      <c r="IVC244" s="1206"/>
      <c r="IVD244" s="1206"/>
      <c r="IVE244" s="1206"/>
      <c r="IVF244" s="1206"/>
      <c r="IVG244" s="1206"/>
      <c r="IVH244" s="1206"/>
      <c r="IVI244" s="1206"/>
      <c r="IVJ244" s="1206"/>
      <c r="IVK244" s="1206"/>
      <c r="IVL244" s="1206"/>
      <c r="IVM244" s="1206"/>
      <c r="IVN244" s="1206"/>
      <c r="IVO244" s="1206"/>
      <c r="IVP244" s="1206"/>
      <c r="IVQ244" s="1206"/>
      <c r="IVR244" s="1206"/>
      <c r="IVS244" s="1207"/>
      <c r="IVT244" s="1206"/>
      <c r="IVU244" s="1206"/>
      <c r="IVV244" s="1206"/>
      <c r="IVW244" s="1206"/>
      <c r="IVX244" s="1206"/>
      <c r="IVY244" s="1206"/>
      <c r="IVZ244" s="1206"/>
      <c r="IWA244" s="1206"/>
      <c r="IWB244" s="1206"/>
      <c r="IWC244" s="1206"/>
      <c r="IWD244" s="1206"/>
      <c r="IWE244" s="1206"/>
      <c r="IWF244" s="1206"/>
      <c r="IWG244" s="1206"/>
      <c r="IWH244" s="1206"/>
      <c r="IWI244" s="1206"/>
      <c r="IWJ244" s="1207"/>
      <c r="IWK244" s="1206"/>
      <c r="IWL244" s="1206"/>
      <c r="IWM244" s="1206"/>
      <c r="IWN244" s="1206"/>
      <c r="IWO244" s="1206"/>
      <c r="IWP244" s="1206"/>
      <c r="IWQ244" s="1206"/>
      <c r="IWR244" s="1206"/>
      <c r="IWS244" s="1206"/>
      <c r="IWT244" s="1206"/>
      <c r="IWU244" s="1206"/>
      <c r="IWV244" s="1206"/>
      <c r="IWW244" s="1206"/>
      <c r="IWX244" s="1206"/>
      <c r="IWY244" s="1206"/>
      <c r="IWZ244" s="1206"/>
      <c r="IXA244" s="1207"/>
      <c r="IXB244" s="1206"/>
      <c r="IXC244" s="1206"/>
      <c r="IXD244" s="1206"/>
      <c r="IXE244" s="1206"/>
      <c r="IXF244" s="1206"/>
      <c r="IXG244" s="1206"/>
      <c r="IXH244" s="1206"/>
      <c r="IXI244" s="1206"/>
      <c r="IXJ244" s="1206"/>
      <c r="IXK244" s="1206"/>
      <c r="IXL244" s="1206"/>
      <c r="IXM244" s="1206"/>
      <c r="IXN244" s="1206"/>
      <c r="IXO244" s="1206"/>
      <c r="IXP244" s="1206"/>
      <c r="IXQ244" s="1206"/>
      <c r="IXR244" s="1207"/>
      <c r="IXS244" s="1206"/>
      <c r="IXT244" s="1206"/>
      <c r="IXU244" s="1206"/>
      <c r="IXV244" s="1206"/>
      <c r="IXW244" s="1206"/>
      <c r="IXX244" s="1206"/>
      <c r="IXY244" s="1206"/>
      <c r="IXZ244" s="1206"/>
      <c r="IYA244" s="1206"/>
      <c r="IYB244" s="1206"/>
      <c r="IYC244" s="1206"/>
      <c r="IYD244" s="1206"/>
      <c r="IYE244" s="1206"/>
      <c r="IYF244" s="1206"/>
      <c r="IYG244" s="1206"/>
      <c r="IYH244" s="1206"/>
      <c r="IYI244" s="1207"/>
      <c r="IYJ244" s="1206"/>
      <c r="IYK244" s="1206"/>
      <c r="IYL244" s="1206"/>
      <c r="IYM244" s="1206"/>
      <c r="IYN244" s="1206"/>
      <c r="IYO244" s="1206"/>
      <c r="IYP244" s="1206"/>
      <c r="IYQ244" s="1206"/>
      <c r="IYR244" s="1206"/>
      <c r="IYS244" s="1206"/>
      <c r="IYT244" s="1206"/>
      <c r="IYU244" s="1206"/>
      <c r="IYV244" s="1206"/>
      <c r="IYW244" s="1206"/>
      <c r="IYX244" s="1206"/>
      <c r="IYY244" s="1206"/>
      <c r="IYZ244" s="1207"/>
      <c r="IZA244" s="1206"/>
      <c r="IZB244" s="1206"/>
      <c r="IZC244" s="1206"/>
      <c r="IZD244" s="1206"/>
      <c r="IZE244" s="1206"/>
      <c r="IZF244" s="1206"/>
      <c r="IZG244" s="1206"/>
      <c r="IZH244" s="1206"/>
      <c r="IZI244" s="1206"/>
      <c r="IZJ244" s="1206"/>
      <c r="IZK244" s="1206"/>
      <c r="IZL244" s="1206"/>
      <c r="IZM244" s="1206"/>
      <c r="IZN244" s="1206"/>
      <c r="IZO244" s="1206"/>
      <c r="IZP244" s="1206"/>
      <c r="IZQ244" s="1207"/>
      <c r="IZR244" s="1206"/>
      <c r="IZS244" s="1206"/>
      <c r="IZT244" s="1206"/>
      <c r="IZU244" s="1206"/>
      <c r="IZV244" s="1206"/>
      <c r="IZW244" s="1206"/>
      <c r="IZX244" s="1206"/>
      <c r="IZY244" s="1206"/>
      <c r="IZZ244" s="1206"/>
      <c r="JAA244" s="1206"/>
      <c r="JAB244" s="1206"/>
      <c r="JAC244" s="1206"/>
      <c r="JAD244" s="1206"/>
      <c r="JAE244" s="1206"/>
      <c r="JAF244" s="1206"/>
      <c r="JAG244" s="1206"/>
      <c r="JAH244" s="1207"/>
      <c r="JAI244" s="1206"/>
      <c r="JAJ244" s="1206"/>
      <c r="JAK244" s="1206"/>
      <c r="JAL244" s="1206"/>
      <c r="JAM244" s="1206"/>
      <c r="JAN244" s="1206"/>
      <c r="JAO244" s="1206"/>
      <c r="JAP244" s="1206"/>
      <c r="JAQ244" s="1206"/>
      <c r="JAR244" s="1206"/>
      <c r="JAS244" s="1206"/>
      <c r="JAT244" s="1206"/>
      <c r="JAU244" s="1206"/>
      <c r="JAV244" s="1206"/>
      <c r="JAW244" s="1206"/>
      <c r="JAX244" s="1206"/>
      <c r="JAY244" s="1207"/>
      <c r="JAZ244" s="1206"/>
      <c r="JBA244" s="1206"/>
      <c r="JBB244" s="1206"/>
      <c r="JBC244" s="1206"/>
      <c r="JBD244" s="1206"/>
      <c r="JBE244" s="1206"/>
      <c r="JBF244" s="1206"/>
      <c r="JBG244" s="1206"/>
      <c r="JBH244" s="1206"/>
      <c r="JBI244" s="1206"/>
      <c r="JBJ244" s="1206"/>
      <c r="JBK244" s="1206"/>
      <c r="JBL244" s="1206"/>
      <c r="JBM244" s="1206"/>
      <c r="JBN244" s="1206"/>
      <c r="JBO244" s="1206"/>
      <c r="JBP244" s="1207"/>
      <c r="JBQ244" s="1206"/>
      <c r="JBR244" s="1206"/>
      <c r="JBS244" s="1206"/>
      <c r="JBT244" s="1206"/>
      <c r="JBU244" s="1206"/>
      <c r="JBV244" s="1206"/>
      <c r="JBW244" s="1206"/>
      <c r="JBX244" s="1206"/>
      <c r="JBY244" s="1206"/>
      <c r="JBZ244" s="1206"/>
      <c r="JCA244" s="1206"/>
      <c r="JCB244" s="1206"/>
      <c r="JCC244" s="1206"/>
      <c r="JCD244" s="1206"/>
      <c r="JCE244" s="1206"/>
      <c r="JCF244" s="1206"/>
      <c r="JCG244" s="1207"/>
      <c r="JCH244" s="1206"/>
      <c r="JCI244" s="1206"/>
      <c r="JCJ244" s="1206"/>
      <c r="JCK244" s="1206"/>
      <c r="JCL244" s="1206"/>
      <c r="JCM244" s="1206"/>
      <c r="JCN244" s="1206"/>
      <c r="JCO244" s="1206"/>
      <c r="JCP244" s="1206"/>
      <c r="JCQ244" s="1206"/>
      <c r="JCR244" s="1206"/>
      <c r="JCS244" s="1206"/>
      <c r="JCT244" s="1206"/>
      <c r="JCU244" s="1206"/>
      <c r="JCV244" s="1206"/>
      <c r="JCW244" s="1206"/>
      <c r="JCX244" s="1207"/>
      <c r="JCY244" s="1206"/>
      <c r="JCZ244" s="1206"/>
      <c r="JDA244" s="1206"/>
      <c r="JDB244" s="1206"/>
      <c r="JDC244" s="1206"/>
      <c r="JDD244" s="1206"/>
      <c r="JDE244" s="1206"/>
      <c r="JDF244" s="1206"/>
      <c r="JDG244" s="1206"/>
      <c r="JDH244" s="1206"/>
      <c r="JDI244" s="1206"/>
      <c r="JDJ244" s="1206"/>
      <c r="JDK244" s="1206"/>
      <c r="JDL244" s="1206"/>
      <c r="JDM244" s="1206"/>
      <c r="JDN244" s="1206"/>
      <c r="JDO244" s="1207"/>
      <c r="JDP244" s="1206"/>
      <c r="JDQ244" s="1206"/>
      <c r="JDR244" s="1206"/>
      <c r="JDS244" s="1206"/>
      <c r="JDT244" s="1206"/>
      <c r="JDU244" s="1206"/>
      <c r="JDV244" s="1206"/>
      <c r="JDW244" s="1206"/>
      <c r="JDX244" s="1206"/>
      <c r="JDY244" s="1206"/>
      <c r="JDZ244" s="1206"/>
      <c r="JEA244" s="1206"/>
      <c r="JEB244" s="1206"/>
      <c r="JEC244" s="1206"/>
      <c r="JED244" s="1206"/>
      <c r="JEE244" s="1206"/>
      <c r="JEF244" s="1207"/>
      <c r="JEG244" s="1206"/>
      <c r="JEH244" s="1206"/>
      <c r="JEI244" s="1206"/>
      <c r="JEJ244" s="1206"/>
      <c r="JEK244" s="1206"/>
      <c r="JEL244" s="1206"/>
      <c r="JEM244" s="1206"/>
      <c r="JEN244" s="1206"/>
      <c r="JEO244" s="1206"/>
      <c r="JEP244" s="1206"/>
      <c r="JEQ244" s="1206"/>
      <c r="JER244" s="1206"/>
      <c r="JES244" s="1206"/>
      <c r="JET244" s="1206"/>
      <c r="JEU244" s="1206"/>
      <c r="JEV244" s="1206"/>
      <c r="JEW244" s="1207"/>
      <c r="JEX244" s="1206"/>
      <c r="JEY244" s="1206"/>
      <c r="JEZ244" s="1206"/>
      <c r="JFA244" s="1206"/>
      <c r="JFB244" s="1206"/>
      <c r="JFC244" s="1206"/>
      <c r="JFD244" s="1206"/>
      <c r="JFE244" s="1206"/>
      <c r="JFF244" s="1206"/>
      <c r="JFG244" s="1206"/>
      <c r="JFH244" s="1206"/>
      <c r="JFI244" s="1206"/>
      <c r="JFJ244" s="1206"/>
      <c r="JFK244" s="1206"/>
      <c r="JFL244" s="1206"/>
      <c r="JFM244" s="1206"/>
      <c r="JFN244" s="1207"/>
      <c r="JFO244" s="1206"/>
      <c r="JFP244" s="1206"/>
      <c r="JFQ244" s="1206"/>
      <c r="JFR244" s="1206"/>
      <c r="JFS244" s="1206"/>
      <c r="JFT244" s="1206"/>
      <c r="JFU244" s="1206"/>
      <c r="JFV244" s="1206"/>
      <c r="JFW244" s="1206"/>
      <c r="JFX244" s="1206"/>
      <c r="JFY244" s="1206"/>
      <c r="JFZ244" s="1206"/>
      <c r="JGA244" s="1206"/>
      <c r="JGB244" s="1206"/>
      <c r="JGC244" s="1206"/>
      <c r="JGD244" s="1206"/>
      <c r="JGE244" s="1207"/>
      <c r="JGF244" s="1206"/>
      <c r="JGG244" s="1206"/>
      <c r="JGH244" s="1206"/>
      <c r="JGI244" s="1206"/>
      <c r="JGJ244" s="1206"/>
      <c r="JGK244" s="1206"/>
      <c r="JGL244" s="1206"/>
      <c r="JGM244" s="1206"/>
      <c r="JGN244" s="1206"/>
      <c r="JGO244" s="1206"/>
      <c r="JGP244" s="1206"/>
      <c r="JGQ244" s="1206"/>
      <c r="JGR244" s="1206"/>
      <c r="JGS244" s="1206"/>
      <c r="JGT244" s="1206"/>
      <c r="JGU244" s="1206"/>
      <c r="JGV244" s="1207"/>
      <c r="JGW244" s="1206"/>
      <c r="JGX244" s="1206"/>
      <c r="JGY244" s="1206"/>
      <c r="JGZ244" s="1206"/>
      <c r="JHA244" s="1206"/>
      <c r="JHB244" s="1206"/>
      <c r="JHC244" s="1206"/>
      <c r="JHD244" s="1206"/>
      <c r="JHE244" s="1206"/>
      <c r="JHF244" s="1206"/>
      <c r="JHG244" s="1206"/>
      <c r="JHH244" s="1206"/>
      <c r="JHI244" s="1206"/>
      <c r="JHJ244" s="1206"/>
      <c r="JHK244" s="1206"/>
      <c r="JHL244" s="1206"/>
      <c r="JHM244" s="1207"/>
      <c r="JHN244" s="1206"/>
      <c r="JHO244" s="1206"/>
      <c r="JHP244" s="1206"/>
      <c r="JHQ244" s="1206"/>
      <c r="JHR244" s="1206"/>
      <c r="JHS244" s="1206"/>
      <c r="JHT244" s="1206"/>
      <c r="JHU244" s="1206"/>
      <c r="JHV244" s="1206"/>
      <c r="JHW244" s="1206"/>
      <c r="JHX244" s="1206"/>
      <c r="JHY244" s="1206"/>
      <c r="JHZ244" s="1206"/>
      <c r="JIA244" s="1206"/>
      <c r="JIB244" s="1206"/>
      <c r="JIC244" s="1206"/>
      <c r="JID244" s="1207"/>
      <c r="JIE244" s="1206"/>
      <c r="JIF244" s="1206"/>
      <c r="JIG244" s="1206"/>
      <c r="JIH244" s="1206"/>
      <c r="JII244" s="1206"/>
      <c r="JIJ244" s="1206"/>
      <c r="JIK244" s="1206"/>
      <c r="JIL244" s="1206"/>
      <c r="JIM244" s="1206"/>
      <c r="JIN244" s="1206"/>
      <c r="JIO244" s="1206"/>
      <c r="JIP244" s="1206"/>
      <c r="JIQ244" s="1206"/>
      <c r="JIR244" s="1206"/>
      <c r="JIS244" s="1206"/>
      <c r="JIT244" s="1206"/>
      <c r="JIU244" s="1207"/>
      <c r="JIV244" s="1206"/>
      <c r="JIW244" s="1206"/>
      <c r="JIX244" s="1206"/>
      <c r="JIY244" s="1206"/>
      <c r="JIZ244" s="1206"/>
      <c r="JJA244" s="1206"/>
      <c r="JJB244" s="1206"/>
      <c r="JJC244" s="1206"/>
      <c r="JJD244" s="1206"/>
      <c r="JJE244" s="1206"/>
      <c r="JJF244" s="1206"/>
      <c r="JJG244" s="1206"/>
      <c r="JJH244" s="1206"/>
      <c r="JJI244" s="1206"/>
      <c r="JJJ244" s="1206"/>
      <c r="JJK244" s="1206"/>
      <c r="JJL244" s="1207"/>
      <c r="JJM244" s="1206"/>
      <c r="JJN244" s="1206"/>
      <c r="JJO244" s="1206"/>
      <c r="JJP244" s="1206"/>
      <c r="JJQ244" s="1206"/>
      <c r="JJR244" s="1206"/>
      <c r="JJS244" s="1206"/>
      <c r="JJT244" s="1206"/>
      <c r="JJU244" s="1206"/>
      <c r="JJV244" s="1206"/>
      <c r="JJW244" s="1206"/>
      <c r="JJX244" s="1206"/>
      <c r="JJY244" s="1206"/>
      <c r="JJZ244" s="1206"/>
      <c r="JKA244" s="1206"/>
      <c r="JKB244" s="1206"/>
      <c r="JKC244" s="1207"/>
      <c r="JKD244" s="1206"/>
      <c r="JKE244" s="1206"/>
      <c r="JKF244" s="1206"/>
      <c r="JKG244" s="1206"/>
      <c r="JKH244" s="1206"/>
      <c r="JKI244" s="1206"/>
      <c r="JKJ244" s="1206"/>
      <c r="JKK244" s="1206"/>
      <c r="JKL244" s="1206"/>
      <c r="JKM244" s="1206"/>
      <c r="JKN244" s="1206"/>
      <c r="JKO244" s="1206"/>
      <c r="JKP244" s="1206"/>
      <c r="JKQ244" s="1206"/>
      <c r="JKR244" s="1206"/>
      <c r="JKS244" s="1206"/>
      <c r="JKT244" s="1207"/>
      <c r="JKU244" s="1206"/>
      <c r="JKV244" s="1206"/>
      <c r="JKW244" s="1206"/>
      <c r="JKX244" s="1206"/>
      <c r="JKY244" s="1206"/>
      <c r="JKZ244" s="1206"/>
      <c r="JLA244" s="1206"/>
      <c r="JLB244" s="1206"/>
      <c r="JLC244" s="1206"/>
      <c r="JLD244" s="1206"/>
      <c r="JLE244" s="1206"/>
      <c r="JLF244" s="1206"/>
      <c r="JLG244" s="1206"/>
      <c r="JLH244" s="1206"/>
      <c r="JLI244" s="1206"/>
      <c r="JLJ244" s="1206"/>
      <c r="JLK244" s="1207"/>
      <c r="JLL244" s="1206"/>
      <c r="JLM244" s="1206"/>
      <c r="JLN244" s="1206"/>
      <c r="JLO244" s="1206"/>
      <c r="JLP244" s="1206"/>
      <c r="JLQ244" s="1206"/>
      <c r="JLR244" s="1206"/>
      <c r="JLS244" s="1206"/>
      <c r="JLT244" s="1206"/>
      <c r="JLU244" s="1206"/>
      <c r="JLV244" s="1206"/>
      <c r="JLW244" s="1206"/>
      <c r="JLX244" s="1206"/>
      <c r="JLY244" s="1206"/>
      <c r="JLZ244" s="1206"/>
      <c r="JMA244" s="1206"/>
      <c r="JMB244" s="1207"/>
      <c r="JMC244" s="1206"/>
      <c r="JMD244" s="1206"/>
      <c r="JME244" s="1206"/>
      <c r="JMF244" s="1206"/>
      <c r="JMG244" s="1206"/>
      <c r="JMH244" s="1206"/>
      <c r="JMI244" s="1206"/>
      <c r="JMJ244" s="1206"/>
      <c r="JMK244" s="1206"/>
      <c r="JML244" s="1206"/>
      <c r="JMM244" s="1206"/>
      <c r="JMN244" s="1206"/>
      <c r="JMO244" s="1206"/>
      <c r="JMP244" s="1206"/>
      <c r="JMQ244" s="1206"/>
      <c r="JMR244" s="1206"/>
      <c r="JMS244" s="1207"/>
      <c r="JMT244" s="1206"/>
      <c r="JMU244" s="1206"/>
      <c r="JMV244" s="1206"/>
      <c r="JMW244" s="1206"/>
      <c r="JMX244" s="1206"/>
      <c r="JMY244" s="1206"/>
      <c r="JMZ244" s="1206"/>
      <c r="JNA244" s="1206"/>
      <c r="JNB244" s="1206"/>
      <c r="JNC244" s="1206"/>
      <c r="JND244" s="1206"/>
      <c r="JNE244" s="1206"/>
      <c r="JNF244" s="1206"/>
      <c r="JNG244" s="1206"/>
      <c r="JNH244" s="1206"/>
      <c r="JNI244" s="1206"/>
      <c r="JNJ244" s="1207"/>
      <c r="JNK244" s="1206"/>
      <c r="JNL244" s="1206"/>
      <c r="JNM244" s="1206"/>
      <c r="JNN244" s="1206"/>
      <c r="JNO244" s="1206"/>
      <c r="JNP244" s="1206"/>
      <c r="JNQ244" s="1206"/>
      <c r="JNR244" s="1206"/>
      <c r="JNS244" s="1206"/>
      <c r="JNT244" s="1206"/>
      <c r="JNU244" s="1206"/>
      <c r="JNV244" s="1206"/>
      <c r="JNW244" s="1206"/>
      <c r="JNX244" s="1206"/>
      <c r="JNY244" s="1206"/>
      <c r="JNZ244" s="1206"/>
      <c r="JOA244" s="1207"/>
      <c r="JOB244" s="1206"/>
      <c r="JOC244" s="1206"/>
      <c r="JOD244" s="1206"/>
      <c r="JOE244" s="1206"/>
      <c r="JOF244" s="1206"/>
      <c r="JOG244" s="1206"/>
      <c r="JOH244" s="1206"/>
      <c r="JOI244" s="1206"/>
      <c r="JOJ244" s="1206"/>
      <c r="JOK244" s="1206"/>
      <c r="JOL244" s="1206"/>
      <c r="JOM244" s="1206"/>
      <c r="JON244" s="1206"/>
      <c r="JOO244" s="1206"/>
      <c r="JOP244" s="1206"/>
      <c r="JOQ244" s="1206"/>
      <c r="JOR244" s="1207"/>
      <c r="JOS244" s="1206"/>
      <c r="JOT244" s="1206"/>
      <c r="JOU244" s="1206"/>
      <c r="JOV244" s="1206"/>
      <c r="JOW244" s="1206"/>
      <c r="JOX244" s="1206"/>
      <c r="JOY244" s="1206"/>
      <c r="JOZ244" s="1206"/>
      <c r="JPA244" s="1206"/>
      <c r="JPB244" s="1206"/>
      <c r="JPC244" s="1206"/>
      <c r="JPD244" s="1206"/>
      <c r="JPE244" s="1206"/>
      <c r="JPF244" s="1206"/>
      <c r="JPG244" s="1206"/>
      <c r="JPH244" s="1206"/>
      <c r="JPI244" s="1207"/>
      <c r="JPJ244" s="1206"/>
      <c r="JPK244" s="1206"/>
      <c r="JPL244" s="1206"/>
      <c r="JPM244" s="1206"/>
      <c r="JPN244" s="1206"/>
      <c r="JPO244" s="1206"/>
      <c r="JPP244" s="1206"/>
      <c r="JPQ244" s="1206"/>
      <c r="JPR244" s="1206"/>
      <c r="JPS244" s="1206"/>
      <c r="JPT244" s="1206"/>
      <c r="JPU244" s="1206"/>
      <c r="JPV244" s="1206"/>
      <c r="JPW244" s="1206"/>
      <c r="JPX244" s="1206"/>
      <c r="JPY244" s="1206"/>
      <c r="JPZ244" s="1207"/>
      <c r="JQA244" s="1206"/>
      <c r="JQB244" s="1206"/>
      <c r="JQC244" s="1206"/>
      <c r="JQD244" s="1206"/>
      <c r="JQE244" s="1206"/>
      <c r="JQF244" s="1206"/>
      <c r="JQG244" s="1206"/>
      <c r="JQH244" s="1206"/>
      <c r="JQI244" s="1206"/>
      <c r="JQJ244" s="1206"/>
      <c r="JQK244" s="1206"/>
      <c r="JQL244" s="1206"/>
      <c r="JQM244" s="1206"/>
      <c r="JQN244" s="1206"/>
      <c r="JQO244" s="1206"/>
      <c r="JQP244" s="1206"/>
      <c r="JQQ244" s="1207"/>
      <c r="JQR244" s="1206"/>
      <c r="JQS244" s="1206"/>
      <c r="JQT244" s="1206"/>
      <c r="JQU244" s="1206"/>
      <c r="JQV244" s="1206"/>
      <c r="JQW244" s="1206"/>
      <c r="JQX244" s="1206"/>
      <c r="JQY244" s="1206"/>
      <c r="JQZ244" s="1206"/>
      <c r="JRA244" s="1206"/>
      <c r="JRB244" s="1206"/>
      <c r="JRC244" s="1206"/>
      <c r="JRD244" s="1206"/>
      <c r="JRE244" s="1206"/>
      <c r="JRF244" s="1206"/>
      <c r="JRG244" s="1206"/>
      <c r="JRH244" s="1207"/>
      <c r="JRI244" s="1206"/>
      <c r="JRJ244" s="1206"/>
      <c r="JRK244" s="1206"/>
      <c r="JRL244" s="1206"/>
      <c r="JRM244" s="1206"/>
      <c r="JRN244" s="1206"/>
      <c r="JRO244" s="1206"/>
      <c r="JRP244" s="1206"/>
      <c r="JRQ244" s="1206"/>
      <c r="JRR244" s="1206"/>
      <c r="JRS244" s="1206"/>
      <c r="JRT244" s="1206"/>
      <c r="JRU244" s="1206"/>
      <c r="JRV244" s="1206"/>
      <c r="JRW244" s="1206"/>
      <c r="JRX244" s="1206"/>
      <c r="JRY244" s="1207"/>
      <c r="JRZ244" s="1206"/>
      <c r="JSA244" s="1206"/>
      <c r="JSB244" s="1206"/>
      <c r="JSC244" s="1206"/>
      <c r="JSD244" s="1206"/>
      <c r="JSE244" s="1206"/>
      <c r="JSF244" s="1206"/>
      <c r="JSG244" s="1206"/>
      <c r="JSH244" s="1206"/>
      <c r="JSI244" s="1206"/>
      <c r="JSJ244" s="1206"/>
      <c r="JSK244" s="1206"/>
      <c r="JSL244" s="1206"/>
      <c r="JSM244" s="1206"/>
      <c r="JSN244" s="1206"/>
      <c r="JSO244" s="1206"/>
      <c r="JSP244" s="1207"/>
      <c r="JSQ244" s="1206"/>
      <c r="JSR244" s="1206"/>
      <c r="JSS244" s="1206"/>
      <c r="JST244" s="1206"/>
      <c r="JSU244" s="1206"/>
      <c r="JSV244" s="1206"/>
      <c r="JSW244" s="1206"/>
      <c r="JSX244" s="1206"/>
      <c r="JSY244" s="1206"/>
      <c r="JSZ244" s="1206"/>
      <c r="JTA244" s="1206"/>
      <c r="JTB244" s="1206"/>
      <c r="JTC244" s="1206"/>
      <c r="JTD244" s="1206"/>
      <c r="JTE244" s="1206"/>
      <c r="JTF244" s="1206"/>
      <c r="JTG244" s="1207"/>
      <c r="JTH244" s="1206"/>
      <c r="JTI244" s="1206"/>
      <c r="JTJ244" s="1206"/>
      <c r="JTK244" s="1206"/>
      <c r="JTL244" s="1206"/>
      <c r="JTM244" s="1206"/>
      <c r="JTN244" s="1206"/>
      <c r="JTO244" s="1206"/>
      <c r="JTP244" s="1206"/>
      <c r="JTQ244" s="1206"/>
      <c r="JTR244" s="1206"/>
      <c r="JTS244" s="1206"/>
      <c r="JTT244" s="1206"/>
      <c r="JTU244" s="1206"/>
      <c r="JTV244" s="1206"/>
      <c r="JTW244" s="1206"/>
      <c r="JTX244" s="1207"/>
      <c r="JTY244" s="1206"/>
      <c r="JTZ244" s="1206"/>
      <c r="JUA244" s="1206"/>
      <c r="JUB244" s="1206"/>
      <c r="JUC244" s="1206"/>
      <c r="JUD244" s="1206"/>
      <c r="JUE244" s="1206"/>
      <c r="JUF244" s="1206"/>
      <c r="JUG244" s="1206"/>
      <c r="JUH244" s="1206"/>
      <c r="JUI244" s="1206"/>
      <c r="JUJ244" s="1206"/>
      <c r="JUK244" s="1206"/>
      <c r="JUL244" s="1206"/>
      <c r="JUM244" s="1206"/>
      <c r="JUN244" s="1206"/>
      <c r="JUO244" s="1207"/>
      <c r="JUP244" s="1206"/>
      <c r="JUQ244" s="1206"/>
      <c r="JUR244" s="1206"/>
      <c r="JUS244" s="1206"/>
      <c r="JUT244" s="1206"/>
      <c r="JUU244" s="1206"/>
      <c r="JUV244" s="1206"/>
      <c r="JUW244" s="1206"/>
      <c r="JUX244" s="1206"/>
      <c r="JUY244" s="1206"/>
      <c r="JUZ244" s="1206"/>
      <c r="JVA244" s="1206"/>
      <c r="JVB244" s="1206"/>
      <c r="JVC244" s="1206"/>
      <c r="JVD244" s="1206"/>
      <c r="JVE244" s="1206"/>
      <c r="JVF244" s="1207"/>
      <c r="JVG244" s="1206"/>
      <c r="JVH244" s="1206"/>
      <c r="JVI244" s="1206"/>
      <c r="JVJ244" s="1206"/>
      <c r="JVK244" s="1206"/>
      <c r="JVL244" s="1206"/>
      <c r="JVM244" s="1206"/>
      <c r="JVN244" s="1206"/>
      <c r="JVO244" s="1206"/>
      <c r="JVP244" s="1206"/>
      <c r="JVQ244" s="1206"/>
      <c r="JVR244" s="1206"/>
      <c r="JVS244" s="1206"/>
      <c r="JVT244" s="1206"/>
      <c r="JVU244" s="1206"/>
      <c r="JVV244" s="1206"/>
      <c r="JVW244" s="1207"/>
      <c r="JVX244" s="1206"/>
      <c r="JVY244" s="1206"/>
      <c r="JVZ244" s="1206"/>
      <c r="JWA244" s="1206"/>
      <c r="JWB244" s="1206"/>
      <c r="JWC244" s="1206"/>
      <c r="JWD244" s="1206"/>
      <c r="JWE244" s="1206"/>
      <c r="JWF244" s="1206"/>
      <c r="JWG244" s="1206"/>
      <c r="JWH244" s="1206"/>
      <c r="JWI244" s="1206"/>
      <c r="JWJ244" s="1206"/>
      <c r="JWK244" s="1206"/>
      <c r="JWL244" s="1206"/>
      <c r="JWM244" s="1206"/>
      <c r="JWN244" s="1207"/>
      <c r="JWO244" s="1206"/>
      <c r="JWP244" s="1206"/>
      <c r="JWQ244" s="1206"/>
      <c r="JWR244" s="1206"/>
      <c r="JWS244" s="1206"/>
      <c r="JWT244" s="1206"/>
      <c r="JWU244" s="1206"/>
      <c r="JWV244" s="1206"/>
      <c r="JWW244" s="1206"/>
      <c r="JWX244" s="1206"/>
      <c r="JWY244" s="1206"/>
      <c r="JWZ244" s="1206"/>
      <c r="JXA244" s="1206"/>
      <c r="JXB244" s="1206"/>
      <c r="JXC244" s="1206"/>
      <c r="JXD244" s="1206"/>
      <c r="JXE244" s="1207"/>
      <c r="JXF244" s="1206"/>
      <c r="JXG244" s="1206"/>
      <c r="JXH244" s="1206"/>
      <c r="JXI244" s="1206"/>
      <c r="JXJ244" s="1206"/>
      <c r="JXK244" s="1206"/>
      <c r="JXL244" s="1206"/>
      <c r="JXM244" s="1206"/>
      <c r="JXN244" s="1206"/>
      <c r="JXO244" s="1206"/>
      <c r="JXP244" s="1206"/>
      <c r="JXQ244" s="1206"/>
      <c r="JXR244" s="1206"/>
      <c r="JXS244" s="1206"/>
      <c r="JXT244" s="1206"/>
      <c r="JXU244" s="1206"/>
      <c r="JXV244" s="1207"/>
      <c r="JXW244" s="1206"/>
      <c r="JXX244" s="1206"/>
      <c r="JXY244" s="1206"/>
      <c r="JXZ244" s="1206"/>
      <c r="JYA244" s="1206"/>
      <c r="JYB244" s="1206"/>
      <c r="JYC244" s="1206"/>
      <c r="JYD244" s="1206"/>
      <c r="JYE244" s="1206"/>
      <c r="JYF244" s="1206"/>
      <c r="JYG244" s="1206"/>
      <c r="JYH244" s="1206"/>
      <c r="JYI244" s="1206"/>
      <c r="JYJ244" s="1206"/>
      <c r="JYK244" s="1206"/>
      <c r="JYL244" s="1206"/>
      <c r="JYM244" s="1207"/>
      <c r="JYN244" s="1206"/>
      <c r="JYO244" s="1206"/>
      <c r="JYP244" s="1206"/>
      <c r="JYQ244" s="1206"/>
      <c r="JYR244" s="1206"/>
      <c r="JYS244" s="1206"/>
      <c r="JYT244" s="1206"/>
      <c r="JYU244" s="1206"/>
      <c r="JYV244" s="1206"/>
      <c r="JYW244" s="1206"/>
      <c r="JYX244" s="1206"/>
      <c r="JYY244" s="1206"/>
      <c r="JYZ244" s="1206"/>
      <c r="JZA244" s="1206"/>
      <c r="JZB244" s="1206"/>
      <c r="JZC244" s="1206"/>
      <c r="JZD244" s="1207"/>
      <c r="JZE244" s="1206"/>
      <c r="JZF244" s="1206"/>
      <c r="JZG244" s="1206"/>
      <c r="JZH244" s="1206"/>
      <c r="JZI244" s="1206"/>
      <c r="JZJ244" s="1206"/>
      <c r="JZK244" s="1206"/>
      <c r="JZL244" s="1206"/>
      <c r="JZM244" s="1206"/>
      <c r="JZN244" s="1206"/>
      <c r="JZO244" s="1206"/>
      <c r="JZP244" s="1206"/>
      <c r="JZQ244" s="1206"/>
      <c r="JZR244" s="1206"/>
      <c r="JZS244" s="1206"/>
      <c r="JZT244" s="1206"/>
      <c r="JZU244" s="1207"/>
      <c r="JZV244" s="1206"/>
      <c r="JZW244" s="1206"/>
      <c r="JZX244" s="1206"/>
      <c r="JZY244" s="1206"/>
      <c r="JZZ244" s="1206"/>
      <c r="KAA244" s="1206"/>
      <c r="KAB244" s="1206"/>
      <c r="KAC244" s="1206"/>
      <c r="KAD244" s="1206"/>
      <c r="KAE244" s="1206"/>
      <c r="KAF244" s="1206"/>
      <c r="KAG244" s="1206"/>
      <c r="KAH244" s="1206"/>
      <c r="KAI244" s="1206"/>
      <c r="KAJ244" s="1206"/>
      <c r="KAK244" s="1206"/>
      <c r="KAL244" s="1207"/>
      <c r="KAM244" s="1206"/>
      <c r="KAN244" s="1206"/>
      <c r="KAO244" s="1206"/>
      <c r="KAP244" s="1206"/>
      <c r="KAQ244" s="1206"/>
      <c r="KAR244" s="1206"/>
      <c r="KAS244" s="1206"/>
      <c r="KAT244" s="1206"/>
      <c r="KAU244" s="1206"/>
      <c r="KAV244" s="1206"/>
      <c r="KAW244" s="1206"/>
      <c r="KAX244" s="1206"/>
      <c r="KAY244" s="1206"/>
      <c r="KAZ244" s="1206"/>
      <c r="KBA244" s="1206"/>
      <c r="KBB244" s="1206"/>
      <c r="KBC244" s="1207"/>
      <c r="KBD244" s="1206"/>
      <c r="KBE244" s="1206"/>
      <c r="KBF244" s="1206"/>
      <c r="KBG244" s="1206"/>
      <c r="KBH244" s="1206"/>
      <c r="KBI244" s="1206"/>
      <c r="KBJ244" s="1206"/>
      <c r="KBK244" s="1206"/>
      <c r="KBL244" s="1206"/>
      <c r="KBM244" s="1206"/>
      <c r="KBN244" s="1206"/>
      <c r="KBO244" s="1206"/>
      <c r="KBP244" s="1206"/>
      <c r="KBQ244" s="1206"/>
      <c r="KBR244" s="1206"/>
      <c r="KBS244" s="1206"/>
      <c r="KBT244" s="1207"/>
      <c r="KBU244" s="1206"/>
      <c r="KBV244" s="1206"/>
      <c r="KBW244" s="1206"/>
      <c r="KBX244" s="1206"/>
      <c r="KBY244" s="1206"/>
      <c r="KBZ244" s="1206"/>
      <c r="KCA244" s="1206"/>
      <c r="KCB244" s="1206"/>
      <c r="KCC244" s="1206"/>
      <c r="KCD244" s="1206"/>
      <c r="KCE244" s="1206"/>
      <c r="KCF244" s="1206"/>
      <c r="KCG244" s="1206"/>
      <c r="KCH244" s="1206"/>
      <c r="KCI244" s="1206"/>
      <c r="KCJ244" s="1206"/>
      <c r="KCK244" s="1207"/>
      <c r="KCL244" s="1206"/>
      <c r="KCM244" s="1206"/>
      <c r="KCN244" s="1206"/>
      <c r="KCO244" s="1206"/>
      <c r="KCP244" s="1206"/>
      <c r="KCQ244" s="1206"/>
      <c r="KCR244" s="1206"/>
      <c r="KCS244" s="1206"/>
      <c r="KCT244" s="1206"/>
      <c r="KCU244" s="1206"/>
      <c r="KCV244" s="1206"/>
      <c r="KCW244" s="1206"/>
      <c r="KCX244" s="1206"/>
      <c r="KCY244" s="1206"/>
      <c r="KCZ244" s="1206"/>
      <c r="KDA244" s="1206"/>
      <c r="KDB244" s="1207"/>
      <c r="KDC244" s="1206"/>
      <c r="KDD244" s="1206"/>
      <c r="KDE244" s="1206"/>
      <c r="KDF244" s="1206"/>
      <c r="KDG244" s="1206"/>
      <c r="KDH244" s="1206"/>
      <c r="KDI244" s="1206"/>
      <c r="KDJ244" s="1206"/>
      <c r="KDK244" s="1206"/>
      <c r="KDL244" s="1206"/>
      <c r="KDM244" s="1206"/>
      <c r="KDN244" s="1206"/>
      <c r="KDO244" s="1206"/>
      <c r="KDP244" s="1206"/>
      <c r="KDQ244" s="1206"/>
      <c r="KDR244" s="1206"/>
      <c r="KDS244" s="1207"/>
      <c r="KDT244" s="1206"/>
      <c r="KDU244" s="1206"/>
      <c r="KDV244" s="1206"/>
      <c r="KDW244" s="1206"/>
      <c r="KDX244" s="1206"/>
      <c r="KDY244" s="1206"/>
      <c r="KDZ244" s="1206"/>
      <c r="KEA244" s="1206"/>
      <c r="KEB244" s="1206"/>
      <c r="KEC244" s="1206"/>
      <c r="KED244" s="1206"/>
      <c r="KEE244" s="1206"/>
      <c r="KEF244" s="1206"/>
      <c r="KEG244" s="1206"/>
      <c r="KEH244" s="1206"/>
      <c r="KEI244" s="1206"/>
      <c r="KEJ244" s="1207"/>
      <c r="KEK244" s="1206"/>
      <c r="KEL244" s="1206"/>
      <c r="KEM244" s="1206"/>
      <c r="KEN244" s="1206"/>
      <c r="KEO244" s="1206"/>
      <c r="KEP244" s="1206"/>
      <c r="KEQ244" s="1206"/>
      <c r="KER244" s="1206"/>
      <c r="KES244" s="1206"/>
      <c r="KET244" s="1206"/>
      <c r="KEU244" s="1206"/>
      <c r="KEV244" s="1206"/>
      <c r="KEW244" s="1206"/>
      <c r="KEX244" s="1206"/>
      <c r="KEY244" s="1206"/>
      <c r="KEZ244" s="1206"/>
      <c r="KFA244" s="1207"/>
      <c r="KFB244" s="1206"/>
      <c r="KFC244" s="1206"/>
      <c r="KFD244" s="1206"/>
      <c r="KFE244" s="1206"/>
      <c r="KFF244" s="1206"/>
      <c r="KFG244" s="1206"/>
      <c r="KFH244" s="1206"/>
      <c r="KFI244" s="1206"/>
      <c r="KFJ244" s="1206"/>
      <c r="KFK244" s="1206"/>
      <c r="KFL244" s="1206"/>
      <c r="KFM244" s="1206"/>
      <c r="KFN244" s="1206"/>
      <c r="KFO244" s="1206"/>
      <c r="KFP244" s="1206"/>
      <c r="KFQ244" s="1206"/>
      <c r="KFR244" s="1207"/>
      <c r="KFS244" s="1206"/>
      <c r="KFT244" s="1206"/>
      <c r="KFU244" s="1206"/>
      <c r="KFV244" s="1206"/>
      <c r="KFW244" s="1206"/>
      <c r="KFX244" s="1206"/>
      <c r="KFY244" s="1206"/>
      <c r="KFZ244" s="1206"/>
      <c r="KGA244" s="1206"/>
      <c r="KGB244" s="1206"/>
      <c r="KGC244" s="1206"/>
      <c r="KGD244" s="1206"/>
      <c r="KGE244" s="1206"/>
      <c r="KGF244" s="1206"/>
      <c r="KGG244" s="1206"/>
      <c r="KGH244" s="1206"/>
      <c r="KGI244" s="1207"/>
      <c r="KGJ244" s="1206"/>
      <c r="KGK244" s="1206"/>
      <c r="KGL244" s="1206"/>
      <c r="KGM244" s="1206"/>
      <c r="KGN244" s="1206"/>
      <c r="KGO244" s="1206"/>
      <c r="KGP244" s="1206"/>
      <c r="KGQ244" s="1206"/>
      <c r="KGR244" s="1206"/>
      <c r="KGS244" s="1206"/>
      <c r="KGT244" s="1206"/>
      <c r="KGU244" s="1206"/>
      <c r="KGV244" s="1206"/>
      <c r="KGW244" s="1206"/>
      <c r="KGX244" s="1206"/>
      <c r="KGY244" s="1206"/>
      <c r="KGZ244" s="1207"/>
      <c r="KHA244" s="1206"/>
      <c r="KHB244" s="1206"/>
      <c r="KHC244" s="1206"/>
      <c r="KHD244" s="1206"/>
      <c r="KHE244" s="1206"/>
      <c r="KHF244" s="1206"/>
      <c r="KHG244" s="1206"/>
      <c r="KHH244" s="1206"/>
      <c r="KHI244" s="1206"/>
      <c r="KHJ244" s="1206"/>
      <c r="KHK244" s="1206"/>
      <c r="KHL244" s="1206"/>
      <c r="KHM244" s="1206"/>
      <c r="KHN244" s="1206"/>
      <c r="KHO244" s="1206"/>
      <c r="KHP244" s="1206"/>
      <c r="KHQ244" s="1207"/>
      <c r="KHR244" s="1206"/>
      <c r="KHS244" s="1206"/>
      <c r="KHT244" s="1206"/>
      <c r="KHU244" s="1206"/>
      <c r="KHV244" s="1206"/>
      <c r="KHW244" s="1206"/>
      <c r="KHX244" s="1206"/>
      <c r="KHY244" s="1206"/>
      <c r="KHZ244" s="1206"/>
      <c r="KIA244" s="1206"/>
      <c r="KIB244" s="1206"/>
      <c r="KIC244" s="1206"/>
      <c r="KID244" s="1206"/>
      <c r="KIE244" s="1206"/>
      <c r="KIF244" s="1206"/>
      <c r="KIG244" s="1206"/>
      <c r="KIH244" s="1207"/>
      <c r="KII244" s="1206"/>
      <c r="KIJ244" s="1206"/>
      <c r="KIK244" s="1206"/>
      <c r="KIL244" s="1206"/>
      <c r="KIM244" s="1206"/>
      <c r="KIN244" s="1206"/>
      <c r="KIO244" s="1206"/>
      <c r="KIP244" s="1206"/>
      <c r="KIQ244" s="1206"/>
      <c r="KIR244" s="1206"/>
      <c r="KIS244" s="1206"/>
      <c r="KIT244" s="1206"/>
      <c r="KIU244" s="1206"/>
      <c r="KIV244" s="1206"/>
      <c r="KIW244" s="1206"/>
      <c r="KIX244" s="1206"/>
      <c r="KIY244" s="1207"/>
      <c r="KIZ244" s="1206"/>
      <c r="KJA244" s="1206"/>
      <c r="KJB244" s="1206"/>
      <c r="KJC244" s="1206"/>
      <c r="KJD244" s="1206"/>
      <c r="KJE244" s="1206"/>
      <c r="KJF244" s="1206"/>
      <c r="KJG244" s="1206"/>
      <c r="KJH244" s="1206"/>
      <c r="KJI244" s="1206"/>
      <c r="KJJ244" s="1206"/>
      <c r="KJK244" s="1206"/>
      <c r="KJL244" s="1206"/>
      <c r="KJM244" s="1206"/>
      <c r="KJN244" s="1206"/>
      <c r="KJO244" s="1206"/>
      <c r="KJP244" s="1207"/>
      <c r="KJQ244" s="1206"/>
      <c r="KJR244" s="1206"/>
      <c r="KJS244" s="1206"/>
      <c r="KJT244" s="1206"/>
      <c r="KJU244" s="1206"/>
      <c r="KJV244" s="1206"/>
      <c r="KJW244" s="1206"/>
      <c r="KJX244" s="1206"/>
      <c r="KJY244" s="1206"/>
      <c r="KJZ244" s="1206"/>
      <c r="KKA244" s="1206"/>
      <c r="KKB244" s="1206"/>
      <c r="KKC244" s="1206"/>
      <c r="KKD244" s="1206"/>
      <c r="KKE244" s="1206"/>
      <c r="KKF244" s="1206"/>
      <c r="KKG244" s="1207"/>
      <c r="KKH244" s="1206"/>
      <c r="KKI244" s="1206"/>
      <c r="KKJ244" s="1206"/>
      <c r="KKK244" s="1206"/>
      <c r="KKL244" s="1206"/>
      <c r="KKM244" s="1206"/>
      <c r="KKN244" s="1206"/>
      <c r="KKO244" s="1206"/>
      <c r="KKP244" s="1206"/>
      <c r="KKQ244" s="1206"/>
      <c r="KKR244" s="1206"/>
      <c r="KKS244" s="1206"/>
      <c r="KKT244" s="1206"/>
      <c r="KKU244" s="1206"/>
      <c r="KKV244" s="1206"/>
      <c r="KKW244" s="1206"/>
      <c r="KKX244" s="1207"/>
      <c r="KKY244" s="1206"/>
      <c r="KKZ244" s="1206"/>
      <c r="KLA244" s="1206"/>
      <c r="KLB244" s="1206"/>
      <c r="KLC244" s="1206"/>
      <c r="KLD244" s="1206"/>
      <c r="KLE244" s="1206"/>
      <c r="KLF244" s="1206"/>
      <c r="KLG244" s="1206"/>
      <c r="KLH244" s="1206"/>
      <c r="KLI244" s="1206"/>
      <c r="KLJ244" s="1206"/>
      <c r="KLK244" s="1206"/>
      <c r="KLL244" s="1206"/>
      <c r="KLM244" s="1206"/>
      <c r="KLN244" s="1206"/>
      <c r="KLO244" s="1207"/>
      <c r="KLP244" s="1206"/>
      <c r="KLQ244" s="1206"/>
      <c r="KLR244" s="1206"/>
      <c r="KLS244" s="1206"/>
      <c r="KLT244" s="1206"/>
      <c r="KLU244" s="1206"/>
      <c r="KLV244" s="1206"/>
      <c r="KLW244" s="1206"/>
      <c r="KLX244" s="1206"/>
      <c r="KLY244" s="1206"/>
      <c r="KLZ244" s="1206"/>
      <c r="KMA244" s="1206"/>
      <c r="KMB244" s="1206"/>
      <c r="KMC244" s="1206"/>
      <c r="KMD244" s="1206"/>
      <c r="KME244" s="1206"/>
      <c r="KMF244" s="1207"/>
      <c r="KMG244" s="1206"/>
      <c r="KMH244" s="1206"/>
      <c r="KMI244" s="1206"/>
      <c r="KMJ244" s="1206"/>
      <c r="KMK244" s="1206"/>
      <c r="KML244" s="1206"/>
      <c r="KMM244" s="1206"/>
      <c r="KMN244" s="1206"/>
      <c r="KMO244" s="1206"/>
      <c r="KMP244" s="1206"/>
      <c r="KMQ244" s="1206"/>
      <c r="KMR244" s="1206"/>
      <c r="KMS244" s="1206"/>
      <c r="KMT244" s="1206"/>
      <c r="KMU244" s="1206"/>
      <c r="KMV244" s="1206"/>
      <c r="KMW244" s="1207"/>
      <c r="KMX244" s="1206"/>
      <c r="KMY244" s="1206"/>
      <c r="KMZ244" s="1206"/>
      <c r="KNA244" s="1206"/>
      <c r="KNB244" s="1206"/>
      <c r="KNC244" s="1206"/>
      <c r="KND244" s="1206"/>
      <c r="KNE244" s="1206"/>
      <c r="KNF244" s="1206"/>
      <c r="KNG244" s="1206"/>
      <c r="KNH244" s="1206"/>
      <c r="KNI244" s="1206"/>
      <c r="KNJ244" s="1206"/>
      <c r="KNK244" s="1206"/>
      <c r="KNL244" s="1206"/>
      <c r="KNM244" s="1206"/>
      <c r="KNN244" s="1207"/>
      <c r="KNO244" s="1206"/>
      <c r="KNP244" s="1206"/>
      <c r="KNQ244" s="1206"/>
      <c r="KNR244" s="1206"/>
      <c r="KNS244" s="1206"/>
      <c r="KNT244" s="1206"/>
      <c r="KNU244" s="1206"/>
      <c r="KNV244" s="1206"/>
      <c r="KNW244" s="1206"/>
      <c r="KNX244" s="1206"/>
      <c r="KNY244" s="1206"/>
      <c r="KNZ244" s="1206"/>
      <c r="KOA244" s="1206"/>
      <c r="KOB244" s="1206"/>
      <c r="KOC244" s="1206"/>
      <c r="KOD244" s="1206"/>
      <c r="KOE244" s="1207"/>
      <c r="KOF244" s="1206"/>
      <c r="KOG244" s="1206"/>
      <c r="KOH244" s="1206"/>
      <c r="KOI244" s="1206"/>
      <c r="KOJ244" s="1206"/>
      <c r="KOK244" s="1206"/>
      <c r="KOL244" s="1206"/>
      <c r="KOM244" s="1206"/>
      <c r="KON244" s="1206"/>
      <c r="KOO244" s="1206"/>
      <c r="KOP244" s="1206"/>
      <c r="KOQ244" s="1206"/>
      <c r="KOR244" s="1206"/>
      <c r="KOS244" s="1206"/>
      <c r="KOT244" s="1206"/>
      <c r="KOU244" s="1206"/>
      <c r="KOV244" s="1207"/>
      <c r="KOW244" s="1206"/>
      <c r="KOX244" s="1206"/>
      <c r="KOY244" s="1206"/>
      <c r="KOZ244" s="1206"/>
      <c r="KPA244" s="1206"/>
      <c r="KPB244" s="1206"/>
      <c r="KPC244" s="1206"/>
      <c r="KPD244" s="1206"/>
      <c r="KPE244" s="1206"/>
      <c r="KPF244" s="1206"/>
      <c r="KPG244" s="1206"/>
      <c r="KPH244" s="1206"/>
      <c r="KPI244" s="1206"/>
      <c r="KPJ244" s="1206"/>
      <c r="KPK244" s="1206"/>
      <c r="KPL244" s="1206"/>
      <c r="KPM244" s="1207"/>
      <c r="KPN244" s="1206"/>
      <c r="KPO244" s="1206"/>
      <c r="KPP244" s="1206"/>
      <c r="KPQ244" s="1206"/>
      <c r="KPR244" s="1206"/>
      <c r="KPS244" s="1206"/>
      <c r="KPT244" s="1206"/>
      <c r="KPU244" s="1206"/>
      <c r="KPV244" s="1206"/>
      <c r="KPW244" s="1206"/>
      <c r="KPX244" s="1206"/>
      <c r="KPY244" s="1206"/>
      <c r="KPZ244" s="1206"/>
      <c r="KQA244" s="1206"/>
      <c r="KQB244" s="1206"/>
      <c r="KQC244" s="1206"/>
      <c r="KQD244" s="1207"/>
      <c r="KQE244" s="1206"/>
      <c r="KQF244" s="1206"/>
      <c r="KQG244" s="1206"/>
      <c r="KQH244" s="1206"/>
      <c r="KQI244" s="1206"/>
      <c r="KQJ244" s="1206"/>
      <c r="KQK244" s="1206"/>
      <c r="KQL244" s="1206"/>
      <c r="KQM244" s="1206"/>
      <c r="KQN244" s="1206"/>
      <c r="KQO244" s="1206"/>
      <c r="KQP244" s="1206"/>
      <c r="KQQ244" s="1206"/>
      <c r="KQR244" s="1206"/>
      <c r="KQS244" s="1206"/>
      <c r="KQT244" s="1206"/>
      <c r="KQU244" s="1207"/>
      <c r="KQV244" s="1206"/>
      <c r="KQW244" s="1206"/>
      <c r="KQX244" s="1206"/>
      <c r="KQY244" s="1206"/>
      <c r="KQZ244" s="1206"/>
      <c r="KRA244" s="1206"/>
      <c r="KRB244" s="1206"/>
      <c r="KRC244" s="1206"/>
      <c r="KRD244" s="1206"/>
      <c r="KRE244" s="1206"/>
      <c r="KRF244" s="1206"/>
      <c r="KRG244" s="1206"/>
      <c r="KRH244" s="1206"/>
      <c r="KRI244" s="1206"/>
      <c r="KRJ244" s="1206"/>
      <c r="KRK244" s="1206"/>
      <c r="KRL244" s="1207"/>
      <c r="KRM244" s="1206"/>
      <c r="KRN244" s="1206"/>
      <c r="KRO244" s="1206"/>
      <c r="KRP244" s="1206"/>
      <c r="KRQ244" s="1206"/>
      <c r="KRR244" s="1206"/>
      <c r="KRS244" s="1206"/>
      <c r="KRT244" s="1206"/>
      <c r="KRU244" s="1206"/>
      <c r="KRV244" s="1206"/>
      <c r="KRW244" s="1206"/>
      <c r="KRX244" s="1206"/>
      <c r="KRY244" s="1206"/>
      <c r="KRZ244" s="1206"/>
      <c r="KSA244" s="1206"/>
      <c r="KSB244" s="1206"/>
      <c r="KSC244" s="1207"/>
      <c r="KSD244" s="1206"/>
      <c r="KSE244" s="1206"/>
      <c r="KSF244" s="1206"/>
      <c r="KSG244" s="1206"/>
      <c r="KSH244" s="1206"/>
      <c r="KSI244" s="1206"/>
      <c r="KSJ244" s="1206"/>
      <c r="KSK244" s="1206"/>
      <c r="KSL244" s="1206"/>
      <c r="KSM244" s="1206"/>
      <c r="KSN244" s="1206"/>
      <c r="KSO244" s="1206"/>
      <c r="KSP244" s="1206"/>
      <c r="KSQ244" s="1206"/>
      <c r="KSR244" s="1206"/>
      <c r="KSS244" s="1206"/>
      <c r="KST244" s="1207"/>
      <c r="KSU244" s="1206"/>
      <c r="KSV244" s="1206"/>
      <c r="KSW244" s="1206"/>
      <c r="KSX244" s="1206"/>
      <c r="KSY244" s="1206"/>
      <c r="KSZ244" s="1206"/>
      <c r="KTA244" s="1206"/>
      <c r="KTB244" s="1206"/>
      <c r="KTC244" s="1206"/>
      <c r="KTD244" s="1206"/>
      <c r="KTE244" s="1206"/>
      <c r="KTF244" s="1206"/>
      <c r="KTG244" s="1206"/>
      <c r="KTH244" s="1206"/>
      <c r="KTI244" s="1206"/>
      <c r="KTJ244" s="1206"/>
      <c r="KTK244" s="1207"/>
      <c r="KTL244" s="1206"/>
      <c r="KTM244" s="1206"/>
      <c r="KTN244" s="1206"/>
      <c r="KTO244" s="1206"/>
      <c r="KTP244" s="1206"/>
      <c r="KTQ244" s="1206"/>
      <c r="KTR244" s="1206"/>
      <c r="KTS244" s="1206"/>
      <c r="KTT244" s="1206"/>
      <c r="KTU244" s="1206"/>
      <c r="KTV244" s="1206"/>
      <c r="KTW244" s="1206"/>
      <c r="KTX244" s="1206"/>
      <c r="KTY244" s="1206"/>
      <c r="KTZ244" s="1206"/>
      <c r="KUA244" s="1206"/>
      <c r="KUB244" s="1207"/>
      <c r="KUC244" s="1206"/>
      <c r="KUD244" s="1206"/>
      <c r="KUE244" s="1206"/>
      <c r="KUF244" s="1206"/>
      <c r="KUG244" s="1206"/>
      <c r="KUH244" s="1206"/>
      <c r="KUI244" s="1206"/>
      <c r="KUJ244" s="1206"/>
      <c r="KUK244" s="1206"/>
      <c r="KUL244" s="1206"/>
      <c r="KUM244" s="1206"/>
      <c r="KUN244" s="1206"/>
      <c r="KUO244" s="1206"/>
      <c r="KUP244" s="1206"/>
      <c r="KUQ244" s="1206"/>
      <c r="KUR244" s="1206"/>
      <c r="KUS244" s="1207"/>
      <c r="KUT244" s="1206"/>
      <c r="KUU244" s="1206"/>
      <c r="KUV244" s="1206"/>
      <c r="KUW244" s="1206"/>
      <c r="KUX244" s="1206"/>
      <c r="KUY244" s="1206"/>
      <c r="KUZ244" s="1206"/>
      <c r="KVA244" s="1206"/>
      <c r="KVB244" s="1206"/>
      <c r="KVC244" s="1206"/>
      <c r="KVD244" s="1206"/>
      <c r="KVE244" s="1206"/>
      <c r="KVF244" s="1206"/>
      <c r="KVG244" s="1206"/>
      <c r="KVH244" s="1206"/>
      <c r="KVI244" s="1206"/>
      <c r="KVJ244" s="1207"/>
      <c r="KVK244" s="1206"/>
      <c r="KVL244" s="1206"/>
      <c r="KVM244" s="1206"/>
      <c r="KVN244" s="1206"/>
      <c r="KVO244" s="1206"/>
      <c r="KVP244" s="1206"/>
      <c r="KVQ244" s="1206"/>
      <c r="KVR244" s="1206"/>
      <c r="KVS244" s="1206"/>
      <c r="KVT244" s="1206"/>
      <c r="KVU244" s="1206"/>
      <c r="KVV244" s="1206"/>
      <c r="KVW244" s="1206"/>
      <c r="KVX244" s="1206"/>
      <c r="KVY244" s="1206"/>
      <c r="KVZ244" s="1206"/>
      <c r="KWA244" s="1207"/>
      <c r="KWB244" s="1206"/>
      <c r="KWC244" s="1206"/>
      <c r="KWD244" s="1206"/>
      <c r="KWE244" s="1206"/>
      <c r="KWF244" s="1206"/>
      <c r="KWG244" s="1206"/>
      <c r="KWH244" s="1206"/>
      <c r="KWI244" s="1206"/>
      <c r="KWJ244" s="1206"/>
      <c r="KWK244" s="1206"/>
      <c r="KWL244" s="1206"/>
      <c r="KWM244" s="1206"/>
      <c r="KWN244" s="1206"/>
      <c r="KWO244" s="1206"/>
      <c r="KWP244" s="1206"/>
      <c r="KWQ244" s="1206"/>
      <c r="KWR244" s="1207"/>
      <c r="KWS244" s="1206"/>
      <c r="KWT244" s="1206"/>
      <c r="KWU244" s="1206"/>
      <c r="KWV244" s="1206"/>
      <c r="KWW244" s="1206"/>
      <c r="KWX244" s="1206"/>
      <c r="KWY244" s="1206"/>
      <c r="KWZ244" s="1206"/>
      <c r="KXA244" s="1206"/>
      <c r="KXB244" s="1206"/>
      <c r="KXC244" s="1206"/>
      <c r="KXD244" s="1206"/>
      <c r="KXE244" s="1206"/>
      <c r="KXF244" s="1206"/>
      <c r="KXG244" s="1206"/>
      <c r="KXH244" s="1206"/>
      <c r="KXI244" s="1207"/>
      <c r="KXJ244" s="1206"/>
      <c r="KXK244" s="1206"/>
      <c r="KXL244" s="1206"/>
      <c r="KXM244" s="1206"/>
      <c r="KXN244" s="1206"/>
      <c r="KXO244" s="1206"/>
      <c r="KXP244" s="1206"/>
      <c r="KXQ244" s="1206"/>
      <c r="KXR244" s="1206"/>
      <c r="KXS244" s="1206"/>
      <c r="KXT244" s="1206"/>
      <c r="KXU244" s="1206"/>
      <c r="KXV244" s="1206"/>
      <c r="KXW244" s="1206"/>
      <c r="KXX244" s="1206"/>
      <c r="KXY244" s="1206"/>
      <c r="KXZ244" s="1207"/>
      <c r="KYA244" s="1206"/>
      <c r="KYB244" s="1206"/>
      <c r="KYC244" s="1206"/>
      <c r="KYD244" s="1206"/>
      <c r="KYE244" s="1206"/>
      <c r="KYF244" s="1206"/>
      <c r="KYG244" s="1206"/>
      <c r="KYH244" s="1206"/>
      <c r="KYI244" s="1206"/>
      <c r="KYJ244" s="1206"/>
      <c r="KYK244" s="1206"/>
      <c r="KYL244" s="1206"/>
      <c r="KYM244" s="1206"/>
      <c r="KYN244" s="1206"/>
      <c r="KYO244" s="1206"/>
      <c r="KYP244" s="1206"/>
      <c r="KYQ244" s="1207"/>
      <c r="KYR244" s="1206"/>
      <c r="KYS244" s="1206"/>
      <c r="KYT244" s="1206"/>
      <c r="KYU244" s="1206"/>
      <c r="KYV244" s="1206"/>
      <c r="KYW244" s="1206"/>
      <c r="KYX244" s="1206"/>
      <c r="KYY244" s="1206"/>
      <c r="KYZ244" s="1206"/>
      <c r="KZA244" s="1206"/>
      <c r="KZB244" s="1206"/>
      <c r="KZC244" s="1206"/>
      <c r="KZD244" s="1206"/>
      <c r="KZE244" s="1206"/>
      <c r="KZF244" s="1206"/>
      <c r="KZG244" s="1206"/>
      <c r="KZH244" s="1207"/>
      <c r="KZI244" s="1206"/>
      <c r="KZJ244" s="1206"/>
      <c r="KZK244" s="1206"/>
      <c r="KZL244" s="1206"/>
      <c r="KZM244" s="1206"/>
      <c r="KZN244" s="1206"/>
      <c r="KZO244" s="1206"/>
      <c r="KZP244" s="1206"/>
      <c r="KZQ244" s="1206"/>
      <c r="KZR244" s="1206"/>
      <c r="KZS244" s="1206"/>
      <c r="KZT244" s="1206"/>
      <c r="KZU244" s="1206"/>
      <c r="KZV244" s="1206"/>
      <c r="KZW244" s="1206"/>
      <c r="KZX244" s="1206"/>
      <c r="KZY244" s="1207"/>
      <c r="KZZ244" s="1206"/>
      <c r="LAA244" s="1206"/>
      <c r="LAB244" s="1206"/>
      <c r="LAC244" s="1206"/>
      <c r="LAD244" s="1206"/>
      <c r="LAE244" s="1206"/>
      <c r="LAF244" s="1206"/>
      <c r="LAG244" s="1206"/>
      <c r="LAH244" s="1206"/>
      <c r="LAI244" s="1206"/>
      <c r="LAJ244" s="1206"/>
      <c r="LAK244" s="1206"/>
      <c r="LAL244" s="1206"/>
      <c r="LAM244" s="1206"/>
      <c r="LAN244" s="1206"/>
      <c r="LAO244" s="1206"/>
      <c r="LAP244" s="1207"/>
      <c r="LAQ244" s="1206"/>
      <c r="LAR244" s="1206"/>
      <c r="LAS244" s="1206"/>
      <c r="LAT244" s="1206"/>
      <c r="LAU244" s="1206"/>
      <c r="LAV244" s="1206"/>
      <c r="LAW244" s="1206"/>
      <c r="LAX244" s="1206"/>
      <c r="LAY244" s="1206"/>
      <c r="LAZ244" s="1206"/>
      <c r="LBA244" s="1206"/>
      <c r="LBB244" s="1206"/>
      <c r="LBC244" s="1206"/>
      <c r="LBD244" s="1206"/>
      <c r="LBE244" s="1206"/>
      <c r="LBF244" s="1206"/>
      <c r="LBG244" s="1207"/>
      <c r="LBH244" s="1206"/>
      <c r="LBI244" s="1206"/>
      <c r="LBJ244" s="1206"/>
      <c r="LBK244" s="1206"/>
      <c r="LBL244" s="1206"/>
      <c r="LBM244" s="1206"/>
      <c r="LBN244" s="1206"/>
      <c r="LBO244" s="1206"/>
      <c r="LBP244" s="1206"/>
      <c r="LBQ244" s="1206"/>
      <c r="LBR244" s="1206"/>
      <c r="LBS244" s="1206"/>
      <c r="LBT244" s="1206"/>
      <c r="LBU244" s="1206"/>
      <c r="LBV244" s="1206"/>
      <c r="LBW244" s="1206"/>
      <c r="LBX244" s="1207"/>
      <c r="LBY244" s="1206"/>
      <c r="LBZ244" s="1206"/>
      <c r="LCA244" s="1206"/>
      <c r="LCB244" s="1206"/>
      <c r="LCC244" s="1206"/>
      <c r="LCD244" s="1206"/>
      <c r="LCE244" s="1206"/>
      <c r="LCF244" s="1206"/>
      <c r="LCG244" s="1206"/>
      <c r="LCH244" s="1206"/>
      <c r="LCI244" s="1206"/>
      <c r="LCJ244" s="1206"/>
      <c r="LCK244" s="1206"/>
      <c r="LCL244" s="1206"/>
      <c r="LCM244" s="1206"/>
      <c r="LCN244" s="1206"/>
      <c r="LCO244" s="1207"/>
      <c r="LCP244" s="1206"/>
      <c r="LCQ244" s="1206"/>
      <c r="LCR244" s="1206"/>
      <c r="LCS244" s="1206"/>
      <c r="LCT244" s="1206"/>
      <c r="LCU244" s="1206"/>
      <c r="LCV244" s="1206"/>
      <c r="LCW244" s="1206"/>
      <c r="LCX244" s="1206"/>
      <c r="LCY244" s="1206"/>
      <c r="LCZ244" s="1206"/>
      <c r="LDA244" s="1206"/>
      <c r="LDB244" s="1206"/>
      <c r="LDC244" s="1206"/>
      <c r="LDD244" s="1206"/>
      <c r="LDE244" s="1206"/>
      <c r="LDF244" s="1207"/>
      <c r="LDG244" s="1206"/>
      <c r="LDH244" s="1206"/>
      <c r="LDI244" s="1206"/>
      <c r="LDJ244" s="1206"/>
      <c r="LDK244" s="1206"/>
      <c r="LDL244" s="1206"/>
      <c r="LDM244" s="1206"/>
      <c r="LDN244" s="1206"/>
      <c r="LDO244" s="1206"/>
      <c r="LDP244" s="1206"/>
      <c r="LDQ244" s="1206"/>
      <c r="LDR244" s="1206"/>
      <c r="LDS244" s="1206"/>
      <c r="LDT244" s="1206"/>
      <c r="LDU244" s="1206"/>
      <c r="LDV244" s="1206"/>
      <c r="LDW244" s="1207"/>
      <c r="LDX244" s="1206"/>
      <c r="LDY244" s="1206"/>
      <c r="LDZ244" s="1206"/>
      <c r="LEA244" s="1206"/>
      <c r="LEB244" s="1206"/>
      <c r="LEC244" s="1206"/>
      <c r="LED244" s="1206"/>
      <c r="LEE244" s="1206"/>
      <c r="LEF244" s="1206"/>
      <c r="LEG244" s="1206"/>
      <c r="LEH244" s="1206"/>
      <c r="LEI244" s="1206"/>
      <c r="LEJ244" s="1206"/>
      <c r="LEK244" s="1206"/>
      <c r="LEL244" s="1206"/>
      <c r="LEM244" s="1206"/>
      <c r="LEN244" s="1207"/>
      <c r="LEO244" s="1206"/>
      <c r="LEP244" s="1206"/>
      <c r="LEQ244" s="1206"/>
      <c r="LER244" s="1206"/>
      <c r="LES244" s="1206"/>
      <c r="LET244" s="1206"/>
      <c r="LEU244" s="1206"/>
      <c r="LEV244" s="1206"/>
      <c r="LEW244" s="1206"/>
      <c r="LEX244" s="1206"/>
      <c r="LEY244" s="1206"/>
      <c r="LEZ244" s="1206"/>
      <c r="LFA244" s="1206"/>
      <c r="LFB244" s="1206"/>
      <c r="LFC244" s="1206"/>
      <c r="LFD244" s="1206"/>
      <c r="LFE244" s="1207"/>
      <c r="LFF244" s="1206"/>
      <c r="LFG244" s="1206"/>
      <c r="LFH244" s="1206"/>
      <c r="LFI244" s="1206"/>
      <c r="LFJ244" s="1206"/>
      <c r="LFK244" s="1206"/>
      <c r="LFL244" s="1206"/>
      <c r="LFM244" s="1206"/>
      <c r="LFN244" s="1206"/>
      <c r="LFO244" s="1206"/>
      <c r="LFP244" s="1206"/>
      <c r="LFQ244" s="1206"/>
      <c r="LFR244" s="1206"/>
      <c r="LFS244" s="1206"/>
      <c r="LFT244" s="1206"/>
      <c r="LFU244" s="1206"/>
      <c r="LFV244" s="1207"/>
      <c r="LFW244" s="1206"/>
      <c r="LFX244" s="1206"/>
      <c r="LFY244" s="1206"/>
      <c r="LFZ244" s="1206"/>
      <c r="LGA244" s="1206"/>
      <c r="LGB244" s="1206"/>
      <c r="LGC244" s="1206"/>
      <c r="LGD244" s="1206"/>
      <c r="LGE244" s="1206"/>
      <c r="LGF244" s="1206"/>
      <c r="LGG244" s="1206"/>
      <c r="LGH244" s="1206"/>
      <c r="LGI244" s="1206"/>
      <c r="LGJ244" s="1206"/>
      <c r="LGK244" s="1206"/>
      <c r="LGL244" s="1206"/>
      <c r="LGM244" s="1207"/>
      <c r="LGN244" s="1206"/>
      <c r="LGO244" s="1206"/>
      <c r="LGP244" s="1206"/>
      <c r="LGQ244" s="1206"/>
      <c r="LGR244" s="1206"/>
      <c r="LGS244" s="1206"/>
      <c r="LGT244" s="1206"/>
      <c r="LGU244" s="1206"/>
      <c r="LGV244" s="1206"/>
      <c r="LGW244" s="1206"/>
      <c r="LGX244" s="1206"/>
      <c r="LGY244" s="1206"/>
      <c r="LGZ244" s="1206"/>
      <c r="LHA244" s="1206"/>
      <c r="LHB244" s="1206"/>
      <c r="LHC244" s="1206"/>
      <c r="LHD244" s="1207"/>
      <c r="LHE244" s="1206"/>
      <c r="LHF244" s="1206"/>
      <c r="LHG244" s="1206"/>
      <c r="LHH244" s="1206"/>
      <c r="LHI244" s="1206"/>
      <c r="LHJ244" s="1206"/>
      <c r="LHK244" s="1206"/>
      <c r="LHL244" s="1206"/>
      <c r="LHM244" s="1206"/>
      <c r="LHN244" s="1206"/>
      <c r="LHO244" s="1206"/>
      <c r="LHP244" s="1206"/>
      <c r="LHQ244" s="1206"/>
      <c r="LHR244" s="1206"/>
      <c r="LHS244" s="1206"/>
      <c r="LHT244" s="1206"/>
      <c r="LHU244" s="1207"/>
      <c r="LHV244" s="1206"/>
      <c r="LHW244" s="1206"/>
      <c r="LHX244" s="1206"/>
      <c r="LHY244" s="1206"/>
      <c r="LHZ244" s="1206"/>
      <c r="LIA244" s="1206"/>
      <c r="LIB244" s="1206"/>
      <c r="LIC244" s="1206"/>
      <c r="LID244" s="1206"/>
      <c r="LIE244" s="1206"/>
      <c r="LIF244" s="1206"/>
      <c r="LIG244" s="1206"/>
      <c r="LIH244" s="1206"/>
      <c r="LII244" s="1206"/>
      <c r="LIJ244" s="1206"/>
      <c r="LIK244" s="1206"/>
      <c r="LIL244" s="1207"/>
      <c r="LIM244" s="1206"/>
      <c r="LIN244" s="1206"/>
      <c r="LIO244" s="1206"/>
      <c r="LIP244" s="1206"/>
      <c r="LIQ244" s="1206"/>
      <c r="LIR244" s="1206"/>
      <c r="LIS244" s="1206"/>
      <c r="LIT244" s="1206"/>
      <c r="LIU244" s="1206"/>
      <c r="LIV244" s="1206"/>
      <c r="LIW244" s="1206"/>
      <c r="LIX244" s="1206"/>
      <c r="LIY244" s="1206"/>
      <c r="LIZ244" s="1206"/>
      <c r="LJA244" s="1206"/>
      <c r="LJB244" s="1206"/>
      <c r="LJC244" s="1207"/>
      <c r="LJD244" s="1206"/>
      <c r="LJE244" s="1206"/>
      <c r="LJF244" s="1206"/>
      <c r="LJG244" s="1206"/>
      <c r="LJH244" s="1206"/>
      <c r="LJI244" s="1206"/>
      <c r="LJJ244" s="1206"/>
      <c r="LJK244" s="1206"/>
      <c r="LJL244" s="1206"/>
      <c r="LJM244" s="1206"/>
      <c r="LJN244" s="1206"/>
      <c r="LJO244" s="1206"/>
      <c r="LJP244" s="1206"/>
      <c r="LJQ244" s="1206"/>
      <c r="LJR244" s="1206"/>
      <c r="LJS244" s="1206"/>
      <c r="LJT244" s="1207"/>
      <c r="LJU244" s="1206"/>
      <c r="LJV244" s="1206"/>
      <c r="LJW244" s="1206"/>
      <c r="LJX244" s="1206"/>
      <c r="LJY244" s="1206"/>
      <c r="LJZ244" s="1206"/>
      <c r="LKA244" s="1206"/>
      <c r="LKB244" s="1206"/>
      <c r="LKC244" s="1206"/>
      <c r="LKD244" s="1206"/>
      <c r="LKE244" s="1206"/>
      <c r="LKF244" s="1206"/>
      <c r="LKG244" s="1206"/>
      <c r="LKH244" s="1206"/>
      <c r="LKI244" s="1206"/>
      <c r="LKJ244" s="1206"/>
      <c r="LKK244" s="1207"/>
      <c r="LKL244" s="1206"/>
      <c r="LKM244" s="1206"/>
      <c r="LKN244" s="1206"/>
      <c r="LKO244" s="1206"/>
      <c r="LKP244" s="1206"/>
      <c r="LKQ244" s="1206"/>
      <c r="LKR244" s="1206"/>
      <c r="LKS244" s="1206"/>
      <c r="LKT244" s="1206"/>
      <c r="LKU244" s="1206"/>
      <c r="LKV244" s="1206"/>
      <c r="LKW244" s="1206"/>
      <c r="LKX244" s="1206"/>
      <c r="LKY244" s="1206"/>
      <c r="LKZ244" s="1206"/>
      <c r="LLA244" s="1206"/>
      <c r="LLB244" s="1207"/>
      <c r="LLC244" s="1206"/>
      <c r="LLD244" s="1206"/>
      <c r="LLE244" s="1206"/>
      <c r="LLF244" s="1206"/>
      <c r="LLG244" s="1206"/>
      <c r="LLH244" s="1206"/>
      <c r="LLI244" s="1206"/>
      <c r="LLJ244" s="1206"/>
      <c r="LLK244" s="1206"/>
      <c r="LLL244" s="1206"/>
      <c r="LLM244" s="1206"/>
      <c r="LLN244" s="1206"/>
      <c r="LLO244" s="1206"/>
      <c r="LLP244" s="1206"/>
      <c r="LLQ244" s="1206"/>
      <c r="LLR244" s="1206"/>
      <c r="LLS244" s="1207"/>
      <c r="LLT244" s="1206"/>
      <c r="LLU244" s="1206"/>
      <c r="LLV244" s="1206"/>
      <c r="LLW244" s="1206"/>
      <c r="LLX244" s="1206"/>
      <c r="LLY244" s="1206"/>
      <c r="LLZ244" s="1206"/>
      <c r="LMA244" s="1206"/>
      <c r="LMB244" s="1206"/>
      <c r="LMC244" s="1206"/>
      <c r="LMD244" s="1206"/>
      <c r="LME244" s="1206"/>
      <c r="LMF244" s="1206"/>
      <c r="LMG244" s="1206"/>
      <c r="LMH244" s="1206"/>
      <c r="LMI244" s="1206"/>
      <c r="LMJ244" s="1207"/>
      <c r="LMK244" s="1206"/>
      <c r="LML244" s="1206"/>
      <c r="LMM244" s="1206"/>
      <c r="LMN244" s="1206"/>
      <c r="LMO244" s="1206"/>
      <c r="LMP244" s="1206"/>
      <c r="LMQ244" s="1206"/>
      <c r="LMR244" s="1206"/>
      <c r="LMS244" s="1206"/>
      <c r="LMT244" s="1206"/>
      <c r="LMU244" s="1206"/>
      <c r="LMV244" s="1206"/>
      <c r="LMW244" s="1206"/>
      <c r="LMX244" s="1206"/>
      <c r="LMY244" s="1206"/>
      <c r="LMZ244" s="1206"/>
      <c r="LNA244" s="1207"/>
      <c r="LNB244" s="1206"/>
      <c r="LNC244" s="1206"/>
      <c r="LND244" s="1206"/>
      <c r="LNE244" s="1206"/>
      <c r="LNF244" s="1206"/>
      <c r="LNG244" s="1206"/>
      <c r="LNH244" s="1206"/>
      <c r="LNI244" s="1206"/>
      <c r="LNJ244" s="1206"/>
      <c r="LNK244" s="1206"/>
      <c r="LNL244" s="1206"/>
      <c r="LNM244" s="1206"/>
      <c r="LNN244" s="1206"/>
      <c r="LNO244" s="1206"/>
      <c r="LNP244" s="1206"/>
      <c r="LNQ244" s="1206"/>
      <c r="LNR244" s="1207"/>
      <c r="LNS244" s="1206"/>
      <c r="LNT244" s="1206"/>
      <c r="LNU244" s="1206"/>
      <c r="LNV244" s="1206"/>
      <c r="LNW244" s="1206"/>
      <c r="LNX244" s="1206"/>
      <c r="LNY244" s="1206"/>
      <c r="LNZ244" s="1206"/>
      <c r="LOA244" s="1206"/>
      <c r="LOB244" s="1206"/>
      <c r="LOC244" s="1206"/>
      <c r="LOD244" s="1206"/>
      <c r="LOE244" s="1206"/>
      <c r="LOF244" s="1206"/>
      <c r="LOG244" s="1206"/>
      <c r="LOH244" s="1206"/>
      <c r="LOI244" s="1207"/>
      <c r="LOJ244" s="1206"/>
      <c r="LOK244" s="1206"/>
      <c r="LOL244" s="1206"/>
      <c r="LOM244" s="1206"/>
      <c r="LON244" s="1206"/>
      <c r="LOO244" s="1206"/>
      <c r="LOP244" s="1206"/>
      <c r="LOQ244" s="1206"/>
      <c r="LOR244" s="1206"/>
      <c r="LOS244" s="1206"/>
      <c r="LOT244" s="1206"/>
      <c r="LOU244" s="1206"/>
      <c r="LOV244" s="1206"/>
      <c r="LOW244" s="1206"/>
      <c r="LOX244" s="1206"/>
      <c r="LOY244" s="1206"/>
      <c r="LOZ244" s="1207"/>
      <c r="LPA244" s="1206"/>
      <c r="LPB244" s="1206"/>
      <c r="LPC244" s="1206"/>
      <c r="LPD244" s="1206"/>
      <c r="LPE244" s="1206"/>
      <c r="LPF244" s="1206"/>
      <c r="LPG244" s="1206"/>
      <c r="LPH244" s="1206"/>
      <c r="LPI244" s="1206"/>
      <c r="LPJ244" s="1206"/>
      <c r="LPK244" s="1206"/>
      <c r="LPL244" s="1206"/>
      <c r="LPM244" s="1206"/>
      <c r="LPN244" s="1206"/>
      <c r="LPO244" s="1206"/>
      <c r="LPP244" s="1206"/>
      <c r="LPQ244" s="1207"/>
      <c r="LPR244" s="1206"/>
      <c r="LPS244" s="1206"/>
      <c r="LPT244" s="1206"/>
      <c r="LPU244" s="1206"/>
      <c r="LPV244" s="1206"/>
      <c r="LPW244" s="1206"/>
      <c r="LPX244" s="1206"/>
      <c r="LPY244" s="1206"/>
      <c r="LPZ244" s="1206"/>
      <c r="LQA244" s="1206"/>
      <c r="LQB244" s="1206"/>
      <c r="LQC244" s="1206"/>
      <c r="LQD244" s="1206"/>
      <c r="LQE244" s="1206"/>
      <c r="LQF244" s="1206"/>
      <c r="LQG244" s="1206"/>
      <c r="LQH244" s="1207"/>
      <c r="LQI244" s="1206"/>
      <c r="LQJ244" s="1206"/>
      <c r="LQK244" s="1206"/>
      <c r="LQL244" s="1206"/>
      <c r="LQM244" s="1206"/>
      <c r="LQN244" s="1206"/>
      <c r="LQO244" s="1206"/>
      <c r="LQP244" s="1206"/>
      <c r="LQQ244" s="1206"/>
      <c r="LQR244" s="1206"/>
      <c r="LQS244" s="1206"/>
      <c r="LQT244" s="1206"/>
      <c r="LQU244" s="1206"/>
      <c r="LQV244" s="1206"/>
      <c r="LQW244" s="1206"/>
      <c r="LQX244" s="1206"/>
      <c r="LQY244" s="1207"/>
      <c r="LQZ244" s="1206"/>
      <c r="LRA244" s="1206"/>
      <c r="LRB244" s="1206"/>
      <c r="LRC244" s="1206"/>
      <c r="LRD244" s="1206"/>
      <c r="LRE244" s="1206"/>
      <c r="LRF244" s="1206"/>
      <c r="LRG244" s="1206"/>
      <c r="LRH244" s="1206"/>
      <c r="LRI244" s="1206"/>
      <c r="LRJ244" s="1206"/>
      <c r="LRK244" s="1206"/>
      <c r="LRL244" s="1206"/>
      <c r="LRM244" s="1206"/>
      <c r="LRN244" s="1206"/>
      <c r="LRO244" s="1206"/>
      <c r="LRP244" s="1207"/>
      <c r="LRQ244" s="1206"/>
      <c r="LRR244" s="1206"/>
      <c r="LRS244" s="1206"/>
      <c r="LRT244" s="1206"/>
      <c r="LRU244" s="1206"/>
      <c r="LRV244" s="1206"/>
      <c r="LRW244" s="1206"/>
      <c r="LRX244" s="1206"/>
      <c r="LRY244" s="1206"/>
      <c r="LRZ244" s="1206"/>
      <c r="LSA244" s="1206"/>
      <c r="LSB244" s="1206"/>
      <c r="LSC244" s="1206"/>
      <c r="LSD244" s="1206"/>
      <c r="LSE244" s="1206"/>
      <c r="LSF244" s="1206"/>
      <c r="LSG244" s="1207"/>
      <c r="LSH244" s="1206"/>
      <c r="LSI244" s="1206"/>
      <c r="LSJ244" s="1206"/>
      <c r="LSK244" s="1206"/>
      <c r="LSL244" s="1206"/>
      <c r="LSM244" s="1206"/>
      <c r="LSN244" s="1206"/>
      <c r="LSO244" s="1206"/>
      <c r="LSP244" s="1206"/>
      <c r="LSQ244" s="1206"/>
      <c r="LSR244" s="1206"/>
      <c r="LSS244" s="1206"/>
      <c r="LST244" s="1206"/>
      <c r="LSU244" s="1206"/>
      <c r="LSV244" s="1206"/>
      <c r="LSW244" s="1206"/>
      <c r="LSX244" s="1207"/>
      <c r="LSY244" s="1206"/>
      <c r="LSZ244" s="1206"/>
      <c r="LTA244" s="1206"/>
      <c r="LTB244" s="1206"/>
      <c r="LTC244" s="1206"/>
      <c r="LTD244" s="1206"/>
      <c r="LTE244" s="1206"/>
      <c r="LTF244" s="1206"/>
      <c r="LTG244" s="1206"/>
      <c r="LTH244" s="1206"/>
      <c r="LTI244" s="1206"/>
      <c r="LTJ244" s="1206"/>
      <c r="LTK244" s="1206"/>
      <c r="LTL244" s="1206"/>
      <c r="LTM244" s="1206"/>
      <c r="LTN244" s="1206"/>
      <c r="LTO244" s="1207"/>
      <c r="LTP244" s="1206"/>
      <c r="LTQ244" s="1206"/>
      <c r="LTR244" s="1206"/>
      <c r="LTS244" s="1206"/>
      <c r="LTT244" s="1206"/>
      <c r="LTU244" s="1206"/>
      <c r="LTV244" s="1206"/>
      <c r="LTW244" s="1206"/>
      <c r="LTX244" s="1206"/>
      <c r="LTY244" s="1206"/>
      <c r="LTZ244" s="1206"/>
      <c r="LUA244" s="1206"/>
      <c r="LUB244" s="1206"/>
      <c r="LUC244" s="1206"/>
      <c r="LUD244" s="1206"/>
      <c r="LUE244" s="1206"/>
      <c r="LUF244" s="1207"/>
      <c r="LUG244" s="1206"/>
      <c r="LUH244" s="1206"/>
      <c r="LUI244" s="1206"/>
      <c r="LUJ244" s="1206"/>
      <c r="LUK244" s="1206"/>
      <c r="LUL244" s="1206"/>
      <c r="LUM244" s="1206"/>
      <c r="LUN244" s="1206"/>
      <c r="LUO244" s="1206"/>
      <c r="LUP244" s="1206"/>
      <c r="LUQ244" s="1206"/>
      <c r="LUR244" s="1206"/>
      <c r="LUS244" s="1206"/>
      <c r="LUT244" s="1206"/>
      <c r="LUU244" s="1206"/>
      <c r="LUV244" s="1206"/>
      <c r="LUW244" s="1207"/>
      <c r="LUX244" s="1206"/>
      <c r="LUY244" s="1206"/>
      <c r="LUZ244" s="1206"/>
      <c r="LVA244" s="1206"/>
      <c r="LVB244" s="1206"/>
      <c r="LVC244" s="1206"/>
      <c r="LVD244" s="1206"/>
      <c r="LVE244" s="1206"/>
      <c r="LVF244" s="1206"/>
      <c r="LVG244" s="1206"/>
      <c r="LVH244" s="1206"/>
      <c r="LVI244" s="1206"/>
      <c r="LVJ244" s="1206"/>
      <c r="LVK244" s="1206"/>
      <c r="LVL244" s="1206"/>
      <c r="LVM244" s="1206"/>
      <c r="LVN244" s="1207"/>
      <c r="LVO244" s="1206"/>
      <c r="LVP244" s="1206"/>
      <c r="LVQ244" s="1206"/>
      <c r="LVR244" s="1206"/>
      <c r="LVS244" s="1206"/>
      <c r="LVT244" s="1206"/>
      <c r="LVU244" s="1206"/>
      <c r="LVV244" s="1206"/>
      <c r="LVW244" s="1206"/>
      <c r="LVX244" s="1206"/>
      <c r="LVY244" s="1206"/>
      <c r="LVZ244" s="1206"/>
      <c r="LWA244" s="1206"/>
      <c r="LWB244" s="1206"/>
      <c r="LWC244" s="1206"/>
      <c r="LWD244" s="1206"/>
      <c r="LWE244" s="1207"/>
      <c r="LWF244" s="1206"/>
      <c r="LWG244" s="1206"/>
      <c r="LWH244" s="1206"/>
      <c r="LWI244" s="1206"/>
      <c r="LWJ244" s="1206"/>
      <c r="LWK244" s="1206"/>
      <c r="LWL244" s="1206"/>
      <c r="LWM244" s="1206"/>
      <c r="LWN244" s="1206"/>
      <c r="LWO244" s="1206"/>
      <c r="LWP244" s="1206"/>
      <c r="LWQ244" s="1206"/>
      <c r="LWR244" s="1206"/>
      <c r="LWS244" s="1206"/>
      <c r="LWT244" s="1206"/>
      <c r="LWU244" s="1206"/>
      <c r="LWV244" s="1207"/>
      <c r="LWW244" s="1206"/>
      <c r="LWX244" s="1206"/>
      <c r="LWY244" s="1206"/>
      <c r="LWZ244" s="1206"/>
      <c r="LXA244" s="1206"/>
      <c r="LXB244" s="1206"/>
      <c r="LXC244" s="1206"/>
      <c r="LXD244" s="1206"/>
      <c r="LXE244" s="1206"/>
      <c r="LXF244" s="1206"/>
      <c r="LXG244" s="1206"/>
      <c r="LXH244" s="1206"/>
      <c r="LXI244" s="1206"/>
      <c r="LXJ244" s="1206"/>
      <c r="LXK244" s="1206"/>
      <c r="LXL244" s="1206"/>
      <c r="LXM244" s="1207"/>
      <c r="LXN244" s="1206"/>
      <c r="LXO244" s="1206"/>
      <c r="LXP244" s="1206"/>
      <c r="LXQ244" s="1206"/>
      <c r="LXR244" s="1206"/>
      <c r="LXS244" s="1206"/>
      <c r="LXT244" s="1206"/>
      <c r="LXU244" s="1206"/>
      <c r="LXV244" s="1206"/>
      <c r="LXW244" s="1206"/>
      <c r="LXX244" s="1206"/>
      <c r="LXY244" s="1206"/>
      <c r="LXZ244" s="1206"/>
      <c r="LYA244" s="1206"/>
      <c r="LYB244" s="1206"/>
      <c r="LYC244" s="1206"/>
      <c r="LYD244" s="1207"/>
      <c r="LYE244" s="1206"/>
      <c r="LYF244" s="1206"/>
      <c r="LYG244" s="1206"/>
      <c r="LYH244" s="1206"/>
      <c r="LYI244" s="1206"/>
      <c r="LYJ244" s="1206"/>
      <c r="LYK244" s="1206"/>
      <c r="LYL244" s="1206"/>
      <c r="LYM244" s="1206"/>
      <c r="LYN244" s="1206"/>
      <c r="LYO244" s="1206"/>
      <c r="LYP244" s="1206"/>
      <c r="LYQ244" s="1206"/>
      <c r="LYR244" s="1206"/>
      <c r="LYS244" s="1206"/>
      <c r="LYT244" s="1206"/>
      <c r="LYU244" s="1207"/>
      <c r="LYV244" s="1206"/>
      <c r="LYW244" s="1206"/>
      <c r="LYX244" s="1206"/>
      <c r="LYY244" s="1206"/>
      <c r="LYZ244" s="1206"/>
      <c r="LZA244" s="1206"/>
      <c r="LZB244" s="1206"/>
      <c r="LZC244" s="1206"/>
      <c r="LZD244" s="1206"/>
      <c r="LZE244" s="1206"/>
      <c r="LZF244" s="1206"/>
      <c r="LZG244" s="1206"/>
      <c r="LZH244" s="1206"/>
      <c r="LZI244" s="1206"/>
      <c r="LZJ244" s="1206"/>
      <c r="LZK244" s="1206"/>
      <c r="LZL244" s="1207"/>
      <c r="LZM244" s="1206"/>
      <c r="LZN244" s="1206"/>
      <c r="LZO244" s="1206"/>
      <c r="LZP244" s="1206"/>
      <c r="LZQ244" s="1206"/>
      <c r="LZR244" s="1206"/>
      <c r="LZS244" s="1206"/>
      <c r="LZT244" s="1206"/>
      <c r="LZU244" s="1206"/>
      <c r="LZV244" s="1206"/>
      <c r="LZW244" s="1206"/>
      <c r="LZX244" s="1206"/>
      <c r="LZY244" s="1206"/>
      <c r="LZZ244" s="1206"/>
      <c r="MAA244" s="1206"/>
      <c r="MAB244" s="1206"/>
      <c r="MAC244" s="1207"/>
      <c r="MAD244" s="1206"/>
      <c r="MAE244" s="1206"/>
      <c r="MAF244" s="1206"/>
      <c r="MAG244" s="1206"/>
      <c r="MAH244" s="1206"/>
      <c r="MAI244" s="1206"/>
      <c r="MAJ244" s="1206"/>
      <c r="MAK244" s="1206"/>
      <c r="MAL244" s="1206"/>
      <c r="MAM244" s="1206"/>
      <c r="MAN244" s="1206"/>
      <c r="MAO244" s="1206"/>
      <c r="MAP244" s="1206"/>
      <c r="MAQ244" s="1206"/>
      <c r="MAR244" s="1206"/>
      <c r="MAS244" s="1206"/>
      <c r="MAT244" s="1207"/>
      <c r="MAU244" s="1206"/>
      <c r="MAV244" s="1206"/>
      <c r="MAW244" s="1206"/>
      <c r="MAX244" s="1206"/>
      <c r="MAY244" s="1206"/>
      <c r="MAZ244" s="1206"/>
      <c r="MBA244" s="1206"/>
      <c r="MBB244" s="1206"/>
      <c r="MBC244" s="1206"/>
      <c r="MBD244" s="1206"/>
      <c r="MBE244" s="1206"/>
      <c r="MBF244" s="1206"/>
      <c r="MBG244" s="1206"/>
      <c r="MBH244" s="1206"/>
      <c r="MBI244" s="1206"/>
      <c r="MBJ244" s="1206"/>
      <c r="MBK244" s="1207"/>
      <c r="MBL244" s="1206"/>
      <c r="MBM244" s="1206"/>
      <c r="MBN244" s="1206"/>
      <c r="MBO244" s="1206"/>
      <c r="MBP244" s="1206"/>
      <c r="MBQ244" s="1206"/>
      <c r="MBR244" s="1206"/>
      <c r="MBS244" s="1206"/>
      <c r="MBT244" s="1206"/>
      <c r="MBU244" s="1206"/>
      <c r="MBV244" s="1206"/>
      <c r="MBW244" s="1206"/>
      <c r="MBX244" s="1206"/>
      <c r="MBY244" s="1206"/>
      <c r="MBZ244" s="1206"/>
      <c r="MCA244" s="1206"/>
      <c r="MCB244" s="1207"/>
      <c r="MCC244" s="1206"/>
      <c r="MCD244" s="1206"/>
      <c r="MCE244" s="1206"/>
      <c r="MCF244" s="1206"/>
      <c r="MCG244" s="1206"/>
      <c r="MCH244" s="1206"/>
      <c r="MCI244" s="1206"/>
      <c r="MCJ244" s="1206"/>
      <c r="MCK244" s="1206"/>
      <c r="MCL244" s="1206"/>
      <c r="MCM244" s="1206"/>
      <c r="MCN244" s="1206"/>
      <c r="MCO244" s="1206"/>
      <c r="MCP244" s="1206"/>
      <c r="MCQ244" s="1206"/>
      <c r="MCR244" s="1206"/>
      <c r="MCS244" s="1207"/>
      <c r="MCT244" s="1206"/>
      <c r="MCU244" s="1206"/>
      <c r="MCV244" s="1206"/>
      <c r="MCW244" s="1206"/>
      <c r="MCX244" s="1206"/>
      <c r="MCY244" s="1206"/>
      <c r="MCZ244" s="1206"/>
      <c r="MDA244" s="1206"/>
      <c r="MDB244" s="1206"/>
      <c r="MDC244" s="1206"/>
      <c r="MDD244" s="1206"/>
      <c r="MDE244" s="1206"/>
      <c r="MDF244" s="1206"/>
      <c r="MDG244" s="1206"/>
      <c r="MDH244" s="1206"/>
      <c r="MDI244" s="1206"/>
      <c r="MDJ244" s="1207"/>
      <c r="MDK244" s="1206"/>
      <c r="MDL244" s="1206"/>
      <c r="MDM244" s="1206"/>
      <c r="MDN244" s="1206"/>
      <c r="MDO244" s="1206"/>
      <c r="MDP244" s="1206"/>
      <c r="MDQ244" s="1206"/>
      <c r="MDR244" s="1206"/>
      <c r="MDS244" s="1206"/>
      <c r="MDT244" s="1206"/>
      <c r="MDU244" s="1206"/>
      <c r="MDV244" s="1206"/>
      <c r="MDW244" s="1206"/>
      <c r="MDX244" s="1206"/>
      <c r="MDY244" s="1206"/>
      <c r="MDZ244" s="1206"/>
      <c r="MEA244" s="1207"/>
      <c r="MEB244" s="1206"/>
      <c r="MEC244" s="1206"/>
      <c r="MED244" s="1206"/>
      <c r="MEE244" s="1206"/>
      <c r="MEF244" s="1206"/>
      <c r="MEG244" s="1206"/>
      <c r="MEH244" s="1206"/>
      <c r="MEI244" s="1206"/>
      <c r="MEJ244" s="1206"/>
      <c r="MEK244" s="1206"/>
      <c r="MEL244" s="1206"/>
      <c r="MEM244" s="1206"/>
      <c r="MEN244" s="1206"/>
      <c r="MEO244" s="1206"/>
      <c r="MEP244" s="1206"/>
      <c r="MEQ244" s="1206"/>
      <c r="MER244" s="1207"/>
      <c r="MES244" s="1206"/>
      <c r="MET244" s="1206"/>
      <c r="MEU244" s="1206"/>
      <c r="MEV244" s="1206"/>
      <c r="MEW244" s="1206"/>
      <c r="MEX244" s="1206"/>
      <c r="MEY244" s="1206"/>
      <c r="MEZ244" s="1206"/>
      <c r="MFA244" s="1206"/>
      <c r="MFB244" s="1206"/>
      <c r="MFC244" s="1206"/>
      <c r="MFD244" s="1206"/>
      <c r="MFE244" s="1206"/>
      <c r="MFF244" s="1206"/>
      <c r="MFG244" s="1206"/>
      <c r="MFH244" s="1206"/>
      <c r="MFI244" s="1207"/>
      <c r="MFJ244" s="1206"/>
      <c r="MFK244" s="1206"/>
      <c r="MFL244" s="1206"/>
      <c r="MFM244" s="1206"/>
      <c r="MFN244" s="1206"/>
      <c r="MFO244" s="1206"/>
      <c r="MFP244" s="1206"/>
      <c r="MFQ244" s="1206"/>
      <c r="MFR244" s="1206"/>
      <c r="MFS244" s="1206"/>
      <c r="MFT244" s="1206"/>
      <c r="MFU244" s="1206"/>
      <c r="MFV244" s="1206"/>
      <c r="MFW244" s="1206"/>
      <c r="MFX244" s="1206"/>
      <c r="MFY244" s="1206"/>
      <c r="MFZ244" s="1207"/>
      <c r="MGA244" s="1206"/>
      <c r="MGB244" s="1206"/>
      <c r="MGC244" s="1206"/>
      <c r="MGD244" s="1206"/>
      <c r="MGE244" s="1206"/>
      <c r="MGF244" s="1206"/>
      <c r="MGG244" s="1206"/>
      <c r="MGH244" s="1206"/>
      <c r="MGI244" s="1206"/>
      <c r="MGJ244" s="1206"/>
      <c r="MGK244" s="1206"/>
      <c r="MGL244" s="1206"/>
      <c r="MGM244" s="1206"/>
      <c r="MGN244" s="1206"/>
      <c r="MGO244" s="1206"/>
      <c r="MGP244" s="1206"/>
      <c r="MGQ244" s="1207"/>
      <c r="MGR244" s="1206"/>
      <c r="MGS244" s="1206"/>
      <c r="MGT244" s="1206"/>
      <c r="MGU244" s="1206"/>
      <c r="MGV244" s="1206"/>
      <c r="MGW244" s="1206"/>
      <c r="MGX244" s="1206"/>
      <c r="MGY244" s="1206"/>
      <c r="MGZ244" s="1206"/>
      <c r="MHA244" s="1206"/>
      <c r="MHB244" s="1206"/>
      <c r="MHC244" s="1206"/>
      <c r="MHD244" s="1206"/>
      <c r="MHE244" s="1206"/>
      <c r="MHF244" s="1206"/>
      <c r="MHG244" s="1206"/>
      <c r="MHH244" s="1207"/>
      <c r="MHI244" s="1206"/>
      <c r="MHJ244" s="1206"/>
      <c r="MHK244" s="1206"/>
      <c r="MHL244" s="1206"/>
      <c r="MHM244" s="1206"/>
      <c r="MHN244" s="1206"/>
      <c r="MHO244" s="1206"/>
      <c r="MHP244" s="1206"/>
      <c r="MHQ244" s="1206"/>
      <c r="MHR244" s="1206"/>
      <c r="MHS244" s="1206"/>
      <c r="MHT244" s="1206"/>
      <c r="MHU244" s="1206"/>
      <c r="MHV244" s="1206"/>
      <c r="MHW244" s="1206"/>
      <c r="MHX244" s="1206"/>
      <c r="MHY244" s="1207"/>
      <c r="MHZ244" s="1206"/>
      <c r="MIA244" s="1206"/>
      <c r="MIB244" s="1206"/>
      <c r="MIC244" s="1206"/>
      <c r="MID244" s="1206"/>
      <c r="MIE244" s="1206"/>
      <c r="MIF244" s="1206"/>
      <c r="MIG244" s="1206"/>
      <c r="MIH244" s="1206"/>
      <c r="MII244" s="1206"/>
      <c r="MIJ244" s="1206"/>
      <c r="MIK244" s="1206"/>
      <c r="MIL244" s="1206"/>
      <c r="MIM244" s="1206"/>
      <c r="MIN244" s="1206"/>
      <c r="MIO244" s="1206"/>
      <c r="MIP244" s="1207"/>
      <c r="MIQ244" s="1206"/>
      <c r="MIR244" s="1206"/>
      <c r="MIS244" s="1206"/>
      <c r="MIT244" s="1206"/>
      <c r="MIU244" s="1206"/>
      <c r="MIV244" s="1206"/>
      <c r="MIW244" s="1206"/>
      <c r="MIX244" s="1206"/>
      <c r="MIY244" s="1206"/>
      <c r="MIZ244" s="1206"/>
      <c r="MJA244" s="1206"/>
      <c r="MJB244" s="1206"/>
      <c r="MJC244" s="1206"/>
      <c r="MJD244" s="1206"/>
      <c r="MJE244" s="1206"/>
      <c r="MJF244" s="1206"/>
      <c r="MJG244" s="1207"/>
      <c r="MJH244" s="1206"/>
      <c r="MJI244" s="1206"/>
      <c r="MJJ244" s="1206"/>
      <c r="MJK244" s="1206"/>
      <c r="MJL244" s="1206"/>
      <c r="MJM244" s="1206"/>
      <c r="MJN244" s="1206"/>
      <c r="MJO244" s="1206"/>
      <c r="MJP244" s="1206"/>
      <c r="MJQ244" s="1206"/>
      <c r="MJR244" s="1206"/>
      <c r="MJS244" s="1206"/>
      <c r="MJT244" s="1206"/>
      <c r="MJU244" s="1206"/>
      <c r="MJV244" s="1206"/>
      <c r="MJW244" s="1206"/>
      <c r="MJX244" s="1207"/>
      <c r="MJY244" s="1206"/>
      <c r="MJZ244" s="1206"/>
      <c r="MKA244" s="1206"/>
      <c r="MKB244" s="1206"/>
      <c r="MKC244" s="1206"/>
      <c r="MKD244" s="1206"/>
      <c r="MKE244" s="1206"/>
      <c r="MKF244" s="1206"/>
      <c r="MKG244" s="1206"/>
      <c r="MKH244" s="1206"/>
      <c r="MKI244" s="1206"/>
      <c r="MKJ244" s="1206"/>
      <c r="MKK244" s="1206"/>
      <c r="MKL244" s="1206"/>
      <c r="MKM244" s="1206"/>
      <c r="MKN244" s="1206"/>
      <c r="MKO244" s="1207"/>
      <c r="MKP244" s="1206"/>
      <c r="MKQ244" s="1206"/>
      <c r="MKR244" s="1206"/>
      <c r="MKS244" s="1206"/>
      <c r="MKT244" s="1206"/>
      <c r="MKU244" s="1206"/>
      <c r="MKV244" s="1206"/>
      <c r="MKW244" s="1206"/>
      <c r="MKX244" s="1206"/>
      <c r="MKY244" s="1206"/>
      <c r="MKZ244" s="1206"/>
      <c r="MLA244" s="1206"/>
      <c r="MLB244" s="1206"/>
      <c r="MLC244" s="1206"/>
      <c r="MLD244" s="1206"/>
      <c r="MLE244" s="1206"/>
      <c r="MLF244" s="1207"/>
      <c r="MLG244" s="1206"/>
      <c r="MLH244" s="1206"/>
      <c r="MLI244" s="1206"/>
      <c r="MLJ244" s="1206"/>
      <c r="MLK244" s="1206"/>
      <c r="MLL244" s="1206"/>
      <c r="MLM244" s="1206"/>
      <c r="MLN244" s="1206"/>
      <c r="MLO244" s="1206"/>
      <c r="MLP244" s="1206"/>
      <c r="MLQ244" s="1206"/>
      <c r="MLR244" s="1206"/>
      <c r="MLS244" s="1206"/>
      <c r="MLT244" s="1206"/>
      <c r="MLU244" s="1206"/>
      <c r="MLV244" s="1206"/>
      <c r="MLW244" s="1207"/>
      <c r="MLX244" s="1206"/>
      <c r="MLY244" s="1206"/>
      <c r="MLZ244" s="1206"/>
      <c r="MMA244" s="1206"/>
      <c r="MMB244" s="1206"/>
      <c r="MMC244" s="1206"/>
      <c r="MMD244" s="1206"/>
      <c r="MME244" s="1206"/>
      <c r="MMF244" s="1206"/>
      <c r="MMG244" s="1206"/>
      <c r="MMH244" s="1206"/>
      <c r="MMI244" s="1206"/>
      <c r="MMJ244" s="1206"/>
      <c r="MMK244" s="1206"/>
      <c r="MML244" s="1206"/>
      <c r="MMM244" s="1206"/>
      <c r="MMN244" s="1207"/>
      <c r="MMO244" s="1206"/>
      <c r="MMP244" s="1206"/>
      <c r="MMQ244" s="1206"/>
      <c r="MMR244" s="1206"/>
      <c r="MMS244" s="1206"/>
      <c r="MMT244" s="1206"/>
      <c r="MMU244" s="1206"/>
      <c r="MMV244" s="1206"/>
      <c r="MMW244" s="1206"/>
      <c r="MMX244" s="1206"/>
      <c r="MMY244" s="1206"/>
      <c r="MMZ244" s="1206"/>
      <c r="MNA244" s="1206"/>
      <c r="MNB244" s="1206"/>
      <c r="MNC244" s="1206"/>
      <c r="MND244" s="1206"/>
      <c r="MNE244" s="1207"/>
      <c r="MNF244" s="1206"/>
      <c r="MNG244" s="1206"/>
      <c r="MNH244" s="1206"/>
      <c r="MNI244" s="1206"/>
      <c r="MNJ244" s="1206"/>
      <c r="MNK244" s="1206"/>
      <c r="MNL244" s="1206"/>
      <c r="MNM244" s="1206"/>
      <c r="MNN244" s="1206"/>
      <c r="MNO244" s="1206"/>
      <c r="MNP244" s="1206"/>
      <c r="MNQ244" s="1206"/>
      <c r="MNR244" s="1206"/>
      <c r="MNS244" s="1206"/>
      <c r="MNT244" s="1206"/>
      <c r="MNU244" s="1206"/>
      <c r="MNV244" s="1207"/>
      <c r="MNW244" s="1206"/>
      <c r="MNX244" s="1206"/>
      <c r="MNY244" s="1206"/>
      <c r="MNZ244" s="1206"/>
      <c r="MOA244" s="1206"/>
      <c r="MOB244" s="1206"/>
      <c r="MOC244" s="1206"/>
      <c r="MOD244" s="1206"/>
      <c r="MOE244" s="1206"/>
      <c r="MOF244" s="1206"/>
      <c r="MOG244" s="1206"/>
      <c r="MOH244" s="1206"/>
      <c r="MOI244" s="1206"/>
      <c r="MOJ244" s="1206"/>
      <c r="MOK244" s="1206"/>
      <c r="MOL244" s="1206"/>
      <c r="MOM244" s="1207"/>
      <c r="MON244" s="1206"/>
      <c r="MOO244" s="1206"/>
      <c r="MOP244" s="1206"/>
      <c r="MOQ244" s="1206"/>
      <c r="MOR244" s="1206"/>
      <c r="MOS244" s="1206"/>
      <c r="MOT244" s="1206"/>
      <c r="MOU244" s="1206"/>
      <c r="MOV244" s="1206"/>
      <c r="MOW244" s="1206"/>
      <c r="MOX244" s="1206"/>
      <c r="MOY244" s="1206"/>
      <c r="MOZ244" s="1206"/>
      <c r="MPA244" s="1206"/>
      <c r="MPB244" s="1206"/>
      <c r="MPC244" s="1206"/>
      <c r="MPD244" s="1207"/>
      <c r="MPE244" s="1206"/>
      <c r="MPF244" s="1206"/>
      <c r="MPG244" s="1206"/>
      <c r="MPH244" s="1206"/>
      <c r="MPI244" s="1206"/>
      <c r="MPJ244" s="1206"/>
      <c r="MPK244" s="1206"/>
      <c r="MPL244" s="1206"/>
      <c r="MPM244" s="1206"/>
      <c r="MPN244" s="1206"/>
      <c r="MPO244" s="1206"/>
      <c r="MPP244" s="1206"/>
      <c r="MPQ244" s="1206"/>
      <c r="MPR244" s="1206"/>
      <c r="MPS244" s="1206"/>
      <c r="MPT244" s="1206"/>
      <c r="MPU244" s="1207"/>
      <c r="MPV244" s="1206"/>
      <c r="MPW244" s="1206"/>
      <c r="MPX244" s="1206"/>
      <c r="MPY244" s="1206"/>
      <c r="MPZ244" s="1206"/>
      <c r="MQA244" s="1206"/>
      <c r="MQB244" s="1206"/>
      <c r="MQC244" s="1206"/>
      <c r="MQD244" s="1206"/>
      <c r="MQE244" s="1206"/>
      <c r="MQF244" s="1206"/>
      <c r="MQG244" s="1206"/>
      <c r="MQH244" s="1206"/>
      <c r="MQI244" s="1206"/>
      <c r="MQJ244" s="1206"/>
      <c r="MQK244" s="1206"/>
      <c r="MQL244" s="1207"/>
      <c r="MQM244" s="1206"/>
      <c r="MQN244" s="1206"/>
      <c r="MQO244" s="1206"/>
      <c r="MQP244" s="1206"/>
      <c r="MQQ244" s="1206"/>
      <c r="MQR244" s="1206"/>
      <c r="MQS244" s="1206"/>
      <c r="MQT244" s="1206"/>
      <c r="MQU244" s="1206"/>
      <c r="MQV244" s="1206"/>
      <c r="MQW244" s="1206"/>
      <c r="MQX244" s="1206"/>
      <c r="MQY244" s="1206"/>
      <c r="MQZ244" s="1206"/>
      <c r="MRA244" s="1206"/>
      <c r="MRB244" s="1206"/>
      <c r="MRC244" s="1207"/>
      <c r="MRD244" s="1206"/>
      <c r="MRE244" s="1206"/>
      <c r="MRF244" s="1206"/>
      <c r="MRG244" s="1206"/>
      <c r="MRH244" s="1206"/>
      <c r="MRI244" s="1206"/>
      <c r="MRJ244" s="1206"/>
      <c r="MRK244" s="1206"/>
      <c r="MRL244" s="1206"/>
      <c r="MRM244" s="1206"/>
      <c r="MRN244" s="1206"/>
      <c r="MRO244" s="1206"/>
      <c r="MRP244" s="1206"/>
      <c r="MRQ244" s="1206"/>
      <c r="MRR244" s="1206"/>
      <c r="MRS244" s="1206"/>
      <c r="MRT244" s="1207"/>
      <c r="MRU244" s="1206"/>
      <c r="MRV244" s="1206"/>
      <c r="MRW244" s="1206"/>
      <c r="MRX244" s="1206"/>
      <c r="MRY244" s="1206"/>
      <c r="MRZ244" s="1206"/>
      <c r="MSA244" s="1206"/>
      <c r="MSB244" s="1206"/>
      <c r="MSC244" s="1206"/>
      <c r="MSD244" s="1206"/>
      <c r="MSE244" s="1206"/>
      <c r="MSF244" s="1206"/>
      <c r="MSG244" s="1206"/>
      <c r="MSH244" s="1206"/>
      <c r="MSI244" s="1206"/>
      <c r="MSJ244" s="1206"/>
      <c r="MSK244" s="1207"/>
      <c r="MSL244" s="1206"/>
      <c r="MSM244" s="1206"/>
      <c r="MSN244" s="1206"/>
      <c r="MSO244" s="1206"/>
      <c r="MSP244" s="1206"/>
      <c r="MSQ244" s="1206"/>
      <c r="MSR244" s="1206"/>
      <c r="MSS244" s="1206"/>
      <c r="MST244" s="1206"/>
      <c r="MSU244" s="1206"/>
      <c r="MSV244" s="1206"/>
      <c r="MSW244" s="1206"/>
      <c r="MSX244" s="1206"/>
      <c r="MSY244" s="1206"/>
      <c r="MSZ244" s="1206"/>
      <c r="MTA244" s="1206"/>
      <c r="MTB244" s="1207"/>
      <c r="MTC244" s="1206"/>
      <c r="MTD244" s="1206"/>
      <c r="MTE244" s="1206"/>
      <c r="MTF244" s="1206"/>
      <c r="MTG244" s="1206"/>
      <c r="MTH244" s="1206"/>
      <c r="MTI244" s="1206"/>
      <c r="MTJ244" s="1206"/>
      <c r="MTK244" s="1206"/>
      <c r="MTL244" s="1206"/>
      <c r="MTM244" s="1206"/>
      <c r="MTN244" s="1206"/>
      <c r="MTO244" s="1206"/>
      <c r="MTP244" s="1206"/>
      <c r="MTQ244" s="1206"/>
      <c r="MTR244" s="1206"/>
      <c r="MTS244" s="1207"/>
      <c r="MTT244" s="1206"/>
      <c r="MTU244" s="1206"/>
      <c r="MTV244" s="1206"/>
      <c r="MTW244" s="1206"/>
      <c r="MTX244" s="1206"/>
      <c r="MTY244" s="1206"/>
      <c r="MTZ244" s="1206"/>
      <c r="MUA244" s="1206"/>
      <c r="MUB244" s="1206"/>
      <c r="MUC244" s="1206"/>
      <c r="MUD244" s="1206"/>
      <c r="MUE244" s="1206"/>
      <c r="MUF244" s="1206"/>
      <c r="MUG244" s="1206"/>
      <c r="MUH244" s="1206"/>
      <c r="MUI244" s="1206"/>
      <c r="MUJ244" s="1207"/>
      <c r="MUK244" s="1206"/>
      <c r="MUL244" s="1206"/>
      <c r="MUM244" s="1206"/>
      <c r="MUN244" s="1206"/>
      <c r="MUO244" s="1206"/>
      <c r="MUP244" s="1206"/>
      <c r="MUQ244" s="1206"/>
      <c r="MUR244" s="1206"/>
      <c r="MUS244" s="1206"/>
      <c r="MUT244" s="1206"/>
      <c r="MUU244" s="1206"/>
      <c r="MUV244" s="1206"/>
      <c r="MUW244" s="1206"/>
      <c r="MUX244" s="1206"/>
      <c r="MUY244" s="1206"/>
      <c r="MUZ244" s="1206"/>
      <c r="MVA244" s="1207"/>
      <c r="MVB244" s="1206"/>
      <c r="MVC244" s="1206"/>
      <c r="MVD244" s="1206"/>
      <c r="MVE244" s="1206"/>
      <c r="MVF244" s="1206"/>
      <c r="MVG244" s="1206"/>
      <c r="MVH244" s="1206"/>
      <c r="MVI244" s="1206"/>
      <c r="MVJ244" s="1206"/>
      <c r="MVK244" s="1206"/>
      <c r="MVL244" s="1206"/>
      <c r="MVM244" s="1206"/>
      <c r="MVN244" s="1206"/>
      <c r="MVO244" s="1206"/>
      <c r="MVP244" s="1206"/>
      <c r="MVQ244" s="1206"/>
      <c r="MVR244" s="1207"/>
      <c r="MVS244" s="1206"/>
      <c r="MVT244" s="1206"/>
      <c r="MVU244" s="1206"/>
      <c r="MVV244" s="1206"/>
      <c r="MVW244" s="1206"/>
      <c r="MVX244" s="1206"/>
      <c r="MVY244" s="1206"/>
      <c r="MVZ244" s="1206"/>
      <c r="MWA244" s="1206"/>
      <c r="MWB244" s="1206"/>
      <c r="MWC244" s="1206"/>
      <c r="MWD244" s="1206"/>
      <c r="MWE244" s="1206"/>
      <c r="MWF244" s="1206"/>
      <c r="MWG244" s="1206"/>
      <c r="MWH244" s="1206"/>
      <c r="MWI244" s="1207"/>
      <c r="MWJ244" s="1206"/>
      <c r="MWK244" s="1206"/>
      <c r="MWL244" s="1206"/>
      <c r="MWM244" s="1206"/>
      <c r="MWN244" s="1206"/>
      <c r="MWO244" s="1206"/>
      <c r="MWP244" s="1206"/>
      <c r="MWQ244" s="1206"/>
      <c r="MWR244" s="1206"/>
      <c r="MWS244" s="1206"/>
      <c r="MWT244" s="1206"/>
      <c r="MWU244" s="1206"/>
      <c r="MWV244" s="1206"/>
      <c r="MWW244" s="1206"/>
      <c r="MWX244" s="1206"/>
      <c r="MWY244" s="1206"/>
      <c r="MWZ244" s="1207"/>
      <c r="MXA244" s="1206"/>
      <c r="MXB244" s="1206"/>
      <c r="MXC244" s="1206"/>
      <c r="MXD244" s="1206"/>
      <c r="MXE244" s="1206"/>
      <c r="MXF244" s="1206"/>
      <c r="MXG244" s="1206"/>
      <c r="MXH244" s="1206"/>
      <c r="MXI244" s="1206"/>
      <c r="MXJ244" s="1206"/>
      <c r="MXK244" s="1206"/>
      <c r="MXL244" s="1206"/>
      <c r="MXM244" s="1206"/>
      <c r="MXN244" s="1206"/>
      <c r="MXO244" s="1206"/>
      <c r="MXP244" s="1206"/>
      <c r="MXQ244" s="1207"/>
      <c r="MXR244" s="1206"/>
      <c r="MXS244" s="1206"/>
      <c r="MXT244" s="1206"/>
      <c r="MXU244" s="1206"/>
      <c r="MXV244" s="1206"/>
      <c r="MXW244" s="1206"/>
      <c r="MXX244" s="1206"/>
      <c r="MXY244" s="1206"/>
      <c r="MXZ244" s="1206"/>
      <c r="MYA244" s="1206"/>
      <c r="MYB244" s="1206"/>
      <c r="MYC244" s="1206"/>
      <c r="MYD244" s="1206"/>
      <c r="MYE244" s="1206"/>
      <c r="MYF244" s="1206"/>
      <c r="MYG244" s="1206"/>
      <c r="MYH244" s="1207"/>
      <c r="MYI244" s="1206"/>
      <c r="MYJ244" s="1206"/>
      <c r="MYK244" s="1206"/>
      <c r="MYL244" s="1206"/>
      <c r="MYM244" s="1206"/>
      <c r="MYN244" s="1206"/>
      <c r="MYO244" s="1206"/>
      <c r="MYP244" s="1206"/>
      <c r="MYQ244" s="1206"/>
      <c r="MYR244" s="1206"/>
      <c r="MYS244" s="1206"/>
      <c r="MYT244" s="1206"/>
      <c r="MYU244" s="1206"/>
      <c r="MYV244" s="1206"/>
      <c r="MYW244" s="1206"/>
      <c r="MYX244" s="1206"/>
      <c r="MYY244" s="1207"/>
      <c r="MYZ244" s="1206"/>
      <c r="MZA244" s="1206"/>
      <c r="MZB244" s="1206"/>
      <c r="MZC244" s="1206"/>
      <c r="MZD244" s="1206"/>
      <c r="MZE244" s="1206"/>
      <c r="MZF244" s="1206"/>
      <c r="MZG244" s="1206"/>
      <c r="MZH244" s="1206"/>
      <c r="MZI244" s="1206"/>
      <c r="MZJ244" s="1206"/>
      <c r="MZK244" s="1206"/>
      <c r="MZL244" s="1206"/>
      <c r="MZM244" s="1206"/>
      <c r="MZN244" s="1206"/>
      <c r="MZO244" s="1206"/>
      <c r="MZP244" s="1207"/>
      <c r="MZQ244" s="1206"/>
      <c r="MZR244" s="1206"/>
      <c r="MZS244" s="1206"/>
      <c r="MZT244" s="1206"/>
      <c r="MZU244" s="1206"/>
      <c r="MZV244" s="1206"/>
      <c r="MZW244" s="1206"/>
      <c r="MZX244" s="1206"/>
      <c r="MZY244" s="1206"/>
      <c r="MZZ244" s="1206"/>
      <c r="NAA244" s="1206"/>
      <c r="NAB244" s="1206"/>
      <c r="NAC244" s="1206"/>
      <c r="NAD244" s="1206"/>
      <c r="NAE244" s="1206"/>
      <c r="NAF244" s="1206"/>
      <c r="NAG244" s="1207"/>
      <c r="NAH244" s="1206"/>
      <c r="NAI244" s="1206"/>
      <c r="NAJ244" s="1206"/>
      <c r="NAK244" s="1206"/>
      <c r="NAL244" s="1206"/>
      <c r="NAM244" s="1206"/>
      <c r="NAN244" s="1206"/>
      <c r="NAO244" s="1206"/>
      <c r="NAP244" s="1206"/>
      <c r="NAQ244" s="1206"/>
      <c r="NAR244" s="1206"/>
      <c r="NAS244" s="1206"/>
      <c r="NAT244" s="1206"/>
      <c r="NAU244" s="1206"/>
      <c r="NAV244" s="1206"/>
      <c r="NAW244" s="1206"/>
      <c r="NAX244" s="1207"/>
      <c r="NAY244" s="1206"/>
      <c r="NAZ244" s="1206"/>
      <c r="NBA244" s="1206"/>
      <c r="NBB244" s="1206"/>
      <c r="NBC244" s="1206"/>
      <c r="NBD244" s="1206"/>
      <c r="NBE244" s="1206"/>
      <c r="NBF244" s="1206"/>
      <c r="NBG244" s="1206"/>
      <c r="NBH244" s="1206"/>
      <c r="NBI244" s="1206"/>
      <c r="NBJ244" s="1206"/>
      <c r="NBK244" s="1206"/>
      <c r="NBL244" s="1206"/>
      <c r="NBM244" s="1206"/>
      <c r="NBN244" s="1206"/>
      <c r="NBO244" s="1207"/>
      <c r="NBP244" s="1206"/>
      <c r="NBQ244" s="1206"/>
      <c r="NBR244" s="1206"/>
      <c r="NBS244" s="1206"/>
      <c r="NBT244" s="1206"/>
      <c r="NBU244" s="1206"/>
      <c r="NBV244" s="1206"/>
      <c r="NBW244" s="1206"/>
      <c r="NBX244" s="1206"/>
      <c r="NBY244" s="1206"/>
      <c r="NBZ244" s="1206"/>
      <c r="NCA244" s="1206"/>
      <c r="NCB244" s="1206"/>
      <c r="NCC244" s="1206"/>
      <c r="NCD244" s="1206"/>
      <c r="NCE244" s="1206"/>
      <c r="NCF244" s="1207"/>
      <c r="NCG244" s="1206"/>
      <c r="NCH244" s="1206"/>
      <c r="NCI244" s="1206"/>
      <c r="NCJ244" s="1206"/>
      <c r="NCK244" s="1206"/>
      <c r="NCL244" s="1206"/>
      <c r="NCM244" s="1206"/>
      <c r="NCN244" s="1206"/>
      <c r="NCO244" s="1206"/>
      <c r="NCP244" s="1206"/>
      <c r="NCQ244" s="1206"/>
      <c r="NCR244" s="1206"/>
      <c r="NCS244" s="1206"/>
      <c r="NCT244" s="1206"/>
      <c r="NCU244" s="1206"/>
      <c r="NCV244" s="1206"/>
      <c r="NCW244" s="1207"/>
      <c r="NCX244" s="1206"/>
      <c r="NCY244" s="1206"/>
      <c r="NCZ244" s="1206"/>
      <c r="NDA244" s="1206"/>
      <c r="NDB244" s="1206"/>
      <c r="NDC244" s="1206"/>
      <c r="NDD244" s="1206"/>
      <c r="NDE244" s="1206"/>
      <c r="NDF244" s="1206"/>
      <c r="NDG244" s="1206"/>
      <c r="NDH244" s="1206"/>
      <c r="NDI244" s="1206"/>
      <c r="NDJ244" s="1206"/>
      <c r="NDK244" s="1206"/>
      <c r="NDL244" s="1206"/>
      <c r="NDM244" s="1206"/>
      <c r="NDN244" s="1207"/>
      <c r="NDO244" s="1206"/>
      <c r="NDP244" s="1206"/>
      <c r="NDQ244" s="1206"/>
      <c r="NDR244" s="1206"/>
      <c r="NDS244" s="1206"/>
      <c r="NDT244" s="1206"/>
      <c r="NDU244" s="1206"/>
      <c r="NDV244" s="1206"/>
      <c r="NDW244" s="1206"/>
      <c r="NDX244" s="1206"/>
      <c r="NDY244" s="1206"/>
      <c r="NDZ244" s="1206"/>
      <c r="NEA244" s="1206"/>
      <c r="NEB244" s="1206"/>
      <c r="NEC244" s="1206"/>
      <c r="NED244" s="1206"/>
      <c r="NEE244" s="1207"/>
      <c r="NEF244" s="1206"/>
      <c r="NEG244" s="1206"/>
      <c r="NEH244" s="1206"/>
      <c r="NEI244" s="1206"/>
      <c r="NEJ244" s="1206"/>
      <c r="NEK244" s="1206"/>
      <c r="NEL244" s="1206"/>
      <c r="NEM244" s="1206"/>
      <c r="NEN244" s="1206"/>
      <c r="NEO244" s="1206"/>
      <c r="NEP244" s="1206"/>
      <c r="NEQ244" s="1206"/>
      <c r="NER244" s="1206"/>
      <c r="NES244" s="1206"/>
      <c r="NET244" s="1206"/>
      <c r="NEU244" s="1206"/>
      <c r="NEV244" s="1207"/>
      <c r="NEW244" s="1206"/>
      <c r="NEX244" s="1206"/>
      <c r="NEY244" s="1206"/>
      <c r="NEZ244" s="1206"/>
      <c r="NFA244" s="1206"/>
      <c r="NFB244" s="1206"/>
      <c r="NFC244" s="1206"/>
      <c r="NFD244" s="1206"/>
      <c r="NFE244" s="1206"/>
      <c r="NFF244" s="1206"/>
      <c r="NFG244" s="1206"/>
      <c r="NFH244" s="1206"/>
      <c r="NFI244" s="1206"/>
      <c r="NFJ244" s="1206"/>
      <c r="NFK244" s="1206"/>
      <c r="NFL244" s="1206"/>
      <c r="NFM244" s="1207"/>
      <c r="NFN244" s="1206"/>
      <c r="NFO244" s="1206"/>
      <c r="NFP244" s="1206"/>
      <c r="NFQ244" s="1206"/>
      <c r="NFR244" s="1206"/>
      <c r="NFS244" s="1206"/>
      <c r="NFT244" s="1206"/>
      <c r="NFU244" s="1206"/>
      <c r="NFV244" s="1206"/>
      <c r="NFW244" s="1206"/>
      <c r="NFX244" s="1206"/>
      <c r="NFY244" s="1206"/>
      <c r="NFZ244" s="1206"/>
      <c r="NGA244" s="1206"/>
      <c r="NGB244" s="1206"/>
      <c r="NGC244" s="1206"/>
      <c r="NGD244" s="1207"/>
      <c r="NGE244" s="1206"/>
      <c r="NGF244" s="1206"/>
      <c r="NGG244" s="1206"/>
      <c r="NGH244" s="1206"/>
      <c r="NGI244" s="1206"/>
      <c r="NGJ244" s="1206"/>
      <c r="NGK244" s="1206"/>
      <c r="NGL244" s="1206"/>
      <c r="NGM244" s="1206"/>
      <c r="NGN244" s="1206"/>
      <c r="NGO244" s="1206"/>
      <c r="NGP244" s="1206"/>
      <c r="NGQ244" s="1206"/>
      <c r="NGR244" s="1206"/>
      <c r="NGS244" s="1206"/>
      <c r="NGT244" s="1206"/>
      <c r="NGU244" s="1207"/>
      <c r="NGV244" s="1206"/>
      <c r="NGW244" s="1206"/>
      <c r="NGX244" s="1206"/>
      <c r="NGY244" s="1206"/>
      <c r="NGZ244" s="1206"/>
      <c r="NHA244" s="1206"/>
      <c r="NHB244" s="1206"/>
      <c r="NHC244" s="1206"/>
      <c r="NHD244" s="1206"/>
      <c r="NHE244" s="1206"/>
      <c r="NHF244" s="1206"/>
      <c r="NHG244" s="1206"/>
      <c r="NHH244" s="1206"/>
      <c r="NHI244" s="1206"/>
      <c r="NHJ244" s="1206"/>
      <c r="NHK244" s="1206"/>
      <c r="NHL244" s="1207"/>
      <c r="NHM244" s="1206"/>
      <c r="NHN244" s="1206"/>
      <c r="NHO244" s="1206"/>
      <c r="NHP244" s="1206"/>
      <c r="NHQ244" s="1206"/>
      <c r="NHR244" s="1206"/>
      <c r="NHS244" s="1206"/>
      <c r="NHT244" s="1206"/>
      <c r="NHU244" s="1206"/>
      <c r="NHV244" s="1206"/>
      <c r="NHW244" s="1206"/>
      <c r="NHX244" s="1206"/>
      <c r="NHY244" s="1206"/>
      <c r="NHZ244" s="1206"/>
      <c r="NIA244" s="1206"/>
      <c r="NIB244" s="1206"/>
      <c r="NIC244" s="1207"/>
      <c r="NID244" s="1206"/>
      <c r="NIE244" s="1206"/>
      <c r="NIF244" s="1206"/>
      <c r="NIG244" s="1206"/>
      <c r="NIH244" s="1206"/>
      <c r="NII244" s="1206"/>
      <c r="NIJ244" s="1206"/>
      <c r="NIK244" s="1206"/>
      <c r="NIL244" s="1206"/>
      <c r="NIM244" s="1206"/>
      <c r="NIN244" s="1206"/>
      <c r="NIO244" s="1206"/>
      <c r="NIP244" s="1206"/>
      <c r="NIQ244" s="1206"/>
      <c r="NIR244" s="1206"/>
      <c r="NIS244" s="1206"/>
      <c r="NIT244" s="1207"/>
      <c r="NIU244" s="1206"/>
      <c r="NIV244" s="1206"/>
      <c r="NIW244" s="1206"/>
      <c r="NIX244" s="1206"/>
      <c r="NIY244" s="1206"/>
      <c r="NIZ244" s="1206"/>
      <c r="NJA244" s="1206"/>
      <c r="NJB244" s="1206"/>
      <c r="NJC244" s="1206"/>
      <c r="NJD244" s="1206"/>
      <c r="NJE244" s="1206"/>
      <c r="NJF244" s="1206"/>
      <c r="NJG244" s="1206"/>
      <c r="NJH244" s="1206"/>
      <c r="NJI244" s="1206"/>
      <c r="NJJ244" s="1206"/>
      <c r="NJK244" s="1207"/>
      <c r="NJL244" s="1206"/>
      <c r="NJM244" s="1206"/>
      <c r="NJN244" s="1206"/>
      <c r="NJO244" s="1206"/>
      <c r="NJP244" s="1206"/>
      <c r="NJQ244" s="1206"/>
      <c r="NJR244" s="1206"/>
      <c r="NJS244" s="1206"/>
      <c r="NJT244" s="1206"/>
      <c r="NJU244" s="1206"/>
      <c r="NJV244" s="1206"/>
      <c r="NJW244" s="1206"/>
      <c r="NJX244" s="1206"/>
      <c r="NJY244" s="1206"/>
      <c r="NJZ244" s="1206"/>
      <c r="NKA244" s="1206"/>
      <c r="NKB244" s="1207"/>
      <c r="NKC244" s="1206"/>
      <c r="NKD244" s="1206"/>
      <c r="NKE244" s="1206"/>
      <c r="NKF244" s="1206"/>
      <c r="NKG244" s="1206"/>
      <c r="NKH244" s="1206"/>
      <c r="NKI244" s="1206"/>
      <c r="NKJ244" s="1206"/>
      <c r="NKK244" s="1206"/>
      <c r="NKL244" s="1206"/>
      <c r="NKM244" s="1206"/>
      <c r="NKN244" s="1206"/>
      <c r="NKO244" s="1206"/>
      <c r="NKP244" s="1206"/>
      <c r="NKQ244" s="1206"/>
      <c r="NKR244" s="1206"/>
      <c r="NKS244" s="1207"/>
      <c r="NKT244" s="1206"/>
      <c r="NKU244" s="1206"/>
      <c r="NKV244" s="1206"/>
      <c r="NKW244" s="1206"/>
      <c r="NKX244" s="1206"/>
      <c r="NKY244" s="1206"/>
      <c r="NKZ244" s="1206"/>
      <c r="NLA244" s="1206"/>
      <c r="NLB244" s="1206"/>
      <c r="NLC244" s="1206"/>
      <c r="NLD244" s="1206"/>
      <c r="NLE244" s="1206"/>
      <c r="NLF244" s="1206"/>
      <c r="NLG244" s="1206"/>
      <c r="NLH244" s="1206"/>
      <c r="NLI244" s="1206"/>
      <c r="NLJ244" s="1207"/>
      <c r="NLK244" s="1206"/>
      <c r="NLL244" s="1206"/>
      <c r="NLM244" s="1206"/>
      <c r="NLN244" s="1206"/>
      <c r="NLO244" s="1206"/>
      <c r="NLP244" s="1206"/>
      <c r="NLQ244" s="1206"/>
      <c r="NLR244" s="1206"/>
      <c r="NLS244" s="1206"/>
      <c r="NLT244" s="1206"/>
      <c r="NLU244" s="1206"/>
      <c r="NLV244" s="1206"/>
      <c r="NLW244" s="1206"/>
      <c r="NLX244" s="1206"/>
      <c r="NLY244" s="1206"/>
      <c r="NLZ244" s="1206"/>
      <c r="NMA244" s="1207"/>
      <c r="NMB244" s="1206"/>
      <c r="NMC244" s="1206"/>
      <c r="NMD244" s="1206"/>
      <c r="NME244" s="1206"/>
      <c r="NMF244" s="1206"/>
      <c r="NMG244" s="1206"/>
      <c r="NMH244" s="1206"/>
      <c r="NMI244" s="1206"/>
      <c r="NMJ244" s="1206"/>
      <c r="NMK244" s="1206"/>
      <c r="NML244" s="1206"/>
      <c r="NMM244" s="1206"/>
      <c r="NMN244" s="1206"/>
      <c r="NMO244" s="1206"/>
      <c r="NMP244" s="1206"/>
      <c r="NMQ244" s="1206"/>
      <c r="NMR244" s="1207"/>
      <c r="NMS244" s="1206"/>
      <c r="NMT244" s="1206"/>
      <c r="NMU244" s="1206"/>
      <c r="NMV244" s="1206"/>
      <c r="NMW244" s="1206"/>
      <c r="NMX244" s="1206"/>
      <c r="NMY244" s="1206"/>
      <c r="NMZ244" s="1206"/>
      <c r="NNA244" s="1206"/>
      <c r="NNB244" s="1206"/>
      <c r="NNC244" s="1206"/>
      <c r="NND244" s="1206"/>
      <c r="NNE244" s="1206"/>
      <c r="NNF244" s="1206"/>
      <c r="NNG244" s="1206"/>
      <c r="NNH244" s="1206"/>
      <c r="NNI244" s="1207"/>
      <c r="NNJ244" s="1206"/>
      <c r="NNK244" s="1206"/>
      <c r="NNL244" s="1206"/>
      <c r="NNM244" s="1206"/>
      <c r="NNN244" s="1206"/>
      <c r="NNO244" s="1206"/>
      <c r="NNP244" s="1206"/>
      <c r="NNQ244" s="1206"/>
      <c r="NNR244" s="1206"/>
      <c r="NNS244" s="1206"/>
      <c r="NNT244" s="1206"/>
      <c r="NNU244" s="1206"/>
      <c r="NNV244" s="1206"/>
      <c r="NNW244" s="1206"/>
      <c r="NNX244" s="1206"/>
      <c r="NNY244" s="1206"/>
      <c r="NNZ244" s="1207"/>
      <c r="NOA244" s="1206"/>
      <c r="NOB244" s="1206"/>
      <c r="NOC244" s="1206"/>
      <c r="NOD244" s="1206"/>
      <c r="NOE244" s="1206"/>
      <c r="NOF244" s="1206"/>
      <c r="NOG244" s="1206"/>
      <c r="NOH244" s="1206"/>
      <c r="NOI244" s="1206"/>
      <c r="NOJ244" s="1206"/>
      <c r="NOK244" s="1206"/>
      <c r="NOL244" s="1206"/>
      <c r="NOM244" s="1206"/>
      <c r="NON244" s="1206"/>
      <c r="NOO244" s="1206"/>
      <c r="NOP244" s="1206"/>
      <c r="NOQ244" s="1207"/>
      <c r="NOR244" s="1206"/>
      <c r="NOS244" s="1206"/>
      <c r="NOT244" s="1206"/>
      <c r="NOU244" s="1206"/>
      <c r="NOV244" s="1206"/>
      <c r="NOW244" s="1206"/>
      <c r="NOX244" s="1206"/>
      <c r="NOY244" s="1206"/>
      <c r="NOZ244" s="1206"/>
      <c r="NPA244" s="1206"/>
      <c r="NPB244" s="1206"/>
      <c r="NPC244" s="1206"/>
      <c r="NPD244" s="1206"/>
      <c r="NPE244" s="1206"/>
      <c r="NPF244" s="1206"/>
      <c r="NPG244" s="1206"/>
      <c r="NPH244" s="1207"/>
      <c r="NPI244" s="1206"/>
      <c r="NPJ244" s="1206"/>
      <c r="NPK244" s="1206"/>
      <c r="NPL244" s="1206"/>
      <c r="NPM244" s="1206"/>
      <c r="NPN244" s="1206"/>
      <c r="NPO244" s="1206"/>
      <c r="NPP244" s="1206"/>
      <c r="NPQ244" s="1206"/>
      <c r="NPR244" s="1206"/>
      <c r="NPS244" s="1206"/>
      <c r="NPT244" s="1206"/>
      <c r="NPU244" s="1206"/>
      <c r="NPV244" s="1206"/>
      <c r="NPW244" s="1206"/>
      <c r="NPX244" s="1206"/>
      <c r="NPY244" s="1207"/>
      <c r="NPZ244" s="1206"/>
      <c r="NQA244" s="1206"/>
      <c r="NQB244" s="1206"/>
      <c r="NQC244" s="1206"/>
      <c r="NQD244" s="1206"/>
      <c r="NQE244" s="1206"/>
      <c r="NQF244" s="1206"/>
      <c r="NQG244" s="1206"/>
      <c r="NQH244" s="1206"/>
      <c r="NQI244" s="1206"/>
      <c r="NQJ244" s="1206"/>
      <c r="NQK244" s="1206"/>
      <c r="NQL244" s="1206"/>
      <c r="NQM244" s="1206"/>
      <c r="NQN244" s="1206"/>
      <c r="NQO244" s="1206"/>
      <c r="NQP244" s="1207"/>
      <c r="NQQ244" s="1206"/>
      <c r="NQR244" s="1206"/>
      <c r="NQS244" s="1206"/>
      <c r="NQT244" s="1206"/>
      <c r="NQU244" s="1206"/>
      <c r="NQV244" s="1206"/>
      <c r="NQW244" s="1206"/>
      <c r="NQX244" s="1206"/>
      <c r="NQY244" s="1206"/>
      <c r="NQZ244" s="1206"/>
      <c r="NRA244" s="1206"/>
      <c r="NRB244" s="1206"/>
      <c r="NRC244" s="1206"/>
      <c r="NRD244" s="1206"/>
      <c r="NRE244" s="1206"/>
      <c r="NRF244" s="1206"/>
      <c r="NRG244" s="1207"/>
      <c r="NRH244" s="1206"/>
      <c r="NRI244" s="1206"/>
      <c r="NRJ244" s="1206"/>
      <c r="NRK244" s="1206"/>
      <c r="NRL244" s="1206"/>
      <c r="NRM244" s="1206"/>
      <c r="NRN244" s="1206"/>
      <c r="NRO244" s="1206"/>
      <c r="NRP244" s="1206"/>
      <c r="NRQ244" s="1206"/>
      <c r="NRR244" s="1206"/>
      <c r="NRS244" s="1206"/>
      <c r="NRT244" s="1206"/>
      <c r="NRU244" s="1206"/>
      <c r="NRV244" s="1206"/>
      <c r="NRW244" s="1206"/>
      <c r="NRX244" s="1207"/>
      <c r="NRY244" s="1206"/>
      <c r="NRZ244" s="1206"/>
      <c r="NSA244" s="1206"/>
      <c r="NSB244" s="1206"/>
      <c r="NSC244" s="1206"/>
      <c r="NSD244" s="1206"/>
      <c r="NSE244" s="1206"/>
      <c r="NSF244" s="1206"/>
      <c r="NSG244" s="1206"/>
      <c r="NSH244" s="1206"/>
      <c r="NSI244" s="1206"/>
      <c r="NSJ244" s="1206"/>
      <c r="NSK244" s="1206"/>
      <c r="NSL244" s="1206"/>
      <c r="NSM244" s="1206"/>
      <c r="NSN244" s="1206"/>
      <c r="NSO244" s="1207"/>
      <c r="NSP244" s="1206"/>
      <c r="NSQ244" s="1206"/>
      <c r="NSR244" s="1206"/>
      <c r="NSS244" s="1206"/>
      <c r="NST244" s="1206"/>
      <c r="NSU244" s="1206"/>
      <c r="NSV244" s="1206"/>
      <c r="NSW244" s="1206"/>
      <c r="NSX244" s="1206"/>
      <c r="NSY244" s="1206"/>
      <c r="NSZ244" s="1206"/>
      <c r="NTA244" s="1206"/>
      <c r="NTB244" s="1206"/>
      <c r="NTC244" s="1206"/>
      <c r="NTD244" s="1206"/>
      <c r="NTE244" s="1206"/>
      <c r="NTF244" s="1207"/>
      <c r="NTG244" s="1206"/>
      <c r="NTH244" s="1206"/>
      <c r="NTI244" s="1206"/>
      <c r="NTJ244" s="1206"/>
      <c r="NTK244" s="1206"/>
      <c r="NTL244" s="1206"/>
      <c r="NTM244" s="1206"/>
      <c r="NTN244" s="1206"/>
      <c r="NTO244" s="1206"/>
      <c r="NTP244" s="1206"/>
      <c r="NTQ244" s="1206"/>
      <c r="NTR244" s="1206"/>
      <c r="NTS244" s="1206"/>
      <c r="NTT244" s="1206"/>
      <c r="NTU244" s="1206"/>
      <c r="NTV244" s="1206"/>
      <c r="NTW244" s="1207"/>
      <c r="NTX244" s="1206"/>
      <c r="NTY244" s="1206"/>
      <c r="NTZ244" s="1206"/>
      <c r="NUA244" s="1206"/>
      <c r="NUB244" s="1206"/>
      <c r="NUC244" s="1206"/>
      <c r="NUD244" s="1206"/>
      <c r="NUE244" s="1206"/>
      <c r="NUF244" s="1206"/>
      <c r="NUG244" s="1206"/>
      <c r="NUH244" s="1206"/>
      <c r="NUI244" s="1206"/>
      <c r="NUJ244" s="1206"/>
      <c r="NUK244" s="1206"/>
      <c r="NUL244" s="1206"/>
      <c r="NUM244" s="1206"/>
      <c r="NUN244" s="1207"/>
      <c r="NUO244" s="1206"/>
      <c r="NUP244" s="1206"/>
      <c r="NUQ244" s="1206"/>
      <c r="NUR244" s="1206"/>
      <c r="NUS244" s="1206"/>
      <c r="NUT244" s="1206"/>
      <c r="NUU244" s="1206"/>
      <c r="NUV244" s="1206"/>
      <c r="NUW244" s="1206"/>
      <c r="NUX244" s="1206"/>
      <c r="NUY244" s="1206"/>
      <c r="NUZ244" s="1206"/>
      <c r="NVA244" s="1206"/>
      <c r="NVB244" s="1206"/>
      <c r="NVC244" s="1206"/>
      <c r="NVD244" s="1206"/>
      <c r="NVE244" s="1207"/>
      <c r="NVF244" s="1206"/>
      <c r="NVG244" s="1206"/>
      <c r="NVH244" s="1206"/>
      <c r="NVI244" s="1206"/>
      <c r="NVJ244" s="1206"/>
      <c r="NVK244" s="1206"/>
      <c r="NVL244" s="1206"/>
      <c r="NVM244" s="1206"/>
      <c r="NVN244" s="1206"/>
      <c r="NVO244" s="1206"/>
      <c r="NVP244" s="1206"/>
      <c r="NVQ244" s="1206"/>
      <c r="NVR244" s="1206"/>
      <c r="NVS244" s="1206"/>
      <c r="NVT244" s="1206"/>
      <c r="NVU244" s="1206"/>
      <c r="NVV244" s="1207"/>
      <c r="NVW244" s="1206"/>
      <c r="NVX244" s="1206"/>
      <c r="NVY244" s="1206"/>
      <c r="NVZ244" s="1206"/>
      <c r="NWA244" s="1206"/>
      <c r="NWB244" s="1206"/>
      <c r="NWC244" s="1206"/>
      <c r="NWD244" s="1206"/>
      <c r="NWE244" s="1206"/>
      <c r="NWF244" s="1206"/>
      <c r="NWG244" s="1206"/>
      <c r="NWH244" s="1206"/>
      <c r="NWI244" s="1206"/>
      <c r="NWJ244" s="1206"/>
      <c r="NWK244" s="1206"/>
      <c r="NWL244" s="1206"/>
      <c r="NWM244" s="1207"/>
      <c r="NWN244" s="1206"/>
      <c r="NWO244" s="1206"/>
      <c r="NWP244" s="1206"/>
      <c r="NWQ244" s="1206"/>
      <c r="NWR244" s="1206"/>
      <c r="NWS244" s="1206"/>
      <c r="NWT244" s="1206"/>
      <c r="NWU244" s="1206"/>
      <c r="NWV244" s="1206"/>
      <c r="NWW244" s="1206"/>
      <c r="NWX244" s="1206"/>
      <c r="NWY244" s="1206"/>
      <c r="NWZ244" s="1206"/>
      <c r="NXA244" s="1206"/>
      <c r="NXB244" s="1206"/>
      <c r="NXC244" s="1206"/>
      <c r="NXD244" s="1207"/>
      <c r="NXE244" s="1206"/>
      <c r="NXF244" s="1206"/>
      <c r="NXG244" s="1206"/>
      <c r="NXH244" s="1206"/>
      <c r="NXI244" s="1206"/>
      <c r="NXJ244" s="1206"/>
      <c r="NXK244" s="1206"/>
      <c r="NXL244" s="1206"/>
      <c r="NXM244" s="1206"/>
      <c r="NXN244" s="1206"/>
      <c r="NXO244" s="1206"/>
      <c r="NXP244" s="1206"/>
      <c r="NXQ244" s="1206"/>
      <c r="NXR244" s="1206"/>
      <c r="NXS244" s="1206"/>
      <c r="NXT244" s="1206"/>
      <c r="NXU244" s="1207"/>
      <c r="NXV244" s="1206"/>
      <c r="NXW244" s="1206"/>
      <c r="NXX244" s="1206"/>
      <c r="NXY244" s="1206"/>
      <c r="NXZ244" s="1206"/>
      <c r="NYA244" s="1206"/>
      <c r="NYB244" s="1206"/>
      <c r="NYC244" s="1206"/>
      <c r="NYD244" s="1206"/>
      <c r="NYE244" s="1206"/>
      <c r="NYF244" s="1206"/>
      <c r="NYG244" s="1206"/>
      <c r="NYH244" s="1206"/>
      <c r="NYI244" s="1206"/>
      <c r="NYJ244" s="1206"/>
      <c r="NYK244" s="1206"/>
      <c r="NYL244" s="1207"/>
      <c r="NYM244" s="1206"/>
      <c r="NYN244" s="1206"/>
      <c r="NYO244" s="1206"/>
      <c r="NYP244" s="1206"/>
      <c r="NYQ244" s="1206"/>
      <c r="NYR244" s="1206"/>
      <c r="NYS244" s="1206"/>
      <c r="NYT244" s="1206"/>
      <c r="NYU244" s="1206"/>
      <c r="NYV244" s="1206"/>
      <c r="NYW244" s="1206"/>
      <c r="NYX244" s="1206"/>
      <c r="NYY244" s="1206"/>
      <c r="NYZ244" s="1206"/>
      <c r="NZA244" s="1206"/>
      <c r="NZB244" s="1206"/>
      <c r="NZC244" s="1207"/>
      <c r="NZD244" s="1206"/>
      <c r="NZE244" s="1206"/>
      <c r="NZF244" s="1206"/>
      <c r="NZG244" s="1206"/>
      <c r="NZH244" s="1206"/>
      <c r="NZI244" s="1206"/>
      <c r="NZJ244" s="1206"/>
      <c r="NZK244" s="1206"/>
      <c r="NZL244" s="1206"/>
      <c r="NZM244" s="1206"/>
      <c r="NZN244" s="1206"/>
      <c r="NZO244" s="1206"/>
      <c r="NZP244" s="1206"/>
      <c r="NZQ244" s="1206"/>
      <c r="NZR244" s="1206"/>
      <c r="NZS244" s="1206"/>
      <c r="NZT244" s="1207"/>
      <c r="NZU244" s="1206"/>
      <c r="NZV244" s="1206"/>
      <c r="NZW244" s="1206"/>
      <c r="NZX244" s="1206"/>
      <c r="NZY244" s="1206"/>
      <c r="NZZ244" s="1206"/>
      <c r="OAA244" s="1206"/>
      <c r="OAB244" s="1206"/>
      <c r="OAC244" s="1206"/>
      <c r="OAD244" s="1206"/>
      <c r="OAE244" s="1206"/>
      <c r="OAF244" s="1206"/>
      <c r="OAG244" s="1206"/>
      <c r="OAH244" s="1206"/>
      <c r="OAI244" s="1206"/>
      <c r="OAJ244" s="1206"/>
      <c r="OAK244" s="1207"/>
      <c r="OAL244" s="1206"/>
      <c r="OAM244" s="1206"/>
      <c r="OAN244" s="1206"/>
      <c r="OAO244" s="1206"/>
      <c r="OAP244" s="1206"/>
      <c r="OAQ244" s="1206"/>
      <c r="OAR244" s="1206"/>
      <c r="OAS244" s="1206"/>
      <c r="OAT244" s="1206"/>
      <c r="OAU244" s="1206"/>
      <c r="OAV244" s="1206"/>
      <c r="OAW244" s="1206"/>
      <c r="OAX244" s="1206"/>
      <c r="OAY244" s="1206"/>
      <c r="OAZ244" s="1206"/>
      <c r="OBA244" s="1206"/>
      <c r="OBB244" s="1207"/>
      <c r="OBC244" s="1206"/>
      <c r="OBD244" s="1206"/>
      <c r="OBE244" s="1206"/>
      <c r="OBF244" s="1206"/>
      <c r="OBG244" s="1206"/>
      <c r="OBH244" s="1206"/>
      <c r="OBI244" s="1206"/>
      <c r="OBJ244" s="1206"/>
      <c r="OBK244" s="1206"/>
      <c r="OBL244" s="1206"/>
      <c r="OBM244" s="1206"/>
      <c r="OBN244" s="1206"/>
      <c r="OBO244" s="1206"/>
      <c r="OBP244" s="1206"/>
      <c r="OBQ244" s="1206"/>
      <c r="OBR244" s="1206"/>
      <c r="OBS244" s="1207"/>
      <c r="OBT244" s="1206"/>
      <c r="OBU244" s="1206"/>
      <c r="OBV244" s="1206"/>
      <c r="OBW244" s="1206"/>
      <c r="OBX244" s="1206"/>
      <c r="OBY244" s="1206"/>
      <c r="OBZ244" s="1206"/>
      <c r="OCA244" s="1206"/>
      <c r="OCB244" s="1206"/>
      <c r="OCC244" s="1206"/>
      <c r="OCD244" s="1206"/>
      <c r="OCE244" s="1206"/>
      <c r="OCF244" s="1206"/>
      <c r="OCG244" s="1206"/>
      <c r="OCH244" s="1206"/>
      <c r="OCI244" s="1206"/>
      <c r="OCJ244" s="1207"/>
      <c r="OCK244" s="1206"/>
      <c r="OCL244" s="1206"/>
      <c r="OCM244" s="1206"/>
      <c r="OCN244" s="1206"/>
      <c r="OCO244" s="1206"/>
      <c r="OCP244" s="1206"/>
      <c r="OCQ244" s="1206"/>
      <c r="OCR244" s="1206"/>
      <c r="OCS244" s="1206"/>
      <c r="OCT244" s="1206"/>
      <c r="OCU244" s="1206"/>
      <c r="OCV244" s="1206"/>
      <c r="OCW244" s="1206"/>
      <c r="OCX244" s="1206"/>
      <c r="OCY244" s="1206"/>
      <c r="OCZ244" s="1206"/>
      <c r="ODA244" s="1207"/>
      <c r="ODB244" s="1206"/>
      <c r="ODC244" s="1206"/>
      <c r="ODD244" s="1206"/>
      <c r="ODE244" s="1206"/>
      <c r="ODF244" s="1206"/>
      <c r="ODG244" s="1206"/>
      <c r="ODH244" s="1206"/>
      <c r="ODI244" s="1206"/>
      <c r="ODJ244" s="1206"/>
      <c r="ODK244" s="1206"/>
      <c r="ODL244" s="1206"/>
      <c r="ODM244" s="1206"/>
      <c r="ODN244" s="1206"/>
      <c r="ODO244" s="1206"/>
      <c r="ODP244" s="1206"/>
      <c r="ODQ244" s="1206"/>
      <c r="ODR244" s="1207"/>
      <c r="ODS244" s="1206"/>
      <c r="ODT244" s="1206"/>
      <c r="ODU244" s="1206"/>
      <c r="ODV244" s="1206"/>
      <c r="ODW244" s="1206"/>
      <c r="ODX244" s="1206"/>
      <c r="ODY244" s="1206"/>
      <c r="ODZ244" s="1206"/>
      <c r="OEA244" s="1206"/>
      <c r="OEB244" s="1206"/>
      <c r="OEC244" s="1206"/>
      <c r="OED244" s="1206"/>
      <c r="OEE244" s="1206"/>
      <c r="OEF244" s="1206"/>
      <c r="OEG244" s="1206"/>
      <c r="OEH244" s="1206"/>
      <c r="OEI244" s="1207"/>
      <c r="OEJ244" s="1206"/>
      <c r="OEK244" s="1206"/>
      <c r="OEL244" s="1206"/>
      <c r="OEM244" s="1206"/>
      <c r="OEN244" s="1206"/>
      <c r="OEO244" s="1206"/>
      <c r="OEP244" s="1206"/>
      <c r="OEQ244" s="1206"/>
      <c r="OER244" s="1206"/>
      <c r="OES244" s="1206"/>
      <c r="OET244" s="1206"/>
      <c r="OEU244" s="1206"/>
      <c r="OEV244" s="1206"/>
      <c r="OEW244" s="1206"/>
      <c r="OEX244" s="1206"/>
      <c r="OEY244" s="1206"/>
      <c r="OEZ244" s="1207"/>
      <c r="OFA244" s="1206"/>
      <c r="OFB244" s="1206"/>
      <c r="OFC244" s="1206"/>
      <c r="OFD244" s="1206"/>
      <c r="OFE244" s="1206"/>
      <c r="OFF244" s="1206"/>
      <c r="OFG244" s="1206"/>
      <c r="OFH244" s="1206"/>
      <c r="OFI244" s="1206"/>
      <c r="OFJ244" s="1206"/>
      <c r="OFK244" s="1206"/>
      <c r="OFL244" s="1206"/>
      <c r="OFM244" s="1206"/>
      <c r="OFN244" s="1206"/>
      <c r="OFO244" s="1206"/>
      <c r="OFP244" s="1206"/>
      <c r="OFQ244" s="1207"/>
      <c r="OFR244" s="1206"/>
      <c r="OFS244" s="1206"/>
      <c r="OFT244" s="1206"/>
      <c r="OFU244" s="1206"/>
      <c r="OFV244" s="1206"/>
      <c r="OFW244" s="1206"/>
      <c r="OFX244" s="1206"/>
      <c r="OFY244" s="1206"/>
      <c r="OFZ244" s="1206"/>
      <c r="OGA244" s="1206"/>
      <c r="OGB244" s="1206"/>
      <c r="OGC244" s="1206"/>
      <c r="OGD244" s="1206"/>
      <c r="OGE244" s="1206"/>
      <c r="OGF244" s="1206"/>
      <c r="OGG244" s="1206"/>
      <c r="OGH244" s="1207"/>
      <c r="OGI244" s="1206"/>
      <c r="OGJ244" s="1206"/>
      <c r="OGK244" s="1206"/>
      <c r="OGL244" s="1206"/>
      <c r="OGM244" s="1206"/>
      <c r="OGN244" s="1206"/>
      <c r="OGO244" s="1206"/>
      <c r="OGP244" s="1206"/>
      <c r="OGQ244" s="1206"/>
      <c r="OGR244" s="1206"/>
      <c r="OGS244" s="1206"/>
      <c r="OGT244" s="1206"/>
      <c r="OGU244" s="1206"/>
      <c r="OGV244" s="1206"/>
      <c r="OGW244" s="1206"/>
      <c r="OGX244" s="1206"/>
      <c r="OGY244" s="1207"/>
      <c r="OGZ244" s="1206"/>
      <c r="OHA244" s="1206"/>
      <c r="OHB244" s="1206"/>
      <c r="OHC244" s="1206"/>
      <c r="OHD244" s="1206"/>
      <c r="OHE244" s="1206"/>
      <c r="OHF244" s="1206"/>
      <c r="OHG244" s="1206"/>
      <c r="OHH244" s="1206"/>
      <c r="OHI244" s="1206"/>
      <c r="OHJ244" s="1206"/>
      <c r="OHK244" s="1206"/>
      <c r="OHL244" s="1206"/>
      <c r="OHM244" s="1206"/>
      <c r="OHN244" s="1206"/>
      <c r="OHO244" s="1206"/>
      <c r="OHP244" s="1207"/>
      <c r="OHQ244" s="1206"/>
      <c r="OHR244" s="1206"/>
      <c r="OHS244" s="1206"/>
      <c r="OHT244" s="1206"/>
      <c r="OHU244" s="1206"/>
      <c r="OHV244" s="1206"/>
      <c r="OHW244" s="1206"/>
      <c r="OHX244" s="1206"/>
      <c r="OHY244" s="1206"/>
      <c r="OHZ244" s="1206"/>
      <c r="OIA244" s="1206"/>
      <c r="OIB244" s="1206"/>
      <c r="OIC244" s="1206"/>
      <c r="OID244" s="1206"/>
      <c r="OIE244" s="1206"/>
      <c r="OIF244" s="1206"/>
      <c r="OIG244" s="1207"/>
      <c r="OIH244" s="1206"/>
      <c r="OII244" s="1206"/>
      <c r="OIJ244" s="1206"/>
      <c r="OIK244" s="1206"/>
      <c r="OIL244" s="1206"/>
      <c r="OIM244" s="1206"/>
      <c r="OIN244" s="1206"/>
      <c r="OIO244" s="1206"/>
      <c r="OIP244" s="1206"/>
      <c r="OIQ244" s="1206"/>
      <c r="OIR244" s="1206"/>
      <c r="OIS244" s="1206"/>
      <c r="OIT244" s="1206"/>
      <c r="OIU244" s="1206"/>
      <c r="OIV244" s="1206"/>
      <c r="OIW244" s="1206"/>
      <c r="OIX244" s="1207"/>
      <c r="OIY244" s="1206"/>
      <c r="OIZ244" s="1206"/>
      <c r="OJA244" s="1206"/>
      <c r="OJB244" s="1206"/>
      <c r="OJC244" s="1206"/>
      <c r="OJD244" s="1206"/>
      <c r="OJE244" s="1206"/>
      <c r="OJF244" s="1206"/>
      <c r="OJG244" s="1206"/>
      <c r="OJH244" s="1206"/>
      <c r="OJI244" s="1206"/>
      <c r="OJJ244" s="1206"/>
      <c r="OJK244" s="1206"/>
      <c r="OJL244" s="1206"/>
      <c r="OJM244" s="1206"/>
      <c r="OJN244" s="1206"/>
      <c r="OJO244" s="1207"/>
      <c r="OJP244" s="1206"/>
      <c r="OJQ244" s="1206"/>
      <c r="OJR244" s="1206"/>
      <c r="OJS244" s="1206"/>
      <c r="OJT244" s="1206"/>
      <c r="OJU244" s="1206"/>
      <c r="OJV244" s="1206"/>
      <c r="OJW244" s="1206"/>
      <c r="OJX244" s="1206"/>
      <c r="OJY244" s="1206"/>
      <c r="OJZ244" s="1206"/>
      <c r="OKA244" s="1206"/>
      <c r="OKB244" s="1206"/>
      <c r="OKC244" s="1206"/>
      <c r="OKD244" s="1206"/>
      <c r="OKE244" s="1206"/>
      <c r="OKF244" s="1207"/>
      <c r="OKG244" s="1206"/>
      <c r="OKH244" s="1206"/>
      <c r="OKI244" s="1206"/>
      <c r="OKJ244" s="1206"/>
      <c r="OKK244" s="1206"/>
      <c r="OKL244" s="1206"/>
      <c r="OKM244" s="1206"/>
      <c r="OKN244" s="1206"/>
      <c r="OKO244" s="1206"/>
      <c r="OKP244" s="1206"/>
      <c r="OKQ244" s="1206"/>
      <c r="OKR244" s="1206"/>
      <c r="OKS244" s="1206"/>
      <c r="OKT244" s="1206"/>
      <c r="OKU244" s="1206"/>
      <c r="OKV244" s="1206"/>
      <c r="OKW244" s="1207"/>
      <c r="OKX244" s="1206"/>
      <c r="OKY244" s="1206"/>
      <c r="OKZ244" s="1206"/>
      <c r="OLA244" s="1206"/>
      <c r="OLB244" s="1206"/>
      <c r="OLC244" s="1206"/>
      <c r="OLD244" s="1206"/>
      <c r="OLE244" s="1206"/>
      <c r="OLF244" s="1206"/>
      <c r="OLG244" s="1206"/>
      <c r="OLH244" s="1206"/>
      <c r="OLI244" s="1206"/>
      <c r="OLJ244" s="1206"/>
      <c r="OLK244" s="1206"/>
      <c r="OLL244" s="1206"/>
      <c r="OLM244" s="1206"/>
      <c r="OLN244" s="1207"/>
      <c r="OLO244" s="1206"/>
      <c r="OLP244" s="1206"/>
      <c r="OLQ244" s="1206"/>
      <c r="OLR244" s="1206"/>
      <c r="OLS244" s="1206"/>
      <c r="OLT244" s="1206"/>
      <c r="OLU244" s="1206"/>
      <c r="OLV244" s="1206"/>
      <c r="OLW244" s="1206"/>
      <c r="OLX244" s="1206"/>
      <c r="OLY244" s="1206"/>
      <c r="OLZ244" s="1206"/>
      <c r="OMA244" s="1206"/>
      <c r="OMB244" s="1206"/>
      <c r="OMC244" s="1206"/>
      <c r="OMD244" s="1206"/>
      <c r="OME244" s="1207"/>
      <c r="OMF244" s="1206"/>
      <c r="OMG244" s="1206"/>
      <c r="OMH244" s="1206"/>
      <c r="OMI244" s="1206"/>
      <c r="OMJ244" s="1206"/>
      <c r="OMK244" s="1206"/>
      <c r="OML244" s="1206"/>
      <c r="OMM244" s="1206"/>
      <c r="OMN244" s="1206"/>
      <c r="OMO244" s="1206"/>
      <c r="OMP244" s="1206"/>
      <c r="OMQ244" s="1206"/>
      <c r="OMR244" s="1206"/>
      <c r="OMS244" s="1206"/>
      <c r="OMT244" s="1206"/>
      <c r="OMU244" s="1206"/>
      <c r="OMV244" s="1207"/>
      <c r="OMW244" s="1206"/>
      <c r="OMX244" s="1206"/>
      <c r="OMY244" s="1206"/>
      <c r="OMZ244" s="1206"/>
      <c r="ONA244" s="1206"/>
      <c r="ONB244" s="1206"/>
      <c r="ONC244" s="1206"/>
      <c r="OND244" s="1206"/>
      <c r="ONE244" s="1206"/>
      <c r="ONF244" s="1206"/>
      <c r="ONG244" s="1206"/>
      <c r="ONH244" s="1206"/>
      <c r="ONI244" s="1206"/>
      <c r="ONJ244" s="1206"/>
      <c r="ONK244" s="1206"/>
      <c r="ONL244" s="1206"/>
      <c r="ONM244" s="1207"/>
      <c r="ONN244" s="1206"/>
      <c r="ONO244" s="1206"/>
      <c r="ONP244" s="1206"/>
      <c r="ONQ244" s="1206"/>
      <c r="ONR244" s="1206"/>
      <c r="ONS244" s="1206"/>
      <c r="ONT244" s="1206"/>
      <c r="ONU244" s="1206"/>
      <c r="ONV244" s="1206"/>
      <c r="ONW244" s="1206"/>
      <c r="ONX244" s="1206"/>
      <c r="ONY244" s="1206"/>
      <c r="ONZ244" s="1206"/>
      <c r="OOA244" s="1206"/>
      <c r="OOB244" s="1206"/>
      <c r="OOC244" s="1206"/>
      <c r="OOD244" s="1207"/>
      <c r="OOE244" s="1206"/>
      <c r="OOF244" s="1206"/>
      <c r="OOG244" s="1206"/>
      <c r="OOH244" s="1206"/>
      <c r="OOI244" s="1206"/>
      <c r="OOJ244" s="1206"/>
      <c r="OOK244" s="1206"/>
      <c r="OOL244" s="1206"/>
      <c r="OOM244" s="1206"/>
      <c r="OON244" s="1206"/>
      <c r="OOO244" s="1206"/>
      <c r="OOP244" s="1206"/>
      <c r="OOQ244" s="1206"/>
      <c r="OOR244" s="1206"/>
      <c r="OOS244" s="1206"/>
      <c r="OOT244" s="1206"/>
      <c r="OOU244" s="1207"/>
      <c r="OOV244" s="1206"/>
      <c r="OOW244" s="1206"/>
      <c r="OOX244" s="1206"/>
      <c r="OOY244" s="1206"/>
      <c r="OOZ244" s="1206"/>
      <c r="OPA244" s="1206"/>
      <c r="OPB244" s="1206"/>
      <c r="OPC244" s="1206"/>
      <c r="OPD244" s="1206"/>
      <c r="OPE244" s="1206"/>
      <c r="OPF244" s="1206"/>
      <c r="OPG244" s="1206"/>
      <c r="OPH244" s="1206"/>
      <c r="OPI244" s="1206"/>
      <c r="OPJ244" s="1206"/>
      <c r="OPK244" s="1206"/>
      <c r="OPL244" s="1207"/>
      <c r="OPM244" s="1206"/>
      <c r="OPN244" s="1206"/>
      <c r="OPO244" s="1206"/>
      <c r="OPP244" s="1206"/>
      <c r="OPQ244" s="1206"/>
      <c r="OPR244" s="1206"/>
      <c r="OPS244" s="1206"/>
      <c r="OPT244" s="1206"/>
      <c r="OPU244" s="1206"/>
      <c r="OPV244" s="1206"/>
      <c r="OPW244" s="1206"/>
      <c r="OPX244" s="1206"/>
      <c r="OPY244" s="1206"/>
      <c r="OPZ244" s="1206"/>
      <c r="OQA244" s="1206"/>
      <c r="OQB244" s="1206"/>
      <c r="OQC244" s="1207"/>
      <c r="OQD244" s="1206"/>
      <c r="OQE244" s="1206"/>
      <c r="OQF244" s="1206"/>
      <c r="OQG244" s="1206"/>
      <c r="OQH244" s="1206"/>
      <c r="OQI244" s="1206"/>
      <c r="OQJ244" s="1206"/>
      <c r="OQK244" s="1206"/>
      <c r="OQL244" s="1206"/>
      <c r="OQM244" s="1206"/>
      <c r="OQN244" s="1206"/>
      <c r="OQO244" s="1206"/>
      <c r="OQP244" s="1206"/>
      <c r="OQQ244" s="1206"/>
      <c r="OQR244" s="1206"/>
      <c r="OQS244" s="1206"/>
      <c r="OQT244" s="1207"/>
      <c r="OQU244" s="1206"/>
      <c r="OQV244" s="1206"/>
      <c r="OQW244" s="1206"/>
      <c r="OQX244" s="1206"/>
      <c r="OQY244" s="1206"/>
      <c r="OQZ244" s="1206"/>
      <c r="ORA244" s="1206"/>
      <c r="ORB244" s="1206"/>
      <c r="ORC244" s="1206"/>
      <c r="ORD244" s="1206"/>
      <c r="ORE244" s="1206"/>
      <c r="ORF244" s="1206"/>
      <c r="ORG244" s="1206"/>
      <c r="ORH244" s="1206"/>
      <c r="ORI244" s="1206"/>
      <c r="ORJ244" s="1206"/>
      <c r="ORK244" s="1207"/>
      <c r="ORL244" s="1206"/>
      <c r="ORM244" s="1206"/>
      <c r="ORN244" s="1206"/>
      <c r="ORO244" s="1206"/>
      <c r="ORP244" s="1206"/>
      <c r="ORQ244" s="1206"/>
      <c r="ORR244" s="1206"/>
      <c r="ORS244" s="1206"/>
      <c r="ORT244" s="1206"/>
      <c r="ORU244" s="1206"/>
      <c r="ORV244" s="1206"/>
      <c r="ORW244" s="1206"/>
      <c r="ORX244" s="1206"/>
      <c r="ORY244" s="1206"/>
      <c r="ORZ244" s="1206"/>
      <c r="OSA244" s="1206"/>
      <c r="OSB244" s="1207"/>
      <c r="OSC244" s="1206"/>
      <c r="OSD244" s="1206"/>
      <c r="OSE244" s="1206"/>
      <c r="OSF244" s="1206"/>
      <c r="OSG244" s="1206"/>
      <c r="OSH244" s="1206"/>
      <c r="OSI244" s="1206"/>
      <c r="OSJ244" s="1206"/>
      <c r="OSK244" s="1206"/>
      <c r="OSL244" s="1206"/>
      <c r="OSM244" s="1206"/>
      <c r="OSN244" s="1206"/>
      <c r="OSO244" s="1206"/>
      <c r="OSP244" s="1206"/>
      <c r="OSQ244" s="1206"/>
      <c r="OSR244" s="1206"/>
      <c r="OSS244" s="1207"/>
      <c r="OST244" s="1206"/>
      <c r="OSU244" s="1206"/>
      <c r="OSV244" s="1206"/>
      <c r="OSW244" s="1206"/>
      <c r="OSX244" s="1206"/>
      <c r="OSY244" s="1206"/>
      <c r="OSZ244" s="1206"/>
      <c r="OTA244" s="1206"/>
      <c r="OTB244" s="1206"/>
      <c r="OTC244" s="1206"/>
      <c r="OTD244" s="1206"/>
      <c r="OTE244" s="1206"/>
      <c r="OTF244" s="1206"/>
      <c r="OTG244" s="1206"/>
      <c r="OTH244" s="1206"/>
      <c r="OTI244" s="1206"/>
      <c r="OTJ244" s="1207"/>
      <c r="OTK244" s="1206"/>
      <c r="OTL244" s="1206"/>
      <c r="OTM244" s="1206"/>
      <c r="OTN244" s="1206"/>
      <c r="OTO244" s="1206"/>
      <c r="OTP244" s="1206"/>
      <c r="OTQ244" s="1206"/>
      <c r="OTR244" s="1206"/>
      <c r="OTS244" s="1206"/>
      <c r="OTT244" s="1206"/>
      <c r="OTU244" s="1206"/>
      <c r="OTV244" s="1206"/>
      <c r="OTW244" s="1206"/>
      <c r="OTX244" s="1206"/>
      <c r="OTY244" s="1206"/>
      <c r="OTZ244" s="1206"/>
      <c r="OUA244" s="1207"/>
      <c r="OUB244" s="1206"/>
      <c r="OUC244" s="1206"/>
      <c r="OUD244" s="1206"/>
      <c r="OUE244" s="1206"/>
      <c r="OUF244" s="1206"/>
      <c r="OUG244" s="1206"/>
      <c r="OUH244" s="1206"/>
      <c r="OUI244" s="1206"/>
      <c r="OUJ244" s="1206"/>
      <c r="OUK244" s="1206"/>
      <c r="OUL244" s="1206"/>
      <c r="OUM244" s="1206"/>
      <c r="OUN244" s="1206"/>
      <c r="OUO244" s="1206"/>
      <c r="OUP244" s="1206"/>
      <c r="OUQ244" s="1206"/>
      <c r="OUR244" s="1207"/>
      <c r="OUS244" s="1206"/>
      <c r="OUT244" s="1206"/>
      <c r="OUU244" s="1206"/>
      <c r="OUV244" s="1206"/>
      <c r="OUW244" s="1206"/>
      <c r="OUX244" s="1206"/>
      <c r="OUY244" s="1206"/>
      <c r="OUZ244" s="1206"/>
      <c r="OVA244" s="1206"/>
      <c r="OVB244" s="1206"/>
      <c r="OVC244" s="1206"/>
      <c r="OVD244" s="1206"/>
      <c r="OVE244" s="1206"/>
      <c r="OVF244" s="1206"/>
      <c r="OVG244" s="1206"/>
      <c r="OVH244" s="1206"/>
      <c r="OVI244" s="1207"/>
      <c r="OVJ244" s="1206"/>
      <c r="OVK244" s="1206"/>
      <c r="OVL244" s="1206"/>
      <c r="OVM244" s="1206"/>
      <c r="OVN244" s="1206"/>
      <c r="OVO244" s="1206"/>
      <c r="OVP244" s="1206"/>
      <c r="OVQ244" s="1206"/>
      <c r="OVR244" s="1206"/>
      <c r="OVS244" s="1206"/>
      <c r="OVT244" s="1206"/>
      <c r="OVU244" s="1206"/>
      <c r="OVV244" s="1206"/>
      <c r="OVW244" s="1206"/>
      <c r="OVX244" s="1206"/>
      <c r="OVY244" s="1206"/>
      <c r="OVZ244" s="1207"/>
      <c r="OWA244" s="1206"/>
      <c r="OWB244" s="1206"/>
      <c r="OWC244" s="1206"/>
      <c r="OWD244" s="1206"/>
      <c r="OWE244" s="1206"/>
      <c r="OWF244" s="1206"/>
      <c r="OWG244" s="1206"/>
      <c r="OWH244" s="1206"/>
      <c r="OWI244" s="1206"/>
      <c r="OWJ244" s="1206"/>
      <c r="OWK244" s="1206"/>
      <c r="OWL244" s="1206"/>
      <c r="OWM244" s="1206"/>
      <c r="OWN244" s="1206"/>
      <c r="OWO244" s="1206"/>
      <c r="OWP244" s="1206"/>
      <c r="OWQ244" s="1207"/>
      <c r="OWR244" s="1206"/>
      <c r="OWS244" s="1206"/>
      <c r="OWT244" s="1206"/>
      <c r="OWU244" s="1206"/>
      <c r="OWV244" s="1206"/>
      <c r="OWW244" s="1206"/>
      <c r="OWX244" s="1206"/>
      <c r="OWY244" s="1206"/>
      <c r="OWZ244" s="1206"/>
      <c r="OXA244" s="1206"/>
      <c r="OXB244" s="1206"/>
      <c r="OXC244" s="1206"/>
      <c r="OXD244" s="1206"/>
      <c r="OXE244" s="1206"/>
      <c r="OXF244" s="1206"/>
      <c r="OXG244" s="1206"/>
      <c r="OXH244" s="1207"/>
      <c r="OXI244" s="1206"/>
      <c r="OXJ244" s="1206"/>
      <c r="OXK244" s="1206"/>
      <c r="OXL244" s="1206"/>
      <c r="OXM244" s="1206"/>
      <c r="OXN244" s="1206"/>
      <c r="OXO244" s="1206"/>
      <c r="OXP244" s="1206"/>
      <c r="OXQ244" s="1206"/>
      <c r="OXR244" s="1206"/>
      <c r="OXS244" s="1206"/>
      <c r="OXT244" s="1206"/>
      <c r="OXU244" s="1206"/>
      <c r="OXV244" s="1206"/>
      <c r="OXW244" s="1206"/>
      <c r="OXX244" s="1206"/>
      <c r="OXY244" s="1207"/>
      <c r="OXZ244" s="1206"/>
      <c r="OYA244" s="1206"/>
      <c r="OYB244" s="1206"/>
      <c r="OYC244" s="1206"/>
      <c r="OYD244" s="1206"/>
      <c r="OYE244" s="1206"/>
      <c r="OYF244" s="1206"/>
      <c r="OYG244" s="1206"/>
      <c r="OYH244" s="1206"/>
      <c r="OYI244" s="1206"/>
      <c r="OYJ244" s="1206"/>
      <c r="OYK244" s="1206"/>
      <c r="OYL244" s="1206"/>
      <c r="OYM244" s="1206"/>
      <c r="OYN244" s="1206"/>
      <c r="OYO244" s="1206"/>
      <c r="OYP244" s="1207"/>
      <c r="OYQ244" s="1206"/>
      <c r="OYR244" s="1206"/>
      <c r="OYS244" s="1206"/>
      <c r="OYT244" s="1206"/>
      <c r="OYU244" s="1206"/>
      <c r="OYV244" s="1206"/>
      <c r="OYW244" s="1206"/>
      <c r="OYX244" s="1206"/>
      <c r="OYY244" s="1206"/>
      <c r="OYZ244" s="1206"/>
      <c r="OZA244" s="1206"/>
      <c r="OZB244" s="1206"/>
      <c r="OZC244" s="1206"/>
      <c r="OZD244" s="1206"/>
      <c r="OZE244" s="1206"/>
      <c r="OZF244" s="1206"/>
      <c r="OZG244" s="1207"/>
      <c r="OZH244" s="1206"/>
      <c r="OZI244" s="1206"/>
      <c r="OZJ244" s="1206"/>
      <c r="OZK244" s="1206"/>
      <c r="OZL244" s="1206"/>
      <c r="OZM244" s="1206"/>
      <c r="OZN244" s="1206"/>
      <c r="OZO244" s="1206"/>
      <c r="OZP244" s="1206"/>
      <c r="OZQ244" s="1206"/>
      <c r="OZR244" s="1206"/>
      <c r="OZS244" s="1206"/>
      <c r="OZT244" s="1206"/>
      <c r="OZU244" s="1206"/>
      <c r="OZV244" s="1206"/>
      <c r="OZW244" s="1206"/>
      <c r="OZX244" s="1207"/>
      <c r="OZY244" s="1206"/>
      <c r="OZZ244" s="1206"/>
      <c r="PAA244" s="1206"/>
      <c r="PAB244" s="1206"/>
      <c r="PAC244" s="1206"/>
      <c r="PAD244" s="1206"/>
      <c r="PAE244" s="1206"/>
      <c r="PAF244" s="1206"/>
      <c r="PAG244" s="1206"/>
      <c r="PAH244" s="1206"/>
      <c r="PAI244" s="1206"/>
      <c r="PAJ244" s="1206"/>
      <c r="PAK244" s="1206"/>
      <c r="PAL244" s="1206"/>
      <c r="PAM244" s="1206"/>
      <c r="PAN244" s="1206"/>
      <c r="PAO244" s="1207"/>
      <c r="PAP244" s="1206"/>
      <c r="PAQ244" s="1206"/>
      <c r="PAR244" s="1206"/>
      <c r="PAS244" s="1206"/>
      <c r="PAT244" s="1206"/>
      <c r="PAU244" s="1206"/>
      <c r="PAV244" s="1206"/>
      <c r="PAW244" s="1206"/>
      <c r="PAX244" s="1206"/>
      <c r="PAY244" s="1206"/>
      <c r="PAZ244" s="1206"/>
      <c r="PBA244" s="1206"/>
      <c r="PBB244" s="1206"/>
      <c r="PBC244" s="1206"/>
      <c r="PBD244" s="1206"/>
      <c r="PBE244" s="1206"/>
      <c r="PBF244" s="1207"/>
      <c r="PBG244" s="1206"/>
      <c r="PBH244" s="1206"/>
      <c r="PBI244" s="1206"/>
      <c r="PBJ244" s="1206"/>
      <c r="PBK244" s="1206"/>
      <c r="PBL244" s="1206"/>
      <c r="PBM244" s="1206"/>
      <c r="PBN244" s="1206"/>
      <c r="PBO244" s="1206"/>
      <c r="PBP244" s="1206"/>
      <c r="PBQ244" s="1206"/>
      <c r="PBR244" s="1206"/>
      <c r="PBS244" s="1206"/>
      <c r="PBT244" s="1206"/>
      <c r="PBU244" s="1206"/>
      <c r="PBV244" s="1206"/>
      <c r="PBW244" s="1207"/>
      <c r="PBX244" s="1206"/>
      <c r="PBY244" s="1206"/>
      <c r="PBZ244" s="1206"/>
      <c r="PCA244" s="1206"/>
      <c r="PCB244" s="1206"/>
      <c r="PCC244" s="1206"/>
      <c r="PCD244" s="1206"/>
      <c r="PCE244" s="1206"/>
      <c r="PCF244" s="1206"/>
      <c r="PCG244" s="1206"/>
      <c r="PCH244" s="1206"/>
      <c r="PCI244" s="1206"/>
      <c r="PCJ244" s="1206"/>
      <c r="PCK244" s="1206"/>
      <c r="PCL244" s="1206"/>
      <c r="PCM244" s="1206"/>
      <c r="PCN244" s="1207"/>
      <c r="PCO244" s="1206"/>
      <c r="PCP244" s="1206"/>
      <c r="PCQ244" s="1206"/>
      <c r="PCR244" s="1206"/>
      <c r="PCS244" s="1206"/>
      <c r="PCT244" s="1206"/>
      <c r="PCU244" s="1206"/>
      <c r="PCV244" s="1206"/>
      <c r="PCW244" s="1206"/>
      <c r="PCX244" s="1206"/>
      <c r="PCY244" s="1206"/>
      <c r="PCZ244" s="1206"/>
      <c r="PDA244" s="1206"/>
      <c r="PDB244" s="1206"/>
      <c r="PDC244" s="1206"/>
      <c r="PDD244" s="1206"/>
      <c r="PDE244" s="1207"/>
      <c r="PDF244" s="1206"/>
      <c r="PDG244" s="1206"/>
      <c r="PDH244" s="1206"/>
      <c r="PDI244" s="1206"/>
      <c r="PDJ244" s="1206"/>
      <c r="PDK244" s="1206"/>
      <c r="PDL244" s="1206"/>
      <c r="PDM244" s="1206"/>
      <c r="PDN244" s="1206"/>
      <c r="PDO244" s="1206"/>
      <c r="PDP244" s="1206"/>
      <c r="PDQ244" s="1206"/>
      <c r="PDR244" s="1206"/>
      <c r="PDS244" s="1206"/>
      <c r="PDT244" s="1206"/>
      <c r="PDU244" s="1206"/>
      <c r="PDV244" s="1207"/>
      <c r="PDW244" s="1206"/>
      <c r="PDX244" s="1206"/>
      <c r="PDY244" s="1206"/>
      <c r="PDZ244" s="1206"/>
      <c r="PEA244" s="1206"/>
      <c r="PEB244" s="1206"/>
      <c r="PEC244" s="1206"/>
      <c r="PED244" s="1206"/>
      <c r="PEE244" s="1206"/>
      <c r="PEF244" s="1206"/>
      <c r="PEG244" s="1206"/>
      <c r="PEH244" s="1206"/>
      <c r="PEI244" s="1206"/>
      <c r="PEJ244" s="1206"/>
      <c r="PEK244" s="1206"/>
      <c r="PEL244" s="1206"/>
      <c r="PEM244" s="1207"/>
      <c r="PEN244" s="1206"/>
      <c r="PEO244" s="1206"/>
      <c r="PEP244" s="1206"/>
      <c r="PEQ244" s="1206"/>
      <c r="PER244" s="1206"/>
      <c r="PES244" s="1206"/>
      <c r="PET244" s="1206"/>
      <c r="PEU244" s="1206"/>
      <c r="PEV244" s="1206"/>
      <c r="PEW244" s="1206"/>
      <c r="PEX244" s="1206"/>
      <c r="PEY244" s="1206"/>
      <c r="PEZ244" s="1206"/>
      <c r="PFA244" s="1206"/>
      <c r="PFB244" s="1206"/>
      <c r="PFC244" s="1206"/>
      <c r="PFD244" s="1207"/>
      <c r="PFE244" s="1206"/>
      <c r="PFF244" s="1206"/>
      <c r="PFG244" s="1206"/>
      <c r="PFH244" s="1206"/>
      <c r="PFI244" s="1206"/>
      <c r="PFJ244" s="1206"/>
      <c r="PFK244" s="1206"/>
      <c r="PFL244" s="1206"/>
      <c r="PFM244" s="1206"/>
      <c r="PFN244" s="1206"/>
      <c r="PFO244" s="1206"/>
      <c r="PFP244" s="1206"/>
      <c r="PFQ244" s="1206"/>
      <c r="PFR244" s="1206"/>
      <c r="PFS244" s="1206"/>
      <c r="PFT244" s="1206"/>
      <c r="PFU244" s="1207"/>
      <c r="PFV244" s="1206"/>
      <c r="PFW244" s="1206"/>
      <c r="PFX244" s="1206"/>
      <c r="PFY244" s="1206"/>
      <c r="PFZ244" s="1206"/>
      <c r="PGA244" s="1206"/>
      <c r="PGB244" s="1206"/>
      <c r="PGC244" s="1206"/>
      <c r="PGD244" s="1206"/>
      <c r="PGE244" s="1206"/>
      <c r="PGF244" s="1206"/>
      <c r="PGG244" s="1206"/>
      <c r="PGH244" s="1206"/>
      <c r="PGI244" s="1206"/>
      <c r="PGJ244" s="1206"/>
      <c r="PGK244" s="1206"/>
      <c r="PGL244" s="1207"/>
      <c r="PGM244" s="1206"/>
      <c r="PGN244" s="1206"/>
      <c r="PGO244" s="1206"/>
      <c r="PGP244" s="1206"/>
      <c r="PGQ244" s="1206"/>
      <c r="PGR244" s="1206"/>
      <c r="PGS244" s="1206"/>
      <c r="PGT244" s="1206"/>
      <c r="PGU244" s="1206"/>
      <c r="PGV244" s="1206"/>
      <c r="PGW244" s="1206"/>
      <c r="PGX244" s="1206"/>
      <c r="PGY244" s="1206"/>
      <c r="PGZ244" s="1206"/>
      <c r="PHA244" s="1206"/>
      <c r="PHB244" s="1206"/>
      <c r="PHC244" s="1207"/>
      <c r="PHD244" s="1206"/>
      <c r="PHE244" s="1206"/>
      <c r="PHF244" s="1206"/>
      <c r="PHG244" s="1206"/>
      <c r="PHH244" s="1206"/>
      <c r="PHI244" s="1206"/>
      <c r="PHJ244" s="1206"/>
      <c r="PHK244" s="1206"/>
      <c r="PHL244" s="1206"/>
      <c r="PHM244" s="1206"/>
      <c r="PHN244" s="1206"/>
      <c r="PHO244" s="1206"/>
      <c r="PHP244" s="1206"/>
      <c r="PHQ244" s="1206"/>
      <c r="PHR244" s="1206"/>
      <c r="PHS244" s="1206"/>
      <c r="PHT244" s="1207"/>
      <c r="PHU244" s="1206"/>
      <c r="PHV244" s="1206"/>
      <c r="PHW244" s="1206"/>
      <c r="PHX244" s="1206"/>
      <c r="PHY244" s="1206"/>
      <c r="PHZ244" s="1206"/>
      <c r="PIA244" s="1206"/>
      <c r="PIB244" s="1206"/>
      <c r="PIC244" s="1206"/>
      <c r="PID244" s="1206"/>
      <c r="PIE244" s="1206"/>
      <c r="PIF244" s="1206"/>
      <c r="PIG244" s="1206"/>
      <c r="PIH244" s="1206"/>
      <c r="PII244" s="1206"/>
      <c r="PIJ244" s="1206"/>
      <c r="PIK244" s="1207"/>
      <c r="PIL244" s="1206"/>
      <c r="PIM244" s="1206"/>
      <c r="PIN244" s="1206"/>
      <c r="PIO244" s="1206"/>
      <c r="PIP244" s="1206"/>
      <c r="PIQ244" s="1206"/>
      <c r="PIR244" s="1206"/>
      <c r="PIS244" s="1206"/>
      <c r="PIT244" s="1206"/>
      <c r="PIU244" s="1206"/>
      <c r="PIV244" s="1206"/>
      <c r="PIW244" s="1206"/>
      <c r="PIX244" s="1206"/>
      <c r="PIY244" s="1206"/>
      <c r="PIZ244" s="1206"/>
      <c r="PJA244" s="1206"/>
      <c r="PJB244" s="1207"/>
      <c r="PJC244" s="1206"/>
      <c r="PJD244" s="1206"/>
      <c r="PJE244" s="1206"/>
      <c r="PJF244" s="1206"/>
      <c r="PJG244" s="1206"/>
      <c r="PJH244" s="1206"/>
      <c r="PJI244" s="1206"/>
      <c r="PJJ244" s="1206"/>
      <c r="PJK244" s="1206"/>
      <c r="PJL244" s="1206"/>
      <c r="PJM244" s="1206"/>
      <c r="PJN244" s="1206"/>
      <c r="PJO244" s="1206"/>
      <c r="PJP244" s="1206"/>
      <c r="PJQ244" s="1206"/>
      <c r="PJR244" s="1206"/>
      <c r="PJS244" s="1207"/>
      <c r="PJT244" s="1206"/>
      <c r="PJU244" s="1206"/>
      <c r="PJV244" s="1206"/>
      <c r="PJW244" s="1206"/>
      <c r="PJX244" s="1206"/>
      <c r="PJY244" s="1206"/>
      <c r="PJZ244" s="1206"/>
      <c r="PKA244" s="1206"/>
      <c r="PKB244" s="1206"/>
      <c r="PKC244" s="1206"/>
      <c r="PKD244" s="1206"/>
      <c r="PKE244" s="1206"/>
      <c r="PKF244" s="1206"/>
      <c r="PKG244" s="1206"/>
      <c r="PKH244" s="1206"/>
      <c r="PKI244" s="1206"/>
      <c r="PKJ244" s="1207"/>
      <c r="PKK244" s="1206"/>
      <c r="PKL244" s="1206"/>
      <c r="PKM244" s="1206"/>
      <c r="PKN244" s="1206"/>
      <c r="PKO244" s="1206"/>
      <c r="PKP244" s="1206"/>
      <c r="PKQ244" s="1206"/>
      <c r="PKR244" s="1206"/>
      <c r="PKS244" s="1206"/>
      <c r="PKT244" s="1206"/>
      <c r="PKU244" s="1206"/>
      <c r="PKV244" s="1206"/>
      <c r="PKW244" s="1206"/>
      <c r="PKX244" s="1206"/>
      <c r="PKY244" s="1206"/>
      <c r="PKZ244" s="1206"/>
      <c r="PLA244" s="1207"/>
      <c r="PLB244" s="1206"/>
      <c r="PLC244" s="1206"/>
      <c r="PLD244" s="1206"/>
      <c r="PLE244" s="1206"/>
      <c r="PLF244" s="1206"/>
      <c r="PLG244" s="1206"/>
      <c r="PLH244" s="1206"/>
      <c r="PLI244" s="1206"/>
      <c r="PLJ244" s="1206"/>
      <c r="PLK244" s="1206"/>
      <c r="PLL244" s="1206"/>
      <c r="PLM244" s="1206"/>
      <c r="PLN244" s="1206"/>
      <c r="PLO244" s="1206"/>
      <c r="PLP244" s="1206"/>
      <c r="PLQ244" s="1206"/>
      <c r="PLR244" s="1207"/>
      <c r="PLS244" s="1206"/>
      <c r="PLT244" s="1206"/>
      <c r="PLU244" s="1206"/>
      <c r="PLV244" s="1206"/>
      <c r="PLW244" s="1206"/>
      <c r="PLX244" s="1206"/>
      <c r="PLY244" s="1206"/>
      <c r="PLZ244" s="1206"/>
      <c r="PMA244" s="1206"/>
      <c r="PMB244" s="1206"/>
      <c r="PMC244" s="1206"/>
      <c r="PMD244" s="1206"/>
      <c r="PME244" s="1206"/>
      <c r="PMF244" s="1206"/>
      <c r="PMG244" s="1206"/>
      <c r="PMH244" s="1206"/>
      <c r="PMI244" s="1207"/>
      <c r="PMJ244" s="1206"/>
      <c r="PMK244" s="1206"/>
      <c r="PML244" s="1206"/>
      <c r="PMM244" s="1206"/>
      <c r="PMN244" s="1206"/>
      <c r="PMO244" s="1206"/>
      <c r="PMP244" s="1206"/>
      <c r="PMQ244" s="1206"/>
      <c r="PMR244" s="1206"/>
      <c r="PMS244" s="1206"/>
      <c r="PMT244" s="1206"/>
      <c r="PMU244" s="1206"/>
      <c r="PMV244" s="1206"/>
      <c r="PMW244" s="1206"/>
      <c r="PMX244" s="1206"/>
      <c r="PMY244" s="1206"/>
      <c r="PMZ244" s="1207"/>
      <c r="PNA244" s="1206"/>
      <c r="PNB244" s="1206"/>
      <c r="PNC244" s="1206"/>
      <c r="PND244" s="1206"/>
      <c r="PNE244" s="1206"/>
      <c r="PNF244" s="1206"/>
      <c r="PNG244" s="1206"/>
      <c r="PNH244" s="1206"/>
      <c r="PNI244" s="1206"/>
      <c r="PNJ244" s="1206"/>
      <c r="PNK244" s="1206"/>
      <c r="PNL244" s="1206"/>
      <c r="PNM244" s="1206"/>
      <c r="PNN244" s="1206"/>
      <c r="PNO244" s="1206"/>
      <c r="PNP244" s="1206"/>
      <c r="PNQ244" s="1207"/>
      <c r="PNR244" s="1206"/>
      <c r="PNS244" s="1206"/>
      <c r="PNT244" s="1206"/>
      <c r="PNU244" s="1206"/>
      <c r="PNV244" s="1206"/>
      <c r="PNW244" s="1206"/>
      <c r="PNX244" s="1206"/>
      <c r="PNY244" s="1206"/>
      <c r="PNZ244" s="1206"/>
      <c r="POA244" s="1206"/>
      <c r="POB244" s="1206"/>
      <c r="POC244" s="1206"/>
      <c r="POD244" s="1206"/>
      <c r="POE244" s="1206"/>
      <c r="POF244" s="1206"/>
      <c r="POG244" s="1206"/>
      <c r="POH244" s="1207"/>
      <c r="POI244" s="1206"/>
      <c r="POJ244" s="1206"/>
      <c r="POK244" s="1206"/>
      <c r="POL244" s="1206"/>
      <c r="POM244" s="1206"/>
      <c r="PON244" s="1206"/>
      <c r="POO244" s="1206"/>
      <c r="POP244" s="1206"/>
      <c r="POQ244" s="1206"/>
      <c r="POR244" s="1206"/>
      <c r="POS244" s="1206"/>
      <c r="POT244" s="1206"/>
      <c r="POU244" s="1206"/>
      <c r="POV244" s="1206"/>
      <c r="POW244" s="1206"/>
      <c r="POX244" s="1206"/>
      <c r="POY244" s="1207"/>
      <c r="POZ244" s="1206"/>
      <c r="PPA244" s="1206"/>
      <c r="PPB244" s="1206"/>
      <c r="PPC244" s="1206"/>
      <c r="PPD244" s="1206"/>
      <c r="PPE244" s="1206"/>
      <c r="PPF244" s="1206"/>
      <c r="PPG244" s="1206"/>
      <c r="PPH244" s="1206"/>
      <c r="PPI244" s="1206"/>
      <c r="PPJ244" s="1206"/>
      <c r="PPK244" s="1206"/>
      <c r="PPL244" s="1206"/>
      <c r="PPM244" s="1206"/>
      <c r="PPN244" s="1206"/>
      <c r="PPO244" s="1206"/>
      <c r="PPP244" s="1207"/>
      <c r="PPQ244" s="1206"/>
      <c r="PPR244" s="1206"/>
      <c r="PPS244" s="1206"/>
      <c r="PPT244" s="1206"/>
      <c r="PPU244" s="1206"/>
      <c r="PPV244" s="1206"/>
      <c r="PPW244" s="1206"/>
      <c r="PPX244" s="1206"/>
      <c r="PPY244" s="1206"/>
      <c r="PPZ244" s="1206"/>
      <c r="PQA244" s="1206"/>
      <c r="PQB244" s="1206"/>
      <c r="PQC244" s="1206"/>
      <c r="PQD244" s="1206"/>
      <c r="PQE244" s="1206"/>
      <c r="PQF244" s="1206"/>
      <c r="PQG244" s="1207"/>
      <c r="PQH244" s="1206"/>
      <c r="PQI244" s="1206"/>
      <c r="PQJ244" s="1206"/>
      <c r="PQK244" s="1206"/>
      <c r="PQL244" s="1206"/>
      <c r="PQM244" s="1206"/>
      <c r="PQN244" s="1206"/>
      <c r="PQO244" s="1206"/>
      <c r="PQP244" s="1206"/>
      <c r="PQQ244" s="1206"/>
      <c r="PQR244" s="1206"/>
      <c r="PQS244" s="1206"/>
      <c r="PQT244" s="1206"/>
      <c r="PQU244" s="1206"/>
      <c r="PQV244" s="1206"/>
      <c r="PQW244" s="1206"/>
      <c r="PQX244" s="1207"/>
      <c r="PQY244" s="1206"/>
      <c r="PQZ244" s="1206"/>
      <c r="PRA244" s="1206"/>
      <c r="PRB244" s="1206"/>
      <c r="PRC244" s="1206"/>
      <c r="PRD244" s="1206"/>
      <c r="PRE244" s="1206"/>
      <c r="PRF244" s="1206"/>
      <c r="PRG244" s="1206"/>
      <c r="PRH244" s="1206"/>
      <c r="PRI244" s="1206"/>
      <c r="PRJ244" s="1206"/>
      <c r="PRK244" s="1206"/>
      <c r="PRL244" s="1206"/>
      <c r="PRM244" s="1206"/>
      <c r="PRN244" s="1206"/>
      <c r="PRO244" s="1207"/>
      <c r="PRP244" s="1206"/>
      <c r="PRQ244" s="1206"/>
      <c r="PRR244" s="1206"/>
      <c r="PRS244" s="1206"/>
      <c r="PRT244" s="1206"/>
      <c r="PRU244" s="1206"/>
      <c r="PRV244" s="1206"/>
      <c r="PRW244" s="1206"/>
      <c r="PRX244" s="1206"/>
      <c r="PRY244" s="1206"/>
      <c r="PRZ244" s="1206"/>
      <c r="PSA244" s="1206"/>
      <c r="PSB244" s="1206"/>
      <c r="PSC244" s="1206"/>
      <c r="PSD244" s="1206"/>
      <c r="PSE244" s="1206"/>
      <c r="PSF244" s="1207"/>
      <c r="PSG244" s="1206"/>
      <c r="PSH244" s="1206"/>
      <c r="PSI244" s="1206"/>
      <c r="PSJ244" s="1206"/>
      <c r="PSK244" s="1206"/>
      <c r="PSL244" s="1206"/>
      <c r="PSM244" s="1206"/>
      <c r="PSN244" s="1206"/>
      <c r="PSO244" s="1206"/>
      <c r="PSP244" s="1206"/>
      <c r="PSQ244" s="1206"/>
      <c r="PSR244" s="1206"/>
      <c r="PSS244" s="1206"/>
      <c r="PST244" s="1206"/>
      <c r="PSU244" s="1206"/>
      <c r="PSV244" s="1206"/>
      <c r="PSW244" s="1207"/>
      <c r="PSX244" s="1206"/>
      <c r="PSY244" s="1206"/>
      <c r="PSZ244" s="1206"/>
      <c r="PTA244" s="1206"/>
      <c r="PTB244" s="1206"/>
      <c r="PTC244" s="1206"/>
      <c r="PTD244" s="1206"/>
      <c r="PTE244" s="1206"/>
      <c r="PTF244" s="1206"/>
      <c r="PTG244" s="1206"/>
      <c r="PTH244" s="1206"/>
      <c r="PTI244" s="1206"/>
      <c r="PTJ244" s="1206"/>
      <c r="PTK244" s="1206"/>
      <c r="PTL244" s="1206"/>
      <c r="PTM244" s="1206"/>
      <c r="PTN244" s="1207"/>
      <c r="PTO244" s="1206"/>
      <c r="PTP244" s="1206"/>
      <c r="PTQ244" s="1206"/>
      <c r="PTR244" s="1206"/>
      <c r="PTS244" s="1206"/>
      <c r="PTT244" s="1206"/>
      <c r="PTU244" s="1206"/>
      <c r="PTV244" s="1206"/>
      <c r="PTW244" s="1206"/>
      <c r="PTX244" s="1206"/>
      <c r="PTY244" s="1206"/>
      <c r="PTZ244" s="1206"/>
      <c r="PUA244" s="1206"/>
      <c r="PUB244" s="1206"/>
      <c r="PUC244" s="1206"/>
      <c r="PUD244" s="1206"/>
      <c r="PUE244" s="1207"/>
      <c r="PUF244" s="1206"/>
      <c r="PUG244" s="1206"/>
      <c r="PUH244" s="1206"/>
      <c r="PUI244" s="1206"/>
      <c r="PUJ244" s="1206"/>
      <c r="PUK244" s="1206"/>
      <c r="PUL244" s="1206"/>
      <c r="PUM244" s="1206"/>
      <c r="PUN244" s="1206"/>
      <c r="PUO244" s="1206"/>
      <c r="PUP244" s="1206"/>
      <c r="PUQ244" s="1206"/>
      <c r="PUR244" s="1206"/>
      <c r="PUS244" s="1206"/>
      <c r="PUT244" s="1206"/>
      <c r="PUU244" s="1206"/>
      <c r="PUV244" s="1207"/>
      <c r="PUW244" s="1206"/>
      <c r="PUX244" s="1206"/>
      <c r="PUY244" s="1206"/>
      <c r="PUZ244" s="1206"/>
      <c r="PVA244" s="1206"/>
      <c r="PVB244" s="1206"/>
      <c r="PVC244" s="1206"/>
      <c r="PVD244" s="1206"/>
      <c r="PVE244" s="1206"/>
      <c r="PVF244" s="1206"/>
      <c r="PVG244" s="1206"/>
      <c r="PVH244" s="1206"/>
      <c r="PVI244" s="1206"/>
      <c r="PVJ244" s="1206"/>
      <c r="PVK244" s="1206"/>
      <c r="PVL244" s="1206"/>
      <c r="PVM244" s="1207"/>
      <c r="PVN244" s="1206"/>
      <c r="PVO244" s="1206"/>
      <c r="PVP244" s="1206"/>
      <c r="PVQ244" s="1206"/>
      <c r="PVR244" s="1206"/>
      <c r="PVS244" s="1206"/>
      <c r="PVT244" s="1206"/>
      <c r="PVU244" s="1206"/>
      <c r="PVV244" s="1206"/>
      <c r="PVW244" s="1206"/>
      <c r="PVX244" s="1206"/>
      <c r="PVY244" s="1206"/>
      <c r="PVZ244" s="1206"/>
      <c r="PWA244" s="1206"/>
      <c r="PWB244" s="1206"/>
      <c r="PWC244" s="1206"/>
      <c r="PWD244" s="1207"/>
      <c r="PWE244" s="1206"/>
      <c r="PWF244" s="1206"/>
      <c r="PWG244" s="1206"/>
      <c r="PWH244" s="1206"/>
      <c r="PWI244" s="1206"/>
      <c r="PWJ244" s="1206"/>
      <c r="PWK244" s="1206"/>
      <c r="PWL244" s="1206"/>
      <c r="PWM244" s="1206"/>
      <c r="PWN244" s="1206"/>
      <c r="PWO244" s="1206"/>
      <c r="PWP244" s="1206"/>
      <c r="PWQ244" s="1206"/>
      <c r="PWR244" s="1206"/>
      <c r="PWS244" s="1206"/>
      <c r="PWT244" s="1206"/>
      <c r="PWU244" s="1207"/>
      <c r="PWV244" s="1206"/>
      <c r="PWW244" s="1206"/>
      <c r="PWX244" s="1206"/>
      <c r="PWY244" s="1206"/>
      <c r="PWZ244" s="1206"/>
      <c r="PXA244" s="1206"/>
      <c r="PXB244" s="1206"/>
      <c r="PXC244" s="1206"/>
      <c r="PXD244" s="1206"/>
      <c r="PXE244" s="1206"/>
      <c r="PXF244" s="1206"/>
      <c r="PXG244" s="1206"/>
      <c r="PXH244" s="1206"/>
      <c r="PXI244" s="1206"/>
      <c r="PXJ244" s="1206"/>
      <c r="PXK244" s="1206"/>
      <c r="PXL244" s="1207"/>
      <c r="PXM244" s="1206"/>
      <c r="PXN244" s="1206"/>
      <c r="PXO244" s="1206"/>
      <c r="PXP244" s="1206"/>
      <c r="PXQ244" s="1206"/>
      <c r="PXR244" s="1206"/>
      <c r="PXS244" s="1206"/>
      <c r="PXT244" s="1206"/>
      <c r="PXU244" s="1206"/>
      <c r="PXV244" s="1206"/>
      <c r="PXW244" s="1206"/>
      <c r="PXX244" s="1206"/>
      <c r="PXY244" s="1206"/>
      <c r="PXZ244" s="1206"/>
      <c r="PYA244" s="1206"/>
      <c r="PYB244" s="1206"/>
      <c r="PYC244" s="1207"/>
      <c r="PYD244" s="1206"/>
      <c r="PYE244" s="1206"/>
      <c r="PYF244" s="1206"/>
      <c r="PYG244" s="1206"/>
      <c r="PYH244" s="1206"/>
      <c r="PYI244" s="1206"/>
      <c r="PYJ244" s="1206"/>
      <c r="PYK244" s="1206"/>
      <c r="PYL244" s="1206"/>
      <c r="PYM244" s="1206"/>
      <c r="PYN244" s="1206"/>
      <c r="PYO244" s="1206"/>
      <c r="PYP244" s="1206"/>
      <c r="PYQ244" s="1206"/>
      <c r="PYR244" s="1206"/>
      <c r="PYS244" s="1206"/>
      <c r="PYT244" s="1207"/>
      <c r="PYU244" s="1206"/>
      <c r="PYV244" s="1206"/>
      <c r="PYW244" s="1206"/>
      <c r="PYX244" s="1206"/>
      <c r="PYY244" s="1206"/>
      <c r="PYZ244" s="1206"/>
      <c r="PZA244" s="1206"/>
      <c r="PZB244" s="1206"/>
      <c r="PZC244" s="1206"/>
      <c r="PZD244" s="1206"/>
      <c r="PZE244" s="1206"/>
      <c r="PZF244" s="1206"/>
      <c r="PZG244" s="1206"/>
      <c r="PZH244" s="1206"/>
      <c r="PZI244" s="1206"/>
      <c r="PZJ244" s="1206"/>
      <c r="PZK244" s="1207"/>
      <c r="PZL244" s="1206"/>
      <c r="PZM244" s="1206"/>
      <c r="PZN244" s="1206"/>
      <c r="PZO244" s="1206"/>
      <c r="PZP244" s="1206"/>
      <c r="PZQ244" s="1206"/>
      <c r="PZR244" s="1206"/>
      <c r="PZS244" s="1206"/>
      <c r="PZT244" s="1206"/>
      <c r="PZU244" s="1206"/>
      <c r="PZV244" s="1206"/>
      <c r="PZW244" s="1206"/>
      <c r="PZX244" s="1206"/>
      <c r="PZY244" s="1206"/>
      <c r="PZZ244" s="1206"/>
      <c r="QAA244" s="1206"/>
      <c r="QAB244" s="1207"/>
      <c r="QAC244" s="1206"/>
      <c r="QAD244" s="1206"/>
      <c r="QAE244" s="1206"/>
      <c r="QAF244" s="1206"/>
      <c r="QAG244" s="1206"/>
      <c r="QAH244" s="1206"/>
      <c r="QAI244" s="1206"/>
      <c r="QAJ244" s="1206"/>
      <c r="QAK244" s="1206"/>
      <c r="QAL244" s="1206"/>
      <c r="QAM244" s="1206"/>
      <c r="QAN244" s="1206"/>
      <c r="QAO244" s="1206"/>
      <c r="QAP244" s="1206"/>
      <c r="QAQ244" s="1206"/>
      <c r="QAR244" s="1206"/>
      <c r="QAS244" s="1207"/>
      <c r="QAT244" s="1206"/>
      <c r="QAU244" s="1206"/>
      <c r="QAV244" s="1206"/>
      <c r="QAW244" s="1206"/>
      <c r="QAX244" s="1206"/>
      <c r="QAY244" s="1206"/>
      <c r="QAZ244" s="1206"/>
      <c r="QBA244" s="1206"/>
      <c r="QBB244" s="1206"/>
      <c r="QBC244" s="1206"/>
      <c r="QBD244" s="1206"/>
      <c r="QBE244" s="1206"/>
      <c r="QBF244" s="1206"/>
      <c r="QBG244" s="1206"/>
      <c r="QBH244" s="1206"/>
      <c r="QBI244" s="1206"/>
      <c r="QBJ244" s="1207"/>
      <c r="QBK244" s="1206"/>
      <c r="QBL244" s="1206"/>
      <c r="QBM244" s="1206"/>
      <c r="QBN244" s="1206"/>
      <c r="QBO244" s="1206"/>
      <c r="QBP244" s="1206"/>
      <c r="QBQ244" s="1206"/>
      <c r="QBR244" s="1206"/>
      <c r="QBS244" s="1206"/>
      <c r="QBT244" s="1206"/>
      <c r="QBU244" s="1206"/>
      <c r="QBV244" s="1206"/>
      <c r="QBW244" s="1206"/>
      <c r="QBX244" s="1206"/>
      <c r="QBY244" s="1206"/>
      <c r="QBZ244" s="1206"/>
      <c r="QCA244" s="1207"/>
      <c r="QCB244" s="1206"/>
      <c r="QCC244" s="1206"/>
      <c r="QCD244" s="1206"/>
      <c r="QCE244" s="1206"/>
      <c r="QCF244" s="1206"/>
      <c r="QCG244" s="1206"/>
      <c r="QCH244" s="1206"/>
      <c r="QCI244" s="1206"/>
      <c r="QCJ244" s="1206"/>
      <c r="QCK244" s="1206"/>
      <c r="QCL244" s="1206"/>
      <c r="QCM244" s="1206"/>
      <c r="QCN244" s="1206"/>
      <c r="QCO244" s="1206"/>
      <c r="QCP244" s="1206"/>
      <c r="QCQ244" s="1206"/>
      <c r="QCR244" s="1207"/>
      <c r="QCS244" s="1206"/>
      <c r="QCT244" s="1206"/>
      <c r="QCU244" s="1206"/>
      <c r="QCV244" s="1206"/>
      <c r="QCW244" s="1206"/>
      <c r="QCX244" s="1206"/>
      <c r="QCY244" s="1206"/>
      <c r="QCZ244" s="1206"/>
      <c r="QDA244" s="1206"/>
      <c r="QDB244" s="1206"/>
      <c r="QDC244" s="1206"/>
      <c r="QDD244" s="1206"/>
      <c r="QDE244" s="1206"/>
      <c r="QDF244" s="1206"/>
      <c r="QDG244" s="1206"/>
      <c r="QDH244" s="1206"/>
      <c r="QDI244" s="1207"/>
      <c r="QDJ244" s="1206"/>
      <c r="QDK244" s="1206"/>
      <c r="QDL244" s="1206"/>
      <c r="QDM244" s="1206"/>
      <c r="QDN244" s="1206"/>
      <c r="QDO244" s="1206"/>
      <c r="QDP244" s="1206"/>
      <c r="QDQ244" s="1206"/>
      <c r="QDR244" s="1206"/>
      <c r="QDS244" s="1206"/>
      <c r="QDT244" s="1206"/>
      <c r="QDU244" s="1206"/>
      <c r="QDV244" s="1206"/>
      <c r="QDW244" s="1206"/>
      <c r="QDX244" s="1206"/>
      <c r="QDY244" s="1206"/>
      <c r="QDZ244" s="1207"/>
      <c r="QEA244" s="1206"/>
      <c r="QEB244" s="1206"/>
      <c r="QEC244" s="1206"/>
      <c r="QED244" s="1206"/>
      <c r="QEE244" s="1206"/>
      <c r="QEF244" s="1206"/>
      <c r="QEG244" s="1206"/>
      <c r="QEH244" s="1206"/>
      <c r="QEI244" s="1206"/>
      <c r="QEJ244" s="1206"/>
      <c r="QEK244" s="1206"/>
      <c r="QEL244" s="1206"/>
      <c r="QEM244" s="1206"/>
      <c r="QEN244" s="1206"/>
      <c r="QEO244" s="1206"/>
      <c r="QEP244" s="1206"/>
      <c r="QEQ244" s="1207"/>
      <c r="QER244" s="1206"/>
      <c r="QES244" s="1206"/>
      <c r="QET244" s="1206"/>
      <c r="QEU244" s="1206"/>
      <c r="QEV244" s="1206"/>
      <c r="QEW244" s="1206"/>
      <c r="QEX244" s="1206"/>
      <c r="QEY244" s="1206"/>
      <c r="QEZ244" s="1206"/>
      <c r="QFA244" s="1206"/>
      <c r="QFB244" s="1206"/>
      <c r="QFC244" s="1206"/>
      <c r="QFD244" s="1206"/>
      <c r="QFE244" s="1206"/>
      <c r="QFF244" s="1206"/>
      <c r="QFG244" s="1206"/>
      <c r="QFH244" s="1207"/>
      <c r="QFI244" s="1206"/>
      <c r="QFJ244" s="1206"/>
      <c r="QFK244" s="1206"/>
      <c r="QFL244" s="1206"/>
      <c r="QFM244" s="1206"/>
      <c r="QFN244" s="1206"/>
      <c r="QFO244" s="1206"/>
      <c r="QFP244" s="1206"/>
      <c r="QFQ244" s="1206"/>
      <c r="QFR244" s="1206"/>
      <c r="QFS244" s="1206"/>
      <c r="QFT244" s="1206"/>
      <c r="QFU244" s="1206"/>
      <c r="QFV244" s="1206"/>
      <c r="QFW244" s="1206"/>
      <c r="QFX244" s="1206"/>
      <c r="QFY244" s="1207"/>
      <c r="QFZ244" s="1206"/>
      <c r="QGA244" s="1206"/>
      <c r="QGB244" s="1206"/>
      <c r="QGC244" s="1206"/>
      <c r="QGD244" s="1206"/>
      <c r="QGE244" s="1206"/>
      <c r="QGF244" s="1206"/>
      <c r="QGG244" s="1206"/>
      <c r="QGH244" s="1206"/>
      <c r="QGI244" s="1206"/>
      <c r="QGJ244" s="1206"/>
      <c r="QGK244" s="1206"/>
      <c r="QGL244" s="1206"/>
      <c r="QGM244" s="1206"/>
      <c r="QGN244" s="1206"/>
      <c r="QGO244" s="1206"/>
      <c r="QGP244" s="1207"/>
      <c r="QGQ244" s="1206"/>
      <c r="QGR244" s="1206"/>
      <c r="QGS244" s="1206"/>
      <c r="QGT244" s="1206"/>
      <c r="QGU244" s="1206"/>
      <c r="QGV244" s="1206"/>
      <c r="QGW244" s="1206"/>
      <c r="QGX244" s="1206"/>
      <c r="QGY244" s="1206"/>
      <c r="QGZ244" s="1206"/>
      <c r="QHA244" s="1206"/>
      <c r="QHB244" s="1206"/>
      <c r="QHC244" s="1206"/>
      <c r="QHD244" s="1206"/>
      <c r="QHE244" s="1206"/>
      <c r="QHF244" s="1206"/>
      <c r="QHG244" s="1207"/>
      <c r="QHH244" s="1206"/>
      <c r="QHI244" s="1206"/>
      <c r="QHJ244" s="1206"/>
      <c r="QHK244" s="1206"/>
      <c r="QHL244" s="1206"/>
      <c r="QHM244" s="1206"/>
      <c r="QHN244" s="1206"/>
      <c r="QHO244" s="1206"/>
      <c r="QHP244" s="1206"/>
      <c r="QHQ244" s="1206"/>
      <c r="QHR244" s="1206"/>
      <c r="QHS244" s="1206"/>
      <c r="QHT244" s="1206"/>
      <c r="QHU244" s="1206"/>
      <c r="QHV244" s="1206"/>
      <c r="QHW244" s="1206"/>
      <c r="QHX244" s="1207"/>
      <c r="QHY244" s="1206"/>
      <c r="QHZ244" s="1206"/>
      <c r="QIA244" s="1206"/>
      <c r="QIB244" s="1206"/>
      <c r="QIC244" s="1206"/>
      <c r="QID244" s="1206"/>
      <c r="QIE244" s="1206"/>
      <c r="QIF244" s="1206"/>
      <c r="QIG244" s="1206"/>
      <c r="QIH244" s="1206"/>
      <c r="QII244" s="1206"/>
      <c r="QIJ244" s="1206"/>
      <c r="QIK244" s="1206"/>
      <c r="QIL244" s="1206"/>
      <c r="QIM244" s="1206"/>
      <c r="QIN244" s="1206"/>
      <c r="QIO244" s="1207"/>
      <c r="QIP244" s="1206"/>
      <c r="QIQ244" s="1206"/>
      <c r="QIR244" s="1206"/>
      <c r="QIS244" s="1206"/>
      <c r="QIT244" s="1206"/>
      <c r="QIU244" s="1206"/>
      <c r="QIV244" s="1206"/>
      <c r="QIW244" s="1206"/>
      <c r="QIX244" s="1206"/>
      <c r="QIY244" s="1206"/>
      <c r="QIZ244" s="1206"/>
      <c r="QJA244" s="1206"/>
      <c r="QJB244" s="1206"/>
      <c r="QJC244" s="1206"/>
      <c r="QJD244" s="1206"/>
      <c r="QJE244" s="1206"/>
      <c r="QJF244" s="1207"/>
      <c r="QJG244" s="1206"/>
      <c r="QJH244" s="1206"/>
      <c r="QJI244" s="1206"/>
      <c r="QJJ244" s="1206"/>
      <c r="QJK244" s="1206"/>
      <c r="QJL244" s="1206"/>
      <c r="QJM244" s="1206"/>
      <c r="QJN244" s="1206"/>
      <c r="QJO244" s="1206"/>
      <c r="QJP244" s="1206"/>
      <c r="QJQ244" s="1206"/>
      <c r="QJR244" s="1206"/>
      <c r="QJS244" s="1206"/>
      <c r="QJT244" s="1206"/>
      <c r="QJU244" s="1206"/>
      <c r="QJV244" s="1206"/>
      <c r="QJW244" s="1207"/>
      <c r="QJX244" s="1206"/>
      <c r="QJY244" s="1206"/>
      <c r="QJZ244" s="1206"/>
      <c r="QKA244" s="1206"/>
      <c r="QKB244" s="1206"/>
      <c r="QKC244" s="1206"/>
      <c r="QKD244" s="1206"/>
      <c r="QKE244" s="1206"/>
      <c r="QKF244" s="1206"/>
      <c r="QKG244" s="1206"/>
      <c r="QKH244" s="1206"/>
      <c r="QKI244" s="1206"/>
      <c r="QKJ244" s="1206"/>
      <c r="QKK244" s="1206"/>
      <c r="QKL244" s="1206"/>
      <c r="QKM244" s="1206"/>
      <c r="QKN244" s="1207"/>
      <c r="QKO244" s="1206"/>
      <c r="QKP244" s="1206"/>
      <c r="QKQ244" s="1206"/>
      <c r="QKR244" s="1206"/>
      <c r="QKS244" s="1206"/>
      <c r="QKT244" s="1206"/>
      <c r="QKU244" s="1206"/>
      <c r="QKV244" s="1206"/>
      <c r="QKW244" s="1206"/>
      <c r="QKX244" s="1206"/>
      <c r="QKY244" s="1206"/>
      <c r="QKZ244" s="1206"/>
      <c r="QLA244" s="1206"/>
      <c r="QLB244" s="1206"/>
      <c r="QLC244" s="1206"/>
      <c r="QLD244" s="1206"/>
      <c r="QLE244" s="1207"/>
      <c r="QLF244" s="1206"/>
      <c r="QLG244" s="1206"/>
      <c r="QLH244" s="1206"/>
      <c r="QLI244" s="1206"/>
      <c r="QLJ244" s="1206"/>
      <c r="QLK244" s="1206"/>
      <c r="QLL244" s="1206"/>
      <c r="QLM244" s="1206"/>
      <c r="QLN244" s="1206"/>
      <c r="QLO244" s="1206"/>
      <c r="QLP244" s="1206"/>
      <c r="QLQ244" s="1206"/>
      <c r="QLR244" s="1206"/>
      <c r="QLS244" s="1206"/>
      <c r="QLT244" s="1206"/>
      <c r="QLU244" s="1206"/>
      <c r="QLV244" s="1207"/>
      <c r="QLW244" s="1206"/>
      <c r="QLX244" s="1206"/>
      <c r="QLY244" s="1206"/>
      <c r="QLZ244" s="1206"/>
      <c r="QMA244" s="1206"/>
      <c r="QMB244" s="1206"/>
      <c r="QMC244" s="1206"/>
      <c r="QMD244" s="1206"/>
      <c r="QME244" s="1206"/>
      <c r="QMF244" s="1206"/>
      <c r="QMG244" s="1206"/>
      <c r="QMH244" s="1206"/>
      <c r="QMI244" s="1206"/>
      <c r="QMJ244" s="1206"/>
      <c r="QMK244" s="1206"/>
      <c r="QML244" s="1206"/>
      <c r="QMM244" s="1207"/>
      <c r="QMN244" s="1206"/>
      <c r="QMO244" s="1206"/>
      <c r="QMP244" s="1206"/>
      <c r="QMQ244" s="1206"/>
      <c r="QMR244" s="1206"/>
      <c r="QMS244" s="1206"/>
      <c r="QMT244" s="1206"/>
      <c r="QMU244" s="1206"/>
      <c r="QMV244" s="1206"/>
      <c r="QMW244" s="1206"/>
      <c r="QMX244" s="1206"/>
      <c r="QMY244" s="1206"/>
      <c r="QMZ244" s="1206"/>
      <c r="QNA244" s="1206"/>
      <c r="QNB244" s="1206"/>
      <c r="QNC244" s="1206"/>
      <c r="QND244" s="1207"/>
      <c r="QNE244" s="1206"/>
      <c r="QNF244" s="1206"/>
      <c r="QNG244" s="1206"/>
      <c r="QNH244" s="1206"/>
      <c r="QNI244" s="1206"/>
      <c r="QNJ244" s="1206"/>
      <c r="QNK244" s="1206"/>
      <c r="QNL244" s="1206"/>
      <c r="QNM244" s="1206"/>
      <c r="QNN244" s="1206"/>
      <c r="QNO244" s="1206"/>
      <c r="QNP244" s="1206"/>
      <c r="QNQ244" s="1206"/>
      <c r="QNR244" s="1206"/>
      <c r="QNS244" s="1206"/>
      <c r="QNT244" s="1206"/>
      <c r="QNU244" s="1207"/>
      <c r="QNV244" s="1206"/>
      <c r="QNW244" s="1206"/>
      <c r="QNX244" s="1206"/>
      <c r="QNY244" s="1206"/>
      <c r="QNZ244" s="1206"/>
      <c r="QOA244" s="1206"/>
      <c r="QOB244" s="1206"/>
      <c r="QOC244" s="1206"/>
      <c r="QOD244" s="1206"/>
      <c r="QOE244" s="1206"/>
      <c r="QOF244" s="1206"/>
      <c r="QOG244" s="1206"/>
      <c r="QOH244" s="1206"/>
      <c r="QOI244" s="1206"/>
      <c r="QOJ244" s="1206"/>
      <c r="QOK244" s="1206"/>
      <c r="QOL244" s="1207"/>
      <c r="QOM244" s="1206"/>
      <c r="QON244" s="1206"/>
      <c r="QOO244" s="1206"/>
      <c r="QOP244" s="1206"/>
      <c r="QOQ244" s="1206"/>
      <c r="QOR244" s="1206"/>
      <c r="QOS244" s="1206"/>
      <c r="QOT244" s="1206"/>
      <c r="QOU244" s="1206"/>
      <c r="QOV244" s="1206"/>
      <c r="QOW244" s="1206"/>
      <c r="QOX244" s="1206"/>
      <c r="QOY244" s="1206"/>
      <c r="QOZ244" s="1206"/>
      <c r="QPA244" s="1206"/>
      <c r="QPB244" s="1206"/>
      <c r="QPC244" s="1207"/>
      <c r="QPD244" s="1206"/>
      <c r="QPE244" s="1206"/>
      <c r="QPF244" s="1206"/>
      <c r="QPG244" s="1206"/>
      <c r="QPH244" s="1206"/>
      <c r="QPI244" s="1206"/>
      <c r="QPJ244" s="1206"/>
      <c r="QPK244" s="1206"/>
      <c r="QPL244" s="1206"/>
      <c r="QPM244" s="1206"/>
      <c r="QPN244" s="1206"/>
      <c r="QPO244" s="1206"/>
      <c r="QPP244" s="1206"/>
      <c r="QPQ244" s="1206"/>
      <c r="QPR244" s="1206"/>
      <c r="QPS244" s="1206"/>
      <c r="QPT244" s="1207"/>
      <c r="QPU244" s="1206"/>
      <c r="QPV244" s="1206"/>
      <c r="QPW244" s="1206"/>
      <c r="QPX244" s="1206"/>
      <c r="QPY244" s="1206"/>
      <c r="QPZ244" s="1206"/>
      <c r="QQA244" s="1206"/>
      <c r="QQB244" s="1206"/>
      <c r="QQC244" s="1206"/>
      <c r="QQD244" s="1206"/>
      <c r="QQE244" s="1206"/>
      <c r="QQF244" s="1206"/>
      <c r="QQG244" s="1206"/>
      <c r="QQH244" s="1206"/>
      <c r="QQI244" s="1206"/>
      <c r="QQJ244" s="1206"/>
      <c r="QQK244" s="1207"/>
      <c r="QQL244" s="1206"/>
      <c r="QQM244" s="1206"/>
      <c r="QQN244" s="1206"/>
      <c r="QQO244" s="1206"/>
      <c r="QQP244" s="1206"/>
      <c r="QQQ244" s="1206"/>
      <c r="QQR244" s="1206"/>
      <c r="QQS244" s="1206"/>
      <c r="QQT244" s="1206"/>
      <c r="QQU244" s="1206"/>
      <c r="QQV244" s="1206"/>
      <c r="QQW244" s="1206"/>
      <c r="QQX244" s="1206"/>
      <c r="QQY244" s="1206"/>
      <c r="QQZ244" s="1206"/>
      <c r="QRA244" s="1206"/>
      <c r="QRB244" s="1207"/>
      <c r="QRC244" s="1206"/>
      <c r="QRD244" s="1206"/>
      <c r="QRE244" s="1206"/>
      <c r="QRF244" s="1206"/>
      <c r="QRG244" s="1206"/>
      <c r="QRH244" s="1206"/>
      <c r="QRI244" s="1206"/>
      <c r="QRJ244" s="1206"/>
      <c r="QRK244" s="1206"/>
      <c r="QRL244" s="1206"/>
      <c r="QRM244" s="1206"/>
      <c r="QRN244" s="1206"/>
      <c r="QRO244" s="1206"/>
      <c r="QRP244" s="1206"/>
      <c r="QRQ244" s="1206"/>
      <c r="QRR244" s="1206"/>
      <c r="QRS244" s="1207"/>
      <c r="QRT244" s="1206"/>
      <c r="QRU244" s="1206"/>
      <c r="QRV244" s="1206"/>
      <c r="QRW244" s="1206"/>
      <c r="QRX244" s="1206"/>
      <c r="QRY244" s="1206"/>
      <c r="QRZ244" s="1206"/>
      <c r="QSA244" s="1206"/>
      <c r="QSB244" s="1206"/>
      <c r="QSC244" s="1206"/>
      <c r="QSD244" s="1206"/>
      <c r="QSE244" s="1206"/>
      <c r="QSF244" s="1206"/>
      <c r="QSG244" s="1206"/>
      <c r="QSH244" s="1206"/>
      <c r="QSI244" s="1206"/>
      <c r="QSJ244" s="1207"/>
      <c r="QSK244" s="1206"/>
      <c r="QSL244" s="1206"/>
      <c r="QSM244" s="1206"/>
      <c r="QSN244" s="1206"/>
      <c r="QSO244" s="1206"/>
      <c r="QSP244" s="1206"/>
      <c r="QSQ244" s="1206"/>
      <c r="QSR244" s="1206"/>
      <c r="QSS244" s="1206"/>
      <c r="QST244" s="1206"/>
      <c r="QSU244" s="1206"/>
      <c r="QSV244" s="1206"/>
      <c r="QSW244" s="1206"/>
      <c r="QSX244" s="1206"/>
      <c r="QSY244" s="1206"/>
      <c r="QSZ244" s="1206"/>
      <c r="QTA244" s="1207"/>
      <c r="QTB244" s="1206"/>
      <c r="QTC244" s="1206"/>
      <c r="QTD244" s="1206"/>
      <c r="QTE244" s="1206"/>
      <c r="QTF244" s="1206"/>
      <c r="QTG244" s="1206"/>
      <c r="QTH244" s="1206"/>
      <c r="QTI244" s="1206"/>
      <c r="QTJ244" s="1206"/>
      <c r="QTK244" s="1206"/>
      <c r="QTL244" s="1206"/>
      <c r="QTM244" s="1206"/>
      <c r="QTN244" s="1206"/>
      <c r="QTO244" s="1206"/>
      <c r="QTP244" s="1206"/>
      <c r="QTQ244" s="1206"/>
      <c r="QTR244" s="1207"/>
      <c r="QTS244" s="1206"/>
      <c r="QTT244" s="1206"/>
      <c r="QTU244" s="1206"/>
      <c r="QTV244" s="1206"/>
      <c r="QTW244" s="1206"/>
      <c r="QTX244" s="1206"/>
      <c r="QTY244" s="1206"/>
      <c r="QTZ244" s="1206"/>
      <c r="QUA244" s="1206"/>
      <c r="QUB244" s="1206"/>
      <c r="QUC244" s="1206"/>
      <c r="QUD244" s="1206"/>
      <c r="QUE244" s="1206"/>
      <c r="QUF244" s="1206"/>
      <c r="QUG244" s="1206"/>
      <c r="QUH244" s="1206"/>
      <c r="QUI244" s="1207"/>
      <c r="QUJ244" s="1206"/>
      <c r="QUK244" s="1206"/>
      <c r="QUL244" s="1206"/>
      <c r="QUM244" s="1206"/>
      <c r="QUN244" s="1206"/>
      <c r="QUO244" s="1206"/>
      <c r="QUP244" s="1206"/>
      <c r="QUQ244" s="1206"/>
      <c r="QUR244" s="1206"/>
      <c r="QUS244" s="1206"/>
      <c r="QUT244" s="1206"/>
      <c r="QUU244" s="1206"/>
      <c r="QUV244" s="1206"/>
      <c r="QUW244" s="1206"/>
      <c r="QUX244" s="1206"/>
      <c r="QUY244" s="1206"/>
      <c r="QUZ244" s="1207"/>
      <c r="QVA244" s="1206"/>
      <c r="QVB244" s="1206"/>
      <c r="QVC244" s="1206"/>
      <c r="QVD244" s="1206"/>
      <c r="QVE244" s="1206"/>
      <c r="QVF244" s="1206"/>
      <c r="QVG244" s="1206"/>
      <c r="QVH244" s="1206"/>
      <c r="QVI244" s="1206"/>
      <c r="QVJ244" s="1206"/>
      <c r="QVK244" s="1206"/>
      <c r="QVL244" s="1206"/>
      <c r="QVM244" s="1206"/>
      <c r="QVN244" s="1206"/>
      <c r="QVO244" s="1206"/>
      <c r="QVP244" s="1206"/>
      <c r="QVQ244" s="1207"/>
      <c r="QVR244" s="1206"/>
      <c r="QVS244" s="1206"/>
      <c r="QVT244" s="1206"/>
      <c r="QVU244" s="1206"/>
      <c r="QVV244" s="1206"/>
      <c r="QVW244" s="1206"/>
      <c r="QVX244" s="1206"/>
      <c r="QVY244" s="1206"/>
      <c r="QVZ244" s="1206"/>
      <c r="QWA244" s="1206"/>
      <c r="QWB244" s="1206"/>
      <c r="QWC244" s="1206"/>
      <c r="QWD244" s="1206"/>
      <c r="QWE244" s="1206"/>
      <c r="QWF244" s="1206"/>
      <c r="QWG244" s="1206"/>
      <c r="QWH244" s="1207"/>
      <c r="QWI244" s="1206"/>
      <c r="QWJ244" s="1206"/>
      <c r="QWK244" s="1206"/>
      <c r="QWL244" s="1206"/>
      <c r="QWM244" s="1206"/>
      <c r="QWN244" s="1206"/>
      <c r="QWO244" s="1206"/>
      <c r="QWP244" s="1206"/>
      <c r="QWQ244" s="1206"/>
      <c r="QWR244" s="1206"/>
      <c r="QWS244" s="1206"/>
      <c r="QWT244" s="1206"/>
      <c r="QWU244" s="1206"/>
      <c r="QWV244" s="1206"/>
      <c r="QWW244" s="1206"/>
      <c r="QWX244" s="1206"/>
      <c r="QWY244" s="1207"/>
      <c r="QWZ244" s="1206"/>
      <c r="QXA244" s="1206"/>
      <c r="QXB244" s="1206"/>
      <c r="QXC244" s="1206"/>
      <c r="QXD244" s="1206"/>
      <c r="QXE244" s="1206"/>
      <c r="QXF244" s="1206"/>
      <c r="QXG244" s="1206"/>
      <c r="QXH244" s="1206"/>
      <c r="QXI244" s="1206"/>
      <c r="QXJ244" s="1206"/>
      <c r="QXK244" s="1206"/>
      <c r="QXL244" s="1206"/>
      <c r="QXM244" s="1206"/>
      <c r="QXN244" s="1206"/>
      <c r="QXO244" s="1206"/>
      <c r="QXP244" s="1207"/>
      <c r="QXQ244" s="1206"/>
      <c r="QXR244" s="1206"/>
      <c r="QXS244" s="1206"/>
      <c r="QXT244" s="1206"/>
      <c r="QXU244" s="1206"/>
      <c r="QXV244" s="1206"/>
      <c r="QXW244" s="1206"/>
      <c r="QXX244" s="1206"/>
      <c r="QXY244" s="1206"/>
      <c r="QXZ244" s="1206"/>
      <c r="QYA244" s="1206"/>
      <c r="QYB244" s="1206"/>
      <c r="QYC244" s="1206"/>
      <c r="QYD244" s="1206"/>
      <c r="QYE244" s="1206"/>
      <c r="QYF244" s="1206"/>
      <c r="QYG244" s="1207"/>
      <c r="QYH244" s="1206"/>
      <c r="QYI244" s="1206"/>
      <c r="QYJ244" s="1206"/>
      <c r="QYK244" s="1206"/>
      <c r="QYL244" s="1206"/>
      <c r="QYM244" s="1206"/>
      <c r="QYN244" s="1206"/>
      <c r="QYO244" s="1206"/>
      <c r="QYP244" s="1206"/>
      <c r="QYQ244" s="1206"/>
      <c r="QYR244" s="1206"/>
      <c r="QYS244" s="1206"/>
      <c r="QYT244" s="1206"/>
      <c r="QYU244" s="1206"/>
      <c r="QYV244" s="1206"/>
      <c r="QYW244" s="1206"/>
      <c r="QYX244" s="1207"/>
      <c r="QYY244" s="1206"/>
      <c r="QYZ244" s="1206"/>
      <c r="QZA244" s="1206"/>
      <c r="QZB244" s="1206"/>
      <c r="QZC244" s="1206"/>
      <c r="QZD244" s="1206"/>
      <c r="QZE244" s="1206"/>
      <c r="QZF244" s="1206"/>
      <c r="QZG244" s="1206"/>
      <c r="QZH244" s="1206"/>
      <c r="QZI244" s="1206"/>
      <c r="QZJ244" s="1206"/>
      <c r="QZK244" s="1206"/>
      <c r="QZL244" s="1206"/>
      <c r="QZM244" s="1206"/>
      <c r="QZN244" s="1206"/>
      <c r="QZO244" s="1207"/>
      <c r="QZP244" s="1206"/>
      <c r="QZQ244" s="1206"/>
      <c r="QZR244" s="1206"/>
      <c r="QZS244" s="1206"/>
      <c r="QZT244" s="1206"/>
      <c r="QZU244" s="1206"/>
      <c r="QZV244" s="1206"/>
      <c r="QZW244" s="1206"/>
      <c r="QZX244" s="1206"/>
      <c r="QZY244" s="1206"/>
      <c r="QZZ244" s="1206"/>
      <c r="RAA244" s="1206"/>
      <c r="RAB244" s="1206"/>
      <c r="RAC244" s="1206"/>
      <c r="RAD244" s="1206"/>
      <c r="RAE244" s="1206"/>
      <c r="RAF244" s="1207"/>
      <c r="RAG244" s="1206"/>
      <c r="RAH244" s="1206"/>
      <c r="RAI244" s="1206"/>
      <c r="RAJ244" s="1206"/>
      <c r="RAK244" s="1206"/>
      <c r="RAL244" s="1206"/>
      <c r="RAM244" s="1206"/>
      <c r="RAN244" s="1206"/>
      <c r="RAO244" s="1206"/>
      <c r="RAP244" s="1206"/>
      <c r="RAQ244" s="1206"/>
      <c r="RAR244" s="1206"/>
      <c r="RAS244" s="1206"/>
      <c r="RAT244" s="1206"/>
      <c r="RAU244" s="1206"/>
      <c r="RAV244" s="1206"/>
      <c r="RAW244" s="1207"/>
      <c r="RAX244" s="1206"/>
      <c r="RAY244" s="1206"/>
      <c r="RAZ244" s="1206"/>
      <c r="RBA244" s="1206"/>
      <c r="RBB244" s="1206"/>
      <c r="RBC244" s="1206"/>
      <c r="RBD244" s="1206"/>
      <c r="RBE244" s="1206"/>
      <c r="RBF244" s="1206"/>
      <c r="RBG244" s="1206"/>
      <c r="RBH244" s="1206"/>
      <c r="RBI244" s="1206"/>
      <c r="RBJ244" s="1206"/>
      <c r="RBK244" s="1206"/>
      <c r="RBL244" s="1206"/>
      <c r="RBM244" s="1206"/>
      <c r="RBN244" s="1207"/>
      <c r="RBO244" s="1206"/>
      <c r="RBP244" s="1206"/>
      <c r="RBQ244" s="1206"/>
      <c r="RBR244" s="1206"/>
      <c r="RBS244" s="1206"/>
      <c r="RBT244" s="1206"/>
      <c r="RBU244" s="1206"/>
      <c r="RBV244" s="1206"/>
      <c r="RBW244" s="1206"/>
      <c r="RBX244" s="1206"/>
      <c r="RBY244" s="1206"/>
      <c r="RBZ244" s="1206"/>
      <c r="RCA244" s="1206"/>
      <c r="RCB244" s="1206"/>
      <c r="RCC244" s="1206"/>
      <c r="RCD244" s="1206"/>
      <c r="RCE244" s="1207"/>
      <c r="RCF244" s="1206"/>
      <c r="RCG244" s="1206"/>
      <c r="RCH244" s="1206"/>
      <c r="RCI244" s="1206"/>
      <c r="RCJ244" s="1206"/>
      <c r="RCK244" s="1206"/>
      <c r="RCL244" s="1206"/>
      <c r="RCM244" s="1206"/>
      <c r="RCN244" s="1206"/>
      <c r="RCO244" s="1206"/>
      <c r="RCP244" s="1206"/>
      <c r="RCQ244" s="1206"/>
      <c r="RCR244" s="1206"/>
      <c r="RCS244" s="1206"/>
      <c r="RCT244" s="1206"/>
      <c r="RCU244" s="1206"/>
      <c r="RCV244" s="1207"/>
      <c r="RCW244" s="1206"/>
      <c r="RCX244" s="1206"/>
      <c r="RCY244" s="1206"/>
      <c r="RCZ244" s="1206"/>
      <c r="RDA244" s="1206"/>
      <c r="RDB244" s="1206"/>
      <c r="RDC244" s="1206"/>
      <c r="RDD244" s="1206"/>
      <c r="RDE244" s="1206"/>
      <c r="RDF244" s="1206"/>
      <c r="RDG244" s="1206"/>
      <c r="RDH244" s="1206"/>
      <c r="RDI244" s="1206"/>
      <c r="RDJ244" s="1206"/>
      <c r="RDK244" s="1206"/>
      <c r="RDL244" s="1206"/>
      <c r="RDM244" s="1207"/>
      <c r="RDN244" s="1206"/>
      <c r="RDO244" s="1206"/>
      <c r="RDP244" s="1206"/>
      <c r="RDQ244" s="1206"/>
      <c r="RDR244" s="1206"/>
      <c r="RDS244" s="1206"/>
      <c r="RDT244" s="1206"/>
      <c r="RDU244" s="1206"/>
      <c r="RDV244" s="1206"/>
      <c r="RDW244" s="1206"/>
      <c r="RDX244" s="1206"/>
      <c r="RDY244" s="1206"/>
      <c r="RDZ244" s="1206"/>
      <c r="REA244" s="1206"/>
      <c r="REB244" s="1206"/>
      <c r="REC244" s="1206"/>
      <c r="RED244" s="1207"/>
    </row>
    <row r="245" spans="1:12302" s="78" customFormat="1" ht="48" customHeight="1" x14ac:dyDescent="0.25">
      <c r="A245" s="994">
        <v>22</v>
      </c>
      <c r="B245" s="763" t="s">
        <v>8</v>
      </c>
      <c r="C245" s="752"/>
      <c r="D245" s="101"/>
      <c r="E245" s="402" t="s">
        <v>1274</v>
      </c>
      <c r="F245" s="688">
        <f>F246+F247</f>
        <v>17529.400000000001</v>
      </c>
      <c r="G245" s="440">
        <f>SUM(G246:G247)</f>
        <v>17529.399999999998</v>
      </c>
      <c r="H245" s="440">
        <f>SUM(H246:H247)</f>
        <v>17813.3</v>
      </c>
      <c r="I245" s="440">
        <f>SUM(I246:I247)</f>
        <v>17913.3</v>
      </c>
      <c r="J245" s="440">
        <f>SUM(J246:J247)</f>
        <v>18013.3</v>
      </c>
      <c r="K245" s="57" t="s">
        <v>9</v>
      </c>
      <c r="L245" s="635" t="s">
        <v>69</v>
      </c>
      <c r="M245" s="635">
        <v>1</v>
      </c>
      <c r="N245" s="635">
        <v>1</v>
      </c>
      <c r="O245" s="635">
        <v>1</v>
      </c>
      <c r="P245" s="635">
        <v>1</v>
      </c>
      <c r="Q245" s="518">
        <v>1</v>
      </c>
    </row>
    <row r="246" spans="1:12302" s="78" customFormat="1" ht="45" x14ac:dyDescent="0.25">
      <c r="A246" s="994"/>
      <c r="B246" s="763"/>
      <c r="C246" s="682" t="s">
        <v>43</v>
      </c>
      <c r="D246" s="101"/>
      <c r="E246" s="436" t="s">
        <v>356</v>
      </c>
      <c r="F246" s="640">
        <v>14686.7</v>
      </c>
      <c r="G246" s="102">
        <v>14686.8</v>
      </c>
      <c r="H246" s="102">
        <v>14940.6</v>
      </c>
      <c r="I246" s="102">
        <v>15040.6</v>
      </c>
      <c r="J246" s="102">
        <v>15140.6</v>
      </c>
      <c r="K246" s="57"/>
      <c r="L246" s="635"/>
      <c r="M246" s="635">
        <v>1</v>
      </c>
      <c r="N246" s="635">
        <v>1</v>
      </c>
      <c r="O246" s="635">
        <v>1</v>
      </c>
      <c r="P246" s="635">
        <v>1</v>
      </c>
      <c r="Q246" s="518">
        <v>1</v>
      </c>
    </row>
    <row r="247" spans="1:12302" s="78" customFormat="1" ht="45" x14ac:dyDescent="0.25">
      <c r="A247" s="994"/>
      <c r="B247" s="763"/>
      <c r="C247" s="682" t="s">
        <v>48</v>
      </c>
      <c r="D247" s="101"/>
      <c r="E247" s="436" t="s">
        <v>357</v>
      </c>
      <c r="F247" s="155">
        <v>2842.7</v>
      </c>
      <c r="G247" s="103">
        <v>2842.6</v>
      </c>
      <c r="H247" s="103">
        <v>2872.7</v>
      </c>
      <c r="I247" s="103">
        <v>2872.7</v>
      </c>
      <c r="J247" s="103">
        <v>2872.7</v>
      </c>
      <c r="K247" s="57"/>
      <c r="L247" s="635"/>
      <c r="M247" s="635">
        <v>1</v>
      </c>
      <c r="N247" s="635">
        <v>1</v>
      </c>
      <c r="O247" s="635">
        <v>1</v>
      </c>
      <c r="P247" s="635">
        <v>1</v>
      </c>
      <c r="Q247" s="518">
        <v>1</v>
      </c>
    </row>
    <row r="248" spans="1:12302" s="78" customFormat="1" ht="60" customHeight="1" x14ac:dyDescent="0.25">
      <c r="A248" s="994"/>
      <c r="B248" s="763" t="s">
        <v>365</v>
      </c>
      <c r="C248" s="682"/>
      <c r="D248" s="101"/>
      <c r="E248" s="633" t="s">
        <v>1273</v>
      </c>
      <c r="F248" s="156">
        <f>F249</f>
        <v>30734.1</v>
      </c>
      <c r="G248" s="634">
        <f>SUM(G249:G249)</f>
        <v>48798.400000000001</v>
      </c>
      <c r="H248" s="634">
        <f>SUM(H249:H249)</f>
        <v>74867</v>
      </c>
      <c r="I248" s="634">
        <f>SUM(I249:I249)</f>
        <v>76136.799999999988</v>
      </c>
      <c r="J248" s="634">
        <f>SUM(J249:J249)</f>
        <v>78134.5</v>
      </c>
      <c r="K248" s="57"/>
      <c r="L248" s="635"/>
      <c r="M248" s="635"/>
      <c r="N248" s="635"/>
      <c r="O248" s="635"/>
      <c r="P248" s="635"/>
      <c r="Q248" s="518"/>
    </row>
    <row r="249" spans="1:12302" s="78" customFormat="1" ht="36" customHeight="1" x14ac:dyDescent="0.25">
      <c r="A249" s="994"/>
      <c r="B249" s="637"/>
      <c r="C249" s="682" t="s">
        <v>43</v>
      </c>
      <c r="D249" s="101"/>
      <c r="E249" s="628" t="s">
        <v>358</v>
      </c>
      <c r="F249" s="640">
        <v>30734.1</v>
      </c>
      <c r="G249" s="102">
        <v>48798.400000000001</v>
      </c>
      <c r="H249" s="102">
        <f>48798.4+26068.6</f>
        <v>74867</v>
      </c>
      <c r="I249" s="102">
        <f>50068.2+26068.6</f>
        <v>76136.799999999988</v>
      </c>
      <c r="J249" s="102">
        <f>52065.9+26068.6</f>
        <v>78134.5</v>
      </c>
      <c r="K249" s="57" t="s">
        <v>359</v>
      </c>
      <c r="L249" s="635" t="s">
        <v>163</v>
      </c>
      <c r="M249" s="104">
        <v>5988</v>
      </c>
      <c r="N249" s="104">
        <v>6000</v>
      </c>
      <c r="O249" s="104">
        <v>6050</v>
      </c>
      <c r="P249" s="104">
        <v>6100</v>
      </c>
      <c r="Q249" s="519">
        <v>6150</v>
      </c>
    </row>
    <row r="250" spans="1:12302" s="23" customFormat="1" ht="21.75" customHeight="1" x14ac:dyDescent="0.25">
      <c r="A250" s="1004" t="s">
        <v>219</v>
      </c>
      <c r="B250" s="1005"/>
      <c r="C250" s="1005"/>
      <c r="D250" s="1005"/>
      <c r="E250" s="1005"/>
      <c r="F250" s="28">
        <f>F248+F245</f>
        <v>48263.5</v>
      </c>
      <c r="G250" s="28">
        <f>G248+G245</f>
        <v>66327.8</v>
      </c>
      <c r="H250" s="28">
        <f>H248+H245</f>
        <v>92680.3</v>
      </c>
      <c r="I250" s="28">
        <f>I248+I245</f>
        <v>94050.099999999991</v>
      </c>
      <c r="J250" s="28">
        <f>J248+J245</f>
        <v>96147.8</v>
      </c>
      <c r="K250" s="43"/>
      <c r="L250" s="161"/>
      <c r="M250" s="161"/>
      <c r="N250" s="161"/>
      <c r="O250" s="161"/>
      <c r="P250" s="161"/>
      <c r="Q250" s="493"/>
    </row>
    <row r="251" spans="1:12302" ht="21.75" customHeight="1" x14ac:dyDescent="0.25">
      <c r="A251" s="1211" t="s">
        <v>1715</v>
      </c>
      <c r="B251" s="1212"/>
      <c r="C251" s="1212"/>
      <c r="D251" s="1212"/>
      <c r="E251" s="1212"/>
      <c r="F251" s="1212"/>
      <c r="G251" s="1212"/>
      <c r="H251" s="1212"/>
      <c r="I251" s="1212"/>
      <c r="J251" s="1212"/>
      <c r="K251" s="1212"/>
      <c r="L251" s="1212"/>
      <c r="M251" s="1212"/>
      <c r="N251" s="1212"/>
      <c r="O251" s="1212"/>
      <c r="P251" s="439"/>
      <c r="Q251" s="517"/>
      <c r="R251" s="1206"/>
      <c r="S251" s="1206"/>
      <c r="T251" s="1206"/>
      <c r="U251" s="1206"/>
      <c r="V251" s="1206"/>
      <c r="W251" s="1206"/>
      <c r="X251" s="1206"/>
      <c r="Y251" s="1206"/>
      <c r="Z251" s="1206"/>
      <c r="AA251" s="1206"/>
      <c r="AB251" s="1207"/>
      <c r="AC251" s="1206"/>
      <c r="AD251" s="1206"/>
      <c r="AE251" s="1206"/>
      <c r="AF251" s="1206"/>
      <c r="AG251" s="1206"/>
      <c r="AH251" s="1206"/>
      <c r="AI251" s="1206"/>
      <c r="AJ251" s="1206"/>
      <c r="AK251" s="1206"/>
      <c r="AL251" s="1206"/>
      <c r="AM251" s="1206"/>
      <c r="AN251" s="1206"/>
      <c r="AO251" s="1206"/>
      <c r="AP251" s="1206"/>
      <c r="AQ251" s="1206"/>
      <c r="AR251" s="1206"/>
      <c r="AS251" s="1207"/>
      <c r="AT251" s="1206"/>
      <c r="AU251" s="1206"/>
      <c r="AV251" s="1206"/>
      <c r="AW251" s="1206"/>
      <c r="AX251" s="1206"/>
      <c r="AY251" s="1206"/>
      <c r="AZ251" s="1206"/>
      <c r="BA251" s="1206"/>
      <c r="BB251" s="1206"/>
      <c r="BC251" s="1206"/>
      <c r="BD251" s="1206"/>
      <c r="BE251" s="1206"/>
      <c r="BF251" s="1206"/>
      <c r="BG251" s="1206"/>
      <c r="BH251" s="1206"/>
      <c r="BI251" s="1206"/>
      <c r="BJ251" s="1207"/>
      <c r="BK251" s="1206"/>
      <c r="BL251" s="1206"/>
      <c r="BM251" s="1206"/>
      <c r="BN251" s="1206"/>
      <c r="BO251" s="1206"/>
      <c r="BP251" s="1206"/>
      <c r="BQ251" s="1206"/>
      <c r="BR251" s="1206"/>
      <c r="BS251" s="1206"/>
      <c r="BT251" s="1206"/>
      <c r="BU251" s="1206"/>
      <c r="BV251" s="1206"/>
      <c r="BW251" s="1206"/>
      <c r="BX251" s="1206"/>
      <c r="BY251" s="1206"/>
      <c r="BZ251" s="1206"/>
      <c r="CA251" s="1207"/>
      <c r="CB251" s="1206"/>
      <c r="CC251" s="1206"/>
      <c r="CD251" s="1206"/>
      <c r="CE251" s="1206"/>
      <c r="CF251" s="1206"/>
      <c r="CG251" s="1206"/>
      <c r="CH251" s="1206"/>
      <c r="CI251" s="1206"/>
      <c r="CJ251" s="1206"/>
      <c r="CK251" s="1206"/>
      <c r="CL251" s="1206"/>
      <c r="CM251" s="1206"/>
      <c r="CN251" s="1206"/>
      <c r="CO251" s="1206"/>
      <c r="CP251" s="1206"/>
      <c r="CQ251" s="1206"/>
      <c r="CR251" s="1207"/>
      <c r="CS251" s="1206"/>
      <c r="CT251" s="1206"/>
      <c r="CU251" s="1206"/>
      <c r="CV251" s="1206"/>
      <c r="CW251" s="1206"/>
      <c r="CX251" s="1206"/>
      <c r="CY251" s="1206"/>
      <c r="CZ251" s="1206"/>
      <c r="DA251" s="1206"/>
      <c r="DB251" s="1206"/>
      <c r="DC251" s="1206"/>
      <c r="DD251" s="1206"/>
      <c r="DE251" s="1206"/>
      <c r="DF251" s="1206"/>
      <c r="DG251" s="1206"/>
      <c r="DH251" s="1206"/>
      <c r="DI251" s="1207"/>
      <c r="DJ251" s="1206"/>
      <c r="DK251" s="1206"/>
      <c r="DL251" s="1206"/>
      <c r="DM251" s="1206"/>
      <c r="DN251" s="1206"/>
      <c r="DO251" s="1206"/>
      <c r="DP251" s="1206"/>
      <c r="DQ251" s="1206"/>
      <c r="DR251" s="1206"/>
      <c r="DS251" s="1206"/>
      <c r="DT251" s="1206"/>
      <c r="DU251" s="1206"/>
      <c r="DV251" s="1206"/>
      <c r="DW251" s="1206"/>
      <c r="DX251" s="1206"/>
      <c r="DY251" s="1206"/>
      <c r="DZ251" s="1207"/>
      <c r="EA251" s="1206"/>
      <c r="EB251" s="1206"/>
      <c r="EC251" s="1206"/>
      <c r="ED251" s="1206"/>
      <c r="EE251" s="1206"/>
      <c r="EF251" s="1206"/>
      <c r="EG251" s="1206"/>
      <c r="EH251" s="1206"/>
      <c r="EI251" s="1206"/>
      <c r="EJ251" s="1206"/>
      <c r="EK251" s="1206"/>
      <c r="EL251" s="1206"/>
      <c r="EM251" s="1206"/>
      <c r="EN251" s="1206"/>
      <c r="EO251" s="1206"/>
      <c r="EP251" s="1206"/>
      <c r="EQ251" s="1207"/>
      <c r="ER251" s="1206"/>
      <c r="ES251" s="1206"/>
      <c r="ET251" s="1206"/>
      <c r="EU251" s="1206"/>
      <c r="EV251" s="1206"/>
      <c r="EW251" s="1206"/>
      <c r="EX251" s="1206"/>
      <c r="EY251" s="1206"/>
      <c r="EZ251" s="1206"/>
      <c r="FA251" s="1206"/>
      <c r="FB251" s="1206"/>
      <c r="FC251" s="1206"/>
      <c r="FD251" s="1206"/>
      <c r="FE251" s="1206"/>
      <c r="FF251" s="1206"/>
      <c r="FG251" s="1206"/>
      <c r="FH251" s="1207"/>
      <c r="FI251" s="1206"/>
      <c r="FJ251" s="1206"/>
      <c r="FK251" s="1206"/>
      <c r="FL251" s="1206"/>
      <c r="FM251" s="1206"/>
      <c r="FN251" s="1206"/>
      <c r="FO251" s="1206"/>
      <c r="FP251" s="1206"/>
      <c r="FQ251" s="1206"/>
      <c r="FR251" s="1206"/>
      <c r="FS251" s="1206"/>
      <c r="FT251" s="1206"/>
      <c r="FU251" s="1206"/>
      <c r="FV251" s="1206"/>
      <c r="FW251" s="1206"/>
      <c r="FX251" s="1206"/>
      <c r="FY251" s="1207"/>
      <c r="FZ251" s="1206"/>
      <c r="GA251" s="1206"/>
      <c r="GB251" s="1206"/>
      <c r="GC251" s="1206"/>
      <c r="GD251" s="1206"/>
      <c r="GE251" s="1206"/>
      <c r="GF251" s="1206"/>
      <c r="GG251" s="1206"/>
      <c r="GH251" s="1206"/>
      <c r="GI251" s="1206"/>
      <c r="GJ251" s="1206"/>
      <c r="GK251" s="1206"/>
      <c r="GL251" s="1206"/>
      <c r="GM251" s="1206"/>
      <c r="GN251" s="1206"/>
      <c r="GO251" s="1206"/>
      <c r="GP251" s="1207"/>
      <c r="GQ251" s="1206"/>
      <c r="GR251" s="1206"/>
      <c r="GS251" s="1206"/>
      <c r="GT251" s="1206"/>
      <c r="GU251" s="1206"/>
      <c r="GV251" s="1206"/>
      <c r="GW251" s="1206"/>
      <c r="GX251" s="1206"/>
      <c r="GY251" s="1206"/>
      <c r="GZ251" s="1206"/>
      <c r="HA251" s="1206"/>
      <c r="HB251" s="1206"/>
      <c r="HC251" s="1206"/>
      <c r="HD251" s="1206"/>
      <c r="HE251" s="1206"/>
      <c r="HF251" s="1206"/>
      <c r="HG251" s="1207"/>
      <c r="HH251" s="1206"/>
      <c r="HI251" s="1206"/>
      <c r="HJ251" s="1206"/>
      <c r="HK251" s="1206"/>
      <c r="HL251" s="1206"/>
      <c r="HM251" s="1206"/>
      <c r="HN251" s="1206"/>
      <c r="HO251" s="1206"/>
      <c r="HP251" s="1206"/>
      <c r="HQ251" s="1206"/>
      <c r="HR251" s="1206"/>
      <c r="HS251" s="1206"/>
      <c r="HT251" s="1206"/>
      <c r="HU251" s="1206"/>
      <c r="HV251" s="1206"/>
      <c r="HW251" s="1206"/>
      <c r="HX251" s="1207"/>
      <c r="HY251" s="1206"/>
      <c r="HZ251" s="1206"/>
      <c r="IA251" s="1206"/>
      <c r="IB251" s="1206"/>
      <c r="IC251" s="1206"/>
      <c r="ID251" s="1206"/>
      <c r="IE251" s="1206"/>
      <c r="IF251" s="1206"/>
      <c r="IG251" s="1206"/>
      <c r="IH251" s="1206"/>
      <c r="II251" s="1206"/>
      <c r="IJ251" s="1206"/>
      <c r="IK251" s="1206"/>
      <c r="IL251" s="1206"/>
      <c r="IM251" s="1206"/>
      <c r="IN251" s="1206"/>
      <c r="IO251" s="1207"/>
      <c r="IP251" s="1206"/>
      <c r="IQ251" s="1206"/>
      <c r="IR251" s="1206"/>
      <c r="IS251" s="1206"/>
      <c r="IT251" s="1206"/>
      <c r="IU251" s="1206"/>
      <c r="IV251" s="1206"/>
      <c r="IW251" s="1206"/>
      <c r="IX251" s="1206"/>
      <c r="IY251" s="1206"/>
      <c r="IZ251" s="1206"/>
      <c r="JA251" s="1206"/>
      <c r="JB251" s="1206"/>
      <c r="JC251" s="1206"/>
      <c r="JD251" s="1206"/>
      <c r="JE251" s="1206"/>
      <c r="JF251" s="1207"/>
      <c r="JG251" s="1206"/>
      <c r="JH251" s="1206"/>
      <c r="JI251" s="1206"/>
      <c r="JJ251" s="1206"/>
      <c r="JK251" s="1206"/>
      <c r="JL251" s="1206"/>
      <c r="JM251" s="1206"/>
      <c r="JN251" s="1206"/>
      <c r="JO251" s="1206"/>
      <c r="JP251" s="1206"/>
      <c r="JQ251" s="1206"/>
      <c r="JR251" s="1206"/>
      <c r="JS251" s="1206"/>
      <c r="JT251" s="1206"/>
      <c r="JU251" s="1206"/>
      <c r="JV251" s="1206"/>
      <c r="JW251" s="1207"/>
      <c r="JX251" s="1206"/>
      <c r="JY251" s="1206"/>
      <c r="JZ251" s="1206"/>
      <c r="KA251" s="1206"/>
      <c r="KB251" s="1206"/>
      <c r="KC251" s="1206"/>
      <c r="KD251" s="1206"/>
      <c r="KE251" s="1206"/>
      <c r="KF251" s="1206"/>
      <c r="KG251" s="1206"/>
      <c r="KH251" s="1206"/>
      <c r="KI251" s="1206"/>
      <c r="KJ251" s="1206"/>
      <c r="KK251" s="1206"/>
      <c r="KL251" s="1206"/>
      <c r="KM251" s="1206"/>
      <c r="KN251" s="1207"/>
      <c r="KO251" s="1206"/>
      <c r="KP251" s="1206"/>
      <c r="KQ251" s="1206"/>
      <c r="KR251" s="1206"/>
      <c r="KS251" s="1206"/>
      <c r="KT251" s="1206"/>
      <c r="KU251" s="1206"/>
      <c r="KV251" s="1206"/>
      <c r="KW251" s="1206"/>
      <c r="KX251" s="1206"/>
      <c r="KY251" s="1206"/>
      <c r="KZ251" s="1206"/>
      <c r="LA251" s="1206"/>
      <c r="LB251" s="1206"/>
      <c r="LC251" s="1206"/>
      <c r="LD251" s="1206"/>
      <c r="LE251" s="1207"/>
      <c r="LF251" s="1206"/>
      <c r="LG251" s="1206"/>
      <c r="LH251" s="1206"/>
      <c r="LI251" s="1206"/>
      <c r="LJ251" s="1206"/>
      <c r="LK251" s="1206"/>
      <c r="LL251" s="1206"/>
      <c r="LM251" s="1206"/>
      <c r="LN251" s="1206"/>
      <c r="LO251" s="1206"/>
      <c r="LP251" s="1206"/>
      <c r="LQ251" s="1206"/>
      <c r="LR251" s="1206"/>
      <c r="LS251" s="1206"/>
      <c r="LT251" s="1206"/>
      <c r="LU251" s="1206"/>
      <c r="LV251" s="1207"/>
      <c r="LW251" s="1206"/>
      <c r="LX251" s="1206"/>
      <c r="LY251" s="1206"/>
      <c r="LZ251" s="1206"/>
      <c r="MA251" s="1206"/>
      <c r="MB251" s="1206"/>
      <c r="MC251" s="1206"/>
      <c r="MD251" s="1206"/>
      <c r="ME251" s="1206"/>
      <c r="MF251" s="1206"/>
      <c r="MG251" s="1206"/>
      <c r="MH251" s="1206"/>
      <c r="MI251" s="1206"/>
      <c r="MJ251" s="1206"/>
      <c r="MK251" s="1206"/>
      <c r="ML251" s="1206"/>
      <c r="MM251" s="1207"/>
      <c r="MN251" s="1206"/>
      <c r="MO251" s="1206"/>
      <c r="MP251" s="1206"/>
      <c r="MQ251" s="1206"/>
      <c r="MR251" s="1206"/>
      <c r="MS251" s="1206"/>
      <c r="MT251" s="1206"/>
      <c r="MU251" s="1206"/>
      <c r="MV251" s="1206"/>
      <c r="MW251" s="1206"/>
      <c r="MX251" s="1206"/>
      <c r="MY251" s="1206"/>
      <c r="MZ251" s="1206"/>
      <c r="NA251" s="1206"/>
      <c r="NB251" s="1206"/>
      <c r="NC251" s="1206"/>
      <c r="ND251" s="1207"/>
      <c r="NE251" s="1206"/>
      <c r="NF251" s="1206"/>
      <c r="NG251" s="1206"/>
      <c r="NH251" s="1206"/>
      <c r="NI251" s="1206"/>
      <c r="NJ251" s="1206"/>
      <c r="NK251" s="1206"/>
      <c r="NL251" s="1206"/>
      <c r="NM251" s="1206"/>
      <c r="NN251" s="1206"/>
      <c r="NO251" s="1206"/>
      <c r="NP251" s="1206"/>
      <c r="NQ251" s="1206"/>
      <c r="NR251" s="1206"/>
      <c r="NS251" s="1206"/>
      <c r="NT251" s="1206"/>
      <c r="NU251" s="1207"/>
      <c r="NV251" s="1206"/>
      <c r="NW251" s="1206"/>
      <c r="NX251" s="1206"/>
      <c r="NY251" s="1206"/>
      <c r="NZ251" s="1206"/>
      <c r="OA251" s="1206"/>
      <c r="OB251" s="1206"/>
      <c r="OC251" s="1206"/>
      <c r="OD251" s="1206"/>
      <c r="OE251" s="1206"/>
      <c r="OF251" s="1206"/>
      <c r="OG251" s="1206"/>
      <c r="OH251" s="1206"/>
      <c r="OI251" s="1206"/>
      <c r="OJ251" s="1206"/>
      <c r="OK251" s="1206"/>
      <c r="OL251" s="1207"/>
      <c r="OM251" s="1206"/>
      <c r="ON251" s="1206"/>
      <c r="OO251" s="1206"/>
      <c r="OP251" s="1206"/>
      <c r="OQ251" s="1206"/>
      <c r="OR251" s="1206"/>
      <c r="OS251" s="1206"/>
      <c r="OT251" s="1206"/>
      <c r="OU251" s="1206"/>
      <c r="OV251" s="1206"/>
      <c r="OW251" s="1206"/>
      <c r="OX251" s="1206"/>
      <c r="OY251" s="1206"/>
      <c r="OZ251" s="1206"/>
      <c r="PA251" s="1206"/>
      <c r="PB251" s="1206"/>
      <c r="PC251" s="1207"/>
      <c r="PD251" s="1206"/>
      <c r="PE251" s="1206"/>
      <c r="PF251" s="1206"/>
      <c r="PG251" s="1206"/>
      <c r="PH251" s="1206"/>
      <c r="PI251" s="1206"/>
      <c r="PJ251" s="1206"/>
      <c r="PK251" s="1206"/>
      <c r="PL251" s="1206"/>
      <c r="PM251" s="1206"/>
      <c r="PN251" s="1206"/>
      <c r="PO251" s="1206"/>
      <c r="PP251" s="1206"/>
      <c r="PQ251" s="1206"/>
      <c r="PR251" s="1206"/>
      <c r="PS251" s="1206"/>
      <c r="PT251" s="1207"/>
      <c r="PU251" s="1206"/>
      <c r="PV251" s="1206"/>
      <c r="PW251" s="1206"/>
      <c r="PX251" s="1206"/>
      <c r="PY251" s="1206"/>
      <c r="PZ251" s="1206"/>
      <c r="QA251" s="1206"/>
      <c r="QB251" s="1206"/>
      <c r="QC251" s="1206"/>
      <c r="QD251" s="1206"/>
      <c r="QE251" s="1206"/>
      <c r="QF251" s="1206"/>
      <c r="QG251" s="1206"/>
      <c r="QH251" s="1206"/>
      <c r="QI251" s="1206"/>
      <c r="QJ251" s="1206"/>
      <c r="QK251" s="1207"/>
      <c r="QL251" s="1206"/>
      <c r="QM251" s="1206"/>
      <c r="QN251" s="1206"/>
      <c r="QO251" s="1206"/>
      <c r="QP251" s="1206"/>
      <c r="QQ251" s="1206"/>
      <c r="QR251" s="1206"/>
      <c r="QS251" s="1206"/>
      <c r="QT251" s="1206"/>
      <c r="QU251" s="1206"/>
      <c r="QV251" s="1206"/>
      <c r="QW251" s="1206"/>
      <c r="QX251" s="1206"/>
      <c r="QY251" s="1206"/>
      <c r="QZ251" s="1206"/>
      <c r="RA251" s="1206"/>
      <c r="RB251" s="1207"/>
      <c r="RC251" s="1206"/>
      <c r="RD251" s="1206"/>
      <c r="RE251" s="1206"/>
      <c r="RF251" s="1206"/>
      <c r="RG251" s="1206"/>
      <c r="RH251" s="1206"/>
      <c r="RI251" s="1206"/>
      <c r="RJ251" s="1206"/>
      <c r="RK251" s="1206"/>
      <c r="RL251" s="1206"/>
      <c r="RM251" s="1206"/>
      <c r="RN251" s="1206"/>
      <c r="RO251" s="1206"/>
      <c r="RP251" s="1206"/>
      <c r="RQ251" s="1206"/>
      <c r="RR251" s="1206"/>
      <c r="RS251" s="1207"/>
      <c r="RT251" s="1206"/>
      <c r="RU251" s="1206"/>
      <c r="RV251" s="1206"/>
      <c r="RW251" s="1206"/>
      <c r="RX251" s="1206"/>
      <c r="RY251" s="1206"/>
      <c r="RZ251" s="1206"/>
      <c r="SA251" s="1206"/>
      <c r="SB251" s="1206"/>
      <c r="SC251" s="1206"/>
      <c r="SD251" s="1206"/>
      <c r="SE251" s="1206"/>
      <c r="SF251" s="1206"/>
      <c r="SG251" s="1206"/>
      <c r="SH251" s="1206"/>
      <c r="SI251" s="1206"/>
      <c r="SJ251" s="1207"/>
      <c r="SK251" s="1206"/>
      <c r="SL251" s="1206"/>
      <c r="SM251" s="1206"/>
      <c r="SN251" s="1206"/>
      <c r="SO251" s="1206"/>
      <c r="SP251" s="1206"/>
      <c r="SQ251" s="1206"/>
      <c r="SR251" s="1206"/>
      <c r="SS251" s="1206"/>
      <c r="ST251" s="1206"/>
      <c r="SU251" s="1206"/>
      <c r="SV251" s="1206"/>
      <c r="SW251" s="1206"/>
      <c r="SX251" s="1206"/>
      <c r="SY251" s="1206"/>
      <c r="SZ251" s="1206"/>
      <c r="TA251" s="1207"/>
      <c r="TB251" s="1206"/>
      <c r="TC251" s="1206"/>
      <c r="TD251" s="1206"/>
      <c r="TE251" s="1206"/>
      <c r="TF251" s="1206"/>
      <c r="TG251" s="1206"/>
      <c r="TH251" s="1206"/>
      <c r="TI251" s="1206"/>
      <c r="TJ251" s="1206"/>
      <c r="TK251" s="1206"/>
      <c r="TL251" s="1206"/>
      <c r="TM251" s="1206"/>
      <c r="TN251" s="1206"/>
      <c r="TO251" s="1206"/>
      <c r="TP251" s="1206"/>
      <c r="TQ251" s="1206"/>
      <c r="TR251" s="1207"/>
      <c r="TS251" s="1206"/>
      <c r="TT251" s="1206"/>
      <c r="TU251" s="1206"/>
      <c r="TV251" s="1206"/>
      <c r="TW251" s="1206"/>
      <c r="TX251" s="1206"/>
      <c r="TY251" s="1206"/>
      <c r="TZ251" s="1206"/>
      <c r="UA251" s="1206"/>
      <c r="UB251" s="1206"/>
      <c r="UC251" s="1206"/>
      <c r="UD251" s="1206"/>
      <c r="UE251" s="1206"/>
      <c r="UF251" s="1206"/>
      <c r="UG251" s="1206"/>
      <c r="UH251" s="1206"/>
      <c r="UI251" s="1207"/>
      <c r="UJ251" s="1206"/>
      <c r="UK251" s="1206"/>
      <c r="UL251" s="1206"/>
      <c r="UM251" s="1206"/>
      <c r="UN251" s="1206"/>
      <c r="UO251" s="1206"/>
      <c r="UP251" s="1206"/>
      <c r="UQ251" s="1206"/>
      <c r="UR251" s="1206"/>
      <c r="US251" s="1206"/>
      <c r="UT251" s="1206"/>
      <c r="UU251" s="1206"/>
      <c r="UV251" s="1206"/>
      <c r="UW251" s="1206"/>
      <c r="UX251" s="1206"/>
      <c r="UY251" s="1206"/>
      <c r="UZ251" s="1207"/>
      <c r="VA251" s="1206"/>
      <c r="VB251" s="1206"/>
      <c r="VC251" s="1206"/>
      <c r="VD251" s="1206"/>
      <c r="VE251" s="1206"/>
      <c r="VF251" s="1206"/>
      <c r="VG251" s="1206"/>
      <c r="VH251" s="1206"/>
      <c r="VI251" s="1206"/>
      <c r="VJ251" s="1206"/>
      <c r="VK251" s="1206"/>
      <c r="VL251" s="1206"/>
      <c r="VM251" s="1206"/>
      <c r="VN251" s="1206"/>
      <c r="VO251" s="1206"/>
      <c r="VP251" s="1206"/>
      <c r="VQ251" s="1207"/>
      <c r="VR251" s="1206"/>
      <c r="VS251" s="1206"/>
      <c r="VT251" s="1206"/>
      <c r="VU251" s="1206"/>
      <c r="VV251" s="1206"/>
      <c r="VW251" s="1206"/>
      <c r="VX251" s="1206"/>
      <c r="VY251" s="1206"/>
      <c r="VZ251" s="1206"/>
      <c r="WA251" s="1206"/>
      <c r="WB251" s="1206"/>
      <c r="WC251" s="1206"/>
      <c r="WD251" s="1206"/>
      <c r="WE251" s="1206"/>
      <c r="WF251" s="1206"/>
      <c r="WG251" s="1206"/>
      <c r="WH251" s="1207"/>
      <c r="WI251" s="1206"/>
      <c r="WJ251" s="1206"/>
      <c r="WK251" s="1206"/>
      <c r="WL251" s="1206"/>
      <c r="WM251" s="1206"/>
      <c r="WN251" s="1206"/>
      <c r="WO251" s="1206"/>
      <c r="WP251" s="1206"/>
      <c r="WQ251" s="1206"/>
      <c r="WR251" s="1206"/>
      <c r="WS251" s="1206"/>
      <c r="WT251" s="1206"/>
      <c r="WU251" s="1206"/>
      <c r="WV251" s="1206"/>
      <c r="WW251" s="1206"/>
      <c r="WX251" s="1206"/>
      <c r="WY251" s="1207"/>
      <c r="WZ251" s="1206"/>
      <c r="XA251" s="1206"/>
      <c r="XB251" s="1206"/>
      <c r="XC251" s="1206"/>
      <c r="XD251" s="1206"/>
      <c r="XE251" s="1206"/>
      <c r="XF251" s="1206"/>
      <c r="XG251" s="1206"/>
      <c r="XH251" s="1206"/>
      <c r="XI251" s="1206"/>
      <c r="XJ251" s="1206"/>
      <c r="XK251" s="1206"/>
      <c r="XL251" s="1206"/>
      <c r="XM251" s="1206"/>
      <c r="XN251" s="1206"/>
      <c r="XO251" s="1206"/>
      <c r="XP251" s="1207"/>
      <c r="XQ251" s="1206"/>
      <c r="XR251" s="1206"/>
      <c r="XS251" s="1206"/>
      <c r="XT251" s="1206"/>
      <c r="XU251" s="1206"/>
      <c r="XV251" s="1206"/>
      <c r="XW251" s="1206"/>
      <c r="XX251" s="1206"/>
      <c r="XY251" s="1206"/>
      <c r="XZ251" s="1206"/>
      <c r="YA251" s="1206"/>
      <c r="YB251" s="1206"/>
      <c r="YC251" s="1206"/>
      <c r="YD251" s="1206"/>
      <c r="YE251" s="1206"/>
      <c r="YF251" s="1206"/>
      <c r="YG251" s="1207"/>
      <c r="YH251" s="1206"/>
      <c r="YI251" s="1206"/>
      <c r="YJ251" s="1206"/>
      <c r="YK251" s="1206"/>
      <c r="YL251" s="1206"/>
      <c r="YM251" s="1206"/>
      <c r="YN251" s="1206"/>
      <c r="YO251" s="1206"/>
      <c r="YP251" s="1206"/>
      <c r="YQ251" s="1206"/>
      <c r="YR251" s="1206"/>
      <c r="YS251" s="1206"/>
      <c r="YT251" s="1206"/>
      <c r="YU251" s="1206"/>
      <c r="YV251" s="1206"/>
      <c r="YW251" s="1206"/>
      <c r="YX251" s="1207"/>
      <c r="YY251" s="1206"/>
      <c r="YZ251" s="1206"/>
      <c r="ZA251" s="1206"/>
      <c r="ZB251" s="1206"/>
      <c r="ZC251" s="1206"/>
      <c r="ZD251" s="1206"/>
      <c r="ZE251" s="1206"/>
      <c r="ZF251" s="1206"/>
      <c r="ZG251" s="1206"/>
      <c r="ZH251" s="1206"/>
      <c r="ZI251" s="1206"/>
      <c r="ZJ251" s="1206"/>
      <c r="ZK251" s="1206"/>
      <c r="ZL251" s="1206"/>
      <c r="ZM251" s="1206"/>
      <c r="ZN251" s="1206"/>
      <c r="ZO251" s="1207"/>
      <c r="ZP251" s="1206"/>
      <c r="ZQ251" s="1206"/>
      <c r="ZR251" s="1206"/>
      <c r="ZS251" s="1206"/>
      <c r="ZT251" s="1206"/>
      <c r="ZU251" s="1206"/>
      <c r="ZV251" s="1206"/>
      <c r="ZW251" s="1206"/>
      <c r="ZX251" s="1206"/>
      <c r="ZY251" s="1206"/>
      <c r="ZZ251" s="1206"/>
      <c r="AAA251" s="1206"/>
      <c r="AAB251" s="1206"/>
      <c r="AAC251" s="1206"/>
      <c r="AAD251" s="1206"/>
      <c r="AAE251" s="1206"/>
      <c r="AAF251" s="1207"/>
      <c r="AAG251" s="1206"/>
      <c r="AAH251" s="1206"/>
      <c r="AAI251" s="1206"/>
      <c r="AAJ251" s="1206"/>
      <c r="AAK251" s="1206"/>
      <c r="AAL251" s="1206"/>
      <c r="AAM251" s="1206"/>
      <c r="AAN251" s="1206"/>
      <c r="AAO251" s="1206"/>
      <c r="AAP251" s="1206"/>
      <c r="AAQ251" s="1206"/>
      <c r="AAR251" s="1206"/>
      <c r="AAS251" s="1206"/>
      <c r="AAT251" s="1206"/>
      <c r="AAU251" s="1206"/>
      <c r="AAV251" s="1206"/>
      <c r="AAW251" s="1207"/>
      <c r="AAX251" s="1206"/>
      <c r="AAY251" s="1206"/>
      <c r="AAZ251" s="1206"/>
      <c r="ABA251" s="1206"/>
      <c r="ABB251" s="1206"/>
      <c r="ABC251" s="1206"/>
      <c r="ABD251" s="1206"/>
      <c r="ABE251" s="1206"/>
      <c r="ABF251" s="1206"/>
      <c r="ABG251" s="1206"/>
      <c r="ABH251" s="1206"/>
      <c r="ABI251" s="1206"/>
      <c r="ABJ251" s="1206"/>
      <c r="ABK251" s="1206"/>
      <c r="ABL251" s="1206"/>
      <c r="ABM251" s="1206"/>
      <c r="ABN251" s="1207"/>
      <c r="ABO251" s="1206"/>
      <c r="ABP251" s="1206"/>
      <c r="ABQ251" s="1206"/>
      <c r="ABR251" s="1206"/>
      <c r="ABS251" s="1206"/>
      <c r="ABT251" s="1206"/>
      <c r="ABU251" s="1206"/>
      <c r="ABV251" s="1206"/>
      <c r="ABW251" s="1206"/>
      <c r="ABX251" s="1206"/>
      <c r="ABY251" s="1206"/>
      <c r="ABZ251" s="1206"/>
      <c r="ACA251" s="1206"/>
      <c r="ACB251" s="1206"/>
      <c r="ACC251" s="1206"/>
      <c r="ACD251" s="1206"/>
      <c r="ACE251" s="1207"/>
      <c r="ACF251" s="1206"/>
      <c r="ACG251" s="1206"/>
      <c r="ACH251" s="1206"/>
      <c r="ACI251" s="1206"/>
      <c r="ACJ251" s="1206"/>
      <c r="ACK251" s="1206"/>
      <c r="ACL251" s="1206"/>
      <c r="ACM251" s="1206"/>
      <c r="ACN251" s="1206"/>
      <c r="ACO251" s="1206"/>
      <c r="ACP251" s="1206"/>
      <c r="ACQ251" s="1206"/>
      <c r="ACR251" s="1206"/>
      <c r="ACS251" s="1206"/>
      <c r="ACT251" s="1206"/>
      <c r="ACU251" s="1206"/>
      <c r="ACV251" s="1207"/>
      <c r="ACW251" s="1206"/>
      <c r="ACX251" s="1206"/>
      <c r="ACY251" s="1206"/>
      <c r="ACZ251" s="1206"/>
      <c r="ADA251" s="1206"/>
      <c r="ADB251" s="1206"/>
      <c r="ADC251" s="1206"/>
      <c r="ADD251" s="1206"/>
      <c r="ADE251" s="1206"/>
      <c r="ADF251" s="1206"/>
      <c r="ADG251" s="1206"/>
      <c r="ADH251" s="1206"/>
      <c r="ADI251" s="1206"/>
      <c r="ADJ251" s="1206"/>
      <c r="ADK251" s="1206"/>
      <c r="ADL251" s="1206"/>
      <c r="ADM251" s="1207"/>
      <c r="ADN251" s="1206"/>
      <c r="ADO251" s="1206"/>
      <c r="ADP251" s="1206"/>
      <c r="ADQ251" s="1206"/>
      <c r="ADR251" s="1206"/>
      <c r="ADS251" s="1206"/>
      <c r="ADT251" s="1206"/>
      <c r="ADU251" s="1206"/>
      <c r="ADV251" s="1206"/>
      <c r="ADW251" s="1206"/>
      <c r="ADX251" s="1206"/>
      <c r="ADY251" s="1206"/>
      <c r="ADZ251" s="1206"/>
      <c r="AEA251" s="1206"/>
      <c r="AEB251" s="1206"/>
      <c r="AEC251" s="1206"/>
      <c r="AED251" s="1207"/>
      <c r="AEE251" s="1206"/>
      <c r="AEF251" s="1206"/>
      <c r="AEG251" s="1206"/>
      <c r="AEH251" s="1206"/>
      <c r="AEI251" s="1206"/>
      <c r="AEJ251" s="1206"/>
      <c r="AEK251" s="1206"/>
      <c r="AEL251" s="1206"/>
      <c r="AEM251" s="1206"/>
      <c r="AEN251" s="1206"/>
      <c r="AEO251" s="1206"/>
      <c r="AEP251" s="1206"/>
      <c r="AEQ251" s="1206"/>
      <c r="AER251" s="1206"/>
      <c r="AES251" s="1206"/>
      <c r="AET251" s="1206"/>
      <c r="AEU251" s="1207"/>
      <c r="AEV251" s="1206"/>
      <c r="AEW251" s="1206"/>
      <c r="AEX251" s="1206"/>
      <c r="AEY251" s="1206"/>
      <c r="AEZ251" s="1206"/>
      <c r="AFA251" s="1206"/>
      <c r="AFB251" s="1206"/>
      <c r="AFC251" s="1206"/>
      <c r="AFD251" s="1206"/>
      <c r="AFE251" s="1206"/>
      <c r="AFF251" s="1206"/>
      <c r="AFG251" s="1206"/>
      <c r="AFH251" s="1206"/>
      <c r="AFI251" s="1206"/>
      <c r="AFJ251" s="1206"/>
      <c r="AFK251" s="1206"/>
      <c r="AFL251" s="1207"/>
      <c r="AFM251" s="1206"/>
      <c r="AFN251" s="1206"/>
      <c r="AFO251" s="1206"/>
      <c r="AFP251" s="1206"/>
      <c r="AFQ251" s="1206"/>
      <c r="AFR251" s="1206"/>
      <c r="AFS251" s="1206"/>
      <c r="AFT251" s="1206"/>
      <c r="AFU251" s="1206"/>
      <c r="AFV251" s="1206"/>
      <c r="AFW251" s="1206"/>
      <c r="AFX251" s="1206"/>
      <c r="AFY251" s="1206"/>
      <c r="AFZ251" s="1206"/>
      <c r="AGA251" s="1206"/>
      <c r="AGB251" s="1206"/>
      <c r="AGC251" s="1207"/>
      <c r="AGD251" s="1206"/>
      <c r="AGE251" s="1206"/>
      <c r="AGF251" s="1206"/>
      <c r="AGG251" s="1206"/>
      <c r="AGH251" s="1206"/>
      <c r="AGI251" s="1206"/>
      <c r="AGJ251" s="1206"/>
      <c r="AGK251" s="1206"/>
      <c r="AGL251" s="1206"/>
      <c r="AGM251" s="1206"/>
      <c r="AGN251" s="1206"/>
      <c r="AGO251" s="1206"/>
      <c r="AGP251" s="1206"/>
      <c r="AGQ251" s="1206"/>
      <c r="AGR251" s="1206"/>
      <c r="AGS251" s="1206"/>
      <c r="AGT251" s="1207"/>
      <c r="AGU251" s="1206"/>
      <c r="AGV251" s="1206"/>
      <c r="AGW251" s="1206"/>
      <c r="AGX251" s="1206"/>
      <c r="AGY251" s="1206"/>
      <c r="AGZ251" s="1206"/>
      <c r="AHA251" s="1206"/>
      <c r="AHB251" s="1206"/>
      <c r="AHC251" s="1206"/>
      <c r="AHD251" s="1206"/>
      <c r="AHE251" s="1206"/>
      <c r="AHF251" s="1206"/>
      <c r="AHG251" s="1206"/>
      <c r="AHH251" s="1206"/>
      <c r="AHI251" s="1206"/>
      <c r="AHJ251" s="1206"/>
      <c r="AHK251" s="1207"/>
      <c r="AHL251" s="1206"/>
      <c r="AHM251" s="1206"/>
      <c r="AHN251" s="1206"/>
      <c r="AHO251" s="1206"/>
      <c r="AHP251" s="1206"/>
      <c r="AHQ251" s="1206"/>
      <c r="AHR251" s="1206"/>
      <c r="AHS251" s="1206"/>
      <c r="AHT251" s="1206"/>
      <c r="AHU251" s="1206"/>
      <c r="AHV251" s="1206"/>
      <c r="AHW251" s="1206"/>
      <c r="AHX251" s="1206"/>
      <c r="AHY251" s="1206"/>
      <c r="AHZ251" s="1206"/>
      <c r="AIA251" s="1206"/>
      <c r="AIB251" s="1207"/>
      <c r="AIC251" s="1206"/>
      <c r="AID251" s="1206"/>
      <c r="AIE251" s="1206"/>
      <c r="AIF251" s="1206"/>
      <c r="AIG251" s="1206"/>
      <c r="AIH251" s="1206"/>
      <c r="AII251" s="1206"/>
      <c r="AIJ251" s="1206"/>
      <c r="AIK251" s="1206"/>
      <c r="AIL251" s="1206"/>
      <c r="AIM251" s="1206"/>
      <c r="AIN251" s="1206"/>
      <c r="AIO251" s="1206"/>
      <c r="AIP251" s="1206"/>
      <c r="AIQ251" s="1206"/>
      <c r="AIR251" s="1206"/>
      <c r="AIS251" s="1207"/>
      <c r="AIT251" s="1206"/>
      <c r="AIU251" s="1206"/>
      <c r="AIV251" s="1206"/>
      <c r="AIW251" s="1206"/>
      <c r="AIX251" s="1206"/>
      <c r="AIY251" s="1206"/>
      <c r="AIZ251" s="1206"/>
      <c r="AJA251" s="1206"/>
      <c r="AJB251" s="1206"/>
      <c r="AJC251" s="1206"/>
      <c r="AJD251" s="1206"/>
      <c r="AJE251" s="1206"/>
      <c r="AJF251" s="1206"/>
      <c r="AJG251" s="1206"/>
      <c r="AJH251" s="1206"/>
      <c r="AJI251" s="1206"/>
      <c r="AJJ251" s="1207"/>
      <c r="AJK251" s="1206"/>
      <c r="AJL251" s="1206"/>
      <c r="AJM251" s="1206"/>
      <c r="AJN251" s="1206"/>
      <c r="AJO251" s="1206"/>
      <c r="AJP251" s="1206"/>
      <c r="AJQ251" s="1206"/>
      <c r="AJR251" s="1206"/>
      <c r="AJS251" s="1206"/>
      <c r="AJT251" s="1206"/>
      <c r="AJU251" s="1206"/>
      <c r="AJV251" s="1206"/>
      <c r="AJW251" s="1206"/>
      <c r="AJX251" s="1206"/>
      <c r="AJY251" s="1206"/>
      <c r="AJZ251" s="1206"/>
      <c r="AKA251" s="1207"/>
      <c r="AKB251" s="1206"/>
      <c r="AKC251" s="1206"/>
      <c r="AKD251" s="1206"/>
      <c r="AKE251" s="1206"/>
      <c r="AKF251" s="1206"/>
      <c r="AKG251" s="1206"/>
      <c r="AKH251" s="1206"/>
      <c r="AKI251" s="1206"/>
      <c r="AKJ251" s="1206"/>
      <c r="AKK251" s="1206"/>
      <c r="AKL251" s="1206"/>
      <c r="AKM251" s="1206"/>
      <c r="AKN251" s="1206"/>
      <c r="AKO251" s="1206"/>
      <c r="AKP251" s="1206"/>
      <c r="AKQ251" s="1206"/>
      <c r="AKR251" s="1207"/>
      <c r="AKS251" s="1206"/>
      <c r="AKT251" s="1206"/>
      <c r="AKU251" s="1206"/>
      <c r="AKV251" s="1206"/>
      <c r="AKW251" s="1206"/>
      <c r="AKX251" s="1206"/>
      <c r="AKY251" s="1206"/>
      <c r="AKZ251" s="1206"/>
      <c r="ALA251" s="1206"/>
      <c r="ALB251" s="1206"/>
      <c r="ALC251" s="1206"/>
      <c r="ALD251" s="1206"/>
      <c r="ALE251" s="1206"/>
      <c r="ALF251" s="1206"/>
      <c r="ALG251" s="1206"/>
      <c r="ALH251" s="1206"/>
      <c r="ALI251" s="1207"/>
      <c r="ALJ251" s="1206"/>
      <c r="ALK251" s="1206"/>
      <c r="ALL251" s="1206"/>
      <c r="ALM251" s="1206"/>
      <c r="ALN251" s="1206"/>
      <c r="ALO251" s="1206"/>
      <c r="ALP251" s="1206"/>
      <c r="ALQ251" s="1206"/>
      <c r="ALR251" s="1206"/>
      <c r="ALS251" s="1206"/>
      <c r="ALT251" s="1206"/>
      <c r="ALU251" s="1206"/>
      <c r="ALV251" s="1206"/>
      <c r="ALW251" s="1206"/>
      <c r="ALX251" s="1206"/>
      <c r="ALY251" s="1206"/>
      <c r="ALZ251" s="1207"/>
      <c r="AMA251" s="1206"/>
      <c r="AMB251" s="1206"/>
      <c r="AMC251" s="1206"/>
      <c r="AMD251" s="1206"/>
      <c r="AME251" s="1206"/>
      <c r="AMF251" s="1206"/>
      <c r="AMG251" s="1206"/>
      <c r="AMH251" s="1206"/>
      <c r="AMI251" s="1206"/>
      <c r="AMJ251" s="1206"/>
      <c r="AMK251" s="1206"/>
      <c r="AML251" s="1206"/>
      <c r="AMM251" s="1206"/>
      <c r="AMN251" s="1206"/>
      <c r="AMO251" s="1206"/>
      <c r="AMP251" s="1206"/>
      <c r="AMQ251" s="1207"/>
      <c r="AMR251" s="1206"/>
      <c r="AMS251" s="1206"/>
      <c r="AMT251" s="1206"/>
      <c r="AMU251" s="1206"/>
      <c r="AMV251" s="1206"/>
      <c r="AMW251" s="1206"/>
      <c r="AMX251" s="1206"/>
      <c r="AMY251" s="1206"/>
      <c r="AMZ251" s="1206"/>
      <c r="ANA251" s="1206"/>
      <c r="ANB251" s="1206"/>
      <c r="ANC251" s="1206"/>
      <c r="AND251" s="1206"/>
      <c r="ANE251" s="1206"/>
      <c r="ANF251" s="1206"/>
      <c r="ANG251" s="1206"/>
      <c r="ANH251" s="1207"/>
      <c r="ANI251" s="1206"/>
      <c r="ANJ251" s="1206"/>
      <c r="ANK251" s="1206"/>
      <c r="ANL251" s="1206"/>
      <c r="ANM251" s="1206"/>
      <c r="ANN251" s="1206"/>
      <c r="ANO251" s="1206"/>
      <c r="ANP251" s="1206"/>
      <c r="ANQ251" s="1206"/>
      <c r="ANR251" s="1206"/>
      <c r="ANS251" s="1206"/>
      <c r="ANT251" s="1206"/>
      <c r="ANU251" s="1206"/>
      <c r="ANV251" s="1206"/>
      <c r="ANW251" s="1206"/>
      <c r="ANX251" s="1206"/>
      <c r="ANY251" s="1207"/>
      <c r="ANZ251" s="1206"/>
      <c r="AOA251" s="1206"/>
      <c r="AOB251" s="1206"/>
      <c r="AOC251" s="1206"/>
      <c r="AOD251" s="1206"/>
      <c r="AOE251" s="1206"/>
      <c r="AOF251" s="1206"/>
      <c r="AOG251" s="1206"/>
      <c r="AOH251" s="1206"/>
      <c r="AOI251" s="1206"/>
      <c r="AOJ251" s="1206"/>
      <c r="AOK251" s="1206"/>
      <c r="AOL251" s="1206"/>
      <c r="AOM251" s="1206"/>
      <c r="AON251" s="1206"/>
      <c r="AOO251" s="1206"/>
      <c r="AOP251" s="1207"/>
      <c r="AOQ251" s="1206"/>
      <c r="AOR251" s="1206"/>
      <c r="AOS251" s="1206"/>
      <c r="AOT251" s="1206"/>
      <c r="AOU251" s="1206"/>
      <c r="AOV251" s="1206"/>
      <c r="AOW251" s="1206"/>
      <c r="AOX251" s="1206"/>
      <c r="AOY251" s="1206"/>
      <c r="AOZ251" s="1206"/>
      <c r="APA251" s="1206"/>
      <c r="APB251" s="1206"/>
      <c r="APC251" s="1206"/>
      <c r="APD251" s="1206"/>
      <c r="APE251" s="1206"/>
      <c r="APF251" s="1206"/>
      <c r="APG251" s="1207"/>
      <c r="APH251" s="1206"/>
      <c r="API251" s="1206"/>
      <c r="APJ251" s="1206"/>
      <c r="APK251" s="1206"/>
      <c r="APL251" s="1206"/>
      <c r="APM251" s="1206"/>
      <c r="APN251" s="1206"/>
      <c r="APO251" s="1206"/>
      <c r="APP251" s="1206"/>
      <c r="APQ251" s="1206"/>
      <c r="APR251" s="1206"/>
      <c r="APS251" s="1206"/>
      <c r="APT251" s="1206"/>
      <c r="APU251" s="1206"/>
      <c r="APV251" s="1206"/>
      <c r="APW251" s="1206"/>
      <c r="APX251" s="1207"/>
      <c r="APY251" s="1206"/>
      <c r="APZ251" s="1206"/>
      <c r="AQA251" s="1206"/>
      <c r="AQB251" s="1206"/>
      <c r="AQC251" s="1206"/>
      <c r="AQD251" s="1206"/>
      <c r="AQE251" s="1206"/>
      <c r="AQF251" s="1206"/>
      <c r="AQG251" s="1206"/>
      <c r="AQH251" s="1206"/>
      <c r="AQI251" s="1206"/>
      <c r="AQJ251" s="1206"/>
      <c r="AQK251" s="1206"/>
      <c r="AQL251" s="1206"/>
      <c r="AQM251" s="1206"/>
      <c r="AQN251" s="1206"/>
      <c r="AQO251" s="1207"/>
      <c r="AQP251" s="1206"/>
      <c r="AQQ251" s="1206"/>
      <c r="AQR251" s="1206"/>
      <c r="AQS251" s="1206"/>
      <c r="AQT251" s="1206"/>
      <c r="AQU251" s="1206"/>
      <c r="AQV251" s="1206"/>
      <c r="AQW251" s="1206"/>
      <c r="AQX251" s="1206"/>
      <c r="AQY251" s="1206"/>
      <c r="AQZ251" s="1206"/>
      <c r="ARA251" s="1206"/>
      <c r="ARB251" s="1206"/>
      <c r="ARC251" s="1206"/>
      <c r="ARD251" s="1206"/>
      <c r="ARE251" s="1206"/>
      <c r="ARF251" s="1207"/>
      <c r="ARG251" s="1206"/>
      <c r="ARH251" s="1206"/>
      <c r="ARI251" s="1206"/>
      <c r="ARJ251" s="1206"/>
      <c r="ARK251" s="1206"/>
      <c r="ARL251" s="1206"/>
      <c r="ARM251" s="1206"/>
      <c r="ARN251" s="1206"/>
      <c r="ARO251" s="1206"/>
      <c r="ARP251" s="1206"/>
      <c r="ARQ251" s="1206"/>
      <c r="ARR251" s="1206"/>
      <c r="ARS251" s="1206"/>
      <c r="ART251" s="1206"/>
      <c r="ARU251" s="1206"/>
      <c r="ARV251" s="1206"/>
      <c r="ARW251" s="1207"/>
      <c r="ARX251" s="1206"/>
      <c r="ARY251" s="1206"/>
      <c r="ARZ251" s="1206"/>
      <c r="ASA251" s="1206"/>
      <c r="ASB251" s="1206"/>
      <c r="ASC251" s="1206"/>
      <c r="ASD251" s="1206"/>
      <c r="ASE251" s="1206"/>
      <c r="ASF251" s="1206"/>
      <c r="ASG251" s="1206"/>
      <c r="ASH251" s="1206"/>
      <c r="ASI251" s="1206"/>
      <c r="ASJ251" s="1206"/>
      <c r="ASK251" s="1206"/>
      <c r="ASL251" s="1206"/>
      <c r="ASM251" s="1206"/>
      <c r="ASN251" s="1207"/>
      <c r="ASO251" s="1206"/>
      <c r="ASP251" s="1206"/>
      <c r="ASQ251" s="1206"/>
      <c r="ASR251" s="1206"/>
      <c r="ASS251" s="1206"/>
      <c r="AST251" s="1206"/>
      <c r="ASU251" s="1206"/>
      <c r="ASV251" s="1206"/>
      <c r="ASW251" s="1206"/>
      <c r="ASX251" s="1206"/>
      <c r="ASY251" s="1206"/>
      <c r="ASZ251" s="1206"/>
      <c r="ATA251" s="1206"/>
      <c r="ATB251" s="1206"/>
      <c r="ATC251" s="1206"/>
      <c r="ATD251" s="1206"/>
      <c r="ATE251" s="1207"/>
      <c r="ATF251" s="1206"/>
      <c r="ATG251" s="1206"/>
      <c r="ATH251" s="1206"/>
      <c r="ATI251" s="1206"/>
      <c r="ATJ251" s="1206"/>
      <c r="ATK251" s="1206"/>
      <c r="ATL251" s="1206"/>
      <c r="ATM251" s="1206"/>
      <c r="ATN251" s="1206"/>
      <c r="ATO251" s="1206"/>
      <c r="ATP251" s="1206"/>
      <c r="ATQ251" s="1206"/>
      <c r="ATR251" s="1206"/>
      <c r="ATS251" s="1206"/>
      <c r="ATT251" s="1206"/>
      <c r="ATU251" s="1206"/>
      <c r="ATV251" s="1207"/>
      <c r="ATW251" s="1206"/>
      <c r="ATX251" s="1206"/>
      <c r="ATY251" s="1206"/>
      <c r="ATZ251" s="1206"/>
      <c r="AUA251" s="1206"/>
      <c r="AUB251" s="1206"/>
      <c r="AUC251" s="1206"/>
      <c r="AUD251" s="1206"/>
      <c r="AUE251" s="1206"/>
      <c r="AUF251" s="1206"/>
      <c r="AUG251" s="1206"/>
      <c r="AUH251" s="1206"/>
      <c r="AUI251" s="1206"/>
      <c r="AUJ251" s="1206"/>
      <c r="AUK251" s="1206"/>
      <c r="AUL251" s="1206"/>
      <c r="AUM251" s="1207"/>
      <c r="AUN251" s="1206"/>
      <c r="AUO251" s="1206"/>
      <c r="AUP251" s="1206"/>
      <c r="AUQ251" s="1206"/>
      <c r="AUR251" s="1206"/>
      <c r="AUS251" s="1206"/>
      <c r="AUT251" s="1206"/>
      <c r="AUU251" s="1206"/>
      <c r="AUV251" s="1206"/>
      <c r="AUW251" s="1206"/>
      <c r="AUX251" s="1206"/>
      <c r="AUY251" s="1206"/>
      <c r="AUZ251" s="1206"/>
      <c r="AVA251" s="1206"/>
      <c r="AVB251" s="1206"/>
      <c r="AVC251" s="1206"/>
      <c r="AVD251" s="1207"/>
      <c r="AVE251" s="1206"/>
      <c r="AVF251" s="1206"/>
      <c r="AVG251" s="1206"/>
      <c r="AVH251" s="1206"/>
      <c r="AVI251" s="1206"/>
      <c r="AVJ251" s="1206"/>
      <c r="AVK251" s="1206"/>
      <c r="AVL251" s="1206"/>
      <c r="AVM251" s="1206"/>
      <c r="AVN251" s="1206"/>
      <c r="AVO251" s="1206"/>
      <c r="AVP251" s="1206"/>
      <c r="AVQ251" s="1206"/>
      <c r="AVR251" s="1206"/>
      <c r="AVS251" s="1206"/>
      <c r="AVT251" s="1206"/>
      <c r="AVU251" s="1207"/>
      <c r="AVV251" s="1206"/>
      <c r="AVW251" s="1206"/>
      <c r="AVX251" s="1206"/>
      <c r="AVY251" s="1206"/>
      <c r="AVZ251" s="1206"/>
      <c r="AWA251" s="1206"/>
      <c r="AWB251" s="1206"/>
      <c r="AWC251" s="1206"/>
      <c r="AWD251" s="1206"/>
      <c r="AWE251" s="1206"/>
      <c r="AWF251" s="1206"/>
      <c r="AWG251" s="1206"/>
      <c r="AWH251" s="1206"/>
      <c r="AWI251" s="1206"/>
      <c r="AWJ251" s="1206"/>
      <c r="AWK251" s="1206"/>
      <c r="AWL251" s="1207"/>
      <c r="AWM251" s="1206"/>
      <c r="AWN251" s="1206"/>
      <c r="AWO251" s="1206"/>
      <c r="AWP251" s="1206"/>
      <c r="AWQ251" s="1206"/>
      <c r="AWR251" s="1206"/>
      <c r="AWS251" s="1206"/>
      <c r="AWT251" s="1206"/>
      <c r="AWU251" s="1206"/>
      <c r="AWV251" s="1206"/>
      <c r="AWW251" s="1206"/>
      <c r="AWX251" s="1206"/>
      <c r="AWY251" s="1206"/>
      <c r="AWZ251" s="1206"/>
      <c r="AXA251" s="1206"/>
      <c r="AXB251" s="1206"/>
      <c r="AXC251" s="1207"/>
      <c r="AXD251" s="1206"/>
      <c r="AXE251" s="1206"/>
      <c r="AXF251" s="1206"/>
      <c r="AXG251" s="1206"/>
      <c r="AXH251" s="1206"/>
      <c r="AXI251" s="1206"/>
      <c r="AXJ251" s="1206"/>
      <c r="AXK251" s="1206"/>
      <c r="AXL251" s="1206"/>
      <c r="AXM251" s="1206"/>
      <c r="AXN251" s="1206"/>
      <c r="AXO251" s="1206"/>
      <c r="AXP251" s="1206"/>
      <c r="AXQ251" s="1206"/>
      <c r="AXR251" s="1206"/>
      <c r="AXS251" s="1206"/>
      <c r="AXT251" s="1207"/>
      <c r="AXU251" s="1206"/>
      <c r="AXV251" s="1206"/>
      <c r="AXW251" s="1206"/>
      <c r="AXX251" s="1206"/>
      <c r="AXY251" s="1206"/>
      <c r="AXZ251" s="1206"/>
      <c r="AYA251" s="1206"/>
      <c r="AYB251" s="1206"/>
      <c r="AYC251" s="1206"/>
      <c r="AYD251" s="1206"/>
      <c r="AYE251" s="1206"/>
      <c r="AYF251" s="1206"/>
      <c r="AYG251" s="1206"/>
      <c r="AYH251" s="1206"/>
      <c r="AYI251" s="1206"/>
      <c r="AYJ251" s="1206"/>
      <c r="AYK251" s="1207"/>
      <c r="AYL251" s="1206"/>
      <c r="AYM251" s="1206"/>
      <c r="AYN251" s="1206"/>
      <c r="AYO251" s="1206"/>
      <c r="AYP251" s="1206"/>
      <c r="AYQ251" s="1206"/>
      <c r="AYR251" s="1206"/>
      <c r="AYS251" s="1206"/>
      <c r="AYT251" s="1206"/>
      <c r="AYU251" s="1206"/>
      <c r="AYV251" s="1206"/>
      <c r="AYW251" s="1206"/>
      <c r="AYX251" s="1206"/>
      <c r="AYY251" s="1206"/>
      <c r="AYZ251" s="1206"/>
      <c r="AZA251" s="1206"/>
      <c r="AZB251" s="1207"/>
      <c r="AZC251" s="1206"/>
      <c r="AZD251" s="1206"/>
      <c r="AZE251" s="1206"/>
      <c r="AZF251" s="1206"/>
      <c r="AZG251" s="1206"/>
      <c r="AZH251" s="1206"/>
      <c r="AZI251" s="1206"/>
      <c r="AZJ251" s="1206"/>
      <c r="AZK251" s="1206"/>
      <c r="AZL251" s="1206"/>
      <c r="AZM251" s="1206"/>
      <c r="AZN251" s="1206"/>
      <c r="AZO251" s="1206"/>
      <c r="AZP251" s="1206"/>
      <c r="AZQ251" s="1206"/>
      <c r="AZR251" s="1206"/>
      <c r="AZS251" s="1207"/>
      <c r="AZT251" s="1206"/>
      <c r="AZU251" s="1206"/>
      <c r="AZV251" s="1206"/>
      <c r="AZW251" s="1206"/>
      <c r="AZX251" s="1206"/>
      <c r="AZY251" s="1206"/>
      <c r="AZZ251" s="1206"/>
      <c r="BAA251" s="1206"/>
      <c r="BAB251" s="1206"/>
      <c r="BAC251" s="1206"/>
      <c r="BAD251" s="1206"/>
      <c r="BAE251" s="1206"/>
      <c r="BAF251" s="1206"/>
      <c r="BAG251" s="1206"/>
      <c r="BAH251" s="1206"/>
      <c r="BAI251" s="1206"/>
      <c r="BAJ251" s="1207"/>
      <c r="BAK251" s="1206"/>
      <c r="BAL251" s="1206"/>
      <c r="BAM251" s="1206"/>
      <c r="BAN251" s="1206"/>
      <c r="BAO251" s="1206"/>
      <c r="BAP251" s="1206"/>
      <c r="BAQ251" s="1206"/>
      <c r="BAR251" s="1206"/>
      <c r="BAS251" s="1206"/>
      <c r="BAT251" s="1206"/>
      <c r="BAU251" s="1206"/>
      <c r="BAV251" s="1206"/>
      <c r="BAW251" s="1206"/>
      <c r="BAX251" s="1206"/>
      <c r="BAY251" s="1206"/>
      <c r="BAZ251" s="1206"/>
      <c r="BBA251" s="1207"/>
      <c r="BBB251" s="1206"/>
      <c r="BBC251" s="1206"/>
      <c r="BBD251" s="1206"/>
      <c r="BBE251" s="1206"/>
      <c r="BBF251" s="1206"/>
      <c r="BBG251" s="1206"/>
      <c r="BBH251" s="1206"/>
      <c r="BBI251" s="1206"/>
      <c r="BBJ251" s="1206"/>
      <c r="BBK251" s="1206"/>
      <c r="BBL251" s="1206"/>
      <c r="BBM251" s="1206"/>
      <c r="BBN251" s="1206"/>
      <c r="BBO251" s="1206"/>
      <c r="BBP251" s="1206"/>
      <c r="BBQ251" s="1206"/>
      <c r="BBR251" s="1207"/>
      <c r="BBS251" s="1206"/>
      <c r="BBT251" s="1206"/>
      <c r="BBU251" s="1206"/>
      <c r="BBV251" s="1206"/>
      <c r="BBW251" s="1206"/>
      <c r="BBX251" s="1206"/>
      <c r="BBY251" s="1206"/>
      <c r="BBZ251" s="1206"/>
      <c r="BCA251" s="1206"/>
      <c r="BCB251" s="1206"/>
      <c r="BCC251" s="1206"/>
      <c r="BCD251" s="1206"/>
      <c r="BCE251" s="1206"/>
      <c r="BCF251" s="1206"/>
      <c r="BCG251" s="1206"/>
      <c r="BCH251" s="1206"/>
      <c r="BCI251" s="1207"/>
      <c r="BCJ251" s="1206"/>
      <c r="BCK251" s="1206"/>
      <c r="BCL251" s="1206"/>
      <c r="BCM251" s="1206"/>
      <c r="BCN251" s="1206"/>
      <c r="BCO251" s="1206"/>
      <c r="BCP251" s="1206"/>
      <c r="BCQ251" s="1206"/>
      <c r="BCR251" s="1206"/>
      <c r="BCS251" s="1206"/>
      <c r="BCT251" s="1206"/>
      <c r="BCU251" s="1206"/>
      <c r="BCV251" s="1206"/>
      <c r="BCW251" s="1206"/>
      <c r="BCX251" s="1206"/>
      <c r="BCY251" s="1206"/>
      <c r="BCZ251" s="1207"/>
      <c r="BDA251" s="1206"/>
      <c r="BDB251" s="1206"/>
      <c r="BDC251" s="1206"/>
      <c r="BDD251" s="1206"/>
      <c r="BDE251" s="1206"/>
      <c r="BDF251" s="1206"/>
      <c r="BDG251" s="1206"/>
      <c r="BDH251" s="1206"/>
      <c r="BDI251" s="1206"/>
      <c r="BDJ251" s="1206"/>
      <c r="BDK251" s="1206"/>
      <c r="BDL251" s="1206"/>
      <c r="BDM251" s="1206"/>
      <c r="BDN251" s="1206"/>
      <c r="BDO251" s="1206"/>
      <c r="BDP251" s="1206"/>
      <c r="BDQ251" s="1207"/>
      <c r="BDR251" s="1206"/>
      <c r="BDS251" s="1206"/>
      <c r="BDT251" s="1206"/>
      <c r="BDU251" s="1206"/>
      <c r="BDV251" s="1206"/>
      <c r="BDW251" s="1206"/>
      <c r="BDX251" s="1206"/>
      <c r="BDY251" s="1206"/>
      <c r="BDZ251" s="1206"/>
      <c r="BEA251" s="1206"/>
      <c r="BEB251" s="1206"/>
      <c r="BEC251" s="1206"/>
      <c r="BED251" s="1206"/>
      <c r="BEE251" s="1206"/>
      <c r="BEF251" s="1206"/>
      <c r="BEG251" s="1206"/>
      <c r="BEH251" s="1207"/>
      <c r="BEI251" s="1206"/>
      <c r="BEJ251" s="1206"/>
      <c r="BEK251" s="1206"/>
      <c r="BEL251" s="1206"/>
      <c r="BEM251" s="1206"/>
      <c r="BEN251" s="1206"/>
      <c r="BEO251" s="1206"/>
      <c r="BEP251" s="1206"/>
      <c r="BEQ251" s="1206"/>
      <c r="BER251" s="1206"/>
      <c r="BES251" s="1206"/>
      <c r="BET251" s="1206"/>
      <c r="BEU251" s="1206"/>
      <c r="BEV251" s="1206"/>
      <c r="BEW251" s="1206"/>
      <c r="BEX251" s="1206"/>
      <c r="BEY251" s="1207"/>
      <c r="BEZ251" s="1206"/>
      <c r="BFA251" s="1206"/>
      <c r="BFB251" s="1206"/>
      <c r="BFC251" s="1206"/>
      <c r="BFD251" s="1206"/>
      <c r="BFE251" s="1206"/>
      <c r="BFF251" s="1206"/>
      <c r="BFG251" s="1206"/>
      <c r="BFH251" s="1206"/>
      <c r="BFI251" s="1206"/>
      <c r="BFJ251" s="1206"/>
      <c r="BFK251" s="1206"/>
      <c r="BFL251" s="1206"/>
      <c r="BFM251" s="1206"/>
      <c r="BFN251" s="1206"/>
      <c r="BFO251" s="1206"/>
      <c r="BFP251" s="1207"/>
      <c r="BFQ251" s="1206"/>
      <c r="BFR251" s="1206"/>
      <c r="BFS251" s="1206"/>
      <c r="BFT251" s="1206"/>
      <c r="BFU251" s="1206"/>
      <c r="BFV251" s="1206"/>
      <c r="BFW251" s="1206"/>
      <c r="BFX251" s="1206"/>
      <c r="BFY251" s="1206"/>
      <c r="BFZ251" s="1206"/>
      <c r="BGA251" s="1206"/>
      <c r="BGB251" s="1206"/>
      <c r="BGC251" s="1206"/>
      <c r="BGD251" s="1206"/>
      <c r="BGE251" s="1206"/>
      <c r="BGF251" s="1206"/>
      <c r="BGG251" s="1207"/>
      <c r="BGH251" s="1206"/>
      <c r="BGI251" s="1206"/>
      <c r="BGJ251" s="1206"/>
      <c r="BGK251" s="1206"/>
      <c r="BGL251" s="1206"/>
      <c r="BGM251" s="1206"/>
      <c r="BGN251" s="1206"/>
      <c r="BGO251" s="1206"/>
      <c r="BGP251" s="1206"/>
      <c r="BGQ251" s="1206"/>
      <c r="BGR251" s="1206"/>
      <c r="BGS251" s="1206"/>
      <c r="BGT251" s="1206"/>
      <c r="BGU251" s="1206"/>
      <c r="BGV251" s="1206"/>
      <c r="BGW251" s="1206"/>
      <c r="BGX251" s="1207"/>
      <c r="BGY251" s="1206"/>
      <c r="BGZ251" s="1206"/>
      <c r="BHA251" s="1206"/>
      <c r="BHB251" s="1206"/>
      <c r="BHC251" s="1206"/>
      <c r="BHD251" s="1206"/>
      <c r="BHE251" s="1206"/>
      <c r="BHF251" s="1206"/>
      <c r="BHG251" s="1206"/>
      <c r="BHH251" s="1206"/>
      <c r="BHI251" s="1206"/>
      <c r="BHJ251" s="1206"/>
      <c r="BHK251" s="1206"/>
      <c r="BHL251" s="1206"/>
      <c r="BHM251" s="1206"/>
      <c r="BHN251" s="1206"/>
      <c r="BHO251" s="1207"/>
      <c r="BHP251" s="1206"/>
      <c r="BHQ251" s="1206"/>
      <c r="BHR251" s="1206"/>
      <c r="BHS251" s="1206"/>
      <c r="BHT251" s="1206"/>
      <c r="BHU251" s="1206"/>
      <c r="BHV251" s="1206"/>
      <c r="BHW251" s="1206"/>
      <c r="BHX251" s="1206"/>
      <c r="BHY251" s="1206"/>
      <c r="BHZ251" s="1206"/>
      <c r="BIA251" s="1206"/>
      <c r="BIB251" s="1206"/>
      <c r="BIC251" s="1206"/>
      <c r="BID251" s="1206"/>
      <c r="BIE251" s="1206"/>
      <c r="BIF251" s="1207"/>
      <c r="BIG251" s="1206"/>
      <c r="BIH251" s="1206"/>
      <c r="BII251" s="1206"/>
      <c r="BIJ251" s="1206"/>
      <c r="BIK251" s="1206"/>
      <c r="BIL251" s="1206"/>
      <c r="BIM251" s="1206"/>
      <c r="BIN251" s="1206"/>
      <c r="BIO251" s="1206"/>
      <c r="BIP251" s="1206"/>
      <c r="BIQ251" s="1206"/>
      <c r="BIR251" s="1206"/>
      <c r="BIS251" s="1206"/>
      <c r="BIT251" s="1206"/>
      <c r="BIU251" s="1206"/>
      <c r="BIV251" s="1206"/>
      <c r="BIW251" s="1207"/>
      <c r="BIX251" s="1206"/>
      <c r="BIY251" s="1206"/>
      <c r="BIZ251" s="1206"/>
      <c r="BJA251" s="1206"/>
      <c r="BJB251" s="1206"/>
      <c r="BJC251" s="1206"/>
      <c r="BJD251" s="1206"/>
      <c r="BJE251" s="1206"/>
      <c r="BJF251" s="1206"/>
      <c r="BJG251" s="1206"/>
      <c r="BJH251" s="1206"/>
      <c r="BJI251" s="1206"/>
      <c r="BJJ251" s="1206"/>
      <c r="BJK251" s="1206"/>
      <c r="BJL251" s="1206"/>
      <c r="BJM251" s="1206"/>
      <c r="BJN251" s="1207"/>
      <c r="BJO251" s="1206"/>
      <c r="BJP251" s="1206"/>
      <c r="BJQ251" s="1206"/>
      <c r="BJR251" s="1206"/>
      <c r="BJS251" s="1206"/>
      <c r="BJT251" s="1206"/>
      <c r="BJU251" s="1206"/>
      <c r="BJV251" s="1206"/>
      <c r="BJW251" s="1206"/>
      <c r="BJX251" s="1206"/>
      <c r="BJY251" s="1206"/>
      <c r="BJZ251" s="1206"/>
      <c r="BKA251" s="1206"/>
      <c r="BKB251" s="1206"/>
      <c r="BKC251" s="1206"/>
      <c r="BKD251" s="1206"/>
      <c r="BKE251" s="1207"/>
      <c r="BKF251" s="1206"/>
      <c r="BKG251" s="1206"/>
      <c r="BKH251" s="1206"/>
      <c r="BKI251" s="1206"/>
      <c r="BKJ251" s="1206"/>
      <c r="BKK251" s="1206"/>
      <c r="BKL251" s="1206"/>
      <c r="BKM251" s="1206"/>
      <c r="BKN251" s="1206"/>
      <c r="BKO251" s="1206"/>
      <c r="BKP251" s="1206"/>
      <c r="BKQ251" s="1206"/>
      <c r="BKR251" s="1206"/>
      <c r="BKS251" s="1206"/>
      <c r="BKT251" s="1206"/>
      <c r="BKU251" s="1206"/>
      <c r="BKV251" s="1207"/>
      <c r="BKW251" s="1206"/>
      <c r="BKX251" s="1206"/>
      <c r="BKY251" s="1206"/>
      <c r="BKZ251" s="1206"/>
      <c r="BLA251" s="1206"/>
      <c r="BLB251" s="1206"/>
      <c r="BLC251" s="1206"/>
      <c r="BLD251" s="1206"/>
      <c r="BLE251" s="1206"/>
      <c r="BLF251" s="1206"/>
      <c r="BLG251" s="1206"/>
      <c r="BLH251" s="1206"/>
      <c r="BLI251" s="1206"/>
      <c r="BLJ251" s="1206"/>
      <c r="BLK251" s="1206"/>
      <c r="BLL251" s="1206"/>
      <c r="BLM251" s="1207"/>
      <c r="BLN251" s="1206"/>
      <c r="BLO251" s="1206"/>
      <c r="BLP251" s="1206"/>
      <c r="BLQ251" s="1206"/>
      <c r="BLR251" s="1206"/>
      <c r="BLS251" s="1206"/>
      <c r="BLT251" s="1206"/>
      <c r="BLU251" s="1206"/>
      <c r="BLV251" s="1206"/>
      <c r="BLW251" s="1206"/>
      <c r="BLX251" s="1206"/>
      <c r="BLY251" s="1206"/>
      <c r="BLZ251" s="1206"/>
      <c r="BMA251" s="1206"/>
      <c r="BMB251" s="1206"/>
      <c r="BMC251" s="1206"/>
      <c r="BMD251" s="1207"/>
      <c r="BME251" s="1206"/>
      <c r="BMF251" s="1206"/>
      <c r="BMG251" s="1206"/>
      <c r="BMH251" s="1206"/>
      <c r="BMI251" s="1206"/>
      <c r="BMJ251" s="1206"/>
      <c r="BMK251" s="1206"/>
      <c r="BML251" s="1206"/>
      <c r="BMM251" s="1206"/>
      <c r="BMN251" s="1206"/>
      <c r="BMO251" s="1206"/>
      <c r="BMP251" s="1206"/>
      <c r="BMQ251" s="1206"/>
      <c r="BMR251" s="1206"/>
      <c r="BMS251" s="1206"/>
      <c r="BMT251" s="1206"/>
      <c r="BMU251" s="1207"/>
      <c r="BMV251" s="1206"/>
      <c r="BMW251" s="1206"/>
      <c r="BMX251" s="1206"/>
      <c r="BMY251" s="1206"/>
      <c r="BMZ251" s="1206"/>
      <c r="BNA251" s="1206"/>
      <c r="BNB251" s="1206"/>
      <c r="BNC251" s="1206"/>
      <c r="BND251" s="1206"/>
      <c r="BNE251" s="1206"/>
      <c r="BNF251" s="1206"/>
      <c r="BNG251" s="1206"/>
      <c r="BNH251" s="1206"/>
      <c r="BNI251" s="1206"/>
      <c r="BNJ251" s="1206"/>
      <c r="BNK251" s="1206"/>
      <c r="BNL251" s="1207"/>
      <c r="BNM251" s="1206"/>
      <c r="BNN251" s="1206"/>
      <c r="BNO251" s="1206"/>
      <c r="BNP251" s="1206"/>
      <c r="BNQ251" s="1206"/>
      <c r="BNR251" s="1206"/>
      <c r="BNS251" s="1206"/>
      <c r="BNT251" s="1206"/>
      <c r="BNU251" s="1206"/>
      <c r="BNV251" s="1206"/>
      <c r="BNW251" s="1206"/>
      <c r="BNX251" s="1206"/>
      <c r="BNY251" s="1206"/>
      <c r="BNZ251" s="1206"/>
      <c r="BOA251" s="1206"/>
      <c r="BOB251" s="1206"/>
      <c r="BOC251" s="1207"/>
      <c r="BOD251" s="1206"/>
      <c r="BOE251" s="1206"/>
      <c r="BOF251" s="1206"/>
      <c r="BOG251" s="1206"/>
      <c r="BOH251" s="1206"/>
      <c r="BOI251" s="1206"/>
      <c r="BOJ251" s="1206"/>
      <c r="BOK251" s="1206"/>
      <c r="BOL251" s="1206"/>
      <c r="BOM251" s="1206"/>
      <c r="BON251" s="1206"/>
      <c r="BOO251" s="1206"/>
      <c r="BOP251" s="1206"/>
      <c r="BOQ251" s="1206"/>
      <c r="BOR251" s="1206"/>
      <c r="BOS251" s="1206"/>
      <c r="BOT251" s="1207"/>
      <c r="BOU251" s="1206"/>
      <c r="BOV251" s="1206"/>
      <c r="BOW251" s="1206"/>
      <c r="BOX251" s="1206"/>
      <c r="BOY251" s="1206"/>
      <c r="BOZ251" s="1206"/>
      <c r="BPA251" s="1206"/>
      <c r="BPB251" s="1206"/>
      <c r="BPC251" s="1206"/>
      <c r="BPD251" s="1206"/>
      <c r="BPE251" s="1206"/>
      <c r="BPF251" s="1206"/>
      <c r="BPG251" s="1206"/>
      <c r="BPH251" s="1206"/>
      <c r="BPI251" s="1206"/>
      <c r="BPJ251" s="1206"/>
      <c r="BPK251" s="1207"/>
      <c r="BPL251" s="1206"/>
      <c r="BPM251" s="1206"/>
      <c r="BPN251" s="1206"/>
      <c r="BPO251" s="1206"/>
      <c r="BPP251" s="1206"/>
      <c r="BPQ251" s="1206"/>
      <c r="BPR251" s="1206"/>
      <c r="BPS251" s="1206"/>
      <c r="BPT251" s="1206"/>
      <c r="BPU251" s="1206"/>
      <c r="BPV251" s="1206"/>
      <c r="BPW251" s="1206"/>
      <c r="BPX251" s="1206"/>
      <c r="BPY251" s="1206"/>
      <c r="BPZ251" s="1206"/>
      <c r="BQA251" s="1206"/>
      <c r="BQB251" s="1207"/>
      <c r="BQC251" s="1206"/>
      <c r="BQD251" s="1206"/>
      <c r="BQE251" s="1206"/>
      <c r="BQF251" s="1206"/>
      <c r="BQG251" s="1206"/>
      <c r="BQH251" s="1206"/>
      <c r="BQI251" s="1206"/>
      <c r="BQJ251" s="1206"/>
      <c r="BQK251" s="1206"/>
      <c r="BQL251" s="1206"/>
      <c r="BQM251" s="1206"/>
      <c r="BQN251" s="1206"/>
      <c r="BQO251" s="1206"/>
      <c r="BQP251" s="1206"/>
      <c r="BQQ251" s="1206"/>
      <c r="BQR251" s="1206"/>
      <c r="BQS251" s="1207"/>
      <c r="BQT251" s="1206"/>
      <c r="BQU251" s="1206"/>
      <c r="BQV251" s="1206"/>
      <c r="BQW251" s="1206"/>
      <c r="BQX251" s="1206"/>
      <c r="BQY251" s="1206"/>
      <c r="BQZ251" s="1206"/>
      <c r="BRA251" s="1206"/>
      <c r="BRB251" s="1206"/>
      <c r="BRC251" s="1206"/>
      <c r="BRD251" s="1206"/>
      <c r="BRE251" s="1206"/>
      <c r="BRF251" s="1206"/>
      <c r="BRG251" s="1206"/>
      <c r="BRH251" s="1206"/>
      <c r="BRI251" s="1206"/>
      <c r="BRJ251" s="1207"/>
      <c r="BRK251" s="1206"/>
      <c r="BRL251" s="1206"/>
      <c r="BRM251" s="1206"/>
      <c r="BRN251" s="1206"/>
      <c r="BRO251" s="1206"/>
      <c r="BRP251" s="1206"/>
      <c r="BRQ251" s="1206"/>
      <c r="BRR251" s="1206"/>
      <c r="BRS251" s="1206"/>
      <c r="BRT251" s="1206"/>
      <c r="BRU251" s="1206"/>
      <c r="BRV251" s="1206"/>
      <c r="BRW251" s="1206"/>
      <c r="BRX251" s="1206"/>
      <c r="BRY251" s="1206"/>
      <c r="BRZ251" s="1206"/>
      <c r="BSA251" s="1207"/>
      <c r="BSB251" s="1206"/>
      <c r="BSC251" s="1206"/>
      <c r="BSD251" s="1206"/>
      <c r="BSE251" s="1206"/>
      <c r="BSF251" s="1206"/>
      <c r="BSG251" s="1206"/>
      <c r="BSH251" s="1206"/>
      <c r="BSI251" s="1206"/>
      <c r="BSJ251" s="1206"/>
      <c r="BSK251" s="1206"/>
      <c r="BSL251" s="1206"/>
      <c r="BSM251" s="1206"/>
      <c r="BSN251" s="1206"/>
      <c r="BSO251" s="1206"/>
      <c r="BSP251" s="1206"/>
      <c r="BSQ251" s="1206"/>
      <c r="BSR251" s="1207"/>
      <c r="BSS251" s="1206"/>
      <c r="BST251" s="1206"/>
      <c r="BSU251" s="1206"/>
      <c r="BSV251" s="1206"/>
      <c r="BSW251" s="1206"/>
      <c r="BSX251" s="1206"/>
      <c r="BSY251" s="1206"/>
      <c r="BSZ251" s="1206"/>
      <c r="BTA251" s="1206"/>
      <c r="BTB251" s="1206"/>
      <c r="BTC251" s="1206"/>
      <c r="BTD251" s="1206"/>
      <c r="BTE251" s="1206"/>
      <c r="BTF251" s="1206"/>
      <c r="BTG251" s="1206"/>
      <c r="BTH251" s="1206"/>
      <c r="BTI251" s="1207"/>
      <c r="BTJ251" s="1206"/>
      <c r="BTK251" s="1206"/>
      <c r="BTL251" s="1206"/>
      <c r="BTM251" s="1206"/>
      <c r="BTN251" s="1206"/>
      <c r="BTO251" s="1206"/>
      <c r="BTP251" s="1206"/>
      <c r="BTQ251" s="1206"/>
      <c r="BTR251" s="1206"/>
      <c r="BTS251" s="1206"/>
      <c r="BTT251" s="1206"/>
      <c r="BTU251" s="1206"/>
      <c r="BTV251" s="1206"/>
      <c r="BTW251" s="1206"/>
      <c r="BTX251" s="1206"/>
      <c r="BTY251" s="1206"/>
      <c r="BTZ251" s="1207"/>
      <c r="BUA251" s="1206"/>
      <c r="BUB251" s="1206"/>
      <c r="BUC251" s="1206"/>
      <c r="BUD251" s="1206"/>
      <c r="BUE251" s="1206"/>
      <c r="BUF251" s="1206"/>
      <c r="BUG251" s="1206"/>
      <c r="BUH251" s="1206"/>
      <c r="BUI251" s="1206"/>
      <c r="BUJ251" s="1206"/>
      <c r="BUK251" s="1206"/>
      <c r="BUL251" s="1206"/>
      <c r="BUM251" s="1206"/>
      <c r="BUN251" s="1206"/>
      <c r="BUO251" s="1206"/>
      <c r="BUP251" s="1206"/>
      <c r="BUQ251" s="1207"/>
      <c r="BUR251" s="1206"/>
      <c r="BUS251" s="1206"/>
      <c r="BUT251" s="1206"/>
      <c r="BUU251" s="1206"/>
      <c r="BUV251" s="1206"/>
      <c r="BUW251" s="1206"/>
      <c r="BUX251" s="1206"/>
      <c r="BUY251" s="1206"/>
      <c r="BUZ251" s="1206"/>
      <c r="BVA251" s="1206"/>
      <c r="BVB251" s="1206"/>
      <c r="BVC251" s="1206"/>
      <c r="BVD251" s="1206"/>
      <c r="BVE251" s="1206"/>
      <c r="BVF251" s="1206"/>
      <c r="BVG251" s="1206"/>
      <c r="BVH251" s="1207"/>
      <c r="BVI251" s="1206"/>
      <c r="BVJ251" s="1206"/>
      <c r="BVK251" s="1206"/>
      <c r="BVL251" s="1206"/>
      <c r="BVM251" s="1206"/>
      <c r="BVN251" s="1206"/>
      <c r="BVO251" s="1206"/>
      <c r="BVP251" s="1206"/>
      <c r="BVQ251" s="1206"/>
      <c r="BVR251" s="1206"/>
      <c r="BVS251" s="1206"/>
      <c r="BVT251" s="1206"/>
      <c r="BVU251" s="1206"/>
      <c r="BVV251" s="1206"/>
      <c r="BVW251" s="1206"/>
      <c r="BVX251" s="1206"/>
      <c r="BVY251" s="1207"/>
      <c r="BVZ251" s="1206"/>
      <c r="BWA251" s="1206"/>
      <c r="BWB251" s="1206"/>
      <c r="BWC251" s="1206"/>
      <c r="BWD251" s="1206"/>
      <c r="BWE251" s="1206"/>
      <c r="BWF251" s="1206"/>
      <c r="BWG251" s="1206"/>
      <c r="BWH251" s="1206"/>
      <c r="BWI251" s="1206"/>
      <c r="BWJ251" s="1206"/>
      <c r="BWK251" s="1206"/>
      <c r="BWL251" s="1206"/>
      <c r="BWM251" s="1206"/>
      <c r="BWN251" s="1206"/>
      <c r="BWO251" s="1206"/>
      <c r="BWP251" s="1207"/>
      <c r="BWQ251" s="1206"/>
      <c r="BWR251" s="1206"/>
      <c r="BWS251" s="1206"/>
      <c r="BWT251" s="1206"/>
      <c r="BWU251" s="1206"/>
      <c r="BWV251" s="1206"/>
      <c r="BWW251" s="1206"/>
      <c r="BWX251" s="1206"/>
      <c r="BWY251" s="1206"/>
      <c r="BWZ251" s="1206"/>
      <c r="BXA251" s="1206"/>
      <c r="BXB251" s="1206"/>
      <c r="BXC251" s="1206"/>
      <c r="BXD251" s="1206"/>
      <c r="BXE251" s="1206"/>
      <c r="BXF251" s="1206"/>
      <c r="BXG251" s="1207"/>
      <c r="BXH251" s="1206"/>
      <c r="BXI251" s="1206"/>
      <c r="BXJ251" s="1206"/>
      <c r="BXK251" s="1206"/>
      <c r="BXL251" s="1206"/>
      <c r="BXM251" s="1206"/>
      <c r="BXN251" s="1206"/>
      <c r="BXO251" s="1206"/>
      <c r="BXP251" s="1206"/>
      <c r="BXQ251" s="1206"/>
      <c r="BXR251" s="1206"/>
      <c r="BXS251" s="1206"/>
      <c r="BXT251" s="1206"/>
      <c r="BXU251" s="1206"/>
      <c r="BXV251" s="1206"/>
      <c r="BXW251" s="1206"/>
      <c r="BXX251" s="1207"/>
      <c r="BXY251" s="1206"/>
      <c r="BXZ251" s="1206"/>
      <c r="BYA251" s="1206"/>
      <c r="BYB251" s="1206"/>
      <c r="BYC251" s="1206"/>
      <c r="BYD251" s="1206"/>
      <c r="BYE251" s="1206"/>
      <c r="BYF251" s="1206"/>
      <c r="BYG251" s="1206"/>
      <c r="BYH251" s="1206"/>
      <c r="BYI251" s="1206"/>
      <c r="BYJ251" s="1206"/>
      <c r="BYK251" s="1206"/>
      <c r="BYL251" s="1206"/>
      <c r="BYM251" s="1206"/>
      <c r="BYN251" s="1206"/>
      <c r="BYO251" s="1207"/>
      <c r="BYP251" s="1206"/>
      <c r="BYQ251" s="1206"/>
      <c r="BYR251" s="1206"/>
      <c r="BYS251" s="1206"/>
      <c r="BYT251" s="1206"/>
      <c r="BYU251" s="1206"/>
      <c r="BYV251" s="1206"/>
      <c r="BYW251" s="1206"/>
      <c r="BYX251" s="1206"/>
      <c r="BYY251" s="1206"/>
      <c r="BYZ251" s="1206"/>
      <c r="BZA251" s="1206"/>
      <c r="BZB251" s="1206"/>
      <c r="BZC251" s="1206"/>
      <c r="BZD251" s="1206"/>
      <c r="BZE251" s="1206"/>
      <c r="BZF251" s="1207"/>
      <c r="BZG251" s="1206"/>
      <c r="BZH251" s="1206"/>
      <c r="BZI251" s="1206"/>
      <c r="BZJ251" s="1206"/>
      <c r="BZK251" s="1206"/>
      <c r="BZL251" s="1206"/>
      <c r="BZM251" s="1206"/>
      <c r="BZN251" s="1206"/>
      <c r="BZO251" s="1206"/>
      <c r="BZP251" s="1206"/>
      <c r="BZQ251" s="1206"/>
      <c r="BZR251" s="1206"/>
      <c r="BZS251" s="1206"/>
      <c r="BZT251" s="1206"/>
      <c r="BZU251" s="1206"/>
      <c r="BZV251" s="1206"/>
      <c r="BZW251" s="1207"/>
      <c r="BZX251" s="1206"/>
      <c r="BZY251" s="1206"/>
      <c r="BZZ251" s="1206"/>
      <c r="CAA251" s="1206"/>
      <c r="CAB251" s="1206"/>
      <c r="CAC251" s="1206"/>
      <c r="CAD251" s="1206"/>
      <c r="CAE251" s="1206"/>
      <c r="CAF251" s="1206"/>
      <c r="CAG251" s="1206"/>
      <c r="CAH251" s="1206"/>
      <c r="CAI251" s="1206"/>
      <c r="CAJ251" s="1206"/>
      <c r="CAK251" s="1206"/>
      <c r="CAL251" s="1206"/>
      <c r="CAM251" s="1206"/>
      <c r="CAN251" s="1207"/>
      <c r="CAO251" s="1206"/>
      <c r="CAP251" s="1206"/>
      <c r="CAQ251" s="1206"/>
      <c r="CAR251" s="1206"/>
      <c r="CAS251" s="1206"/>
      <c r="CAT251" s="1206"/>
      <c r="CAU251" s="1206"/>
      <c r="CAV251" s="1206"/>
      <c r="CAW251" s="1206"/>
      <c r="CAX251" s="1206"/>
      <c r="CAY251" s="1206"/>
      <c r="CAZ251" s="1206"/>
      <c r="CBA251" s="1206"/>
      <c r="CBB251" s="1206"/>
      <c r="CBC251" s="1206"/>
      <c r="CBD251" s="1206"/>
      <c r="CBE251" s="1207"/>
      <c r="CBF251" s="1206"/>
      <c r="CBG251" s="1206"/>
      <c r="CBH251" s="1206"/>
      <c r="CBI251" s="1206"/>
      <c r="CBJ251" s="1206"/>
      <c r="CBK251" s="1206"/>
      <c r="CBL251" s="1206"/>
      <c r="CBM251" s="1206"/>
      <c r="CBN251" s="1206"/>
      <c r="CBO251" s="1206"/>
      <c r="CBP251" s="1206"/>
      <c r="CBQ251" s="1206"/>
      <c r="CBR251" s="1206"/>
      <c r="CBS251" s="1206"/>
      <c r="CBT251" s="1206"/>
      <c r="CBU251" s="1206"/>
      <c r="CBV251" s="1207"/>
      <c r="CBW251" s="1206"/>
      <c r="CBX251" s="1206"/>
      <c r="CBY251" s="1206"/>
      <c r="CBZ251" s="1206"/>
      <c r="CCA251" s="1206"/>
      <c r="CCB251" s="1206"/>
      <c r="CCC251" s="1206"/>
      <c r="CCD251" s="1206"/>
      <c r="CCE251" s="1206"/>
      <c r="CCF251" s="1206"/>
      <c r="CCG251" s="1206"/>
      <c r="CCH251" s="1206"/>
      <c r="CCI251" s="1206"/>
      <c r="CCJ251" s="1206"/>
      <c r="CCK251" s="1206"/>
      <c r="CCL251" s="1206"/>
      <c r="CCM251" s="1207"/>
      <c r="CCN251" s="1206"/>
      <c r="CCO251" s="1206"/>
      <c r="CCP251" s="1206"/>
      <c r="CCQ251" s="1206"/>
      <c r="CCR251" s="1206"/>
      <c r="CCS251" s="1206"/>
      <c r="CCT251" s="1206"/>
      <c r="CCU251" s="1206"/>
      <c r="CCV251" s="1206"/>
      <c r="CCW251" s="1206"/>
      <c r="CCX251" s="1206"/>
      <c r="CCY251" s="1206"/>
      <c r="CCZ251" s="1206"/>
      <c r="CDA251" s="1206"/>
      <c r="CDB251" s="1206"/>
      <c r="CDC251" s="1206"/>
      <c r="CDD251" s="1207"/>
      <c r="CDE251" s="1206"/>
      <c r="CDF251" s="1206"/>
      <c r="CDG251" s="1206"/>
      <c r="CDH251" s="1206"/>
      <c r="CDI251" s="1206"/>
      <c r="CDJ251" s="1206"/>
      <c r="CDK251" s="1206"/>
      <c r="CDL251" s="1206"/>
      <c r="CDM251" s="1206"/>
      <c r="CDN251" s="1206"/>
      <c r="CDO251" s="1206"/>
      <c r="CDP251" s="1206"/>
      <c r="CDQ251" s="1206"/>
      <c r="CDR251" s="1206"/>
      <c r="CDS251" s="1206"/>
      <c r="CDT251" s="1206"/>
      <c r="CDU251" s="1207"/>
      <c r="CDV251" s="1206"/>
      <c r="CDW251" s="1206"/>
      <c r="CDX251" s="1206"/>
      <c r="CDY251" s="1206"/>
      <c r="CDZ251" s="1206"/>
      <c r="CEA251" s="1206"/>
      <c r="CEB251" s="1206"/>
      <c r="CEC251" s="1206"/>
      <c r="CED251" s="1206"/>
      <c r="CEE251" s="1206"/>
      <c r="CEF251" s="1206"/>
      <c r="CEG251" s="1206"/>
      <c r="CEH251" s="1206"/>
      <c r="CEI251" s="1206"/>
      <c r="CEJ251" s="1206"/>
      <c r="CEK251" s="1206"/>
      <c r="CEL251" s="1207"/>
      <c r="CEM251" s="1206"/>
      <c r="CEN251" s="1206"/>
      <c r="CEO251" s="1206"/>
      <c r="CEP251" s="1206"/>
      <c r="CEQ251" s="1206"/>
      <c r="CER251" s="1206"/>
      <c r="CES251" s="1206"/>
      <c r="CET251" s="1206"/>
      <c r="CEU251" s="1206"/>
      <c r="CEV251" s="1206"/>
      <c r="CEW251" s="1206"/>
      <c r="CEX251" s="1206"/>
      <c r="CEY251" s="1206"/>
      <c r="CEZ251" s="1206"/>
      <c r="CFA251" s="1206"/>
      <c r="CFB251" s="1206"/>
      <c r="CFC251" s="1207"/>
      <c r="CFD251" s="1206"/>
      <c r="CFE251" s="1206"/>
      <c r="CFF251" s="1206"/>
      <c r="CFG251" s="1206"/>
      <c r="CFH251" s="1206"/>
      <c r="CFI251" s="1206"/>
      <c r="CFJ251" s="1206"/>
      <c r="CFK251" s="1206"/>
      <c r="CFL251" s="1206"/>
      <c r="CFM251" s="1206"/>
      <c r="CFN251" s="1206"/>
      <c r="CFO251" s="1206"/>
      <c r="CFP251" s="1206"/>
      <c r="CFQ251" s="1206"/>
      <c r="CFR251" s="1206"/>
      <c r="CFS251" s="1206"/>
      <c r="CFT251" s="1207"/>
      <c r="CFU251" s="1206"/>
      <c r="CFV251" s="1206"/>
      <c r="CFW251" s="1206"/>
      <c r="CFX251" s="1206"/>
      <c r="CFY251" s="1206"/>
      <c r="CFZ251" s="1206"/>
      <c r="CGA251" s="1206"/>
      <c r="CGB251" s="1206"/>
      <c r="CGC251" s="1206"/>
      <c r="CGD251" s="1206"/>
      <c r="CGE251" s="1206"/>
      <c r="CGF251" s="1206"/>
      <c r="CGG251" s="1206"/>
      <c r="CGH251" s="1206"/>
      <c r="CGI251" s="1206"/>
      <c r="CGJ251" s="1206"/>
      <c r="CGK251" s="1207"/>
      <c r="CGL251" s="1206"/>
      <c r="CGM251" s="1206"/>
      <c r="CGN251" s="1206"/>
      <c r="CGO251" s="1206"/>
      <c r="CGP251" s="1206"/>
      <c r="CGQ251" s="1206"/>
      <c r="CGR251" s="1206"/>
      <c r="CGS251" s="1206"/>
      <c r="CGT251" s="1206"/>
      <c r="CGU251" s="1206"/>
      <c r="CGV251" s="1206"/>
      <c r="CGW251" s="1206"/>
      <c r="CGX251" s="1206"/>
      <c r="CGY251" s="1206"/>
      <c r="CGZ251" s="1206"/>
      <c r="CHA251" s="1206"/>
      <c r="CHB251" s="1207"/>
      <c r="CHC251" s="1206"/>
      <c r="CHD251" s="1206"/>
      <c r="CHE251" s="1206"/>
      <c r="CHF251" s="1206"/>
      <c r="CHG251" s="1206"/>
      <c r="CHH251" s="1206"/>
      <c r="CHI251" s="1206"/>
      <c r="CHJ251" s="1206"/>
      <c r="CHK251" s="1206"/>
      <c r="CHL251" s="1206"/>
      <c r="CHM251" s="1206"/>
      <c r="CHN251" s="1206"/>
      <c r="CHO251" s="1206"/>
      <c r="CHP251" s="1206"/>
      <c r="CHQ251" s="1206"/>
      <c r="CHR251" s="1206"/>
      <c r="CHS251" s="1207"/>
      <c r="CHT251" s="1206"/>
      <c r="CHU251" s="1206"/>
      <c r="CHV251" s="1206"/>
      <c r="CHW251" s="1206"/>
      <c r="CHX251" s="1206"/>
      <c r="CHY251" s="1206"/>
      <c r="CHZ251" s="1206"/>
      <c r="CIA251" s="1206"/>
      <c r="CIB251" s="1206"/>
      <c r="CIC251" s="1206"/>
      <c r="CID251" s="1206"/>
      <c r="CIE251" s="1206"/>
      <c r="CIF251" s="1206"/>
      <c r="CIG251" s="1206"/>
      <c r="CIH251" s="1206"/>
      <c r="CII251" s="1206"/>
      <c r="CIJ251" s="1207"/>
      <c r="CIK251" s="1206"/>
      <c r="CIL251" s="1206"/>
      <c r="CIM251" s="1206"/>
      <c r="CIN251" s="1206"/>
      <c r="CIO251" s="1206"/>
      <c r="CIP251" s="1206"/>
      <c r="CIQ251" s="1206"/>
      <c r="CIR251" s="1206"/>
      <c r="CIS251" s="1206"/>
      <c r="CIT251" s="1206"/>
      <c r="CIU251" s="1206"/>
      <c r="CIV251" s="1206"/>
      <c r="CIW251" s="1206"/>
      <c r="CIX251" s="1206"/>
      <c r="CIY251" s="1206"/>
      <c r="CIZ251" s="1206"/>
      <c r="CJA251" s="1207"/>
      <c r="CJB251" s="1206"/>
      <c r="CJC251" s="1206"/>
      <c r="CJD251" s="1206"/>
      <c r="CJE251" s="1206"/>
      <c r="CJF251" s="1206"/>
      <c r="CJG251" s="1206"/>
      <c r="CJH251" s="1206"/>
      <c r="CJI251" s="1206"/>
      <c r="CJJ251" s="1206"/>
      <c r="CJK251" s="1206"/>
      <c r="CJL251" s="1206"/>
      <c r="CJM251" s="1206"/>
      <c r="CJN251" s="1206"/>
      <c r="CJO251" s="1206"/>
      <c r="CJP251" s="1206"/>
      <c r="CJQ251" s="1206"/>
      <c r="CJR251" s="1207"/>
      <c r="CJS251" s="1206"/>
      <c r="CJT251" s="1206"/>
      <c r="CJU251" s="1206"/>
      <c r="CJV251" s="1206"/>
      <c r="CJW251" s="1206"/>
      <c r="CJX251" s="1206"/>
      <c r="CJY251" s="1206"/>
      <c r="CJZ251" s="1206"/>
      <c r="CKA251" s="1206"/>
      <c r="CKB251" s="1206"/>
      <c r="CKC251" s="1206"/>
      <c r="CKD251" s="1206"/>
      <c r="CKE251" s="1206"/>
      <c r="CKF251" s="1206"/>
      <c r="CKG251" s="1206"/>
      <c r="CKH251" s="1206"/>
      <c r="CKI251" s="1207"/>
      <c r="CKJ251" s="1206"/>
      <c r="CKK251" s="1206"/>
      <c r="CKL251" s="1206"/>
      <c r="CKM251" s="1206"/>
      <c r="CKN251" s="1206"/>
      <c r="CKO251" s="1206"/>
      <c r="CKP251" s="1206"/>
      <c r="CKQ251" s="1206"/>
      <c r="CKR251" s="1206"/>
      <c r="CKS251" s="1206"/>
      <c r="CKT251" s="1206"/>
      <c r="CKU251" s="1206"/>
      <c r="CKV251" s="1206"/>
      <c r="CKW251" s="1206"/>
      <c r="CKX251" s="1206"/>
      <c r="CKY251" s="1206"/>
      <c r="CKZ251" s="1207"/>
      <c r="CLA251" s="1206"/>
      <c r="CLB251" s="1206"/>
      <c r="CLC251" s="1206"/>
      <c r="CLD251" s="1206"/>
      <c r="CLE251" s="1206"/>
      <c r="CLF251" s="1206"/>
      <c r="CLG251" s="1206"/>
      <c r="CLH251" s="1206"/>
      <c r="CLI251" s="1206"/>
      <c r="CLJ251" s="1206"/>
      <c r="CLK251" s="1206"/>
      <c r="CLL251" s="1206"/>
      <c r="CLM251" s="1206"/>
      <c r="CLN251" s="1206"/>
      <c r="CLO251" s="1206"/>
      <c r="CLP251" s="1206"/>
      <c r="CLQ251" s="1207"/>
      <c r="CLR251" s="1206"/>
      <c r="CLS251" s="1206"/>
      <c r="CLT251" s="1206"/>
      <c r="CLU251" s="1206"/>
      <c r="CLV251" s="1206"/>
      <c r="CLW251" s="1206"/>
      <c r="CLX251" s="1206"/>
      <c r="CLY251" s="1206"/>
      <c r="CLZ251" s="1206"/>
      <c r="CMA251" s="1206"/>
      <c r="CMB251" s="1206"/>
      <c r="CMC251" s="1206"/>
      <c r="CMD251" s="1206"/>
      <c r="CME251" s="1206"/>
      <c r="CMF251" s="1206"/>
      <c r="CMG251" s="1206"/>
      <c r="CMH251" s="1207"/>
      <c r="CMI251" s="1206"/>
      <c r="CMJ251" s="1206"/>
      <c r="CMK251" s="1206"/>
      <c r="CML251" s="1206"/>
      <c r="CMM251" s="1206"/>
      <c r="CMN251" s="1206"/>
      <c r="CMO251" s="1206"/>
      <c r="CMP251" s="1206"/>
      <c r="CMQ251" s="1206"/>
      <c r="CMR251" s="1206"/>
      <c r="CMS251" s="1206"/>
      <c r="CMT251" s="1206"/>
      <c r="CMU251" s="1206"/>
      <c r="CMV251" s="1206"/>
      <c r="CMW251" s="1206"/>
      <c r="CMX251" s="1206"/>
      <c r="CMY251" s="1207"/>
      <c r="CMZ251" s="1206"/>
      <c r="CNA251" s="1206"/>
      <c r="CNB251" s="1206"/>
      <c r="CNC251" s="1206"/>
      <c r="CND251" s="1206"/>
      <c r="CNE251" s="1206"/>
      <c r="CNF251" s="1206"/>
      <c r="CNG251" s="1206"/>
      <c r="CNH251" s="1206"/>
      <c r="CNI251" s="1206"/>
      <c r="CNJ251" s="1206"/>
      <c r="CNK251" s="1206"/>
      <c r="CNL251" s="1206"/>
      <c r="CNM251" s="1206"/>
      <c r="CNN251" s="1206"/>
      <c r="CNO251" s="1206"/>
      <c r="CNP251" s="1207"/>
      <c r="CNQ251" s="1206"/>
      <c r="CNR251" s="1206"/>
      <c r="CNS251" s="1206"/>
      <c r="CNT251" s="1206"/>
      <c r="CNU251" s="1206"/>
      <c r="CNV251" s="1206"/>
      <c r="CNW251" s="1206"/>
      <c r="CNX251" s="1206"/>
      <c r="CNY251" s="1206"/>
      <c r="CNZ251" s="1206"/>
      <c r="COA251" s="1206"/>
      <c r="COB251" s="1206"/>
      <c r="COC251" s="1206"/>
      <c r="COD251" s="1206"/>
      <c r="COE251" s="1206"/>
      <c r="COF251" s="1206"/>
      <c r="COG251" s="1207"/>
      <c r="COH251" s="1206"/>
      <c r="COI251" s="1206"/>
      <c r="COJ251" s="1206"/>
      <c r="COK251" s="1206"/>
      <c r="COL251" s="1206"/>
      <c r="COM251" s="1206"/>
      <c r="CON251" s="1206"/>
      <c r="COO251" s="1206"/>
      <c r="COP251" s="1206"/>
      <c r="COQ251" s="1206"/>
      <c r="COR251" s="1206"/>
      <c r="COS251" s="1206"/>
      <c r="COT251" s="1206"/>
      <c r="COU251" s="1206"/>
      <c r="COV251" s="1206"/>
      <c r="COW251" s="1206"/>
      <c r="COX251" s="1207"/>
      <c r="COY251" s="1206"/>
      <c r="COZ251" s="1206"/>
      <c r="CPA251" s="1206"/>
      <c r="CPB251" s="1206"/>
      <c r="CPC251" s="1206"/>
      <c r="CPD251" s="1206"/>
      <c r="CPE251" s="1206"/>
      <c r="CPF251" s="1206"/>
      <c r="CPG251" s="1206"/>
      <c r="CPH251" s="1206"/>
      <c r="CPI251" s="1206"/>
      <c r="CPJ251" s="1206"/>
      <c r="CPK251" s="1206"/>
      <c r="CPL251" s="1206"/>
      <c r="CPM251" s="1206"/>
      <c r="CPN251" s="1206"/>
      <c r="CPO251" s="1207"/>
      <c r="CPP251" s="1206"/>
      <c r="CPQ251" s="1206"/>
      <c r="CPR251" s="1206"/>
      <c r="CPS251" s="1206"/>
      <c r="CPT251" s="1206"/>
      <c r="CPU251" s="1206"/>
      <c r="CPV251" s="1206"/>
      <c r="CPW251" s="1206"/>
      <c r="CPX251" s="1206"/>
      <c r="CPY251" s="1206"/>
      <c r="CPZ251" s="1206"/>
      <c r="CQA251" s="1206"/>
      <c r="CQB251" s="1206"/>
      <c r="CQC251" s="1206"/>
      <c r="CQD251" s="1206"/>
      <c r="CQE251" s="1206"/>
      <c r="CQF251" s="1207"/>
      <c r="CQG251" s="1206"/>
      <c r="CQH251" s="1206"/>
      <c r="CQI251" s="1206"/>
      <c r="CQJ251" s="1206"/>
      <c r="CQK251" s="1206"/>
      <c r="CQL251" s="1206"/>
      <c r="CQM251" s="1206"/>
      <c r="CQN251" s="1206"/>
      <c r="CQO251" s="1206"/>
      <c r="CQP251" s="1206"/>
      <c r="CQQ251" s="1206"/>
      <c r="CQR251" s="1206"/>
      <c r="CQS251" s="1206"/>
      <c r="CQT251" s="1206"/>
      <c r="CQU251" s="1206"/>
      <c r="CQV251" s="1206"/>
      <c r="CQW251" s="1207"/>
      <c r="CQX251" s="1206"/>
      <c r="CQY251" s="1206"/>
      <c r="CQZ251" s="1206"/>
      <c r="CRA251" s="1206"/>
      <c r="CRB251" s="1206"/>
      <c r="CRC251" s="1206"/>
      <c r="CRD251" s="1206"/>
      <c r="CRE251" s="1206"/>
      <c r="CRF251" s="1206"/>
      <c r="CRG251" s="1206"/>
      <c r="CRH251" s="1206"/>
      <c r="CRI251" s="1206"/>
      <c r="CRJ251" s="1206"/>
      <c r="CRK251" s="1206"/>
      <c r="CRL251" s="1206"/>
      <c r="CRM251" s="1206"/>
      <c r="CRN251" s="1207"/>
      <c r="CRO251" s="1206"/>
      <c r="CRP251" s="1206"/>
      <c r="CRQ251" s="1206"/>
      <c r="CRR251" s="1206"/>
      <c r="CRS251" s="1206"/>
      <c r="CRT251" s="1206"/>
      <c r="CRU251" s="1206"/>
      <c r="CRV251" s="1206"/>
      <c r="CRW251" s="1206"/>
      <c r="CRX251" s="1206"/>
      <c r="CRY251" s="1206"/>
      <c r="CRZ251" s="1206"/>
      <c r="CSA251" s="1206"/>
      <c r="CSB251" s="1206"/>
      <c r="CSC251" s="1206"/>
      <c r="CSD251" s="1206"/>
      <c r="CSE251" s="1207"/>
      <c r="CSF251" s="1206"/>
      <c r="CSG251" s="1206"/>
      <c r="CSH251" s="1206"/>
      <c r="CSI251" s="1206"/>
      <c r="CSJ251" s="1206"/>
      <c r="CSK251" s="1206"/>
      <c r="CSL251" s="1206"/>
      <c r="CSM251" s="1206"/>
      <c r="CSN251" s="1206"/>
      <c r="CSO251" s="1206"/>
      <c r="CSP251" s="1206"/>
      <c r="CSQ251" s="1206"/>
      <c r="CSR251" s="1206"/>
      <c r="CSS251" s="1206"/>
      <c r="CST251" s="1206"/>
      <c r="CSU251" s="1206"/>
      <c r="CSV251" s="1207"/>
      <c r="CSW251" s="1206"/>
      <c r="CSX251" s="1206"/>
      <c r="CSY251" s="1206"/>
      <c r="CSZ251" s="1206"/>
      <c r="CTA251" s="1206"/>
      <c r="CTB251" s="1206"/>
      <c r="CTC251" s="1206"/>
      <c r="CTD251" s="1206"/>
      <c r="CTE251" s="1206"/>
      <c r="CTF251" s="1206"/>
      <c r="CTG251" s="1206"/>
      <c r="CTH251" s="1206"/>
      <c r="CTI251" s="1206"/>
      <c r="CTJ251" s="1206"/>
      <c r="CTK251" s="1206"/>
      <c r="CTL251" s="1206"/>
      <c r="CTM251" s="1207"/>
      <c r="CTN251" s="1206"/>
      <c r="CTO251" s="1206"/>
      <c r="CTP251" s="1206"/>
      <c r="CTQ251" s="1206"/>
      <c r="CTR251" s="1206"/>
      <c r="CTS251" s="1206"/>
      <c r="CTT251" s="1206"/>
      <c r="CTU251" s="1206"/>
      <c r="CTV251" s="1206"/>
      <c r="CTW251" s="1206"/>
      <c r="CTX251" s="1206"/>
      <c r="CTY251" s="1206"/>
      <c r="CTZ251" s="1206"/>
      <c r="CUA251" s="1206"/>
      <c r="CUB251" s="1206"/>
      <c r="CUC251" s="1206"/>
      <c r="CUD251" s="1207"/>
      <c r="CUE251" s="1206"/>
      <c r="CUF251" s="1206"/>
      <c r="CUG251" s="1206"/>
      <c r="CUH251" s="1206"/>
      <c r="CUI251" s="1206"/>
      <c r="CUJ251" s="1206"/>
      <c r="CUK251" s="1206"/>
      <c r="CUL251" s="1206"/>
      <c r="CUM251" s="1206"/>
      <c r="CUN251" s="1206"/>
      <c r="CUO251" s="1206"/>
      <c r="CUP251" s="1206"/>
      <c r="CUQ251" s="1206"/>
      <c r="CUR251" s="1206"/>
      <c r="CUS251" s="1206"/>
      <c r="CUT251" s="1206"/>
      <c r="CUU251" s="1207"/>
      <c r="CUV251" s="1206"/>
      <c r="CUW251" s="1206"/>
      <c r="CUX251" s="1206"/>
      <c r="CUY251" s="1206"/>
      <c r="CUZ251" s="1206"/>
      <c r="CVA251" s="1206"/>
      <c r="CVB251" s="1206"/>
      <c r="CVC251" s="1206"/>
      <c r="CVD251" s="1206"/>
      <c r="CVE251" s="1206"/>
      <c r="CVF251" s="1206"/>
      <c r="CVG251" s="1206"/>
      <c r="CVH251" s="1206"/>
      <c r="CVI251" s="1206"/>
      <c r="CVJ251" s="1206"/>
      <c r="CVK251" s="1206"/>
      <c r="CVL251" s="1207"/>
      <c r="CVM251" s="1206"/>
      <c r="CVN251" s="1206"/>
      <c r="CVO251" s="1206"/>
      <c r="CVP251" s="1206"/>
      <c r="CVQ251" s="1206"/>
      <c r="CVR251" s="1206"/>
      <c r="CVS251" s="1206"/>
      <c r="CVT251" s="1206"/>
      <c r="CVU251" s="1206"/>
      <c r="CVV251" s="1206"/>
      <c r="CVW251" s="1206"/>
      <c r="CVX251" s="1206"/>
      <c r="CVY251" s="1206"/>
      <c r="CVZ251" s="1206"/>
      <c r="CWA251" s="1206"/>
      <c r="CWB251" s="1206"/>
      <c r="CWC251" s="1207"/>
      <c r="CWD251" s="1206"/>
      <c r="CWE251" s="1206"/>
      <c r="CWF251" s="1206"/>
      <c r="CWG251" s="1206"/>
      <c r="CWH251" s="1206"/>
      <c r="CWI251" s="1206"/>
      <c r="CWJ251" s="1206"/>
      <c r="CWK251" s="1206"/>
      <c r="CWL251" s="1206"/>
      <c r="CWM251" s="1206"/>
      <c r="CWN251" s="1206"/>
      <c r="CWO251" s="1206"/>
      <c r="CWP251" s="1206"/>
      <c r="CWQ251" s="1206"/>
      <c r="CWR251" s="1206"/>
      <c r="CWS251" s="1206"/>
      <c r="CWT251" s="1207"/>
      <c r="CWU251" s="1206"/>
      <c r="CWV251" s="1206"/>
      <c r="CWW251" s="1206"/>
      <c r="CWX251" s="1206"/>
      <c r="CWY251" s="1206"/>
      <c r="CWZ251" s="1206"/>
      <c r="CXA251" s="1206"/>
      <c r="CXB251" s="1206"/>
      <c r="CXC251" s="1206"/>
      <c r="CXD251" s="1206"/>
      <c r="CXE251" s="1206"/>
      <c r="CXF251" s="1206"/>
      <c r="CXG251" s="1206"/>
      <c r="CXH251" s="1206"/>
      <c r="CXI251" s="1206"/>
      <c r="CXJ251" s="1206"/>
      <c r="CXK251" s="1207"/>
      <c r="CXL251" s="1206"/>
      <c r="CXM251" s="1206"/>
      <c r="CXN251" s="1206"/>
      <c r="CXO251" s="1206"/>
      <c r="CXP251" s="1206"/>
      <c r="CXQ251" s="1206"/>
      <c r="CXR251" s="1206"/>
      <c r="CXS251" s="1206"/>
      <c r="CXT251" s="1206"/>
      <c r="CXU251" s="1206"/>
      <c r="CXV251" s="1206"/>
      <c r="CXW251" s="1206"/>
      <c r="CXX251" s="1206"/>
      <c r="CXY251" s="1206"/>
      <c r="CXZ251" s="1206"/>
      <c r="CYA251" s="1206"/>
      <c r="CYB251" s="1207"/>
      <c r="CYC251" s="1206"/>
      <c r="CYD251" s="1206"/>
      <c r="CYE251" s="1206"/>
      <c r="CYF251" s="1206"/>
      <c r="CYG251" s="1206"/>
      <c r="CYH251" s="1206"/>
      <c r="CYI251" s="1206"/>
      <c r="CYJ251" s="1206"/>
      <c r="CYK251" s="1206"/>
      <c r="CYL251" s="1206"/>
      <c r="CYM251" s="1206"/>
      <c r="CYN251" s="1206"/>
      <c r="CYO251" s="1206"/>
      <c r="CYP251" s="1206"/>
      <c r="CYQ251" s="1206"/>
      <c r="CYR251" s="1206"/>
      <c r="CYS251" s="1207"/>
      <c r="CYT251" s="1206"/>
      <c r="CYU251" s="1206"/>
      <c r="CYV251" s="1206"/>
      <c r="CYW251" s="1206"/>
      <c r="CYX251" s="1206"/>
      <c r="CYY251" s="1206"/>
      <c r="CYZ251" s="1206"/>
      <c r="CZA251" s="1206"/>
      <c r="CZB251" s="1206"/>
      <c r="CZC251" s="1206"/>
      <c r="CZD251" s="1206"/>
      <c r="CZE251" s="1206"/>
      <c r="CZF251" s="1206"/>
      <c r="CZG251" s="1206"/>
      <c r="CZH251" s="1206"/>
      <c r="CZI251" s="1206"/>
      <c r="CZJ251" s="1207"/>
      <c r="CZK251" s="1206"/>
      <c r="CZL251" s="1206"/>
      <c r="CZM251" s="1206"/>
      <c r="CZN251" s="1206"/>
      <c r="CZO251" s="1206"/>
      <c r="CZP251" s="1206"/>
      <c r="CZQ251" s="1206"/>
      <c r="CZR251" s="1206"/>
      <c r="CZS251" s="1206"/>
      <c r="CZT251" s="1206"/>
      <c r="CZU251" s="1206"/>
      <c r="CZV251" s="1206"/>
      <c r="CZW251" s="1206"/>
      <c r="CZX251" s="1206"/>
      <c r="CZY251" s="1206"/>
      <c r="CZZ251" s="1206"/>
      <c r="DAA251" s="1207"/>
      <c r="DAB251" s="1206"/>
      <c r="DAC251" s="1206"/>
      <c r="DAD251" s="1206"/>
      <c r="DAE251" s="1206"/>
      <c r="DAF251" s="1206"/>
      <c r="DAG251" s="1206"/>
      <c r="DAH251" s="1206"/>
      <c r="DAI251" s="1206"/>
      <c r="DAJ251" s="1206"/>
      <c r="DAK251" s="1206"/>
      <c r="DAL251" s="1206"/>
      <c r="DAM251" s="1206"/>
      <c r="DAN251" s="1206"/>
      <c r="DAO251" s="1206"/>
      <c r="DAP251" s="1206"/>
      <c r="DAQ251" s="1206"/>
      <c r="DAR251" s="1207"/>
      <c r="DAS251" s="1206"/>
      <c r="DAT251" s="1206"/>
      <c r="DAU251" s="1206"/>
      <c r="DAV251" s="1206"/>
      <c r="DAW251" s="1206"/>
      <c r="DAX251" s="1206"/>
      <c r="DAY251" s="1206"/>
      <c r="DAZ251" s="1206"/>
      <c r="DBA251" s="1206"/>
      <c r="DBB251" s="1206"/>
      <c r="DBC251" s="1206"/>
      <c r="DBD251" s="1206"/>
      <c r="DBE251" s="1206"/>
      <c r="DBF251" s="1206"/>
      <c r="DBG251" s="1206"/>
      <c r="DBH251" s="1206"/>
      <c r="DBI251" s="1207"/>
      <c r="DBJ251" s="1206"/>
      <c r="DBK251" s="1206"/>
      <c r="DBL251" s="1206"/>
      <c r="DBM251" s="1206"/>
      <c r="DBN251" s="1206"/>
      <c r="DBO251" s="1206"/>
      <c r="DBP251" s="1206"/>
      <c r="DBQ251" s="1206"/>
      <c r="DBR251" s="1206"/>
      <c r="DBS251" s="1206"/>
      <c r="DBT251" s="1206"/>
      <c r="DBU251" s="1206"/>
      <c r="DBV251" s="1206"/>
      <c r="DBW251" s="1206"/>
      <c r="DBX251" s="1206"/>
      <c r="DBY251" s="1206"/>
      <c r="DBZ251" s="1207"/>
      <c r="DCA251" s="1206"/>
      <c r="DCB251" s="1206"/>
      <c r="DCC251" s="1206"/>
      <c r="DCD251" s="1206"/>
      <c r="DCE251" s="1206"/>
      <c r="DCF251" s="1206"/>
      <c r="DCG251" s="1206"/>
      <c r="DCH251" s="1206"/>
      <c r="DCI251" s="1206"/>
      <c r="DCJ251" s="1206"/>
      <c r="DCK251" s="1206"/>
      <c r="DCL251" s="1206"/>
      <c r="DCM251" s="1206"/>
      <c r="DCN251" s="1206"/>
      <c r="DCO251" s="1206"/>
      <c r="DCP251" s="1206"/>
      <c r="DCQ251" s="1207"/>
      <c r="DCR251" s="1206"/>
      <c r="DCS251" s="1206"/>
      <c r="DCT251" s="1206"/>
      <c r="DCU251" s="1206"/>
      <c r="DCV251" s="1206"/>
      <c r="DCW251" s="1206"/>
      <c r="DCX251" s="1206"/>
      <c r="DCY251" s="1206"/>
      <c r="DCZ251" s="1206"/>
      <c r="DDA251" s="1206"/>
      <c r="DDB251" s="1206"/>
      <c r="DDC251" s="1206"/>
      <c r="DDD251" s="1206"/>
      <c r="DDE251" s="1206"/>
      <c r="DDF251" s="1206"/>
      <c r="DDG251" s="1206"/>
      <c r="DDH251" s="1207"/>
      <c r="DDI251" s="1206"/>
      <c r="DDJ251" s="1206"/>
      <c r="DDK251" s="1206"/>
      <c r="DDL251" s="1206"/>
      <c r="DDM251" s="1206"/>
      <c r="DDN251" s="1206"/>
      <c r="DDO251" s="1206"/>
      <c r="DDP251" s="1206"/>
      <c r="DDQ251" s="1206"/>
      <c r="DDR251" s="1206"/>
      <c r="DDS251" s="1206"/>
      <c r="DDT251" s="1206"/>
      <c r="DDU251" s="1206"/>
      <c r="DDV251" s="1206"/>
      <c r="DDW251" s="1206"/>
      <c r="DDX251" s="1206"/>
      <c r="DDY251" s="1207"/>
      <c r="DDZ251" s="1206"/>
      <c r="DEA251" s="1206"/>
      <c r="DEB251" s="1206"/>
      <c r="DEC251" s="1206"/>
      <c r="DED251" s="1206"/>
      <c r="DEE251" s="1206"/>
      <c r="DEF251" s="1206"/>
      <c r="DEG251" s="1206"/>
      <c r="DEH251" s="1206"/>
      <c r="DEI251" s="1206"/>
      <c r="DEJ251" s="1206"/>
      <c r="DEK251" s="1206"/>
      <c r="DEL251" s="1206"/>
      <c r="DEM251" s="1206"/>
      <c r="DEN251" s="1206"/>
      <c r="DEO251" s="1206"/>
      <c r="DEP251" s="1207"/>
      <c r="DEQ251" s="1206"/>
      <c r="DER251" s="1206"/>
      <c r="DES251" s="1206"/>
      <c r="DET251" s="1206"/>
      <c r="DEU251" s="1206"/>
      <c r="DEV251" s="1206"/>
      <c r="DEW251" s="1206"/>
      <c r="DEX251" s="1206"/>
      <c r="DEY251" s="1206"/>
      <c r="DEZ251" s="1206"/>
      <c r="DFA251" s="1206"/>
      <c r="DFB251" s="1206"/>
      <c r="DFC251" s="1206"/>
      <c r="DFD251" s="1206"/>
      <c r="DFE251" s="1206"/>
      <c r="DFF251" s="1206"/>
      <c r="DFG251" s="1207"/>
      <c r="DFH251" s="1206"/>
      <c r="DFI251" s="1206"/>
      <c r="DFJ251" s="1206"/>
      <c r="DFK251" s="1206"/>
      <c r="DFL251" s="1206"/>
      <c r="DFM251" s="1206"/>
      <c r="DFN251" s="1206"/>
      <c r="DFO251" s="1206"/>
      <c r="DFP251" s="1206"/>
      <c r="DFQ251" s="1206"/>
      <c r="DFR251" s="1206"/>
      <c r="DFS251" s="1206"/>
      <c r="DFT251" s="1206"/>
      <c r="DFU251" s="1206"/>
      <c r="DFV251" s="1206"/>
      <c r="DFW251" s="1206"/>
      <c r="DFX251" s="1207"/>
      <c r="DFY251" s="1206"/>
      <c r="DFZ251" s="1206"/>
      <c r="DGA251" s="1206"/>
      <c r="DGB251" s="1206"/>
      <c r="DGC251" s="1206"/>
      <c r="DGD251" s="1206"/>
      <c r="DGE251" s="1206"/>
      <c r="DGF251" s="1206"/>
      <c r="DGG251" s="1206"/>
      <c r="DGH251" s="1206"/>
      <c r="DGI251" s="1206"/>
      <c r="DGJ251" s="1206"/>
      <c r="DGK251" s="1206"/>
      <c r="DGL251" s="1206"/>
      <c r="DGM251" s="1206"/>
      <c r="DGN251" s="1206"/>
      <c r="DGO251" s="1207"/>
      <c r="DGP251" s="1206"/>
      <c r="DGQ251" s="1206"/>
      <c r="DGR251" s="1206"/>
      <c r="DGS251" s="1206"/>
      <c r="DGT251" s="1206"/>
      <c r="DGU251" s="1206"/>
      <c r="DGV251" s="1206"/>
      <c r="DGW251" s="1206"/>
      <c r="DGX251" s="1206"/>
      <c r="DGY251" s="1206"/>
      <c r="DGZ251" s="1206"/>
      <c r="DHA251" s="1206"/>
      <c r="DHB251" s="1206"/>
      <c r="DHC251" s="1206"/>
      <c r="DHD251" s="1206"/>
      <c r="DHE251" s="1206"/>
      <c r="DHF251" s="1207"/>
      <c r="DHG251" s="1206"/>
      <c r="DHH251" s="1206"/>
      <c r="DHI251" s="1206"/>
      <c r="DHJ251" s="1206"/>
      <c r="DHK251" s="1206"/>
      <c r="DHL251" s="1206"/>
      <c r="DHM251" s="1206"/>
      <c r="DHN251" s="1206"/>
      <c r="DHO251" s="1206"/>
      <c r="DHP251" s="1206"/>
      <c r="DHQ251" s="1206"/>
      <c r="DHR251" s="1206"/>
      <c r="DHS251" s="1206"/>
      <c r="DHT251" s="1206"/>
      <c r="DHU251" s="1206"/>
      <c r="DHV251" s="1206"/>
      <c r="DHW251" s="1207"/>
      <c r="DHX251" s="1206"/>
      <c r="DHY251" s="1206"/>
      <c r="DHZ251" s="1206"/>
      <c r="DIA251" s="1206"/>
      <c r="DIB251" s="1206"/>
      <c r="DIC251" s="1206"/>
      <c r="DID251" s="1206"/>
      <c r="DIE251" s="1206"/>
      <c r="DIF251" s="1206"/>
      <c r="DIG251" s="1206"/>
      <c r="DIH251" s="1206"/>
      <c r="DII251" s="1206"/>
      <c r="DIJ251" s="1206"/>
      <c r="DIK251" s="1206"/>
      <c r="DIL251" s="1206"/>
      <c r="DIM251" s="1206"/>
      <c r="DIN251" s="1207"/>
      <c r="DIO251" s="1206"/>
      <c r="DIP251" s="1206"/>
      <c r="DIQ251" s="1206"/>
      <c r="DIR251" s="1206"/>
      <c r="DIS251" s="1206"/>
      <c r="DIT251" s="1206"/>
      <c r="DIU251" s="1206"/>
      <c r="DIV251" s="1206"/>
      <c r="DIW251" s="1206"/>
      <c r="DIX251" s="1206"/>
      <c r="DIY251" s="1206"/>
      <c r="DIZ251" s="1206"/>
      <c r="DJA251" s="1206"/>
      <c r="DJB251" s="1206"/>
      <c r="DJC251" s="1206"/>
      <c r="DJD251" s="1206"/>
      <c r="DJE251" s="1207"/>
      <c r="DJF251" s="1206"/>
      <c r="DJG251" s="1206"/>
      <c r="DJH251" s="1206"/>
      <c r="DJI251" s="1206"/>
      <c r="DJJ251" s="1206"/>
      <c r="DJK251" s="1206"/>
      <c r="DJL251" s="1206"/>
      <c r="DJM251" s="1206"/>
      <c r="DJN251" s="1206"/>
      <c r="DJO251" s="1206"/>
      <c r="DJP251" s="1206"/>
      <c r="DJQ251" s="1206"/>
      <c r="DJR251" s="1206"/>
      <c r="DJS251" s="1206"/>
      <c r="DJT251" s="1206"/>
      <c r="DJU251" s="1206"/>
      <c r="DJV251" s="1207"/>
      <c r="DJW251" s="1206"/>
      <c r="DJX251" s="1206"/>
      <c r="DJY251" s="1206"/>
      <c r="DJZ251" s="1206"/>
      <c r="DKA251" s="1206"/>
      <c r="DKB251" s="1206"/>
      <c r="DKC251" s="1206"/>
      <c r="DKD251" s="1206"/>
      <c r="DKE251" s="1206"/>
      <c r="DKF251" s="1206"/>
      <c r="DKG251" s="1206"/>
      <c r="DKH251" s="1206"/>
      <c r="DKI251" s="1206"/>
      <c r="DKJ251" s="1206"/>
      <c r="DKK251" s="1206"/>
      <c r="DKL251" s="1206"/>
      <c r="DKM251" s="1207"/>
      <c r="DKN251" s="1206"/>
      <c r="DKO251" s="1206"/>
      <c r="DKP251" s="1206"/>
      <c r="DKQ251" s="1206"/>
      <c r="DKR251" s="1206"/>
      <c r="DKS251" s="1206"/>
      <c r="DKT251" s="1206"/>
      <c r="DKU251" s="1206"/>
      <c r="DKV251" s="1206"/>
      <c r="DKW251" s="1206"/>
      <c r="DKX251" s="1206"/>
      <c r="DKY251" s="1206"/>
      <c r="DKZ251" s="1206"/>
      <c r="DLA251" s="1206"/>
      <c r="DLB251" s="1206"/>
      <c r="DLC251" s="1206"/>
      <c r="DLD251" s="1207"/>
      <c r="DLE251" s="1206"/>
      <c r="DLF251" s="1206"/>
      <c r="DLG251" s="1206"/>
      <c r="DLH251" s="1206"/>
      <c r="DLI251" s="1206"/>
      <c r="DLJ251" s="1206"/>
      <c r="DLK251" s="1206"/>
      <c r="DLL251" s="1206"/>
      <c r="DLM251" s="1206"/>
      <c r="DLN251" s="1206"/>
      <c r="DLO251" s="1206"/>
      <c r="DLP251" s="1206"/>
      <c r="DLQ251" s="1206"/>
      <c r="DLR251" s="1206"/>
      <c r="DLS251" s="1206"/>
      <c r="DLT251" s="1206"/>
      <c r="DLU251" s="1207"/>
      <c r="DLV251" s="1206"/>
      <c r="DLW251" s="1206"/>
      <c r="DLX251" s="1206"/>
      <c r="DLY251" s="1206"/>
      <c r="DLZ251" s="1206"/>
      <c r="DMA251" s="1206"/>
      <c r="DMB251" s="1206"/>
      <c r="DMC251" s="1206"/>
      <c r="DMD251" s="1206"/>
      <c r="DME251" s="1206"/>
      <c r="DMF251" s="1206"/>
      <c r="DMG251" s="1206"/>
      <c r="DMH251" s="1206"/>
      <c r="DMI251" s="1206"/>
      <c r="DMJ251" s="1206"/>
      <c r="DMK251" s="1206"/>
      <c r="DML251" s="1207"/>
      <c r="DMM251" s="1206"/>
      <c r="DMN251" s="1206"/>
      <c r="DMO251" s="1206"/>
      <c r="DMP251" s="1206"/>
      <c r="DMQ251" s="1206"/>
      <c r="DMR251" s="1206"/>
      <c r="DMS251" s="1206"/>
      <c r="DMT251" s="1206"/>
      <c r="DMU251" s="1206"/>
      <c r="DMV251" s="1206"/>
      <c r="DMW251" s="1206"/>
      <c r="DMX251" s="1206"/>
      <c r="DMY251" s="1206"/>
      <c r="DMZ251" s="1206"/>
      <c r="DNA251" s="1206"/>
      <c r="DNB251" s="1206"/>
      <c r="DNC251" s="1207"/>
      <c r="DND251" s="1206"/>
      <c r="DNE251" s="1206"/>
      <c r="DNF251" s="1206"/>
      <c r="DNG251" s="1206"/>
      <c r="DNH251" s="1206"/>
      <c r="DNI251" s="1206"/>
      <c r="DNJ251" s="1206"/>
      <c r="DNK251" s="1206"/>
      <c r="DNL251" s="1206"/>
      <c r="DNM251" s="1206"/>
      <c r="DNN251" s="1206"/>
      <c r="DNO251" s="1206"/>
      <c r="DNP251" s="1206"/>
      <c r="DNQ251" s="1206"/>
      <c r="DNR251" s="1206"/>
      <c r="DNS251" s="1206"/>
      <c r="DNT251" s="1207"/>
      <c r="DNU251" s="1206"/>
      <c r="DNV251" s="1206"/>
      <c r="DNW251" s="1206"/>
      <c r="DNX251" s="1206"/>
      <c r="DNY251" s="1206"/>
      <c r="DNZ251" s="1206"/>
      <c r="DOA251" s="1206"/>
      <c r="DOB251" s="1206"/>
      <c r="DOC251" s="1206"/>
      <c r="DOD251" s="1206"/>
      <c r="DOE251" s="1206"/>
      <c r="DOF251" s="1206"/>
      <c r="DOG251" s="1206"/>
      <c r="DOH251" s="1206"/>
      <c r="DOI251" s="1206"/>
      <c r="DOJ251" s="1206"/>
      <c r="DOK251" s="1207"/>
      <c r="DOL251" s="1206"/>
      <c r="DOM251" s="1206"/>
      <c r="DON251" s="1206"/>
      <c r="DOO251" s="1206"/>
      <c r="DOP251" s="1206"/>
      <c r="DOQ251" s="1206"/>
      <c r="DOR251" s="1206"/>
      <c r="DOS251" s="1206"/>
      <c r="DOT251" s="1206"/>
      <c r="DOU251" s="1206"/>
      <c r="DOV251" s="1206"/>
      <c r="DOW251" s="1206"/>
      <c r="DOX251" s="1206"/>
      <c r="DOY251" s="1206"/>
      <c r="DOZ251" s="1206"/>
      <c r="DPA251" s="1206"/>
      <c r="DPB251" s="1207"/>
      <c r="DPC251" s="1206"/>
      <c r="DPD251" s="1206"/>
      <c r="DPE251" s="1206"/>
      <c r="DPF251" s="1206"/>
      <c r="DPG251" s="1206"/>
      <c r="DPH251" s="1206"/>
      <c r="DPI251" s="1206"/>
      <c r="DPJ251" s="1206"/>
      <c r="DPK251" s="1206"/>
      <c r="DPL251" s="1206"/>
      <c r="DPM251" s="1206"/>
      <c r="DPN251" s="1206"/>
      <c r="DPO251" s="1206"/>
      <c r="DPP251" s="1206"/>
      <c r="DPQ251" s="1206"/>
      <c r="DPR251" s="1206"/>
      <c r="DPS251" s="1207"/>
      <c r="DPT251" s="1206"/>
      <c r="DPU251" s="1206"/>
      <c r="DPV251" s="1206"/>
      <c r="DPW251" s="1206"/>
      <c r="DPX251" s="1206"/>
      <c r="DPY251" s="1206"/>
      <c r="DPZ251" s="1206"/>
      <c r="DQA251" s="1206"/>
      <c r="DQB251" s="1206"/>
      <c r="DQC251" s="1206"/>
      <c r="DQD251" s="1206"/>
      <c r="DQE251" s="1206"/>
      <c r="DQF251" s="1206"/>
      <c r="DQG251" s="1206"/>
      <c r="DQH251" s="1206"/>
      <c r="DQI251" s="1206"/>
      <c r="DQJ251" s="1207"/>
      <c r="DQK251" s="1206"/>
      <c r="DQL251" s="1206"/>
      <c r="DQM251" s="1206"/>
      <c r="DQN251" s="1206"/>
      <c r="DQO251" s="1206"/>
      <c r="DQP251" s="1206"/>
      <c r="DQQ251" s="1206"/>
      <c r="DQR251" s="1206"/>
      <c r="DQS251" s="1206"/>
      <c r="DQT251" s="1206"/>
      <c r="DQU251" s="1206"/>
      <c r="DQV251" s="1206"/>
      <c r="DQW251" s="1206"/>
      <c r="DQX251" s="1206"/>
      <c r="DQY251" s="1206"/>
      <c r="DQZ251" s="1206"/>
      <c r="DRA251" s="1207"/>
      <c r="DRB251" s="1206"/>
      <c r="DRC251" s="1206"/>
      <c r="DRD251" s="1206"/>
      <c r="DRE251" s="1206"/>
      <c r="DRF251" s="1206"/>
      <c r="DRG251" s="1206"/>
      <c r="DRH251" s="1206"/>
      <c r="DRI251" s="1206"/>
      <c r="DRJ251" s="1206"/>
      <c r="DRK251" s="1206"/>
      <c r="DRL251" s="1206"/>
      <c r="DRM251" s="1206"/>
      <c r="DRN251" s="1206"/>
      <c r="DRO251" s="1206"/>
      <c r="DRP251" s="1206"/>
      <c r="DRQ251" s="1206"/>
      <c r="DRR251" s="1207"/>
      <c r="DRS251" s="1206"/>
      <c r="DRT251" s="1206"/>
      <c r="DRU251" s="1206"/>
      <c r="DRV251" s="1206"/>
      <c r="DRW251" s="1206"/>
      <c r="DRX251" s="1206"/>
      <c r="DRY251" s="1206"/>
      <c r="DRZ251" s="1206"/>
      <c r="DSA251" s="1206"/>
      <c r="DSB251" s="1206"/>
      <c r="DSC251" s="1206"/>
      <c r="DSD251" s="1206"/>
      <c r="DSE251" s="1206"/>
      <c r="DSF251" s="1206"/>
      <c r="DSG251" s="1206"/>
      <c r="DSH251" s="1206"/>
      <c r="DSI251" s="1207"/>
      <c r="DSJ251" s="1206"/>
      <c r="DSK251" s="1206"/>
      <c r="DSL251" s="1206"/>
      <c r="DSM251" s="1206"/>
      <c r="DSN251" s="1206"/>
      <c r="DSO251" s="1206"/>
      <c r="DSP251" s="1206"/>
      <c r="DSQ251" s="1206"/>
      <c r="DSR251" s="1206"/>
      <c r="DSS251" s="1206"/>
      <c r="DST251" s="1206"/>
      <c r="DSU251" s="1206"/>
      <c r="DSV251" s="1206"/>
      <c r="DSW251" s="1206"/>
      <c r="DSX251" s="1206"/>
      <c r="DSY251" s="1206"/>
      <c r="DSZ251" s="1207"/>
      <c r="DTA251" s="1206"/>
      <c r="DTB251" s="1206"/>
      <c r="DTC251" s="1206"/>
      <c r="DTD251" s="1206"/>
      <c r="DTE251" s="1206"/>
      <c r="DTF251" s="1206"/>
      <c r="DTG251" s="1206"/>
      <c r="DTH251" s="1206"/>
      <c r="DTI251" s="1206"/>
      <c r="DTJ251" s="1206"/>
      <c r="DTK251" s="1206"/>
      <c r="DTL251" s="1206"/>
      <c r="DTM251" s="1206"/>
      <c r="DTN251" s="1206"/>
      <c r="DTO251" s="1206"/>
      <c r="DTP251" s="1206"/>
      <c r="DTQ251" s="1207"/>
      <c r="DTR251" s="1206"/>
      <c r="DTS251" s="1206"/>
      <c r="DTT251" s="1206"/>
      <c r="DTU251" s="1206"/>
      <c r="DTV251" s="1206"/>
      <c r="DTW251" s="1206"/>
      <c r="DTX251" s="1206"/>
      <c r="DTY251" s="1206"/>
      <c r="DTZ251" s="1206"/>
      <c r="DUA251" s="1206"/>
      <c r="DUB251" s="1206"/>
      <c r="DUC251" s="1206"/>
      <c r="DUD251" s="1206"/>
      <c r="DUE251" s="1206"/>
      <c r="DUF251" s="1206"/>
      <c r="DUG251" s="1206"/>
      <c r="DUH251" s="1207"/>
      <c r="DUI251" s="1206"/>
      <c r="DUJ251" s="1206"/>
      <c r="DUK251" s="1206"/>
      <c r="DUL251" s="1206"/>
      <c r="DUM251" s="1206"/>
      <c r="DUN251" s="1206"/>
      <c r="DUO251" s="1206"/>
      <c r="DUP251" s="1206"/>
      <c r="DUQ251" s="1206"/>
      <c r="DUR251" s="1206"/>
      <c r="DUS251" s="1206"/>
      <c r="DUT251" s="1206"/>
      <c r="DUU251" s="1206"/>
      <c r="DUV251" s="1206"/>
      <c r="DUW251" s="1206"/>
      <c r="DUX251" s="1206"/>
      <c r="DUY251" s="1207"/>
      <c r="DUZ251" s="1206"/>
      <c r="DVA251" s="1206"/>
      <c r="DVB251" s="1206"/>
      <c r="DVC251" s="1206"/>
      <c r="DVD251" s="1206"/>
      <c r="DVE251" s="1206"/>
      <c r="DVF251" s="1206"/>
      <c r="DVG251" s="1206"/>
      <c r="DVH251" s="1206"/>
      <c r="DVI251" s="1206"/>
      <c r="DVJ251" s="1206"/>
      <c r="DVK251" s="1206"/>
      <c r="DVL251" s="1206"/>
      <c r="DVM251" s="1206"/>
      <c r="DVN251" s="1206"/>
      <c r="DVO251" s="1206"/>
      <c r="DVP251" s="1207"/>
      <c r="DVQ251" s="1206"/>
      <c r="DVR251" s="1206"/>
      <c r="DVS251" s="1206"/>
      <c r="DVT251" s="1206"/>
      <c r="DVU251" s="1206"/>
      <c r="DVV251" s="1206"/>
      <c r="DVW251" s="1206"/>
      <c r="DVX251" s="1206"/>
      <c r="DVY251" s="1206"/>
      <c r="DVZ251" s="1206"/>
      <c r="DWA251" s="1206"/>
      <c r="DWB251" s="1206"/>
      <c r="DWC251" s="1206"/>
      <c r="DWD251" s="1206"/>
      <c r="DWE251" s="1206"/>
      <c r="DWF251" s="1206"/>
      <c r="DWG251" s="1207"/>
      <c r="DWH251" s="1206"/>
      <c r="DWI251" s="1206"/>
      <c r="DWJ251" s="1206"/>
      <c r="DWK251" s="1206"/>
      <c r="DWL251" s="1206"/>
      <c r="DWM251" s="1206"/>
      <c r="DWN251" s="1206"/>
      <c r="DWO251" s="1206"/>
      <c r="DWP251" s="1206"/>
      <c r="DWQ251" s="1206"/>
      <c r="DWR251" s="1206"/>
      <c r="DWS251" s="1206"/>
      <c r="DWT251" s="1206"/>
      <c r="DWU251" s="1206"/>
      <c r="DWV251" s="1206"/>
      <c r="DWW251" s="1206"/>
      <c r="DWX251" s="1207"/>
      <c r="DWY251" s="1206"/>
      <c r="DWZ251" s="1206"/>
      <c r="DXA251" s="1206"/>
      <c r="DXB251" s="1206"/>
      <c r="DXC251" s="1206"/>
      <c r="DXD251" s="1206"/>
      <c r="DXE251" s="1206"/>
      <c r="DXF251" s="1206"/>
      <c r="DXG251" s="1206"/>
      <c r="DXH251" s="1206"/>
      <c r="DXI251" s="1206"/>
      <c r="DXJ251" s="1206"/>
      <c r="DXK251" s="1206"/>
      <c r="DXL251" s="1206"/>
      <c r="DXM251" s="1206"/>
      <c r="DXN251" s="1206"/>
      <c r="DXO251" s="1207"/>
      <c r="DXP251" s="1206"/>
      <c r="DXQ251" s="1206"/>
      <c r="DXR251" s="1206"/>
      <c r="DXS251" s="1206"/>
      <c r="DXT251" s="1206"/>
      <c r="DXU251" s="1206"/>
      <c r="DXV251" s="1206"/>
      <c r="DXW251" s="1206"/>
      <c r="DXX251" s="1206"/>
      <c r="DXY251" s="1206"/>
      <c r="DXZ251" s="1206"/>
      <c r="DYA251" s="1206"/>
      <c r="DYB251" s="1206"/>
      <c r="DYC251" s="1206"/>
      <c r="DYD251" s="1206"/>
      <c r="DYE251" s="1206"/>
      <c r="DYF251" s="1207"/>
      <c r="DYG251" s="1206"/>
      <c r="DYH251" s="1206"/>
      <c r="DYI251" s="1206"/>
      <c r="DYJ251" s="1206"/>
      <c r="DYK251" s="1206"/>
      <c r="DYL251" s="1206"/>
      <c r="DYM251" s="1206"/>
      <c r="DYN251" s="1206"/>
      <c r="DYO251" s="1206"/>
      <c r="DYP251" s="1206"/>
      <c r="DYQ251" s="1206"/>
      <c r="DYR251" s="1206"/>
      <c r="DYS251" s="1206"/>
      <c r="DYT251" s="1206"/>
      <c r="DYU251" s="1206"/>
      <c r="DYV251" s="1206"/>
      <c r="DYW251" s="1207"/>
      <c r="DYX251" s="1206"/>
      <c r="DYY251" s="1206"/>
      <c r="DYZ251" s="1206"/>
      <c r="DZA251" s="1206"/>
      <c r="DZB251" s="1206"/>
      <c r="DZC251" s="1206"/>
      <c r="DZD251" s="1206"/>
      <c r="DZE251" s="1206"/>
      <c r="DZF251" s="1206"/>
      <c r="DZG251" s="1206"/>
      <c r="DZH251" s="1206"/>
      <c r="DZI251" s="1206"/>
      <c r="DZJ251" s="1206"/>
      <c r="DZK251" s="1206"/>
      <c r="DZL251" s="1206"/>
      <c r="DZM251" s="1206"/>
      <c r="DZN251" s="1207"/>
      <c r="DZO251" s="1206"/>
      <c r="DZP251" s="1206"/>
      <c r="DZQ251" s="1206"/>
      <c r="DZR251" s="1206"/>
      <c r="DZS251" s="1206"/>
      <c r="DZT251" s="1206"/>
      <c r="DZU251" s="1206"/>
      <c r="DZV251" s="1206"/>
      <c r="DZW251" s="1206"/>
      <c r="DZX251" s="1206"/>
      <c r="DZY251" s="1206"/>
      <c r="DZZ251" s="1206"/>
      <c r="EAA251" s="1206"/>
      <c r="EAB251" s="1206"/>
      <c r="EAC251" s="1206"/>
      <c r="EAD251" s="1206"/>
      <c r="EAE251" s="1207"/>
      <c r="EAF251" s="1206"/>
      <c r="EAG251" s="1206"/>
      <c r="EAH251" s="1206"/>
      <c r="EAI251" s="1206"/>
      <c r="EAJ251" s="1206"/>
      <c r="EAK251" s="1206"/>
      <c r="EAL251" s="1206"/>
      <c r="EAM251" s="1206"/>
      <c r="EAN251" s="1206"/>
      <c r="EAO251" s="1206"/>
      <c r="EAP251" s="1206"/>
      <c r="EAQ251" s="1206"/>
      <c r="EAR251" s="1206"/>
      <c r="EAS251" s="1206"/>
      <c r="EAT251" s="1206"/>
      <c r="EAU251" s="1206"/>
      <c r="EAV251" s="1207"/>
      <c r="EAW251" s="1206"/>
      <c r="EAX251" s="1206"/>
      <c r="EAY251" s="1206"/>
      <c r="EAZ251" s="1206"/>
      <c r="EBA251" s="1206"/>
      <c r="EBB251" s="1206"/>
      <c r="EBC251" s="1206"/>
      <c r="EBD251" s="1206"/>
      <c r="EBE251" s="1206"/>
      <c r="EBF251" s="1206"/>
      <c r="EBG251" s="1206"/>
      <c r="EBH251" s="1206"/>
      <c r="EBI251" s="1206"/>
      <c r="EBJ251" s="1206"/>
      <c r="EBK251" s="1206"/>
      <c r="EBL251" s="1206"/>
      <c r="EBM251" s="1207"/>
      <c r="EBN251" s="1206"/>
      <c r="EBO251" s="1206"/>
      <c r="EBP251" s="1206"/>
      <c r="EBQ251" s="1206"/>
      <c r="EBR251" s="1206"/>
      <c r="EBS251" s="1206"/>
      <c r="EBT251" s="1206"/>
      <c r="EBU251" s="1206"/>
      <c r="EBV251" s="1206"/>
      <c r="EBW251" s="1206"/>
      <c r="EBX251" s="1206"/>
      <c r="EBY251" s="1206"/>
      <c r="EBZ251" s="1206"/>
      <c r="ECA251" s="1206"/>
      <c r="ECB251" s="1206"/>
      <c r="ECC251" s="1206"/>
      <c r="ECD251" s="1207"/>
      <c r="ECE251" s="1206"/>
      <c r="ECF251" s="1206"/>
      <c r="ECG251" s="1206"/>
      <c r="ECH251" s="1206"/>
      <c r="ECI251" s="1206"/>
      <c r="ECJ251" s="1206"/>
      <c r="ECK251" s="1206"/>
      <c r="ECL251" s="1206"/>
      <c r="ECM251" s="1206"/>
      <c r="ECN251" s="1206"/>
      <c r="ECO251" s="1206"/>
      <c r="ECP251" s="1206"/>
      <c r="ECQ251" s="1206"/>
      <c r="ECR251" s="1206"/>
      <c r="ECS251" s="1206"/>
      <c r="ECT251" s="1206"/>
      <c r="ECU251" s="1207"/>
      <c r="ECV251" s="1206"/>
      <c r="ECW251" s="1206"/>
      <c r="ECX251" s="1206"/>
      <c r="ECY251" s="1206"/>
      <c r="ECZ251" s="1206"/>
      <c r="EDA251" s="1206"/>
      <c r="EDB251" s="1206"/>
      <c r="EDC251" s="1206"/>
      <c r="EDD251" s="1206"/>
      <c r="EDE251" s="1206"/>
      <c r="EDF251" s="1206"/>
      <c r="EDG251" s="1206"/>
      <c r="EDH251" s="1206"/>
      <c r="EDI251" s="1206"/>
      <c r="EDJ251" s="1206"/>
      <c r="EDK251" s="1206"/>
      <c r="EDL251" s="1207"/>
      <c r="EDM251" s="1206"/>
      <c r="EDN251" s="1206"/>
      <c r="EDO251" s="1206"/>
      <c r="EDP251" s="1206"/>
      <c r="EDQ251" s="1206"/>
      <c r="EDR251" s="1206"/>
      <c r="EDS251" s="1206"/>
      <c r="EDT251" s="1206"/>
      <c r="EDU251" s="1206"/>
      <c r="EDV251" s="1206"/>
      <c r="EDW251" s="1206"/>
      <c r="EDX251" s="1206"/>
      <c r="EDY251" s="1206"/>
      <c r="EDZ251" s="1206"/>
      <c r="EEA251" s="1206"/>
      <c r="EEB251" s="1206"/>
      <c r="EEC251" s="1207"/>
      <c r="EED251" s="1206"/>
      <c r="EEE251" s="1206"/>
      <c r="EEF251" s="1206"/>
      <c r="EEG251" s="1206"/>
      <c r="EEH251" s="1206"/>
      <c r="EEI251" s="1206"/>
      <c r="EEJ251" s="1206"/>
      <c r="EEK251" s="1206"/>
      <c r="EEL251" s="1206"/>
      <c r="EEM251" s="1206"/>
      <c r="EEN251" s="1206"/>
      <c r="EEO251" s="1206"/>
      <c r="EEP251" s="1206"/>
      <c r="EEQ251" s="1206"/>
      <c r="EER251" s="1206"/>
      <c r="EES251" s="1206"/>
      <c r="EET251" s="1207"/>
      <c r="EEU251" s="1206"/>
      <c r="EEV251" s="1206"/>
      <c r="EEW251" s="1206"/>
      <c r="EEX251" s="1206"/>
      <c r="EEY251" s="1206"/>
      <c r="EEZ251" s="1206"/>
      <c r="EFA251" s="1206"/>
      <c r="EFB251" s="1206"/>
      <c r="EFC251" s="1206"/>
      <c r="EFD251" s="1206"/>
      <c r="EFE251" s="1206"/>
      <c r="EFF251" s="1206"/>
      <c r="EFG251" s="1206"/>
      <c r="EFH251" s="1206"/>
      <c r="EFI251" s="1206"/>
      <c r="EFJ251" s="1206"/>
      <c r="EFK251" s="1207"/>
      <c r="EFL251" s="1206"/>
      <c r="EFM251" s="1206"/>
      <c r="EFN251" s="1206"/>
      <c r="EFO251" s="1206"/>
      <c r="EFP251" s="1206"/>
      <c r="EFQ251" s="1206"/>
      <c r="EFR251" s="1206"/>
      <c r="EFS251" s="1206"/>
      <c r="EFT251" s="1206"/>
      <c r="EFU251" s="1206"/>
      <c r="EFV251" s="1206"/>
      <c r="EFW251" s="1206"/>
      <c r="EFX251" s="1206"/>
      <c r="EFY251" s="1206"/>
      <c r="EFZ251" s="1206"/>
      <c r="EGA251" s="1206"/>
      <c r="EGB251" s="1207"/>
      <c r="EGC251" s="1206"/>
      <c r="EGD251" s="1206"/>
      <c r="EGE251" s="1206"/>
      <c r="EGF251" s="1206"/>
      <c r="EGG251" s="1206"/>
      <c r="EGH251" s="1206"/>
      <c r="EGI251" s="1206"/>
      <c r="EGJ251" s="1206"/>
      <c r="EGK251" s="1206"/>
      <c r="EGL251" s="1206"/>
      <c r="EGM251" s="1206"/>
      <c r="EGN251" s="1206"/>
      <c r="EGO251" s="1206"/>
      <c r="EGP251" s="1206"/>
      <c r="EGQ251" s="1206"/>
      <c r="EGR251" s="1206"/>
      <c r="EGS251" s="1207"/>
      <c r="EGT251" s="1206"/>
      <c r="EGU251" s="1206"/>
      <c r="EGV251" s="1206"/>
      <c r="EGW251" s="1206"/>
      <c r="EGX251" s="1206"/>
      <c r="EGY251" s="1206"/>
      <c r="EGZ251" s="1206"/>
      <c r="EHA251" s="1206"/>
      <c r="EHB251" s="1206"/>
      <c r="EHC251" s="1206"/>
      <c r="EHD251" s="1206"/>
      <c r="EHE251" s="1206"/>
      <c r="EHF251" s="1206"/>
      <c r="EHG251" s="1206"/>
      <c r="EHH251" s="1206"/>
      <c r="EHI251" s="1206"/>
      <c r="EHJ251" s="1207"/>
      <c r="EHK251" s="1206"/>
      <c r="EHL251" s="1206"/>
      <c r="EHM251" s="1206"/>
      <c r="EHN251" s="1206"/>
      <c r="EHO251" s="1206"/>
      <c r="EHP251" s="1206"/>
      <c r="EHQ251" s="1206"/>
      <c r="EHR251" s="1206"/>
      <c r="EHS251" s="1206"/>
      <c r="EHT251" s="1206"/>
      <c r="EHU251" s="1206"/>
      <c r="EHV251" s="1206"/>
      <c r="EHW251" s="1206"/>
      <c r="EHX251" s="1206"/>
      <c r="EHY251" s="1206"/>
      <c r="EHZ251" s="1206"/>
      <c r="EIA251" s="1207"/>
      <c r="EIB251" s="1206"/>
      <c r="EIC251" s="1206"/>
      <c r="EID251" s="1206"/>
      <c r="EIE251" s="1206"/>
      <c r="EIF251" s="1206"/>
      <c r="EIG251" s="1206"/>
      <c r="EIH251" s="1206"/>
      <c r="EII251" s="1206"/>
      <c r="EIJ251" s="1206"/>
      <c r="EIK251" s="1206"/>
      <c r="EIL251" s="1206"/>
      <c r="EIM251" s="1206"/>
      <c r="EIN251" s="1206"/>
      <c r="EIO251" s="1206"/>
      <c r="EIP251" s="1206"/>
      <c r="EIQ251" s="1206"/>
      <c r="EIR251" s="1207"/>
      <c r="EIS251" s="1206"/>
      <c r="EIT251" s="1206"/>
      <c r="EIU251" s="1206"/>
      <c r="EIV251" s="1206"/>
      <c r="EIW251" s="1206"/>
      <c r="EIX251" s="1206"/>
      <c r="EIY251" s="1206"/>
      <c r="EIZ251" s="1206"/>
      <c r="EJA251" s="1206"/>
      <c r="EJB251" s="1206"/>
      <c r="EJC251" s="1206"/>
      <c r="EJD251" s="1206"/>
      <c r="EJE251" s="1206"/>
      <c r="EJF251" s="1206"/>
      <c r="EJG251" s="1206"/>
      <c r="EJH251" s="1206"/>
      <c r="EJI251" s="1207"/>
      <c r="EJJ251" s="1206"/>
      <c r="EJK251" s="1206"/>
      <c r="EJL251" s="1206"/>
      <c r="EJM251" s="1206"/>
      <c r="EJN251" s="1206"/>
      <c r="EJO251" s="1206"/>
      <c r="EJP251" s="1206"/>
      <c r="EJQ251" s="1206"/>
      <c r="EJR251" s="1206"/>
      <c r="EJS251" s="1206"/>
      <c r="EJT251" s="1206"/>
      <c r="EJU251" s="1206"/>
      <c r="EJV251" s="1206"/>
      <c r="EJW251" s="1206"/>
      <c r="EJX251" s="1206"/>
      <c r="EJY251" s="1206"/>
      <c r="EJZ251" s="1207"/>
      <c r="EKA251" s="1206"/>
      <c r="EKB251" s="1206"/>
      <c r="EKC251" s="1206"/>
      <c r="EKD251" s="1206"/>
      <c r="EKE251" s="1206"/>
      <c r="EKF251" s="1206"/>
      <c r="EKG251" s="1206"/>
      <c r="EKH251" s="1206"/>
      <c r="EKI251" s="1206"/>
      <c r="EKJ251" s="1206"/>
      <c r="EKK251" s="1206"/>
      <c r="EKL251" s="1206"/>
      <c r="EKM251" s="1206"/>
      <c r="EKN251" s="1206"/>
      <c r="EKO251" s="1206"/>
      <c r="EKP251" s="1206"/>
      <c r="EKQ251" s="1207"/>
      <c r="EKR251" s="1206"/>
      <c r="EKS251" s="1206"/>
      <c r="EKT251" s="1206"/>
      <c r="EKU251" s="1206"/>
      <c r="EKV251" s="1206"/>
      <c r="EKW251" s="1206"/>
      <c r="EKX251" s="1206"/>
      <c r="EKY251" s="1206"/>
      <c r="EKZ251" s="1206"/>
      <c r="ELA251" s="1206"/>
      <c r="ELB251" s="1206"/>
      <c r="ELC251" s="1206"/>
      <c r="ELD251" s="1206"/>
      <c r="ELE251" s="1206"/>
      <c r="ELF251" s="1206"/>
      <c r="ELG251" s="1206"/>
      <c r="ELH251" s="1207"/>
      <c r="ELI251" s="1206"/>
      <c r="ELJ251" s="1206"/>
      <c r="ELK251" s="1206"/>
      <c r="ELL251" s="1206"/>
      <c r="ELM251" s="1206"/>
      <c r="ELN251" s="1206"/>
      <c r="ELO251" s="1206"/>
      <c r="ELP251" s="1206"/>
      <c r="ELQ251" s="1206"/>
      <c r="ELR251" s="1206"/>
      <c r="ELS251" s="1206"/>
      <c r="ELT251" s="1206"/>
      <c r="ELU251" s="1206"/>
      <c r="ELV251" s="1206"/>
      <c r="ELW251" s="1206"/>
      <c r="ELX251" s="1206"/>
      <c r="ELY251" s="1207"/>
      <c r="ELZ251" s="1206"/>
      <c r="EMA251" s="1206"/>
      <c r="EMB251" s="1206"/>
      <c r="EMC251" s="1206"/>
      <c r="EMD251" s="1206"/>
      <c r="EME251" s="1206"/>
      <c r="EMF251" s="1206"/>
      <c r="EMG251" s="1206"/>
      <c r="EMH251" s="1206"/>
      <c r="EMI251" s="1206"/>
      <c r="EMJ251" s="1206"/>
      <c r="EMK251" s="1206"/>
      <c r="EML251" s="1206"/>
      <c r="EMM251" s="1206"/>
      <c r="EMN251" s="1206"/>
      <c r="EMO251" s="1206"/>
      <c r="EMP251" s="1207"/>
      <c r="EMQ251" s="1206"/>
      <c r="EMR251" s="1206"/>
      <c r="EMS251" s="1206"/>
      <c r="EMT251" s="1206"/>
      <c r="EMU251" s="1206"/>
      <c r="EMV251" s="1206"/>
      <c r="EMW251" s="1206"/>
      <c r="EMX251" s="1206"/>
      <c r="EMY251" s="1206"/>
      <c r="EMZ251" s="1206"/>
      <c r="ENA251" s="1206"/>
      <c r="ENB251" s="1206"/>
      <c r="ENC251" s="1206"/>
      <c r="END251" s="1206"/>
      <c r="ENE251" s="1206"/>
      <c r="ENF251" s="1206"/>
      <c r="ENG251" s="1207"/>
      <c r="ENH251" s="1206"/>
      <c r="ENI251" s="1206"/>
      <c r="ENJ251" s="1206"/>
      <c r="ENK251" s="1206"/>
      <c r="ENL251" s="1206"/>
      <c r="ENM251" s="1206"/>
      <c r="ENN251" s="1206"/>
      <c r="ENO251" s="1206"/>
      <c r="ENP251" s="1206"/>
      <c r="ENQ251" s="1206"/>
      <c r="ENR251" s="1206"/>
      <c r="ENS251" s="1206"/>
      <c r="ENT251" s="1206"/>
      <c r="ENU251" s="1206"/>
      <c r="ENV251" s="1206"/>
      <c r="ENW251" s="1206"/>
      <c r="ENX251" s="1207"/>
      <c r="ENY251" s="1206"/>
      <c r="ENZ251" s="1206"/>
      <c r="EOA251" s="1206"/>
      <c r="EOB251" s="1206"/>
      <c r="EOC251" s="1206"/>
      <c r="EOD251" s="1206"/>
      <c r="EOE251" s="1206"/>
      <c r="EOF251" s="1206"/>
      <c r="EOG251" s="1206"/>
      <c r="EOH251" s="1206"/>
      <c r="EOI251" s="1206"/>
      <c r="EOJ251" s="1206"/>
      <c r="EOK251" s="1206"/>
      <c r="EOL251" s="1206"/>
      <c r="EOM251" s="1206"/>
      <c r="EON251" s="1206"/>
      <c r="EOO251" s="1207"/>
      <c r="EOP251" s="1206"/>
      <c r="EOQ251" s="1206"/>
      <c r="EOR251" s="1206"/>
      <c r="EOS251" s="1206"/>
      <c r="EOT251" s="1206"/>
      <c r="EOU251" s="1206"/>
      <c r="EOV251" s="1206"/>
      <c r="EOW251" s="1206"/>
      <c r="EOX251" s="1206"/>
      <c r="EOY251" s="1206"/>
      <c r="EOZ251" s="1206"/>
      <c r="EPA251" s="1206"/>
      <c r="EPB251" s="1206"/>
      <c r="EPC251" s="1206"/>
      <c r="EPD251" s="1206"/>
      <c r="EPE251" s="1206"/>
      <c r="EPF251" s="1207"/>
      <c r="EPG251" s="1206"/>
      <c r="EPH251" s="1206"/>
      <c r="EPI251" s="1206"/>
      <c r="EPJ251" s="1206"/>
      <c r="EPK251" s="1206"/>
      <c r="EPL251" s="1206"/>
      <c r="EPM251" s="1206"/>
      <c r="EPN251" s="1206"/>
      <c r="EPO251" s="1206"/>
      <c r="EPP251" s="1206"/>
      <c r="EPQ251" s="1206"/>
      <c r="EPR251" s="1206"/>
      <c r="EPS251" s="1206"/>
      <c r="EPT251" s="1206"/>
      <c r="EPU251" s="1206"/>
      <c r="EPV251" s="1206"/>
      <c r="EPW251" s="1207"/>
      <c r="EPX251" s="1206"/>
      <c r="EPY251" s="1206"/>
      <c r="EPZ251" s="1206"/>
      <c r="EQA251" s="1206"/>
      <c r="EQB251" s="1206"/>
      <c r="EQC251" s="1206"/>
      <c r="EQD251" s="1206"/>
      <c r="EQE251" s="1206"/>
      <c r="EQF251" s="1206"/>
      <c r="EQG251" s="1206"/>
      <c r="EQH251" s="1206"/>
      <c r="EQI251" s="1206"/>
      <c r="EQJ251" s="1206"/>
      <c r="EQK251" s="1206"/>
      <c r="EQL251" s="1206"/>
      <c r="EQM251" s="1206"/>
      <c r="EQN251" s="1207"/>
      <c r="EQO251" s="1206"/>
      <c r="EQP251" s="1206"/>
      <c r="EQQ251" s="1206"/>
      <c r="EQR251" s="1206"/>
      <c r="EQS251" s="1206"/>
      <c r="EQT251" s="1206"/>
      <c r="EQU251" s="1206"/>
      <c r="EQV251" s="1206"/>
      <c r="EQW251" s="1206"/>
      <c r="EQX251" s="1206"/>
      <c r="EQY251" s="1206"/>
      <c r="EQZ251" s="1206"/>
      <c r="ERA251" s="1206"/>
      <c r="ERB251" s="1206"/>
      <c r="ERC251" s="1206"/>
      <c r="ERD251" s="1206"/>
      <c r="ERE251" s="1207"/>
      <c r="ERF251" s="1206"/>
      <c r="ERG251" s="1206"/>
      <c r="ERH251" s="1206"/>
      <c r="ERI251" s="1206"/>
      <c r="ERJ251" s="1206"/>
      <c r="ERK251" s="1206"/>
      <c r="ERL251" s="1206"/>
      <c r="ERM251" s="1206"/>
      <c r="ERN251" s="1206"/>
      <c r="ERO251" s="1206"/>
      <c r="ERP251" s="1206"/>
      <c r="ERQ251" s="1206"/>
      <c r="ERR251" s="1206"/>
      <c r="ERS251" s="1206"/>
      <c r="ERT251" s="1206"/>
      <c r="ERU251" s="1206"/>
      <c r="ERV251" s="1207"/>
      <c r="ERW251" s="1206"/>
      <c r="ERX251" s="1206"/>
      <c r="ERY251" s="1206"/>
      <c r="ERZ251" s="1206"/>
      <c r="ESA251" s="1206"/>
      <c r="ESB251" s="1206"/>
      <c r="ESC251" s="1206"/>
      <c r="ESD251" s="1206"/>
      <c r="ESE251" s="1206"/>
      <c r="ESF251" s="1206"/>
      <c r="ESG251" s="1206"/>
      <c r="ESH251" s="1206"/>
      <c r="ESI251" s="1206"/>
      <c r="ESJ251" s="1206"/>
      <c r="ESK251" s="1206"/>
      <c r="ESL251" s="1206"/>
      <c r="ESM251" s="1207"/>
      <c r="ESN251" s="1206"/>
      <c r="ESO251" s="1206"/>
      <c r="ESP251" s="1206"/>
      <c r="ESQ251" s="1206"/>
      <c r="ESR251" s="1206"/>
      <c r="ESS251" s="1206"/>
      <c r="EST251" s="1206"/>
      <c r="ESU251" s="1206"/>
      <c r="ESV251" s="1206"/>
      <c r="ESW251" s="1206"/>
      <c r="ESX251" s="1206"/>
      <c r="ESY251" s="1206"/>
      <c r="ESZ251" s="1206"/>
      <c r="ETA251" s="1206"/>
      <c r="ETB251" s="1206"/>
      <c r="ETC251" s="1206"/>
      <c r="ETD251" s="1207"/>
      <c r="ETE251" s="1206"/>
      <c r="ETF251" s="1206"/>
      <c r="ETG251" s="1206"/>
      <c r="ETH251" s="1206"/>
      <c r="ETI251" s="1206"/>
      <c r="ETJ251" s="1206"/>
      <c r="ETK251" s="1206"/>
      <c r="ETL251" s="1206"/>
      <c r="ETM251" s="1206"/>
      <c r="ETN251" s="1206"/>
      <c r="ETO251" s="1206"/>
      <c r="ETP251" s="1206"/>
      <c r="ETQ251" s="1206"/>
      <c r="ETR251" s="1206"/>
      <c r="ETS251" s="1206"/>
      <c r="ETT251" s="1206"/>
      <c r="ETU251" s="1207"/>
      <c r="ETV251" s="1206"/>
      <c r="ETW251" s="1206"/>
      <c r="ETX251" s="1206"/>
      <c r="ETY251" s="1206"/>
      <c r="ETZ251" s="1206"/>
      <c r="EUA251" s="1206"/>
      <c r="EUB251" s="1206"/>
      <c r="EUC251" s="1206"/>
      <c r="EUD251" s="1206"/>
      <c r="EUE251" s="1206"/>
      <c r="EUF251" s="1206"/>
      <c r="EUG251" s="1206"/>
      <c r="EUH251" s="1206"/>
      <c r="EUI251" s="1206"/>
      <c r="EUJ251" s="1206"/>
      <c r="EUK251" s="1206"/>
      <c r="EUL251" s="1207"/>
      <c r="EUM251" s="1206"/>
      <c r="EUN251" s="1206"/>
      <c r="EUO251" s="1206"/>
      <c r="EUP251" s="1206"/>
      <c r="EUQ251" s="1206"/>
      <c r="EUR251" s="1206"/>
      <c r="EUS251" s="1206"/>
      <c r="EUT251" s="1206"/>
      <c r="EUU251" s="1206"/>
      <c r="EUV251" s="1206"/>
      <c r="EUW251" s="1206"/>
      <c r="EUX251" s="1206"/>
      <c r="EUY251" s="1206"/>
      <c r="EUZ251" s="1206"/>
      <c r="EVA251" s="1206"/>
      <c r="EVB251" s="1206"/>
      <c r="EVC251" s="1207"/>
      <c r="EVD251" s="1206"/>
      <c r="EVE251" s="1206"/>
      <c r="EVF251" s="1206"/>
      <c r="EVG251" s="1206"/>
      <c r="EVH251" s="1206"/>
      <c r="EVI251" s="1206"/>
      <c r="EVJ251" s="1206"/>
      <c r="EVK251" s="1206"/>
      <c r="EVL251" s="1206"/>
      <c r="EVM251" s="1206"/>
      <c r="EVN251" s="1206"/>
      <c r="EVO251" s="1206"/>
      <c r="EVP251" s="1206"/>
      <c r="EVQ251" s="1206"/>
      <c r="EVR251" s="1206"/>
      <c r="EVS251" s="1206"/>
      <c r="EVT251" s="1207"/>
      <c r="EVU251" s="1206"/>
      <c r="EVV251" s="1206"/>
      <c r="EVW251" s="1206"/>
      <c r="EVX251" s="1206"/>
      <c r="EVY251" s="1206"/>
      <c r="EVZ251" s="1206"/>
      <c r="EWA251" s="1206"/>
      <c r="EWB251" s="1206"/>
      <c r="EWC251" s="1206"/>
      <c r="EWD251" s="1206"/>
      <c r="EWE251" s="1206"/>
      <c r="EWF251" s="1206"/>
      <c r="EWG251" s="1206"/>
      <c r="EWH251" s="1206"/>
      <c r="EWI251" s="1206"/>
      <c r="EWJ251" s="1206"/>
      <c r="EWK251" s="1207"/>
      <c r="EWL251" s="1206"/>
      <c r="EWM251" s="1206"/>
      <c r="EWN251" s="1206"/>
      <c r="EWO251" s="1206"/>
      <c r="EWP251" s="1206"/>
      <c r="EWQ251" s="1206"/>
      <c r="EWR251" s="1206"/>
      <c r="EWS251" s="1206"/>
      <c r="EWT251" s="1206"/>
      <c r="EWU251" s="1206"/>
      <c r="EWV251" s="1206"/>
      <c r="EWW251" s="1206"/>
      <c r="EWX251" s="1206"/>
      <c r="EWY251" s="1206"/>
      <c r="EWZ251" s="1206"/>
      <c r="EXA251" s="1206"/>
      <c r="EXB251" s="1207"/>
      <c r="EXC251" s="1206"/>
      <c r="EXD251" s="1206"/>
      <c r="EXE251" s="1206"/>
      <c r="EXF251" s="1206"/>
      <c r="EXG251" s="1206"/>
      <c r="EXH251" s="1206"/>
      <c r="EXI251" s="1206"/>
      <c r="EXJ251" s="1206"/>
      <c r="EXK251" s="1206"/>
      <c r="EXL251" s="1206"/>
      <c r="EXM251" s="1206"/>
      <c r="EXN251" s="1206"/>
      <c r="EXO251" s="1206"/>
      <c r="EXP251" s="1206"/>
      <c r="EXQ251" s="1206"/>
      <c r="EXR251" s="1206"/>
      <c r="EXS251" s="1207"/>
      <c r="EXT251" s="1206"/>
      <c r="EXU251" s="1206"/>
      <c r="EXV251" s="1206"/>
      <c r="EXW251" s="1206"/>
      <c r="EXX251" s="1206"/>
      <c r="EXY251" s="1206"/>
      <c r="EXZ251" s="1206"/>
      <c r="EYA251" s="1206"/>
      <c r="EYB251" s="1206"/>
      <c r="EYC251" s="1206"/>
      <c r="EYD251" s="1206"/>
      <c r="EYE251" s="1206"/>
      <c r="EYF251" s="1206"/>
      <c r="EYG251" s="1206"/>
      <c r="EYH251" s="1206"/>
      <c r="EYI251" s="1206"/>
      <c r="EYJ251" s="1207"/>
      <c r="EYK251" s="1206"/>
      <c r="EYL251" s="1206"/>
      <c r="EYM251" s="1206"/>
      <c r="EYN251" s="1206"/>
      <c r="EYO251" s="1206"/>
      <c r="EYP251" s="1206"/>
      <c r="EYQ251" s="1206"/>
      <c r="EYR251" s="1206"/>
      <c r="EYS251" s="1206"/>
      <c r="EYT251" s="1206"/>
      <c r="EYU251" s="1206"/>
      <c r="EYV251" s="1206"/>
      <c r="EYW251" s="1206"/>
      <c r="EYX251" s="1206"/>
      <c r="EYY251" s="1206"/>
      <c r="EYZ251" s="1206"/>
      <c r="EZA251" s="1207"/>
      <c r="EZB251" s="1206"/>
      <c r="EZC251" s="1206"/>
      <c r="EZD251" s="1206"/>
      <c r="EZE251" s="1206"/>
      <c r="EZF251" s="1206"/>
      <c r="EZG251" s="1206"/>
      <c r="EZH251" s="1206"/>
      <c r="EZI251" s="1206"/>
      <c r="EZJ251" s="1206"/>
      <c r="EZK251" s="1206"/>
      <c r="EZL251" s="1206"/>
      <c r="EZM251" s="1206"/>
      <c r="EZN251" s="1206"/>
      <c r="EZO251" s="1206"/>
      <c r="EZP251" s="1206"/>
      <c r="EZQ251" s="1206"/>
      <c r="EZR251" s="1207"/>
      <c r="EZS251" s="1206"/>
      <c r="EZT251" s="1206"/>
      <c r="EZU251" s="1206"/>
      <c r="EZV251" s="1206"/>
      <c r="EZW251" s="1206"/>
      <c r="EZX251" s="1206"/>
      <c r="EZY251" s="1206"/>
      <c r="EZZ251" s="1206"/>
      <c r="FAA251" s="1206"/>
      <c r="FAB251" s="1206"/>
      <c r="FAC251" s="1206"/>
      <c r="FAD251" s="1206"/>
      <c r="FAE251" s="1206"/>
      <c r="FAF251" s="1206"/>
      <c r="FAG251" s="1206"/>
      <c r="FAH251" s="1206"/>
      <c r="FAI251" s="1207"/>
      <c r="FAJ251" s="1206"/>
      <c r="FAK251" s="1206"/>
      <c r="FAL251" s="1206"/>
      <c r="FAM251" s="1206"/>
      <c r="FAN251" s="1206"/>
      <c r="FAO251" s="1206"/>
      <c r="FAP251" s="1206"/>
      <c r="FAQ251" s="1206"/>
      <c r="FAR251" s="1206"/>
      <c r="FAS251" s="1206"/>
      <c r="FAT251" s="1206"/>
      <c r="FAU251" s="1206"/>
      <c r="FAV251" s="1206"/>
      <c r="FAW251" s="1206"/>
      <c r="FAX251" s="1206"/>
      <c r="FAY251" s="1206"/>
      <c r="FAZ251" s="1207"/>
      <c r="FBA251" s="1206"/>
      <c r="FBB251" s="1206"/>
      <c r="FBC251" s="1206"/>
      <c r="FBD251" s="1206"/>
      <c r="FBE251" s="1206"/>
      <c r="FBF251" s="1206"/>
      <c r="FBG251" s="1206"/>
      <c r="FBH251" s="1206"/>
      <c r="FBI251" s="1206"/>
      <c r="FBJ251" s="1206"/>
      <c r="FBK251" s="1206"/>
      <c r="FBL251" s="1206"/>
      <c r="FBM251" s="1206"/>
      <c r="FBN251" s="1206"/>
      <c r="FBO251" s="1206"/>
      <c r="FBP251" s="1206"/>
      <c r="FBQ251" s="1207"/>
      <c r="FBR251" s="1206"/>
      <c r="FBS251" s="1206"/>
      <c r="FBT251" s="1206"/>
      <c r="FBU251" s="1206"/>
      <c r="FBV251" s="1206"/>
      <c r="FBW251" s="1206"/>
      <c r="FBX251" s="1206"/>
      <c r="FBY251" s="1206"/>
      <c r="FBZ251" s="1206"/>
      <c r="FCA251" s="1206"/>
      <c r="FCB251" s="1206"/>
      <c r="FCC251" s="1206"/>
      <c r="FCD251" s="1206"/>
      <c r="FCE251" s="1206"/>
      <c r="FCF251" s="1206"/>
      <c r="FCG251" s="1206"/>
      <c r="FCH251" s="1207"/>
      <c r="FCI251" s="1206"/>
      <c r="FCJ251" s="1206"/>
      <c r="FCK251" s="1206"/>
      <c r="FCL251" s="1206"/>
      <c r="FCM251" s="1206"/>
      <c r="FCN251" s="1206"/>
      <c r="FCO251" s="1206"/>
      <c r="FCP251" s="1206"/>
      <c r="FCQ251" s="1206"/>
      <c r="FCR251" s="1206"/>
      <c r="FCS251" s="1206"/>
      <c r="FCT251" s="1206"/>
      <c r="FCU251" s="1206"/>
      <c r="FCV251" s="1206"/>
      <c r="FCW251" s="1206"/>
      <c r="FCX251" s="1206"/>
      <c r="FCY251" s="1207"/>
      <c r="FCZ251" s="1206"/>
      <c r="FDA251" s="1206"/>
      <c r="FDB251" s="1206"/>
      <c r="FDC251" s="1206"/>
      <c r="FDD251" s="1206"/>
      <c r="FDE251" s="1206"/>
      <c r="FDF251" s="1206"/>
      <c r="FDG251" s="1206"/>
      <c r="FDH251" s="1206"/>
      <c r="FDI251" s="1206"/>
      <c r="FDJ251" s="1206"/>
      <c r="FDK251" s="1206"/>
      <c r="FDL251" s="1206"/>
      <c r="FDM251" s="1206"/>
      <c r="FDN251" s="1206"/>
      <c r="FDO251" s="1206"/>
      <c r="FDP251" s="1207"/>
      <c r="FDQ251" s="1206"/>
      <c r="FDR251" s="1206"/>
      <c r="FDS251" s="1206"/>
      <c r="FDT251" s="1206"/>
      <c r="FDU251" s="1206"/>
      <c r="FDV251" s="1206"/>
      <c r="FDW251" s="1206"/>
      <c r="FDX251" s="1206"/>
      <c r="FDY251" s="1206"/>
      <c r="FDZ251" s="1206"/>
      <c r="FEA251" s="1206"/>
      <c r="FEB251" s="1206"/>
      <c r="FEC251" s="1206"/>
      <c r="FED251" s="1206"/>
      <c r="FEE251" s="1206"/>
      <c r="FEF251" s="1206"/>
      <c r="FEG251" s="1207"/>
      <c r="FEH251" s="1206"/>
      <c r="FEI251" s="1206"/>
      <c r="FEJ251" s="1206"/>
      <c r="FEK251" s="1206"/>
      <c r="FEL251" s="1206"/>
      <c r="FEM251" s="1206"/>
      <c r="FEN251" s="1206"/>
      <c r="FEO251" s="1206"/>
      <c r="FEP251" s="1206"/>
      <c r="FEQ251" s="1206"/>
      <c r="FER251" s="1206"/>
      <c r="FES251" s="1206"/>
      <c r="FET251" s="1206"/>
      <c r="FEU251" s="1206"/>
      <c r="FEV251" s="1206"/>
      <c r="FEW251" s="1206"/>
      <c r="FEX251" s="1207"/>
      <c r="FEY251" s="1206"/>
      <c r="FEZ251" s="1206"/>
      <c r="FFA251" s="1206"/>
      <c r="FFB251" s="1206"/>
      <c r="FFC251" s="1206"/>
      <c r="FFD251" s="1206"/>
      <c r="FFE251" s="1206"/>
      <c r="FFF251" s="1206"/>
      <c r="FFG251" s="1206"/>
      <c r="FFH251" s="1206"/>
      <c r="FFI251" s="1206"/>
      <c r="FFJ251" s="1206"/>
      <c r="FFK251" s="1206"/>
      <c r="FFL251" s="1206"/>
      <c r="FFM251" s="1206"/>
      <c r="FFN251" s="1206"/>
      <c r="FFO251" s="1207"/>
      <c r="FFP251" s="1206"/>
      <c r="FFQ251" s="1206"/>
      <c r="FFR251" s="1206"/>
      <c r="FFS251" s="1206"/>
      <c r="FFT251" s="1206"/>
      <c r="FFU251" s="1206"/>
      <c r="FFV251" s="1206"/>
      <c r="FFW251" s="1206"/>
      <c r="FFX251" s="1206"/>
      <c r="FFY251" s="1206"/>
      <c r="FFZ251" s="1206"/>
      <c r="FGA251" s="1206"/>
      <c r="FGB251" s="1206"/>
      <c r="FGC251" s="1206"/>
      <c r="FGD251" s="1206"/>
      <c r="FGE251" s="1206"/>
      <c r="FGF251" s="1207"/>
      <c r="FGG251" s="1206"/>
      <c r="FGH251" s="1206"/>
      <c r="FGI251" s="1206"/>
      <c r="FGJ251" s="1206"/>
      <c r="FGK251" s="1206"/>
      <c r="FGL251" s="1206"/>
      <c r="FGM251" s="1206"/>
      <c r="FGN251" s="1206"/>
      <c r="FGO251" s="1206"/>
      <c r="FGP251" s="1206"/>
      <c r="FGQ251" s="1206"/>
      <c r="FGR251" s="1206"/>
      <c r="FGS251" s="1206"/>
      <c r="FGT251" s="1206"/>
      <c r="FGU251" s="1206"/>
      <c r="FGV251" s="1206"/>
      <c r="FGW251" s="1207"/>
      <c r="FGX251" s="1206"/>
      <c r="FGY251" s="1206"/>
      <c r="FGZ251" s="1206"/>
      <c r="FHA251" s="1206"/>
      <c r="FHB251" s="1206"/>
      <c r="FHC251" s="1206"/>
      <c r="FHD251" s="1206"/>
      <c r="FHE251" s="1206"/>
      <c r="FHF251" s="1206"/>
      <c r="FHG251" s="1206"/>
      <c r="FHH251" s="1206"/>
      <c r="FHI251" s="1206"/>
      <c r="FHJ251" s="1206"/>
      <c r="FHK251" s="1206"/>
      <c r="FHL251" s="1206"/>
      <c r="FHM251" s="1206"/>
      <c r="FHN251" s="1207"/>
      <c r="FHO251" s="1206"/>
      <c r="FHP251" s="1206"/>
      <c r="FHQ251" s="1206"/>
      <c r="FHR251" s="1206"/>
      <c r="FHS251" s="1206"/>
      <c r="FHT251" s="1206"/>
      <c r="FHU251" s="1206"/>
      <c r="FHV251" s="1206"/>
      <c r="FHW251" s="1206"/>
      <c r="FHX251" s="1206"/>
      <c r="FHY251" s="1206"/>
      <c r="FHZ251" s="1206"/>
      <c r="FIA251" s="1206"/>
      <c r="FIB251" s="1206"/>
      <c r="FIC251" s="1206"/>
      <c r="FID251" s="1206"/>
      <c r="FIE251" s="1207"/>
      <c r="FIF251" s="1206"/>
      <c r="FIG251" s="1206"/>
      <c r="FIH251" s="1206"/>
      <c r="FII251" s="1206"/>
      <c r="FIJ251" s="1206"/>
      <c r="FIK251" s="1206"/>
      <c r="FIL251" s="1206"/>
      <c r="FIM251" s="1206"/>
      <c r="FIN251" s="1206"/>
      <c r="FIO251" s="1206"/>
      <c r="FIP251" s="1206"/>
      <c r="FIQ251" s="1206"/>
      <c r="FIR251" s="1206"/>
      <c r="FIS251" s="1206"/>
      <c r="FIT251" s="1206"/>
      <c r="FIU251" s="1206"/>
      <c r="FIV251" s="1207"/>
      <c r="FIW251" s="1206"/>
      <c r="FIX251" s="1206"/>
      <c r="FIY251" s="1206"/>
      <c r="FIZ251" s="1206"/>
      <c r="FJA251" s="1206"/>
      <c r="FJB251" s="1206"/>
      <c r="FJC251" s="1206"/>
      <c r="FJD251" s="1206"/>
      <c r="FJE251" s="1206"/>
      <c r="FJF251" s="1206"/>
      <c r="FJG251" s="1206"/>
      <c r="FJH251" s="1206"/>
      <c r="FJI251" s="1206"/>
      <c r="FJJ251" s="1206"/>
      <c r="FJK251" s="1206"/>
      <c r="FJL251" s="1206"/>
      <c r="FJM251" s="1207"/>
      <c r="FJN251" s="1206"/>
      <c r="FJO251" s="1206"/>
      <c r="FJP251" s="1206"/>
      <c r="FJQ251" s="1206"/>
      <c r="FJR251" s="1206"/>
      <c r="FJS251" s="1206"/>
      <c r="FJT251" s="1206"/>
      <c r="FJU251" s="1206"/>
      <c r="FJV251" s="1206"/>
      <c r="FJW251" s="1206"/>
      <c r="FJX251" s="1206"/>
      <c r="FJY251" s="1206"/>
      <c r="FJZ251" s="1206"/>
      <c r="FKA251" s="1206"/>
      <c r="FKB251" s="1206"/>
      <c r="FKC251" s="1206"/>
      <c r="FKD251" s="1207"/>
      <c r="FKE251" s="1206"/>
      <c r="FKF251" s="1206"/>
      <c r="FKG251" s="1206"/>
      <c r="FKH251" s="1206"/>
      <c r="FKI251" s="1206"/>
      <c r="FKJ251" s="1206"/>
      <c r="FKK251" s="1206"/>
      <c r="FKL251" s="1206"/>
      <c r="FKM251" s="1206"/>
      <c r="FKN251" s="1206"/>
      <c r="FKO251" s="1206"/>
      <c r="FKP251" s="1206"/>
      <c r="FKQ251" s="1206"/>
      <c r="FKR251" s="1206"/>
      <c r="FKS251" s="1206"/>
      <c r="FKT251" s="1206"/>
      <c r="FKU251" s="1207"/>
      <c r="FKV251" s="1206"/>
      <c r="FKW251" s="1206"/>
      <c r="FKX251" s="1206"/>
      <c r="FKY251" s="1206"/>
      <c r="FKZ251" s="1206"/>
      <c r="FLA251" s="1206"/>
      <c r="FLB251" s="1206"/>
      <c r="FLC251" s="1206"/>
      <c r="FLD251" s="1206"/>
      <c r="FLE251" s="1206"/>
      <c r="FLF251" s="1206"/>
      <c r="FLG251" s="1206"/>
      <c r="FLH251" s="1206"/>
      <c r="FLI251" s="1206"/>
      <c r="FLJ251" s="1206"/>
      <c r="FLK251" s="1206"/>
      <c r="FLL251" s="1207"/>
      <c r="FLM251" s="1206"/>
      <c r="FLN251" s="1206"/>
      <c r="FLO251" s="1206"/>
      <c r="FLP251" s="1206"/>
      <c r="FLQ251" s="1206"/>
      <c r="FLR251" s="1206"/>
      <c r="FLS251" s="1206"/>
      <c r="FLT251" s="1206"/>
      <c r="FLU251" s="1206"/>
      <c r="FLV251" s="1206"/>
      <c r="FLW251" s="1206"/>
      <c r="FLX251" s="1206"/>
      <c r="FLY251" s="1206"/>
      <c r="FLZ251" s="1206"/>
      <c r="FMA251" s="1206"/>
      <c r="FMB251" s="1206"/>
      <c r="FMC251" s="1207"/>
      <c r="FMD251" s="1206"/>
      <c r="FME251" s="1206"/>
      <c r="FMF251" s="1206"/>
      <c r="FMG251" s="1206"/>
      <c r="FMH251" s="1206"/>
      <c r="FMI251" s="1206"/>
      <c r="FMJ251" s="1206"/>
      <c r="FMK251" s="1206"/>
      <c r="FML251" s="1206"/>
      <c r="FMM251" s="1206"/>
      <c r="FMN251" s="1206"/>
      <c r="FMO251" s="1206"/>
      <c r="FMP251" s="1206"/>
      <c r="FMQ251" s="1206"/>
      <c r="FMR251" s="1206"/>
      <c r="FMS251" s="1206"/>
      <c r="FMT251" s="1207"/>
      <c r="FMU251" s="1206"/>
      <c r="FMV251" s="1206"/>
      <c r="FMW251" s="1206"/>
      <c r="FMX251" s="1206"/>
      <c r="FMY251" s="1206"/>
      <c r="FMZ251" s="1206"/>
      <c r="FNA251" s="1206"/>
      <c r="FNB251" s="1206"/>
      <c r="FNC251" s="1206"/>
      <c r="FND251" s="1206"/>
      <c r="FNE251" s="1206"/>
      <c r="FNF251" s="1206"/>
      <c r="FNG251" s="1206"/>
      <c r="FNH251" s="1206"/>
      <c r="FNI251" s="1206"/>
      <c r="FNJ251" s="1206"/>
      <c r="FNK251" s="1207"/>
      <c r="FNL251" s="1206"/>
      <c r="FNM251" s="1206"/>
      <c r="FNN251" s="1206"/>
      <c r="FNO251" s="1206"/>
      <c r="FNP251" s="1206"/>
      <c r="FNQ251" s="1206"/>
      <c r="FNR251" s="1206"/>
      <c r="FNS251" s="1206"/>
      <c r="FNT251" s="1206"/>
      <c r="FNU251" s="1206"/>
      <c r="FNV251" s="1206"/>
      <c r="FNW251" s="1206"/>
      <c r="FNX251" s="1206"/>
      <c r="FNY251" s="1206"/>
      <c r="FNZ251" s="1206"/>
      <c r="FOA251" s="1206"/>
      <c r="FOB251" s="1207"/>
      <c r="FOC251" s="1206"/>
      <c r="FOD251" s="1206"/>
      <c r="FOE251" s="1206"/>
      <c r="FOF251" s="1206"/>
      <c r="FOG251" s="1206"/>
      <c r="FOH251" s="1206"/>
      <c r="FOI251" s="1206"/>
      <c r="FOJ251" s="1206"/>
      <c r="FOK251" s="1206"/>
      <c r="FOL251" s="1206"/>
      <c r="FOM251" s="1206"/>
      <c r="FON251" s="1206"/>
      <c r="FOO251" s="1206"/>
      <c r="FOP251" s="1206"/>
      <c r="FOQ251" s="1206"/>
      <c r="FOR251" s="1206"/>
      <c r="FOS251" s="1207"/>
      <c r="FOT251" s="1206"/>
      <c r="FOU251" s="1206"/>
      <c r="FOV251" s="1206"/>
      <c r="FOW251" s="1206"/>
      <c r="FOX251" s="1206"/>
      <c r="FOY251" s="1206"/>
      <c r="FOZ251" s="1206"/>
      <c r="FPA251" s="1206"/>
      <c r="FPB251" s="1206"/>
      <c r="FPC251" s="1206"/>
      <c r="FPD251" s="1206"/>
      <c r="FPE251" s="1206"/>
      <c r="FPF251" s="1206"/>
      <c r="FPG251" s="1206"/>
      <c r="FPH251" s="1206"/>
      <c r="FPI251" s="1206"/>
      <c r="FPJ251" s="1207"/>
      <c r="FPK251" s="1206"/>
      <c r="FPL251" s="1206"/>
      <c r="FPM251" s="1206"/>
      <c r="FPN251" s="1206"/>
      <c r="FPO251" s="1206"/>
      <c r="FPP251" s="1206"/>
      <c r="FPQ251" s="1206"/>
      <c r="FPR251" s="1206"/>
      <c r="FPS251" s="1206"/>
      <c r="FPT251" s="1206"/>
      <c r="FPU251" s="1206"/>
      <c r="FPV251" s="1206"/>
      <c r="FPW251" s="1206"/>
      <c r="FPX251" s="1206"/>
      <c r="FPY251" s="1206"/>
      <c r="FPZ251" s="1206"/>
      <c r="FQA251" s="1207"/>
      <c r="FQB251" s="1206"/>
      <c r="FQC251" s="1206"/>
      <c r="FQD251" s="1206"/>
      <c r="FQE251" s="1206"/>
      <c r="FQF251" s="1206"/>
      <c r="FQG251" s="1206"/>
      <c r="FQH251" s="1206"/>
      <c r="FQI251" s="1206"/>
      <c r="FQJ251" s="1206"/>
      <c r="FQK251" s="1206"/>
      <c r="FQL251" s="1206"/>
      <c r="FQM251" s="1206"/>
      <c r="FQN251" s="1206"/>
      <c r="FQO251" s="1206"/>
      <c r="FQP251" s="1206"/>
      <c r="FQQ251" s="1206"/>
      <c r="FQR251" s="1207"/>
      <c r="FQS251" s="1206"/>
      <c r="FQT251" s="1206"/>
      <c r="FQU251" s="1206"/>
      <c r="FQV251" s="1206"/>
      <c r="FQW251" s="1206"/>
      <c r="FQX251" s="1206"/>
      <c r="FQY251" s="1206"/>
      <c r="FQZ251" s="1206"/>
      <c r="FRA251" s="1206"/>
      <c r="FRB251" s="1206"/>
      <c r="FRC251" s="1206"/>
      <c r="FRD251" s="1206"/>
      <c r="FRE251" s="1206"/>
      <c r="FRF251" s="1206"/>
      <c r="FRG251" s="1206"/>
      <c r="FRH251" s="1206"/>
      <c r="FRI251" s="1207"/>
      <c r="FRJ251" s="1206"/>
      <c r="FRK251" s="1206"/>
      <c r="FRL251" s="1206"/>
      <c r="FRM251" s="1206"/>
      <c r="FRN251" s="1206"/>
      <c r="FRO251" s="1206"/>
      <c r="FRP251" s="1206"/>
      <c r="FRQ251" s="1206"/>
      <c r="FRR251" s="1206"/>
      <c r="FRS251" s="1206"/>
      <c r="FRT251" s="1206"/>
      <c r="FRU251" s="1206"/>
      <c r="FRV251" s="1206"/>
      <c r="FRW251" s="1206"/>
      <c r="FRX251" s="1206"/>
      <c r="FRY251" s="1206"/>
      <c r="FRZ251" s="1207"/>
      <c r="FSA251" s="1206"/>
      <c r="FSB251" s="1206"/>
      <c r="FSC251" s="1206"/>
      <c r="FSD251" s="1206"/>
      <c r="FSE251" s="1206"/>
      <c r="FSF251" s="1206"/>
      <c r="FSG251" s="1206"/>
      <c r="FSH251" s="1206"/>
      <c r="FSI251" s="1206"/>
      <c r="FSJ251" s="1206"/>
      <c r="FSK251" s="1206"/>
      <c r="FSL251" s="1206"/>
      <c r="FSM251" s="1206"/>
      <c r="FSN251" s="1206"/>
      <c r="FSO251" s="1206"/>
      <c r="FSP251" s="1206"/>
      <c r="FSQ251" s="1207"/>
      <c r="FSR251" s="1206"/>
      <c r="FSS251" s="1206"/>
      <c r="FST251" s="1206"/>
      <c r="FSU251" s="1206"/>
      <c r="FSV251" s="1206"/>
      <c r="FSW251" s="1206"/>
      <c r="FSX251" s="1206"/>
      <c r="FSY251" s="1206"/>
      <c r="FSZ251" s="1206"/>
      <c r="FTA251" s="1206"/>
      <c r="FTB251" s="1206"/>
      <c r="FTC251" s="1206"/>
      <c r="FTD251" s="1206"/>
      <c r="FTE251" s="1206"/>
      <c r="FTF251" s="1206"/>
      <c r="FTG251" s="1206"/>
      <c r="FTH251" s="1207"/>
      <c r="FTI251" s="1206"/>
      <c r="FTJ251" s="1206"/>
      <c r="FTK251" s="1206"/>
      <c r="FTL251" s="1206"/>
      <c r="FTM251" s="1206"/>
      <c r="FTN251" s="1206"/>
      <c r="FTO251" s="1206"/>
      <c r="FTP251" s="1206"/>
      <c r="FTQ251" s="1206"/>
      <c r="FTR251" s="1206"/>
      <c r="FTS251" s="1206"/>
      <c r="FTT251" s="1206"/>
      <c r="FTU251" s="1206"/>
      <c r="FTV251" s="1206"/>
      <c r="FTW251" s="1206"/>
      <c r="FTX251" s="1206"/>
      <c r="FTY251" s="1207"/>
      <c r="FTZ251" s="1206"/>
      <c r="FUA251" s="1206"/>
      <c r="FUB251" s="1206"/>
      <c r="FUC251" s="1206"/>
      <c r="FUD251" s="1206"/>
      <c r="FUE251" s="1206"/>
      <c r="FUF251" s="1206"/>
      <c r="FUG251" s="1206"/>
      <c r="FUH251" s="1206"/>
      <c r="FUI251" s="1206"/>
      <c r="FUJ251" s="1206"/>
      <c r="FUK251" s="1206"/>
      <c r="FUL251" s="1206"/>
      <c r="FUM251" s="1206"/>
      <c r="FUN251" s="1206"/>
      <c r="FUO251" s="1206"/>
      <c r="FUP251" s="1207"/>
      <c r="FUQ251" s="1206"/>
      <c r="FUR251" s="1206"/>
      <c r="FUS251" s="1206"/>
      <c r="FUT251" s="1206"/>
      <c r="FUU251" s="1206"/>
      <c r="FUV251" s="1206"/>
      <c r="FUW251" s="1206"/>
      <c r="FUX251" s="1206"/>
      <c r="FUY251" s="1206"/>
      <c r="FUZ251" s="1206"/>
      <c r="FVA251" s="1206"/>
      <c r="FVB251" s="1206"/>
      <c r="FVC251" s="1206"/>
      <c r="FVD251" s="1206"/>
      <c r="FVE251" s="1206"/>
      <c r="FVF251" s="1206"/>
      <c r="FVG251" s="1207"/>
      <c r="FVH251" s="1206"/>
      <c r="FVI251" s="1206"/>
      <c r="FVJ251" s="1206"/>
      <c r="FVK251" s="1206"/>
      <c r="FVL251" s="1206"/>
      <c r="FVM251" s="1206"/>
      <c r="FVN251" s="1206"/>
      <c r="FVO251" s="1206"/>
      <c r="FVP251" s="1206"/>
      <c r="FVQ251" s="1206"/>
      <c r="FVR251" s="1206"/>
      <c r="FVS251" s="1206"/>
      <c r="FVT251" s="1206"/>
      <c r="FVU251" s="1206"/>
      <c r="FVV251" s="1206"/>
      <c r="FVW251" s="1206"/>
      <c r="FVX251" s="1207"/>
      <c r="FVY251" s="1206"/>
      <c r="FVZ251" s="1206"/>
      <c r="FWA251" s="1206"/>
      <c r="FWB251" s="1206"/>
      <c r="FWC251" s="1206"/>
      <c r="FWD251" s="1206"/>
      <c r="FWE251" s="1206"/>
      <c r="FWF251" s="1206"/>
      <c r="FWG251" s="1206"/>
      <c r="FWH251" s="1206"/>
      <c r="FWI251" s="1206"/>
      <c r="FWJ251" s="1206"/>
      <c r="FWK251" s="1206"/>
      <c r="FWL251" s="1206"/>
      <c r="FWM251" s="1206"/>
      <c r="FWN251" s="1206"/>
      <c r="FWO251" s="1207"/>
      <c r="FWP251" s="1206"/>
      <c r="FWQ251" s="1206"/>
      <c r="FWR251" s="1206"/>
      <c r="FWS251" s="1206"/>
      <c r="FWT251" s="1206"/>
      <c r="FWU251" s="1206"/>
      <c r="FWV251" s="1206"/>
      <c r="FWW251" s="1206"/>
      <c r="FWX251" s="1206"/>
      <c r="FWY251" s="1206"/>
      <c r="FWZ251" s="1206"/>
      <c r="FXA251" s="1206"/>
      <c r="FXB251" s="1206"/>
      <c r="FXC251" s="1206"/>
      <c r="FXD251" s="1206"/>
      <c r="FXE251" s="1206"/>
      <c r="FXF251" s="1207"/>
      <c r="FXG251" s="1206"/>
      <c r="FXH251" s="1206"/>
      <c r="FXI251" s="1206"/>
      <c r="FXJ251" s="1206"/>
      <c r="FXK251" s="1206"/>
      <c r="FXL251" s="1206"/>
      <c r="FXM251" s="1206"/>
      <c r="FXN251" s="1206"/>
      <c r="FXO251" s="1206"/>
      <c r="FXP251" s="1206"/>
      <c r="FXQ251" s="1206"/>
      <c r="FXR251" s="1206"/>
      <c r="FXS251" s="1206"/>
      <c r="FXT251" s="1206"/>
      <c r="FXU251" s="1206"/>
      <c r="FXV251" s="1206"/>
      <c r="FXW251" s="1207"/>
      <c r="FXX251" s="1206"/>
      <c r="FXY251" s="1206"/>
      <c r="FXZ251" s="1206"/>
      <c r="FYA251" s="1206"/>
      <c r="FYB251" s="1206"/>
      <c r="FYC251" s="1206"/>
      <c r="FYD251" s="1206"/>
      <c r="FYE251" s="1206"/>
      <c r="FYF251" s="1206"/>
      <c r="FYG251" s="1206"/>
      <c r="FYH251" s="1206"/>
      <c r="FYI251" s="1206"/>
      <c r="FYJ251" s="1206"/>
      <c r="FYK251" s="1206"/>
      <c r="FYL251" s="1206"/>
      <c r="FYM251" s="1206"/>
      <c r="FYN251" s="1207"/>
      <c r="FYO251" s="1206"/>
      <c r="FYP251" s="1206"/>
      <c r="FYQ251" s="1206"/>
      <c r="FYR251" s="1206"/>
      <c r="FYS251" s="1206"/>
      <c r="FYT251" s="1206"/>
      <c r="FYU251" s="1206"/>
      <c r="FYV251" s="1206"/>
      <c r="FYW251" s="1206"/>
      <c r="FYX251" s="1206"/>
      <c r="FYY251" s="1206"/>
      <c r="FYZ251" s="1206"/>
      <c r="FZA251" s="1206"/>
      <c r="FZB251" s="1206"/>
      <c r="FZC251" s="1206"/>
      <c r="FZD251" s="1206"/>
      <c r="FZE251" s="1207"/>
      <c r="FZF251" s="1206"/>
      <c r="FZG251" s="1206"/>
      <c r="FZH251" s="1206"/>
      <c r="FZI251" s="1206"/>
      <c r="FZJ251" s="1206"/>
      <c r="FZK251" s="1206"/>
      <c r="FZL251" s="1206"/>
      <c r="FZM251" s="1206"/>
      <c r="FZN251" s="1206"/>
      <c r="FZO251" s="1206"/>
      <c r="FZP251" s="1206"/>
      <c r="FZQ251" s="1206"/>
      <c r="FZR251" s="1206"/>
      <c r="FZS251" s="1206"/>
      <c r="FZT251" s="1206"/>
      <c r="FZU251" s="1206"/>
      <c r="FZV251" s="1207"/>
      <c r="FZW251" s="1206"/>
      <c r="FZX251" s="1206"/>
      <c r="FZY251" s="1206"/>
      <c r="FZZ251" s="1206"/>
      <c r="GAA251" s="1206"/>
      <c r="GAB251" s="1206"/>
      <c r="GAC251" s="1206"/>
      <c r="GAD251" s="1206"/>
      <c r="GAE251" s="1206"/>
      <c r="GAF251" s="1206"/>
      <c r="GAG251" s="1206"/>
      <c r="GAH251" s="1206"/>
      <c r="GAI251" s="1206"/>
      <c r="GAJ251" s="1206"/>
      <c r="GAK251" s="1206"/>
      <c r="GAL251" s="1206"/>
      <c r="GAM251" s="1207"/>
      <c r="GAN251" s="1206"/>
      <c r="GAO251" s="1206"/>
      <c r="GAP251" s="1206"/>
      <c r="GAQ251" s="1206"/>
      <c r="GAR251" s="1206"/>
      <c r="GAS251" s="1206"/>
      <c r="GAT251" s="1206"/>
      <c r="GAU251" s="1206"/>
      <c r="GAV251" s="1206"/>
      <c r="GAW251" s="1206"/>
      <c r="GAX251" s="1206"/>
      <c r="GAY251" s="1206"/>
      <c r="GAZ251" s="1206"/>
      <c r="GBA251" s="1206"/>
      <c r="GBB251" s="1206"/>
      <c r="GBC251" s="1206"/>
      <c r="GBD251" s="1207"/>
      <c r="GBE251" s="1206"/>
      <c r="GBF251" s="1206"/>
      <c r="GBG251" s="1206"/>
      <c r="GBH251" s="1206"/>
      <c r="GBI251" s="1206"/>
      <c r="GBJ251" s="1206"/>
      <c r="GBK251" s="1206"/>
      <c r="GBL251" s="1206"/>
      <c r="GBM251" s="1206"/>
      <c r="GBN251" s="1206"/>
      <c r="GBO251" s="1206"/>
      <c r="GBP251" s="1206"/>
      <c r="GBQ251" s="1206"/>
      <c r="GBR251" s="1206"/>
      <c r="GBS251" s="1206"/>
      <c r="GBT251" s="1206"/>
      <c r="GBU251" s="1207"/>
      <c r="GBV251" s="1206"/>
      <c r="GBW251" s="1206"/>
      <c r="GBX251" s="1206"/>
      <c r="GBY251" s="1206"/>
      <c r="GBZ251" s="1206"/>
      <c r="GCA251" s="1206"/>
      <c r="GCB251" s="1206"/>
      <c r="GCC251" s="1206"/>
      <c r="GCD251" s="1206"/>
      <c r="GCE251" s="1206"/>
      <c r="GCF251" s="1206"/>
      <c r="GCG251" s="1206"/>
      <c r="GCH251" s="1206"/>
      <c r="GCI251" s="1206"/>
      <c r="GCJ251" s="1206"/>
      <c r="GCK251" s="1206"/>
      <c r="GCL251" s="1207"/>
      <c r="GCM251" s="1206"/>
      <c r="GCN251" s="1206"/>
      <c r="GCO251" s="1206"/>
      <c r="GCP251" s="1206"/>
      <c r="GCQ251" s="1206"/>
      <c r="GCR251" s="1206"/>
      <c r="GCS251" s="1206"/>
      <c r="GCT251" s="1206"/>
      <c r="GCU251" s="1206"/>
      <c r="GCV251" s="1206"/>
      <c r="GCW251" s="1206"/>
      <c r="GCX251" s="1206"/>
      <c r="GCY251" s="1206"/>
      <c r="GCZ251" s="1206"/>
      <c r="GDA251" s="1206"/>
      <c r="GDB251" s="1206"/>
      <c r="GDC251" s="1207"/>
      <c r="GDD251" s="1206"/>
      <c r="GDE251" s="1206"/>
      <c r="GDF251" s="1206"/>
      <c r="GDG251" s="1206"/>
      <c r="GDH251" s="1206"/>
      <c r="GDI251" s="1206"/>
      <c r="GDJ251" s="1206"/>
      <c r="GDK251" s="1206"/>
      <c r="GDL251" s="1206"/>
      <c r="GDM251" s="1206"/>
      <c r="GDN251" s="1206"/>
      <c r="GDO251" s="1206"/>
      <c r="GDP251" s="1206"/>
      <c r="GDQ251" s="1206"/>
      <c r="GDR251" s="1206"/>
      <c r="GDS251" s="1206"/>
      <c r="GDT251" s="1207"/>
      <c r="GDU251" s="1206"/>
      <c r="GDV251" s="1206"/>
      <c r="GDW251" s="1206"/>
      <c r="GDX251" s="1206"/>
      <c r="GDY251" s="1206"/>
      <c r="GDZ251" s="1206"/>
      <c r="GEA251" s="1206"/>
      <c r="GEB251" s="1206"/>
      <c r="GEC251" s="1206"/>
      <c r="GED251" s="1206"/>
      <c r="GEE251" s="1206"/>
      <c r="GEF251" s="1206"/>
      <c r="GEG251" s="1206"/>
      <c r="GEH251" s="1206"/>
      <c r="GEI251" s="1206"/>
      <c r="GEJ251" s="1206"/>
      <c r="GEK251" s="1207"/>
      <c r="GEL251" s="1206"/>
      <c r="GEM251" s="1206"/>
      <c r="GEN251" s="1206"/>
      <c r="GEO251" s="1206"/>
      <c r="GEP251" s="1206"/>
      <c r="GEQ251" s="1206"/>
      <c r="GER251" s="1206"/>
      <c r="GES251" s="1206"/>
      <c r="GET251" s="1206"/>
      <c r="GEU251" s="1206"/>
      <c r="GEV251" s="1206"/>
      <c r="GEW251" s="1206"/>
      <c r="GEX251" s="1206"/>
      <c r="GEY251" s="1206"/>
      <c r="GEZ251" s="1206"/>
      <c r="GFA251" s="1206"/>
      <c r="GFB251" s="1207"/>
      <c r="GFC251" s="1206"/>
      <c r="GFD251" s="1206"/>
      <c r="GFE251" s="1206"/>
      <c r="GFF251" s="1206"/>
      <c r="GFG251" s="1206"/>
      <c r="GFH251" s="1206"/>
      <c r="GFI251" s="1206"/>
      <c r="GFJ251" s="1206"/>
      <c r="GFK251" s="1206"/>
      <c r="GFL251" s="1206"/>
      <c r="GFM251" s="1206"/>
      <c r="GFN251" s="1206"/>
      <c r="GFO251" s="1206"/>
      <c r="GFP251" s="1206"/>
      <c r="GFQ251" s="1206"/>
      <c r="GFR251" s="1206"/>
      <c r="GFS251" s="1207"/>
      <c r="GFT251" s="1206"/>
      <c r="GFU251" s="1206"/>
      <c r="GFV251" s="1206"/>
      <c r="GFW251" s="1206"/>
      <c r="GFX251" s="1206"/>
      <c r="GFY251" s="1206"/>
      <c r="GFZ251" s="1206"/>
      <c r="GGA251" s="1206"/>
      <c r="GGB251" s="1206"/>
      <c r="GGC251" s="1206"/>
      <c r="GGD251" s="1206"/>
      <c r="GGE251" s="1206"/>
      <c r="GGF251" s="1206"/>
      <c r="GGG251" s="1206"/>
      <c r="GGH251" s="1206"/>
      <c r="GGI251" s="1206"/>
      <c r="GGJ251" s="1207"/>
      <c r="GGK251" s="1206"/>
      <c r="GGL251" s="1206"/>
      <c r="GGM251" s="1206"/>
      <c r="GGN251" s="1206"/>
      <c r="GGO251" s="1206"/>
      <c r="GGP251" s="1206"/>
      <c r="GGQ251" s="1206"/>
      <c r="GGR251" s="1206"/>
      <c r="GGS251" s="1206"/>
      <c r="GGT251" s="1206"/>
      <c r="GGU251" s="1206"/>
      <c r="GGV251" s="1206"/>
      <c r="GGW251" s="1206"/>
      <c r="GGX251" s="1206"/>
      <c r="GGY251" s="1206"/>
      <c r="GGZ251" s="1206"/>
      <c r="GHA251" s="1207"/>
      <c r="GHB251" s="1206"/>
      <c r="GHC251" s="1206"/>
      <c r="GHD251" s="1206"/>
      <c r="GHE251" s="1206"/>
      <c r="GHF251" s="1206"/>
      <c r="GHG251" s="1206"/>
      <c r="GHH251" s="1206"/>
      <c r="GHI251" s="1206"/>
      <c r="GHJ251" s="1206"/>
      <c r="GHK251" s="1206"/>
      <c r="GHL251" s="1206"/>
      <c r="GHM251" s="1206"/>
      <c r="GHN251" s="1206"/>
      <c r="GHO251" s="1206"/>
      <c r="GHP251" s="1206"/>
      <c r="GHQ251" s="1206"/>
      <c r="GHR251" s="1207"/>
      <c r="GHS251" s="1206"/>
      <c r="GHT251" s="1206"/>
      <c r="GHU251" s="1206"/>
      <c r="GHV251" s="1206"/>
      <c r="GHW251" s="1206"/>
      <c r="GHX251" s="1206"/>
      <c r="GHY251" s="1206"/>
      <c r="GHZ251" s="1206"/>
      <c r="GIA251" s="1206"/>
      <c r="GIB251" s="1206"/>
      <c r="GIC251" s="1206"/>
      <c r="GID251" s="1206"/>
      <c r="GIE251" s="1206"/>
      <c r="GIF251" s="1206"/>
      <c r="GIG251" s="1206"/>
      <c r="GIH251" s="1206"/>
      <c r="GII251" s="1207"/>
      <c r="GIJ251" s="1206"/>
      <c r="GIK251" s="1206"/>
      <c r="GIL251" s="1206"/>
      <c r="GIM251" s="1206"/>
      <c r="GIN251" s="1206"/>
      <c r="GIO251" s="1206"/>
      <c r="GIP251" s="1206"/>
      <c r="GIQ251" s="1206"/>
      <c r="GIR251" s="1206"/>
      <c r="GIS251" s="1206"/>
      <c r="GIT251" s="1206"/>
      <c r="GIU251" s="1206"/>
      <c r="GIV251" s="1206"/>
      <c r="GIW251" s="1206"/>
      <c r="GIX251" s="1206"/>
      <c r="GIY251" s="1206"/>
      <c r="GIZ251" s="1207"/>
      <c r="GJA251" s="1206"/>
      <c r="GJB251" s="1206"/>
      <c r="GJC251" s="1206"/>
      <c r="GJD251" s="1206"/>
      <c r="GJE251" s="1206"/>
      <c r="GJF251" s="1206"/>
      <c r="GJG251" s="1206"/>
      <c r="GJH251" s="1206"/>
      <c r="GJI251" s="1206"/>
      <c r="GJJ251" s="1206"/>
      <c r="GJK251" s="1206"/>
      <c r="GJL251" s="1206"/>
      <c r="GJM251" s="1206"/>
      <c r="GJN251" s="1206"/>
      <c r="GJO251" s="1206"/>
      <c r="GJP251" s="1206"/>
      <c r="GJQ251" s="1207"/>
      <c r="GJR251" s="1206"/>
      <c r="GJS251" s="1206"/>
      <c r="GJT251" s="1206"/>
      <c r="GJU251" s="1206"/>
      <c r="GJV251" s="1206"/>
      <c r="GJW251" s="1206"/>
      <c r="GJX251" s="1206"/>
      <c r="GJY251" s="1206"/>
      <c r="GJZ251" s="1206"/>
      <c r="GKA251" s="1206"/>
      <c r="GKB251" s="1206"/>
      <c r="GKC251" s="1206"/>
      <c r="GKD251" s="1206"/>
      <c r="GKE251" s="1206"/>
      <c r="GKF251" s="1206"/>
      <c r="GKG251" s="1206"/>
      <c r="GKH251" s="1207"/>
      <c r="GKI251" s="1206"/>
      <c r="GKJ251" s="1206"/>
      <c r="GKK251" s="1206"/>
      <c r="GKL251" s="1206"/>
      <c r="GKM251" s="1206"/>
      <c r="GKN251" s="1206"/>
      <c r="GKO251" s="1206"/>
      <c r="GKP251" s="1206"/>
      <c r="GKQ251" s="1206"/>
      <c r="GKR251" s="1206"/>
      <c r="GKS251" s="1206"/>
      <c r="GKT251" s="1206"/>
      <c r="GKU251" s="1206"/>
      <c r="GKV251" s="1206"/>
      <c r="GKW251" s="1206"/>
      <c r="GKX251" s="1206"/>
      <c r="GKY251" s="1207"/>
      <c r="GKZ251" s="1206"/>
      <c r="GLA251" s="1206"/>
      <c r="GLB251" s="1206"/>
      <c r="GLC251" s="1206"/>
      <c r="GLD251" s="1206"/>
      <c r="GLE251" s="1206"/>
      <c r="GLF251" s="1206"/>
      <c r="GLG251" s="1206"/>
      <c r="GLH251" s="1206"/>
      <c r="GLI251" s="1206"/>
      <c r="GLJ251" s="1206"/>
      <c r="GLK251" s="1206"/>
      <c r="GLL251" s="1206"/>
      <c r="GLM251" s="1206"/>
      <c r="GLN251" s="1206"/>
      <c r="GLO251" s="1206"/>
      <c r="GLP251" s="1207"/>
      <c r="GLQ251" s="1206"/>
      <c r="GLR251" s="1206"/>
      <c r="GLS251" s="1206"/>
      <c r="GLT251" s="1206"/>
      <c r="GLU251" s="1206"/>
      <c r="GLV251" s="1206"/>
      <c r="GLW251" s="1206"/>
      <c r="GLX251" s="1206"/>
      <c r="GLY251" s="1206"/>
      <c r="GLZ251" s="1206"/>
      <c r="GMA251" s="1206"/>
      <c r="GMB251" s="1206"/>
      <c r="GMC251" s="1206"/>
      <c r="GMD251" s="1206"/>
      <c r="GME251" s="1206"/>
      <c r="GMF251" s="1206"/>
      <c r="GMG251" s="1207"/>
      <c r="GMH251" s="1206"/>
      <c r="GMI251" s="1206"/>
      <c r="GMJ251" s="1206"/>
      <c r="GMK251" s="1206"/>
      <c r="GML251" s="1206"/>
      <c r="GMM251" s="1206"/>
      <c r="GMN251" s="1206"/>
      <c r="GMO251" s="1206"/>
      <c r="GMP251" s="1206"/>
      <c r="GMQ251" s="1206"/>
      <c r="GMR251" s="1206"/>
      <c r="GMS251" s="1206"/>
      <c r="GMT251" s="1206"/>
      <c r="GMU251" s="1206"/>
      <c r="GMV251" s="1206"/>
      <c r="GMW251" s="1206"/>
      <c r="GMX251" s="1207"/>
      <c r="GMY251" s="1206"/>
      <c r="GMZ251" s="1206"/>
      <c r="GNA251" s="1206"/>
      <c r="GNB251" s="1206"/>
      <c r="GNC251" s="1206"/>
      <c r="GND251" s="1206"/>
      <c r="GNE251" s="1206"/>
      <c r="GNF251" s="1206"/>
      <c r="GNG251" s="1206"/>
      <c r="GNH251" s="1206"/>
      <c r="GNI251" s="1206"/>
      <c r="GNJ251" s="1206"/>
      <c r="GNK251" s="1206"/>
      <c r="GNL251" s="1206"/>
      <c r="GNM251" s="1206"/>
      <c r="GNN251" s="1206"/>
      <c r="GNO251" s="1207"/>
      <c r="GNP251" s="1206"/>
      <c r="GNQ251" s="1206"/>
      <c r="GNR251" s="1206"/>
      <c r="GNS251" s="1206"/>
      <c r="GNT251" s="1206"/>
      <c r="GNU251" s="1206"/>
      <c r="GNV251" s="1206"/>
      <c r="GNW251" s="1206"/>
      <c r="GNX251" s="1206"/>
      <c r="GNY251" s="1206"/>
      <c r="GNZ251" s="1206"/>
      <c r="GOA251" s="1206"/>
      <c r="GOB251" s="1206"/>
      <c r="GOC251" s="1206"/>
      <c r="GOD251" s="1206"/>
      <c r="GOE251" s="1206"/>
      <c r="GOF251" s="1207"/>
      <c r="GOG251" s="1206"/>
      <c r="GOH251" s="1206"/>
      <c r="GOI251" s="1206"/>
      <c r="GOJ251" s="1206"/>
      <c r="GOK251" s="1206"/>
      <c r="GOL251" s="1206"/>
      <c r="GOM251" s="1206"/>
      <c r="GON251" s="1206"/>
      <c r="GOO251" s="1206"/>
      <c r="GOP251" s="1206"/>
      <c r="GOQ251" s="1206"/>
      <c r="GOR251" s="1206"/>
      <c r="GOS251" s="1206"/>
      <c r="GOT251" s="1206"/>
      <c r="GOU251" s="1206"/>
      <c r="GOV251" s="1206"/>
      <c r="GOW251" s="1207"/>
      <c r="GOX251" s="1206"/>
      <c r="GOY251" s="1206"/>
      <c r="GOZ251" s="1206"/>
      <c r="GPA251" s="1206"/>
      <c r="GPB251" s="1206"/>
      <c r="GPC251" s="1206"/>
      <c r="GPD251" s="1206"/>
      <c r="GPE251" s="1206"/>
      <c r="GPF251" s="1206"/>
      <c r="GPG251" s="1206"/>
      <c r="GPH251" s="1206"/>
      <c r="GPI251" s="1206"/>
      <c r="GPJ251" s="1206"/>
      <c r="GPK251" s="1206"/>
      <c r="GPL251" s="1206"/>
      <c r="GPM251" s="1206"/>
      <c r="GPN251" s="1207"/>
      <c r="GPO251" s="1206"/>
      <c r="GPP251" s="1206"/>
      <c r="GPQ251" s="1206"/>
      <c r="GPR251" s="1206"/>
      <c r="GPS251" s="1206"/>
      <c r="GPT251" s="1206"/>
      <c r="GPU251" s="1206"/>
      <c r="GPV251" s="1206"/>
      <c r="GPW251" s="1206"/>
      <c r="GPX251" s="1206"/>
      <c r="GPY251" s="1206"/>
      <c r="GPZ251" s="1206"/>
      <c r="GQA251" s="1206"/>
      <c r="GQB251" s="1206"/>
      <c r="GQC251" s="1206"/>
      <c r="GQD251" s="1206"/>
      <c r="GQE251" s="1207"/>
      <c r="GQF251" s="1206"/>
      <c r="GQG251" s="1206"/>
      <c r="GQH251" s="1206"/>
      <c r="GQI251" s="1206"/>
      <c r="GQJ251" s="1206"/>
      <c r="GQK251" s="1206"/>
      <c r="GQL251" s="1206"/>
      <c r="GQM251" s="1206"/>
      <c r="GQN251" s="1206"/>
      <c r="GQO251" s="1206"/>
      <c r="GQP251" s="1206"/>
      <c r="GQQ251" s="1206"/>
      <c r="GQR251" s="1206"/>
      <c r="GQS251" s="1206"/>
      <c r="GQT251" s="1206"/>
      <c r="GQU251" s="1206"/>
      <c r="GQV251" s="1207"/>
      <c r="GQW251" s="1206"/>
      <c r="GQX251" s="1206"/>
      <c r="GQY251" s="1206"/>
      <c r="GQZ251" s="1206"/>
      <c r="GRA251" s="1206"/>
      <c r="GRB251" s="1206"/>
      <c r="GRC251" s="1206"/>
      <c r="GRD251" s="1206"/>
      <c r="GRE251" s="1206"/>
      <c r="GRF251" s="1206"/>
      <c r="GRG251" s="1206"/>
      <c r="GRH251" s="1206"/>
      <c r="GRI251" s="1206"/>
      <c r="GRJ251" s="1206"/>
      <c r="GRK251" s="1206"/>
      <c r="GRL251" s="1206"/>
      <c r="GRM251" s="1207"/>
      <c r="GRN251" s="1206"/>
      <c r="GRO251" s="1206"/>
      <c r="GRP251" s="1206"/>
      <c r="GRQ251" s="1206"/>
      <c r="GRR251" s="1206"/>
      <c r="GRS251" s="1206"/>
      <c r="GRT251" s="1206"/>
      <c r="GRU251" s="1206"/>
      <c r="GRV251" s="1206"/>
      <c r="GRW251" s="1206"/>
      <c r="GRX251" s="1206"/>
      <c r="GRY251" s="1206"/>
      <c r="GRZ251" s="1206"/>
      <c r="GSA251" s="1206"/>
      <c r="GSB251" s="1206"/>
      <c r="GSC251" s="1206"/>
      <c r="GSD251" s="1207"/>
      <c r="GSE251" s="1206"/>
      <c r="GSF251" s="1206"/>
      <c r="GSG251" s="1206"/>
      <c r="GSH251" s="1206"/>
      <c r="GSI251" s="1206"/>
      <c r="GSJ251" s="1206"/>
      <c r="GSK251" s="1206"/>
      <c r="GSL251" s="1206"/>
      <c r="GSM251" s="1206"/>
      <c r="GSN251" s="1206"/>
      <c r="GSO251" s="1206"/>
      <c r="GSP251" s="1206"/>
      <c r="GSQ251" s="1206"/>
      <c r="GSR251" s="1206"/>
      <c r="GSS251" s="1206"/>
      <c r="GST251" s="1206"/>
      <c r="GSU251" s="1207"/>
      <c r="GSV251" s="1206"/>
      <c r="GSW251" s="1206"/>
      <c r="GSX251" s="1206"/>
      <c r="GSY251" s="1206"/>
      <c r="GSZ251" s="1206"/>
      <c r="GTA251" s="1206"/>
      <c r="GTB251" s="1206"/>
      <c r="GTC251" s="1206"/>
      <c r="GTD251" s="1206"/>
      <c r="GTE251" s="1206"/>
      <c r="GTF251" s="1206"/>
      <c r="GTG251" s="1206"/>
      <c r="GTH251" s="1206"/>
      <c r="GTI251" s="1206"/>
      <c r="GTJ251" s="1206"/>
      <c r="GTK251" s="1206"/>
      <c r="GTL251" s="1207"/>
      <c r="GTM251" s="1206"/>
      <c r="GTN251" s="1206"/>
      <c r="GTO251" s="1206"/>
      <c r="GTP251" s="1206"/>
      <c r="GTQ251" s="1206"/>
      <c r="GTR251" s="1206"/>
      <c r="GTS251" s="1206"/>
      <c r="GTT251" s="1206"/>
      <c r="GTU251" s="1206"/>
      <c r="GTV251" s="1206"/>
      <c r="GTW251" s="1206"/>
      <c r="GTX251" s="1206"/>
      <c r="GTY251" s="1206"/>
      <c r="GTZ251" s="1206"/>
      <c r="GUA251" s="1206"/>
      <c r="GUB251" s="1206"/>
      <c r="GUC251" s="1207"/>
      <c r="GUD251" s="1206"/>
      <c r="GUE251" s="1206"/>
      <c r="GUF251" s="1206"/>
      <c r="GUG251" s="1206"/>
      <c r="GUH251" s="1206"/>
      <c r="GUI251" s="1206"/>
      <c r="GUJ251" s="1206"/>
      <c r="GUK251" s="1206"/>
      <c r="GUL251" s="1206"/>
      <c r="GUM251" s="1206"/>
      <c r="GUN251" s="1206"/>
      <c r="GUO251" s="1206"/>
      <c r="GUP251" s="1206"/>
      <c r="GUQ251" s="1206"/>
      <c r="GUR251" s="1206"/>
      <c r="GUS251" s="1206"/>
      <c r="GUT251" s="1207"/>
      <c r="GUU251" s="1206"/>
      <c r="GUV251" s="1206"/>
      <c r="GUW251" s="1206"/>
      <c r="GUX251" s="1206"/>
      <c r="GUY251" s="1206"/>
      <c r="GUZ251" s="1206"/>
      <c r="GVA251" s="1206"/>
      <c r="GVB251" s="1206"/>
      <c r="GVC251" s="1206"/>
      <c r="GVD251" s="1206"/>
      <c r="GVE251" s="1206"/>
      <c r="GVF251" s="1206"/>
      <c r="GVG251" s="1206"/>
      <c r="GVH251" s="1206"/>
      <c r="GVI251" s="1206"/>
      <c r="GVJ251" s="1206"/>
      <c r="GVK251" s="1207"/>
      <c r="GVL251" s="1206"/>
      <c r="GVM251" s="1206"/>
      <c r="GVN251" s="1206"/>
      <c r="GVO251" s="1206"/>
      <c r="GVP251" s="1206"/>
      <c r="GVQ251" s="1206"/>
      <c r="GVR251" s="1206"/>
      <c r="GVS251" s="1206"/>
      <c r="GVT251" s="1206"/>
      <c r="GVU251" s="1206"/>
      <c r="GVV251" s="1206"/>
      <c r="GVW251" s="1206"/>
      <c r="GVX251" s="1206"/>
      <c r="GVY251" s="1206"/>
      <c r="GVZ251" s="1206"/>
      <c r="GWA251" s="1206"/>
      <c r="GWB251" s="1207"/>
      <c r="GWC251" s="1206"/>
      <c r="GWD251" s="1206"/>
      <c r="GWE251" s="1206"/>
      <c r="GWF251" s="1206"/>
      <c r="GWG251" s="1206"/>
      <c r="GWH251" s="1206"/>
      <c r="GWI251" s="1206"/>
      <c r="GWJ251" s="1206"/>
      <c r="GWK251" s="1206"/>
      <c r="GWL251" s="1206"/>
      <c r="GWM251" s="1206"/>
      <c r="GWN251" s="1206"/>
      <c r="GWO251" s="1206"/>
      <c r="GWP251" s="1206"/>
      <c r="GWQ251" s="1206"/>
      <c r="GWR251" s="1206"/>
      <c r="GWS251" s="1207"/>
      <c r="GWT251" s="1206"/>
      <c r="GWU251" s="1206"/>
      <c r="GWV251" s="1206"/>
      <c r="GWW251" s="1206"/>
      <c r="GWX251" s="1206"/>
      <c r="GWY251" s="1206"/>
      <c r="GWZ251" s="1206"/>
      <c r="GXA251" s="1206"/>
      <c r="GXB251" s="1206"/>
      <c r="GXC251" s="1206"/>
      <c r="GXD251" s="1206"/>
      <c r="GXE251" s="1206"/>
      <c r="GXF251" s="1206"/>
      <c r="GXG251" s="1206"/>
      <c r="GXH251" s="1206"/>
      <c r="GXI251" s="1206"/>
      <c r="GXJ251" s="1207"/>
      <c r="GXK251" s="1206"/>
      <c r="GXL251" s="1206"/>
      <c r="GXM251" s="1206"/>
      <c r="GXN251" s="1206"/>
      <c r="GXO251" s="1206"/>
      <c r="GXP251" s="1206"/>
      <c r="GXQ251" s="1206"/>
      <c r="GXR251" s="1206"/>
      <c r="GXS251" s="1206"/>
      <c r="GXT251" s="1206"/>
      <c r="GXU251" s="1206"/>
      <c r="GXV251" s="1206"/>
      <c r="GXW251" s="1206"/>
      <c r="GXX251" s="1206"/>
      <c r="GXY251" s="1206"/>
      <c r="GXZ251" s="1206"/>
      <c r="GYA251" s="1207"/>
      <c r="GYB251" s="1206"/>
      <c r="GYC251" s="1206"/>
      <c r="GYD251" s="1206"/>
      <c r="GYE251" s="1206"/>
      <c r="GYF251" s="1206"/>
      <c r="GYG251" s="1206"/>
      <c r="GYH251" s="1206"/>
      <c r="GYI251" s="1206"/>
      <c r="GYJ251" s="1206"/>
      <c r="GYK251" s="1206"/>
      <c r="GYL251" s="1206"/>
      <c r="GYM251" s="1206"/>
      <c r="GYN251" s="1206"/>
      <c r="GYO251" s="1206"/>
      <c r="GYP251" s="1206"/>
      <c r="GYQ251" s="1206"/>
      <c r="GYR251" s="1207"/>
      <c r="GYS251" s="1206"/>
      <c r="GYT251" s="1206"/>
      <c r="GYU251" s="1206"/>
      <c r="GYV251" s="1206"/>
      <c r="GYW251" s="1206"/>
      <c r="GYX251" s="1206"/>
      <c r="GYY251" s="1206"/>
      <c r="GYZ251" s="1206"/>
      <c r="GZA251" s="1206"/>
      <c r="GZB251" s="1206"/>
      <c r="GZC251" s="1206"/>
      <c r="GZD251" s="1206"/>
      <c r="GZE251" s="1206"/>
      <c r="GZF251" s="1206"/>
      <c r="GZG251" s="1206"/>
      <c r="GZH251" s="1206"/>
      <c r="GZI251" s="1207"/>
      <c r="GZJ251" s="1206"/>
      <c r="GZK251" s="1206"/>
      <c r="GZL251" s="1206"/>
      <c r="GZM251" s="1206"/>
      <c r="GZN251" s="1206"/>
      <c r="GZO251" s="1206"/>
      <c r="GZP251" s="1206"/>
      <c r="GZQ251" s="1206"/>
      <c r="GZR251" s="1206"/>
      <c r="GZS251" s="1206"/>
      <c r="GZT251" s="1206"/>
      <c r="GZU251" s="1206"/>
      <c r="GZV251" s="1206"/>
      <c r="GZW251" s="1206"/>
      <c r="GZX251" s="1206"/>
      <c r="GZY251" s="1206"/>
      <c r="GZZ251" s="1207"/>
      <c r="HAA251" s="1206"/>
      <c r="HAB251" s="1206"/>
      <c r="HAC251" s="1206"/>
      <c r="HAD251" s="1206"/>
      <c r="HAE251" s="1206"/>
      <c r="HAF251" s="1206"/>
      <c r="HAG251" s="1206"/>
      <c r="HAH251" s="1206"/>
      <c r="HAI251" s="1206"/>
      <c r="HAJ251" s="1206"/>
      <c r="HAK251" s="1206"/>
      <c r="HAL251" s="1206"/>
      <c r="HAM251" s="1206"/>
      <c r="HAN251" s="1206"/>
      <c r="HAO251" s="1206"/>
      <c r="HAP251" s="1206"/>
      <c r="HAQ251" s="1207"/>
      <c r="HAR251" s="1206"/>
      <c r="HAS251" s="1206"/>
      <c r="HAT251" s="1206"/>
      <c r="HAU251" s="1206"/>
      <c r="HAV251" s="1206"/>
      <c r="HAW251" s="1206"/>
      <c r="HAX251" s="1206"/>
      <c r="HAY251" s="1206"/>
      <c r="HAZ251" s="1206"/>
      <c r="HBA251" s="1206"/>
      <c r="HBB251" s="1206"/>
      <c r="HBC251" s="1206"/>
      <c r="HBD251" s="1206"/>
      <c r="HBE251" s="1206"/>
      <c r="HBF251" s="1206"/>
      <c r="HBG251" s="1206"/>
      <c r="HBH251" s="1207"/>
      <c r="HBI251" s="1206"/>
      <c r="HBJ251" s="1206"/>
      <c r="HBK251" s="1206"/>
      <c r="HBL251" s="1206"/>
      <c r="HBM251" s="1206"/>
      <c r="HBN251" s="1206"/>
      <c r="HBO251" s="1206"/>
      <c r="HBP251" s="1206"/>
      <c r="HBQ251" s="1206"/>
      <c r="HBR251" s="1206"/>
      <c r="HBS251" s="1206"/>
      <c r="HBT251" s="1206"/>
      <c r="HBU251" s="1206"/>
      <c r="HBV251" s="1206"/>
      <c r="HBW251" s="1206"/>
      <c r="HBX251" s="1206"/>
      <c r="HBY251" s="1207"/>
      <c r="HBZ251" s="1206"/>
      <c r="HCA251" s="1206"/>
      <c r="HCB251" s="1206"/>
      <c r="HCC251" s="1206"/>
      <c r="HCD251" s="1206"/>
      <c r="HCE251" s="1206"/>
      <c r="HCF251" s="1206"/>
      <c r="HCG251" s="1206"/>
      <c r="HCH251" s="1206"/>
      <c r="HCI251" s="1206"/>
      <c r="HCJ251" s="1206"/>
      <c r="HCK251" s="1206"/>
      <c r="HCL251" s="1206"/>
      <c r="HCM251" s="1206"/>
      <c r="HCN251" s="1206"/>
      <c r="HCO251" s="1206"/>
      <c r="HCP251" s="1207"/>
      <c r="HCQ251" s="1206"/>
      <c r="HCR251" s="1206"/>
      <c r="HCS251" s="1206"/>
      <c r="HCT251" s="1206"/>
      <c r="HCU251" s="1206"/>
      <c r="HCV251" s="1206"/>
      <c r="HCW251" s="1206"/>
      <c r="HCX251" s="1206"/>
      <c r="HCY251" s="1206"/>
      <c r="HCZ251" s="1206"/>
      <c r="HDA251" s="1206"/>
      <c r="HDB251" s="1206"/>
      <c r="HDC251" s="1206"/>
      <c r="HDD251" s="1206"/>
      <c r="HDE251" s="1206"/>
      <c r="HDF251" s="1206"/>
      <c r="HDG251" s="1207"/>
      <c r="HDH251" s="1206"/>
      <c r="HDI251" s="1206"/>
      <c r="HDJ251" s="1206"/>
      <c r="HDK251" s="1206"/>
      <c r="HDL251" s="1206"/>
      <c r="HDM251" s="1206"/>
      <c r="HDN251" s="1206"/>
      <c r="HDO251" s="1206"/>
      <c r="HDP251" s="1206"/>
      <c r="HDQ251" s="1206"/>
      <c r="HDR251" s="1206"/>
      <c r="HDS251" s="1206"/>
      <c r="HDT251" s="1206"/>
      <c r="HDU251" s="1206"/>
      <c r="HDV251" s="1206"/>
      <c r="HDW251" s="1206"/>
      <c r="HDX251" s="1207"/>
      <c r="HDY251" s="1206"/>
      <c r="HDZ251" s="1206"/>
      <c r="HEA251" s="1206"/>
      <c r="HEB251" s="1206"/>
      <c r="HEC251" s="1206"/>
      <c r="HED251" s="1206"/>
      <c r="HEE251" s="1206"/>
      <c r="HEF251" s="1206"/>
      <c r="HEG251" s="1206"/>
      <c r="HEH251" s="1206"/>
      <c r="HEI251" s="1206"/>
      <c r="HEJ251" s="1206"/>
      <c r="HEK251" s="1206"/>
      <c r="HEL251" s="1206"/>
      <c r="HEM251" s="1206"/>
      <c r="HEN251" s="1206"/>
      <c r="HEO251" s="1207"/>
      <c r="HEP251" s="1206"/>
      <c r="HEQ251" s="1206"/>
      <c r="HER251" s="1206"/>
      <c r="HES251" s="1206"/>
      <c r="HET251" s="1206"/>
      <c r="HEU251" s="1206"/>
      <c r="HEV251" s="1206"/>
      <c r="HEW251" s="1206"/>
      <c r="HEX251" s="1206"/>
      <c r="HEY251" s="1206"/>
      <c r="HEZ251" s="1206"/>
      <c r="HFA251" s="1206"/>
      <c r="HFB251" s="1206"/>
      <c r="HFC251" s="1206"/>
      <c r="HFD251" s="1206"/>
      <c r="HFE251" s="1206"/>
      <c r="HFF251" s="1207"/>
      <c r="HFG251" s="1206"/>
      <c r="HFH251" s="1206"/>
      <c r="HFI251" s="1206"/>
      <c r="HFJ251" s="1206"/>
      <c r="HFK251" s="1206"/>
      <c r="HFL251" s="1206"/>
      <c r="HFM251" s="1206"/>
      <c r="HFN251" s="1206"/>
      <c r="HFO251" s="1206"/>
      <c r="HFP251" s="1206"/>
      <c r="HFQ251" s="1206"/>
      <c r="HFR251" s="1206"/>
      <c r="HFS251" s="1206"/>
      <c r="HFT251" s="1206"/>
      <c r="HFU251" s="1206"/>
      <c r="HFV251" s="1206"/>
      <c r="HFW251" s="1207"/>
      <c r="HFX251" s="1206"/>
      <c r="HFY251" s="1206"/>
      <c r="HFZ251" s="1206"/>
      <c r="HGA251" s="1206"/>
      <c r="HGB251" s="1206"/>
      <c r="HGC251" s="1206"/>
      <c r="HGD251" s="1206"/>
      <c r="HGE251" s="1206"/>
      <c r="HGF251" s="1206"/>
      <c r="HGG251" s="1206"/>
      <c r="HGH251" s="1206"/>
      <c r="HGI251" s="1206"/>
      <c r="HGJ251" s="1206"/>
      <c r="HGK251" s="1206"/>
      <c r="HGL251" s="1206"/>
      <c r="HGM251" s="1206"/>
      <c r="HGN251" s="1207"/>
      <c r="HGO251" s="1206"/>
      <c r="HGP251" s="1206"/>
      <c r="HGQ251" s="1206"/>
      <c r="HGR251" s="1206"/>
      <c r="HGS251" s="1206"/>
      <c r="HGT251" s="1206"/>
      <c r="HGU251" s="1206"/>
      <c r="HGV251" s="1206"/>
      <c r="HGW251" s="1206"/>
      <c r="HGX251" s="1206"/>
      <c r="HGY251" s="1206"/>
      <c r="HGZ251" s="1206"/>
      <c r="HHA251" s="1206"/>
      <c r="HHB251" s="1206"/>
      <c r="HHC251" s="1206"/>
      <c r="HHD251" s="1206"/>
      <c r="HHE251" s="1207"/>
      <c r="HHF251" s="1206"/>
      <c r="HHG251" s="1206"/>
      <c r="HHH251" s="1206"/>
      <c r="HHI251" s="1206"/>
      <c r="HHJ251" s="1206"/>
      <c r="HHK251" s="1206"/>
      <c r="HHL251" s="1206"/>
      <c r="HHM251" s="1206"/>
      <c r="HHN251" s="1206"/>
      <c r="HHO251" s="1206"/>
      <c r="HHP251" s="1206"/>
      <c r="HHQ251" s="1206"/>
      <c r="HHR251" s="1206"/>
      <c r="HHS251" s="1206"/>
      <c r="HHT251" s="1206"/>
      <c r="HHU251" s="1206"/>
      <c r="HHV251" s="1207"/>
      <c r="HHW251" s="1206"/>
      <c r="HHX251" s="1206"/>
      <c r="HHY251" s="1206"/>
      <c r="HHZ251" s="1206"/>
      <c r="HIA251" s="1206"/>
      <c r="HIB251" s="1206"/>
      <c r="HIC251" s="1206"/>
      <c r="HID251" s="1206"/>
      <c r="HIE251" s="1206"/>
      <c r="HIF251" s="1206"/>
      <c r="HIG251" s="1206"/>
      <c r="HIH251" s="1206"/>
      <c r="HII251" s="1206"/>
      <c r="HIJ251" s="1206"/>
      <c r="HIK251" s="1206"/>
      <c r="HIL251" s="1206"/>
      <c r="HIM251" s="1207"/>
      <c r="HIN251" s="1206"/>
      <c r="HIO251" s="1206"/>
      <c r="HIP251" s="1206"/>
      <c r="HIQ251" s="1206"/>
      <c r="HIR251" s="1206"/>
      <c r="HIS251" s="1206"/>
      <c r="HIT251" s="1206"/>
      <c r="HIU251" s="1206"/>
      <c r="HIV251" s="1206"/>
      <c r="HIW251" s="1206"/>
      <c r="HIX251" s="1206"/>
      <c r="HIY251" s="1206"/>
      <c r="HIZ251" s="1206"/>
      <c r="HJA251" s="1206"/>
      <c r="HJB251" s="1206"/>
      <c r="HJC251" s="1206"/>
      <c r="HJD251" s="1207"/>
      <c r="HJE251" s="1206"/>
      <c r="HJF251" s="1206"/>
      <c r="HJG251" s="1206"/>
      <c r="HJH251" s="1206"/>
      <c r="HJI251" s="1206"/>
      <c r="HJJ251" s="1206"/>
      <c r="HJK251" s="1206"/>
      <c r="HJL251" s="1206"/>
      <c r="HJM251" s="1206"/>
      <c r="HJN251" s="1206"/>
      <c r="HJO251" s="1206"/>
      <c r="HJP251" s="1206"/>
      <c r="HJQ251" s="1206"/>
      <c r="HJR251" s="1206"/>
      <c r="HJS251" s="1206"/>
      <c r="HJT251" s="1206"/>
      <c r="HJU251" s="1207"/>
      <c r="HJV251" s="1206"/>
      <c r="HJW251" s="1206"/>
      <c r="HJX251" s="1206"/>
      <c r="HJY251" s="1206"/>
      <c r="HJZ251" s="1206"/>
      <c r="HKA251" s="1206"/>
      <c r="HKB251" s="1206"/>
      <c r="HKC251" s="1206"/>
      <c r="HKD251" s="1206"/>
      <c r="HKE251" s="1206"/>
      <c r="HKF251" s="1206"/>
      <c r="HKG251" s="1206"/>
      <c r="HKH251" s="1206"/>
      <c r="HKI251" s="1206"/>
      <c r="HKJ251" s="1206"/>
      <c r="HKK251" s="1206"/>
      <c r="HKL251" s="1207"/>
      <c r="HKM251" s="1206"/>
      <c r="HKN251" s="1206"/>
      <c r="HKO251" s="1206"/>
      <c r="HKP251" s="1206"/>
      <c r="HKQ251" s="1206"/>
      <c r="HKR251" s="1206"/>
      <c r="HKS251" s="1206"/>
      <c r="HKT251" s="1206"/>
      <c r="HKU251" s="1206"/>
      <c r="HKV251" s="1206"/>
      <c r="HKW251" s="1206"/>
      <c r="HKX251" s="1206"/>
      <c r="HKY251" s="1206"/>
      <c r="HKZ251" s="1206"/>
      <c r="HLA251" s="1206"/>
      <c r="HLB251" s="1206"/>
      <c r="HLC251" s="1207"/>
      <c r="HLD251" s="1206"/>
      <c r="HLE251" s="1206"/>
      <c r="HLF251" s="1206"/>
      <c r="HLG251" s="1206"/>
      <c r="HLH251" s="1206"/>
      <c r="HLI251" s="1206"/>
      <c r="HLJ251" s="1206"/>
      <c r="HLK251" s="1206"/>
      <c r="HLL251" s="1206"/>
      <c r="HLM251" s="1206"/>
      <c r="HLN251" s="1206"/>
      <c r="HLO251" s="1206"/>
      <c r="HLP251" s="1206"/>
      <c r="HLQ251" s="1206"/>
      <c r="HLR251" s="1206"/>
      <c r="HLS251" s="1206"/>
      <c r="HLT251" s="1207"/>
      <c r="HLU251" s="1206"/>
      <c r="HLV251" s="1206"/>
      <c r="HLW251" s="1206"/>
      <c r="HLX251" s="1206"/>
      <c r="HLY251" s="1206"/>
      <c r="HLZ251" s="1206"/>
      <c r="HMA251" s="1206"/>
      <c r="HMB251" s="1206"/>
      <c r="HMC251" s="1206"/>
      <c r="HMD251" s="1206"/>
      <c r="HME251" s="1206"/>
      <c r="HMF251" s="1206"/>
      <c r="HMG251" s="1206"/>
      <c r="HMH251" s="1206"/>
      <c r="HMI251" s="1206"/>
      <c r="HMJ251" s="1206"/>
      <c r="HMK251" s="1207"/>
      <c r="HML251" s="1206"/>
      <c r="HMM251" s="1206"/>
      <c r="HMN251" s="1206"/>
      <c r="HMO251" s="1206"/>
      <c r="HMP251" s="1206"/>
      <c r="HMQ251" s="1206"/>
      <c r="HMR251" s="1206"/>
      <c r="HMS251" s="1206"/>
      <c r="HMT251" s="1206"/>
      <c r="HMU251" s="1206"/>
      <c r="HMV251" s="1206"/>
      <c r="HMW251" s="1206"/>
      <c r="HMX251" s="1206"/>
      <c r="HMY251" s="1206"/>
      <c r="HMZ251" s="1206"/>
      <c r="HNA251" s="1206"/>
      <c r="HNB251" s="1207"/>
      <c r="HNC251" s="1206"/>
      <c r="HND251" s="1206"/>
      <c r="HNE251" s="1206"/>
      <c r="HNF251" s="1206"/>
      <c r="HNG251" s="1206"/>
      <c r="HNH251" s="1206"/>
      <c r="HNI251" s="1206"/>
      <c r="HNJ251" s="1206"/>
      <c r="HNK251" s="1206"/>
      <c r="HNL251" s="1206"/>
      <c r="HNM251" s="1206"/>
      <c r="HNN251" s="1206"/>
      <c r="HNO251" s="1206"/>
      <c r="HNP251" s="1206"/>
      <c r="HNQ251" s="1206"/>
      <c r="HNR251" s="1206"/>
      <c r="HNS251" s="1207"/>
      <c r="HNT251" s="1206"/>
      <c r="HNU251" s="1206"/>
      <c r="HNV251" s="1206"/>
      <c r="HNW251" s="1206"/>
      <c r="HNX251" s="1206"/>
      <c r="HNY251" s="1206"/>
      <c r="HNZ251" s="1206"/>
      <c r="HOA251" s="1206"/>
      <c r="HOB251" s="1206"/>
      <c r="HOC251" s="1206"/>
      <c r="HOD251" s="1206"/>
      <c r="HOE251" s="1206"/>
      <c r="HOF251" s="1206"/>
      <c r="HOG251" s="1206"/>
      <c r="HOH251" s="1206"/>
      <c r="HOI251" s="1206"/>
      <c r="HOJ251" s="1207"/>
      <c r="HOK251" s="1206"/>
      <c r="HOL251" s="1206"/>
      <c r="HOM251" s="1206"/>
      <c r="HON251" s="1206"/>
      <c r="HOO251" s="1206"/>
      <c r="HOP251" s="1206"/>
      <c r="HOQ251" s="1206"/>
      <c r="HOR251" s="1206"/>
      <c r="HOS251" s="1206"/>
      <c r="HOT251" s="1206"/>
      <c r="HOU251" s="1206"/>
      <c r="HOV251" s="1206"/>
      <c r="HOW251" s="1206"/>
      <c r="HOX251" s="1206"/>
      <c r="HOY251" s="1206"/>
      <c r="HOZ251" s="1206"/>
      <c r="HPA251" s="1207"/>
      <c r="HPB251" s="1206"/>
      <c r="HPC251" s="1206"/>
      <c r="HPD251" s="1206"/>
      <c r="HPE251" s="1206"/>
      <c r="HPF251" s="1206"/>
      <c r="HPG251" s="1206"/>
      <c r="HPH251" s="1206"/>
      <c r="HPI251" s="1206"/>
      <c r="HPJ251" s="1206"/>
      <c r="HPK251" s="1206"/>
      <c r="HPL251" s="1206"/>
      <c r="HPM251" s="1206"/>
      <c r="HPN251" s="1206"/>
      <c r="HPO251" s="1206"/>
      <c r="HPP251" s="1206"/>
      <c r="HPQ251" s="1206"/>
      <c r="HPR251" s="1207"/>
      <c r="HPS251" s="1206"/>
      <c r="HPT251" s="1206"/>
      <c r="HPU251" s="1206"/>
      <c r="HPV251" s="1206"/>
      <c r="HPW251" s="1206"/>
      <c r="HPX251" s="1206"/>
      <c r="HPY251" s="1206"/>
      <c r="HPZ251" s="1206"/>
      <c r="HQA251" s="1206"/>
      <c r="HQB251" s="1206"/>
      <c r="HQC251" s="1206"/>
      <c r="HQD251" s="1206"/>
      <c r="HQE251" s="1206"/>
      <c r="HQF251" s="1206"/>
      <c r="HQG251" s="1206"/>
      <c r="HQH251" s="1206"/>
      <c r="HQI251" s="1207"/>
      <c r="HQJ251" s="1206"/>
      <c r="HQK251" s="1206"/>
      <c r="HQL251" s="1206"/>
      <c r="HQM251" s="1206"/>
      <c r="HQN251" s="1206"/>
      <c r="HQO251" s="1206"/>
      <c r="HQP251" s="1206"/>
      <c r="HQQ251" s="1206"/>
      <c r="HQR251" s="1206"/>
      <c r="HQS251" s="1206"/>
      <c r="HQT251" s="1206"/>
      <c r="HQU251" s="1206"/>
      <c r="HQV251" s="1206"/>
      <c r="HQW251" s="1206"/>
      <c r="HQX251" s="1206"/>
      <c r="HQY251" s="1206"/>
      <c r="HQZ251" s="1207"/>
      <c r="HRA251" s="1206"/>
      <c r="HRB251" s="1206"/>
      <c r="HRC251" s="1206"/>
      <c r="HRD251" s="1206"/>
      <c r="HRE251" s="1206"/>
      <c r="HRF251" s="1206"/>
      <c r="HRG251" s="1206"/>
      <c r="HRH251" s="1206"/>
      <c r="HRI251" s="1206"/>
      <c r="HRJ251" s="1206"/>
      <c r="HRK251" s="1206"/>
      <c r="HRL251" s="1206"/>
      <c r="HRM251" s="1206"/>
      <c r="HRN251" s="1206"/>
      <c r="HRO251" s="1206"/>
      <c r="HRP251" s="1206"/>
      <c r="HRQ251" s="1207"/>
      <c r="HRR251" s="1206"/>
      <c r="HRS251" s="1206"/>
      <c r="HRT251" s="1206"/>
      <c r="HRU251" s="1206"/>
      <c r="HRV251" s="1206"/>
      <c r="HRW251" s="1206"/>
      <c r="HRX251" s="1206"/>
      <c r="HRY251" s="1206"/>
      <c r="HRZ251" s="1206"/>
      <c r="HSA251" s="1206"/>
      <c r="HSB251" s="1206"/>
      <c r="HSC251" s="1206"/>
      <c r="HSD251" s="1206"/>
      <c r="HSE251" s="1206"/>
      <c r="HSF251" s="1206"/>
      <c r="HSG251" s="1206"/>
      <c r="HSH251" s="1207"/>
      <c r="HSI251" s="1206"/>
      <c r="HSJ251" s="1206"/>
      <c r="HSK251" s="1206"/>
      <c r="HSL251" s="1206"/>
      <c r="HSM251" s="1206"/>
      <c r="HSN251" s="1206"/>
      <c r="HSO251" s="1206"/>
      <c r="HSP251" s="1206"/>
      <c r="HSQ251" s="1206"/>
      <c r="HSR251" s="1206"/>
      <c r="HSS251" s="1206"/>
      <c r="HST251" s="1206"/>
      <c r="HSU251" s="1206"/>
      <c r="HSV251" s="1206"/>
      <c r="HSW251" s="1206"/>
      <c r="HSX251" s="1206"/>
      <c r="HSY251" s="1207"/>
      <c r="HSZ251" s="1206"/>
      <c r="HTA251" s="1206"/>
      <c r="HTB251" s="1206"/>
      <c r="HTC251" s="1206"/>
      <c r="HTD251" s="1206"/>
      <c r="HTE251" s="1206"/>
      <c r="HTF251" s="1206"/>
      <c r="HTG251" s="1206"/>
      <c r="HTH251" s="1206"/>
      <c r="HTI251" s="1206"/>
      <c r="HTJ251" s="1206"/>
      <c r="HTK251" s="1206"/>
      <c r="HTL251" s="1206"/>
      <c r="HTM251" s="1206"/>
      <c r="HTN251" s="1206"/>
      <c r="HTO251" s="1206"/>
      <c r="HTP251" s="1207"/>
      <c r="HTQ251" s="1206"/>
      <c r="HTR251" s="1206"/>
      <c r="HTS251" s="1206"/>
      <c r="HTT251" s="1206"/>
      <c r="HTU251" s="1206"/>
      <c r="HTV251" s="1206"/>
      <c r="HTW251" s="1206"/>
      <c r="HTX251" s="1206"/>
      <c r="HTY251" s="1206"/>
      <c r="HTZ251" s="1206"/>
      <c r="HUA251" s="1206"/>
      <c r="HUB251" s="1206"/>
      <c r="HUC251" s="1206"/>
      <c r="HUD251" s="1206"/>
      <c r="HUE251" s="1206"/>
      <c r="HUF251" s="1206"/>
      <c r="HUG251" s="1207"/>
      <c r="HUH251" s="1206"/>
      <c r="HUI251" s="1206"/>
      <c r="HUJ251" s="1206"/>
      <c r="HUK251" s="1206"/>
      <c r="HUL251" s="1206"/>
      <c r="HUM251" s="1206"/>
      <c r="HUN251" s="1206"/>
      <c r="HUO251" s="1206"/>
      <c r="HUP251" s="1206"/>
      <c r="HUQ251" s="1206"/>
      <c r="HUR251" s="1206"/>
      <c r="HUS251" s="1206"/>
      <c r="HUT251" s="1206"/>
      <c r="HUU251" s="1206"/>
      <c r="HUV251" s="1206"/>
      <c r="HUW251" s="1206"/>
      <c r="HUX251" s="1207"/>
      <c r="HUY251" s="1206"/>
      <c r="HUZ251" s="1206"/>
      <c r="HVA251" s="1206"/>
      <c r="HVB251" s="1206"/>
      <c r="HVC251" s="1206"/>
      <c r="HVD251" s="1206"/>
      <c r="HVE251" s="1206"/>
      <c r="HVF251" s="1206"/>
      <c r="HVG251" s="1206"/>
      <c r="HVH251" s="1206"/>
      <c r="HVI251" s="1206"/>
      <c r="HVJ251" s="1206"/>
      <c r="HVK251" s="1206"/>
      <c r="HVL251" s="1206"/>
      <c r="HVM251" s="1206"/>
      <c r="HVN251" s="1206"/>
      <c r="HVO251" s="1207"/>
      <c r="HVP251" s="1206"/>
      <c r="HVQ251" s="1206"/>
      <c r="HVR251" s="1206"/>
      <c r="HVS251" s="1206"/>
      <c r="HVT251" s="1206"/>
      <c r="HVU251" s="1206"/>
      <c r="HVV251" s="1206"/>
      <c r="HVW251" s="1206"/>
      <c r="HVX251" s="1206"/>
      <c r="HVY251" s="1206"/>
      <c r="HVZ251" s="1206"/>
      <c r="HWA251" s="1206"/>
      <c r="HWB251" s="1206"/>
      <c r="HWC251" s="1206"/>
      <c r="HWD251" s="1206"/>
      <c r="HWE251" s="1206"/>
      <c r="HWF251" s="1207"/>
      <c r="HWG251" s="1206"/>
      <c r="HWH251" s="1206"/>
      <c r="HWI251" s="1206"/>
      <c r="HWJ251" s="1206"/>
      <c r="HWK251" s="1206"/>
      <c r="HWL251" s="1206"/>
      <c r="HWM251" s="1206"/>
      <c r="HWN251" s="1206"/>
      <c r="HWO251" s="1206"/>
      <c r="HWP251" s="1206"/>
      <c r="HWQ251" s="1206"/>
      <c r="HWR251" s="1206"/>
      <c r="HWS251" s="1206"/>
      <c r="HWT251" s="1206"/>
      <c r="HWU251" s="1206"/>
      <c r="HWV251" s="1206"/>
      <c r="HWW251" s="1207"/>
      <c r="HWX251" s="1206"/>
      <c r="HWY251" s="1206"/>
      <c r="HWZ251" s="1206"/>
      <c r="HXA251" s="1206"/>
      <c r="HXB251" s="1206"/>
      <c r="HXC251" s="1206"/>
      <c r="HXD251" s="1206"/>
      <c r="HXE251" s="1206"/>
      <c r="HXF251" s="1206"/>
      <c r="HXG251" s="1206"/>
      <c r="HXH251" s="1206"/>
      <c r="HXI251" s="1206"/>
      <c r="HXJ251" s="1206"/>
      <c r="HXK251" s="1206"/>
      <c r="HXL251" s="1206"/>
      <c r="HXM251" s="1206"/>
      <c r="HXN251" s="1207"/>
      <c r="HXO251" s="1206"/>
      <c r="HXP251" s="1206"/>
      <c r="HXQ251" s="1206"/>
      <c r="HXR251" s="1206"/>
      <c r="HXS251" s="1206"/>
      <c r="HXT251" s="1206"/>
      <c r="HXU251" s="1206"/>
      <c r="HXV251" s="1206"/>
      <c r="HXW251" s="1206"/>
      <c r="HXX251" s="1206"/>
      <c r="HXY251" s="1206"/>
      <c r="HXZ251" s="1206"/>
      <c r="HYA251" s="1206"/>
      <c r="HYB251" s="1206"/>
      <c r="HYC251" s="1206"/>
      <c r="HYD251" s="1206"/>
      <c r="HYE251" s="1207"/>
      <c r="HYF251" s="1206"/>
      <c r="HYG251" s="1206"/>
      <c r="HYH251" s="1206"/>
      <c r="HYI251" s="1206"/>
      <c r="HYJ251" s="1206"/>
      <c r="HYK251" s="1206"/>
      <c r="HYL251" s="1206"/>
      <c r="HYM251" s="1206"/>
      <c r="HYN251" s="1206"/>
      <c r="HYO251" s="1206"/>
      <c r="HYP251" s="1206"/>
      <c r="HYQ251" s="1206"/>
      <c r="HYR251" s="1206"/>
      <c r="HYS251" s="1206"/>
      <c r="HYT251" s="1206"/>
      <c r="HYU251" s="1206"/>
      <c r="HYV251" s="1207"/>
      <c r="HYW251" s="1206"/>
      <c r="HYX251" s="1206"/>
      <c r="HYY251" s="1206"/>
      <c r="HYZ251" s="1206"/>
      <c r="HZA251" s="1206"/>
      <c r="HZB251" s="1206"/>
      <c r="HZC251" s="1206"/>
      <c r="HZD251" s="1206"/>
      <c r="HZE251" s="1206"/>
      <c r="HZF251" s="1206"/>
      <c r="HZG251" s="1206"/>
      <c r="HZH251" s="1206"/>
      <c r="HZI251" s="1206"/>
      <c r="HZJ251" s="1206"/>
      <c r="HZK251" s="1206"/>
      <c r="HZL251" s="1206"/>
      <c r="HZM251" s="1207"/>
      <c r="HZN251" s="1206"/>
      <c r="HZO251" s="1206"/>
      <c r="HZP251" s="1206"/>
      <c r="HZQ251" s="1206"/>
      <c r="HZR251" s="1206"/>
      <c r="HZS251" s="1206"/>
      <c r="HZT251" s="1206"/>
      <c r="HZU251" s="1206"/>
      <c r="HZV251" s="1206"/>
      <c r="HZW251" s="1206"/>
      <c r="HZX251" s="1206"/>
      <c r="HZY251" s="1206"/>
      <c r="HZZ251" s="1206"/>
      <c r="IAA251" s="1206"/>
      <c r="IAB251" s="1206"/>
      <c r="IAC251" s="1206"/>
      <c r="IAD251" s="1207"/>
      <c r="IAE251" s="1206"/>
      <c r="IAF251" s="1206"/>
      <c r="IAG251" s="1206"/>
      <c r="IAH251" s="1206"/>
      <c r="IAI251" s="1206"/>
      <c r="IAJ251" s="1206"/>
      <c r="IAK251" s="1206"/>
      <c r="IAL251" s="1206"/>
      <c r="IAM251" s="1206"/>
      <c r="IAN251" s="1206"/>
      <c r="IAO251" s="1206"/>
      <c r="IAP251" s="1206"/>
      <c r="IAQ251" s="1206"/>
      <c r="IAR251" s="1206"/>
      <c r="IAS251" s="1206"/>
      <c r="IAT251" s="1206"/>
      <c r="IAU251" s="1207"/>
      <c r="IAV251" s="1206"/>
      <c r="IAW251" s="1206"/>
      <c r="IAX251" s="1206"/>
      <c r="IAY251" s="1206"/>
      <c r="IAZ251" s="1206"/>
      <c r="IBA251" s="1206"/>
      <c r="IBB251" s="1206"/>
      <c r="IBC251" s="1206"/>
      <c r="IBD251" s="1206"/>
      <c r="IBE251" s="1206"/>
      <c r="IBF251" s="1206"/>
      <c r="IBG251" s="1206"/>
      <c r="IBH251" s="1206"/>
      <c r="IBI251" s="1206"/>
      <c r="IBJ251" s="1206"/>
      <c r="IBK251" s="1206"/>
      <c r="IBL251" s="1207"/>
      <c r="IBM251" s="1206"/>
      <c r="IBN251" s="1206"/>
      <c r="IBO251" s="1206"/>
      <c r="IBP251" s="1206"/>
      <c r="IBQ251" s="1206"/>
      <c r="IBR251" s="1206"/>
      <c r="IBS251" s="1206"/>
      <c r="IBT251" s="1206"/>
      <c r="IBU251" s="1206"/>
      <c r="IBV251" s="1206"/>
      <c r="IBW251" s="1206"/>
      <c r="IBX251" s="1206"/>
      <c r="IBY251" s="1206"/>
      <c r="IBZ251" s="1206"/>
      <c r="ICA251" s="1206"/>
      <c r="ICB251" s="1206"/>
      <c r="ICC251" s="1207"/>
      <c r="ICD251" s="1206"/>
      <c r="ICE251" s="1206"/>
      <c r="ICF251" s="1206"/>
      <c r="ICG251" s="1206"/>
      <c r="ICH251" s="1206"/>
      <c r="ICI251" s="1206"/>
      <c r="ICJ251" s="1206"/>
      <c r="ICK251" s="1206"/>
      <c r="ICL251" s="1206"/>
      <c r="ICM251" s="1206"/>
      <c r="ICN251" s="1206"/>
      <c r="ICO251" s="1206"/>
      <c r="ICP251" s="1206"/>
      <c r="ICQ251" s="1206"/>
      <c r="ICR251" s="1206"/>
      <c r="ICS251" s="1206"/>
      <c r="ICT251" s="1207"/>
      <c r="ICU251" s="1206"/>
      <c r="ICV251" s="1206"/>
      <c r="ICW251" s="1206"/>
      <c r="ICX251" s="1206"/>
      <c r="ICY251" s="1206"/>
      <c r="ICZ251" s="1206"/>
      <c r="IDA251" s="1206"/>
      <c r="IDB251" s="1206"/>
      <c r="IDC251" s="1206"/>
      <c r="IDD251" s="1206"/>
      <c r="IDE251" s="1206"/>
      <c r="IDF251" s="1206"/>
      <c r="IDG251" s="1206"/>
      <c r="IDH251" s="1206"/>
      <c r="IDI251" s="1206"/>
      <c r="IDJ251" s="1206"/>
      <c r="IDK251" s="1207"/>
      <c r="IDL251" s="1206"/>
      <c r="IDM251" s="1206"/>
      <c r="IDN251" s="1206"/>
      <c r="IDO251" s="1206"/>
      <c r="IDP251" s="1206"/>
      <c r="IDQ251" s="1206"/>
      <c r="IDR251" s="1206"/>
      <c r="IDS251" s="1206"/>
      <c r="IDT251" s="1206"/>
      <c r="IDU251" s="1206"/>
      <c r="IDV251" s="1206"/>
      <c r="IDW251" s="1206"/>
      <c r="IDX251" s="1206"/>
      <c r="IDY251" s="1206"/>
      <c r="IDZ251" s="1206"/>
      <c r="IEA251" s="1206"/>
      <c r="IEB251" s="1207"/>
      <c r="IEC251" s="1206"/>
      <c r="IED251" s="1206"/>
      <c r="IEE251" s="1206"/>
      <c r="IEF251" s="1206"/>
      <c r="IEG251" s="1206"/>
      <c r="IEH251" s="1206"/>
      <c r="IEI251" s="1206"/>
      <c r="IEJ251" s="1206"/>
      <c r="IEK251" s="1206"/>
      <c r="IEL251" s="1206"/>
      <c r="IEM251" s="1206"/>
      <c r="IEN251" s="1206"/>
      <c r="IEO251" s="1206"/>
      <c r="IEP251" s="1206"/>
      <c r="IEQ251" s="1206"/>
      <c r="IER251" s="1206"/>
      <c r="IES251" s="1207"/>
      <c r="IET251" s="1206"/>
      <c r="IEU251" s="1206"/>
      <c r="IEV251" s="1206"/>
      <c r="IEW251" s="1206"/>
      <c r="IEX251" s="1206"/>
      <c r="IEY251" s="1206"/>
      <c r="IEZ251" s="1206"/>
      <c r="IFA251" s="1206"/>
      <c r="IFB251" s="1206"/>
      <c r="IFC251" s="1206"/>
      <c r="IFD251" s="1206"/>
      <c r="IFE251" s="1206"/>
      <c r="IFF251" s="1206"/>
      <c r="IFG251" s="1206"/>
      <c r="IFH251" s="1206"/>
      <c r="IFI251" s="1206"/>
      <c r="IFJ251" s="1207"/>
      <c r="IFK251" s="1206"/>
      <c r="IFL251" s="1206"/>
      <c r="IFM251" s="1206"/>
      <c r="IFN251" s="1206"/>
      <c r="IFO251" s="1206"/>
      <c r="IFP251" s="1206"/>
      <c r="IFQ251" s="1206"/>
      <c r="IFR251" s="1206"/>
      <c r="IFS251" s="1206"/>
      <c r="IFT251" s="1206"/>
      <c r="IFU251" s="1206"/>
      <c r="IFV251" s="1206"/>
      <c r="IFW251" s="1206"/>
      <c r="IFX251" s="1206"/>
      <c r="IFY251" s="1206"/>
      <c r="IFZ251" s="1206"/>
      <c r="IGA251" s="1207"/>
      <c r="IGB251" s="1206"/>
      <c r="IGC251" s="1206"/>
      <c r="IGD251" s="1206"/>
      <c r="IGE251" s="1206"/>
      <c r="IGF251" s="1206"/>
      <c r="IGG251" s="1206"/>
      <c r="IGH251" s="1206"/>
      <c r="IGI251" s="1206"/>
      <c r="IGJ251" s="1206"/>
      <c r="IGK251" s="1206"/>
      <c r="IGL251" s="1206"/>
      <c r="IGM251" s="1206"/>
      <c r="IGN251" s="1206"/>
      <c r="IGO251" s="1206"/>
      <c r="IGP251" s="1206"/>
      <c r="IGQ251" s="1206"/>
      <c r="IGR251" s="1207"/>
      <c r="IGS251" s="1206"/>
      <c r="IGT251" s="1206"/>
      <c r="IGU251" s="1206"/>
      <c r="IGV251" s="1206"/>
      <c r="IGW251" s="1206"/>
      <c r="IGX251" s="1206"/>
      <c r="IGY251" s="1206"/>
      <c r="IGZ251" s="1206"/>
      <c r="IHA251" s="1206"/>
      <c r="IHB251" s="1206"/>
      <c r="IHC251" s="1206"/>
      <c r="IHD251" s="1206"/>
      <c r="IHE251" s="1206"/>
      <c r="IHF251" s="1206"/>
      <c r="IHG251" s="1206"/>
      <c r="IHH251" s="1206"/>
      <c r="IHI251" s="1207"/>
      <c r="IHJ251" s="1206"/>
      <c r="IHK251" s="1206"/>
      <c r="IHL251" s="1206"/>
      <c r="IHM251" s="1206"/>
      <c r="IHN251" s="1206"/>
      <c r="IHO251" s="1206"/>
      <c r="IHP251" s="1206"/>
      <c r="IHQ251" s="1206"/>
      <c r="IHR251" s="1206"/>
      <c r="IHS251" s="1206"/>
      <c r="IHT251" s="1206"/>
      <c r="IHU251" s="1206"/>
      <c r="IHV251" s="1206"/>
      <c r="IHW251" s="1206"/>
      <c r="IHX251" s="1206"/>
      <c r="IHY251" s="1206"/>
      <c r="IHZ251" s="1207"/>
      <c r="IIA251" s="1206"/>
      <c r="IIB251" s="1206"/>
      <c r="IIC251" s="1206"/>
      <c r="IID251" s="1206"/>
      <c r="IIE251" s="1206"/>
      <c r="IIF251" s="1206"/>
      <c r="IIG251" s="1206"/>
      <c r="IIH251" s="1206"/>
      <c r="III251" s="1206"/>
      <c r="IIJ251" s="1206"/>
      <c r="IIK251" s="1206"/>
      <c r="IIL251" s="1206"/>
      <c r="IIM251" s="1206"/>
      <c r="IIN251" s="1206"/>
      <c r="IIO251" s="1206"/>
      <c r="IIP251" s="1206"/>
      <c r="IIQ251" s="1207"/>
      <c r="IIR251" s="1206"/>
      <c r="IIS251" s="1206"/>
      <c r="IIT251" s="1206"/>
      <c r="IIU251" s="1206"/>
      <c r="IIV251" s="1206"/>
      <c r="IIW251" s="1206"/>
      <c r="IIX251" s="1206"/>
      <c r="IIY251" s="1206"/>
      <c r="IIZ251" s="1206"/>
      <c r="IJA251" s="1206"/>
      <c r="IJB251" s="1206"/>
      <c r="IJC251" s="1206"/>
      <c r="IJD251" s="1206"/>
      <c r="IJE251" s="1206"/>
      <c r="IJF251" s="1206"/>
      <c r="IJG251" s="1206"/>
      <c r="IJH251" s="1207"/>
      <c r="IJI251" s="1206"/>
      <c r="IJJ251" s="1206"/>
      <c r="IJK251" s="1206"/>
      <c r="IJL251" s="1206"/>
      <c r="IJM251" s="1206"/>
      <c r="IJN251" s="1206"/>
      <c r="IJO251" s="1206"/>
      <c r="IJP251" s="1206"/>
      <c r="IJQ251" s="1206"/>
      <c r="IJR251" s="1206"/>
      <c r="IJS251" s="1206"/>
      <c r="IJT251" s="1206"/>
      <c r="IJU251" s="1206"/>
      <c r="IJV251" s="1206"/>
      <c r="IJW251" s="1206"/>
      <c r="IJX251" s="1206"/>
      <c r="IJY251" s="1207"/>
      <c r="IJZ251" s="1206"/>
      <c r="IKA251" s="1206"/>
      <c r="IKB251" s="1206"/>
      <c r="IKC251" s="1206"/>
      <c r="IKD251" s="1206"/>
      <c r="IKE251" s="1206"/>
      <c r="IKF251" s="1206"/>
      <c r="IKG251" s="1206"/>
      <c r="IKH251" s="1206"/>
      <c r="IKI251" s="1206"/>
      <c r="IKJ251" s="1206"/>
      <c r="IKK251" s="1206"/>
      <c r="IKL251" s="1206"/>
      <c r="IKM251" s="1206"/>
      <c r="IKN251" s="1206"/>
      <c r="IKO251" s="1206"/>
      <c r="IKP251" s="1207"/>
      <c r="IKQ251" s="1206"/>
      <c r="IKR251" s="1206"/>
      <c r="IKS251" s="1206"/>
      <c r="IKT251" s="1206"/>
      <c r="IKU251" s="1206"/>
      <c r="IKV251" s="1206"/>
      <c r="IKW251" s="1206"/>
      <c r="IKX251" s="1206"/>
      <c r="IKY251" s="1206"/>
      <c r="IKZ251" s="1206"/>
      <c r="ILA251" s="1206"/>
      <c r="ILB251" s="1206"/>
      <c r="ILC251" s="1206"/>
      <c r="ILD251" s="1206"/>
      <c r="ILE251" s="1206"/>
      <c r="ILF251" s="1206"/>
      <c r="ILG251" s="1207"/>
      <c r="ILH251" s="1206"/>
      <c r="ILI251" s="1206"/>
      <c r="ILJ251" s="1206"/>
      <c r="ILK251" s="1206"/>
      <c r="ILL251" s="1206"/>
      <c r="ILM251" s="1206"/>
      <c r="ILN251" s="1206"/>
      <c r="ILO251" s="1206"/>
      <c r="ILP251" s="1206"/>
      <c r="ILQ251" s="1206"/>
      <c r="ILR251" s="1206"/>
      <c r="ILS251" s="1206"/>
      <c r="ILT251" s="1206"/>
      <c r="ILU251" s="1206"/>
      <c r="ILV251" s="1206"/>
      <c r="ILW251" s="1206"/>
      <c r="ILX251" s="1207"/>
      <c r="ILY251" s="1206"/>
      <c r="ILZ251" s="1206"/>
      <c r="IMA251" s="1206"/>
      <c r="IMB251" s="1206"/>
      <c r="IMC251" s="1206"/>
      <c r="IMD251" s="1206"/>
      <c r="IME251" s="1206"/>
      <c r="IMF251" s="1206"/>
      <c r="IMG251" s="1206"/>
      <c r="IMH251" s="1206"/>
      <c r="IMI251" s="1206"/>
      <c r="IMJ251" s="1206"/>
      <c r="IMK251" s="1206"/>
      <c r="IML251" s="1206"/>
      <c r="IMM251" s="1206"/>
      <c r="IMN251" s="1206"/>
      <c r="IMO251" s="1207"/>
      <c r="IMP251" s="1206"/>
      <c r="IMQ251" s="1206"/>
      <c r="IMR251" s="1206"/>
      <c r="IMS251" s="1206"/>
      <c r="IMT251" s="1206"/>
      <c r="IMU251" s="1206"/>
      <c r="IMV251" s="1206"/>
      <c r="IMW251" s="1206"/>
      <c r="IMX251" s="1206"/>
      <c r="IMY251" s="1206"/>
      <c r="IMZ251" s="1206"/>
      <c r="INA251" s="1206"/>
      <c r="INB251" s="1206"/>
      <c r="INC251" s="1206"/>
      <c r="IND251" s="1206"/>
      <c r="INE251" s="1206"/>
      <c r="INF251" s="1207"/>
      <c r="ING251" s="1206"/>
      <c r="INH251" s="1206"/>
      <c r="INI251" s="1206"/>
      <c r="INJ251" s="1206"/>
      <c r="INK251" s="1206"/>
      <c r="INL251" s="1206"/>
      <c r="INM251" s="1206"/>
      <c r="INN251" s="1206"/>
      <c r="INO251" s="1206"/>
      <c r="INP251" s="1206"/>
      <c r="INQ251" s="1206"/>
      <c r="INR251" s="1206"/>
      <c r="INS251" s="1206"/>
      <c r="INT251" s="1206"/>
      <c r="INU251" s="1206"/>
      <c r="INV251" s="1206"/>
      <c r="INW251" s="1207"/>
      <c r="INX251" s="1206"/>
      <c r="INY251" s="1206"/>
      <c r="INZ251" s="1206"/>
      <c r="IOA251" s="1206"/>
      <c r="IOB251" s="1206"/>
      <c r="IOC251" s="1206"/>
      <c r="IOD251" s="1206"/>
      <c r="IOE251" s="1206"/>
      <c r="IOF251" s="1206"/>
      <c r="IOG251" s="1206"/>
      <c r="IOH251" s="1206"/>
      <c r="IOI251" s="1206"/>
      <c r="IOJ251" s="1206"/>
      <c r="IOK251" s="1206"/>
      <c r="IOL251" s="1206"/>
      <c r="IOM251" s="1206"/>
      <c r="ION251" s="1207"/>
      <c r="IOO251" s="1206"/>
      <c r="IOP251" s="1206"/>
      <c r="IOQ251" s="1206"/>
      <c r="IOR251" s="1206"/>
      <c r="IOS251" s="1206"/>
      <c r="IOT251" s="1206"/>
      <c r="IOU251" s="1206"/>
      <c r="IOV251" s="1206"/>
      <c r="IOW251" s="1206"/>
      <c r="IOX251" s="1206"/>
      <c r="IOY251" s="1206"/>
      <c r="IOZ251" s="1206"/>
      <c r="IPA251" s="1206"/>
      <c r="IPB251" s="1206"/>
      <c r="IPC251" s="1206"/>
      <c r="IPD251" s="1206"/>
      <c r="IPE251" s="1207"/>
      <c r="IPF251" s="1206"/>
      <c r="IPG251" s="1206"/>
      <c r="IPH251" s="1206"/>
      <c r="IPI251" s="1206"/>
      <c r="IPJ251" s="1206"/>
      <c r="IPK251" s="1206"/>
      <c r="IPL251" s="1206"/>
      <c r="IPM251" s="1206"/>
      <c r="IPN251" s="1206"/>
      <c r="IPO251" s="1206"/>
      <c r="IPP251" s="1206"/>
      <c r="IPQ251" s="1206"/>
      <c r="IPR251" s="1206"/>
      <c r="IPS251" s="1206"/>
      <c r="IPT251" s="1206"/>
      <c r="IPU251" s="1206"/>
      <c r="IPV251" s="1207"/>
      <c r="IPW251" s="1206"/>
      <c r="IPX251" s="1206"/>
      <c r="IPY251" s="1206"/>
      <c r="IPZ251" s="1206"/>
      <c r="IQA251" s="1206"/>
      <c r="IQB251" s="1206"/>
      <c r="IQC251" s="1206"/>
      <c r="IQD251" s="1206"/>
      <c r="IQE251" s="1206"/>
      <c r="IQF251" s="1206"/>
      <c r="IQG251" s="1206"/>
      <c r="IQH251" s="1206"/>
      <c r="IQI251" s="1206"/>
      <c r="IQJ251" s="1206"/>
      <c r="IQK251" s="1206"/>
      <c r="IQL251" s="1206"/>
      <c r="IQM251" s="1207"/>
      <c r="IQN251" s="1206"/>
      <c r="IQO251" s="1206"/>
      <c r="IQP251" s="1206"/>
      <c r="IQQ251" s="1206"/>
      <c r="IQR251" s="1206"/>
      <c r="IQS251" s="1206"/>
      <c r="IQT251" s="1206"/>
      <c r="IQU251" s="1206"/>
      <c r="IQV251" s="1206"/>
      <c r="IQW251" s="1206"/>
      <c r="IQX251" s="1206"/>
      <c r="IQY251" s="1206"/>
      <c r="IQZ251" s="1206"/>
      <c r="IRA251" s="1206"/>
      <c r="IRB251" s="1206"/>
      <c r="IRC251" s="1206"/>
      <c r="IRD251" s="1207"/>
      <c r="IRE251" s="1206"/>
      <c r="IRF251" s="1206"/>
      <c r="IRG251" s="1206"/>
      <c r="IRH251" s="1206"/>
      <c r="IRI251" s="1206"/>
      <c r="IRJ251" s="1206"/>
      <c r="IRK251" s="1206"/>
      <c r="IRL251" s="1206"/>
      <c r="IRM251" s="1206"/>
      <c r="IRN251" s="1206"/>
      <c r="IRO251" s="1206"/>
      <c r="IRP251" s="1206"/>
      <c r="IRQ251" s="1206"/>
      <c r="IRR251" s="1206"/>
      <c r="IRS251" s="1206"/>
      <c r="IRT251" s="1206"/>
      <c r="IRU251" s="1207"/>
      <c r="IRV251" s="1206"/>
      <c r="IRW251" s="1206"/>
      <c r="IRX251" s="1206"/>
      <c r="IRY251" s="1206"/>
      <c r="IRZ251" s="1206"/>
      <c r="ISA251" s="1206"/>
      <c r="ISB251" s="1206"/>
      <c r="ISC251" s="1206"/>
      <c r="ISD251" s="1206"/>
      <c r="ISE251" s="1206"/>
      <c r="ISF251" s="1206"/>
      <c r="ISG251" s="1206"/>
      <c r="ISH251" s="1206"/>
      <c r="ISI251" s="1206"/>
      <c r="ISJ251" s="1206"/>
      <c r="ISK251" s="1206"/>
      <c r="ISL251" s="1207"/>
      <c r="ISM251" s="1206"/>
      <c r="ISN251" s="1206"/>
      <c r="ISO251" s="1206"/>
      <c r="ISP251" s="1206"/>
      <c r="ISQ251" s="1206"/>
      <c r="ISR251" s="1206"/>
      <c r="ISS251" s="1206"/>
      <c r="IST251" s="1206"/>
      <c r="ISU251" s="1206"/>
      <c r="ISV251" s="1206"/>
      <c r="ISW251" s="1206"/>
      <c r="ISX251" s="1206"/>
      <c r="ISY251" s="1206"/>
      <c r="ISZ251" s="1206"/>
      <c r="ITA251" s="1206"/>
      <c r="ITB251" s="1206"/>
      <c r="ITC251" s="1207"/>
      <c r="ITD251" s="1206"/>
      <c r="ITE251" s="1206"/>
      <c r="ITF251" s="1206"/>
      <c r="ITG251" s="1206"/>
      <c r="ITH251" s="1206"/>
      <c r="ITI251" s="1206"/>
      <c r="ITJ251" s="1206"/>
      <c r="ITK251" s="1206"/>
      <c r="ITL251" s="1206"/>
      <c r="ITM251" s="1206"/>
      <c r="ITN251" s="1206"/>
      <c r="ITO251" s="1206"/>
      <c r="ITP251" s="1206"/>
      <c r="ITQ251" s="1206"/>
      <c r="ITR251" s="1206"/>
      <c r="ITS251" s="1206"/>
      <c r="ITT251" s="1207"/>
      <c r="ITU251" s="1206"/>
      <c r="ITV251" s="1206"/>
      <c r="ITW251" s="1206"/>
      <c r="ITX251" s="1206"/>
      <c r="ITY251" s="1206"/>
      <c r="ITZ251" s="1206"/>
      <c r="IUA251" s="1206"/>
      <c r="IUB251" s="1206"/>
      <c r="IUC251" s="1206"/>
      <c r="IUD251" s="1206"/>
      <c r="IUE251" s="1206"/>
      <c r="IUF251" s="1206"/>
      <c r="IUG251" s="1206"/>
      <c r="IUH251" s="1206"/>
      <c r="IUI251" s="1206"/>
      <c r="IUJ251" s="1206"/>
      <c r="IUK251" s="1207"/>
      <c r="IUL251" s="1206"/>
      <c r="IUM251" s="1206"/>
      <c r="IUN251" s="1206"/>
      <c r="IUO251" s="1206"/>
      <c r="IUP251" s="1206"/>
      <c r="IUQ251" s="1206"/>
      <c r="IUR251" s="1206"/>
      <c r="IUS251" s="1206"/>
      <c r="IUT251" s="1206"/>
      <c r="IUU251" s="1206"/>
      <c r="IUV251" s="1206"/>
      <c r="IUW251" s="1206"/>
      <c r="IUX251" s="1206"/>
      <c r="IUY251" s="1206"/>
      <c r="IUZ251" s="1206"/>
      <c r="IVA251" s="1206"/>
      <c r="IVB251" s="1207"/>
      <c r="IVC251" s="1206"/>
      <c r="IVD251" s="1206"/>
      <c r="IVE251" s="1206"/>
      <c r="IVF251" s="1206"/>
      <c r="IVG251" s="1206"/>
      <c r="IVH251" s="1206"/>
      <c r="IVI251" s="1206"/>
      <c r="IVJ251" s="1206"/>
      <c r="IVK251" s="1206"/>
      <c r="IVL251" s="1206"/>
      <c r="IVM251" s="1206"/>
      <c r="IVN251" s="1206"/>
      <c r="IVO251" s="1206"/>
      <c r="IVP251" s="1206"/>
      <c r="IVQ251" s="1206"/>
      <c r="IVR251" s="1206"/>
      <c r="IVS251" s="1207"/>
      <c r="IVT251" s="1206"/>
      <c r="IVU251" s="1206"/>
      <c r="IVV251" s="1206"/>
      <c r="IVW251" s="1206"/>
      <c r="IVX251" s="1206"/>
      <c r="IVY251" s="1206"/>
      <c r="IVZ251" s="1206"/>
      <c r="IWA251" s="1206"/>
      <c r="IWB251" s="1206"/>
      <c r="IWC251" s="1206"/>
      <c r="IWD251" s="1206"/>
      <c r="IWE251" s="1206"/>
      <c r="IWF251" s="1206"/>
      <c r="IWG251" s="1206"/>
      <c r="IWH251" s="1206"/>
      <c r="IWI251" s="1206"/>
      <c r="IWJ251" s="1207"/>
      <c r="IWK251" s="1206"/>
      <c r="IWL251" s="1206"/>
      <c r="IWM251" s="1206"/>
      <c r="IWN251" s="1206"/>
      <c r="IWO251" s="1206"/>
      <c r="IWP251" s="1206"/>
      <c r="IWQ251" s="1206"/>
      <c r="IWR251" s="1206"/>
      <c r="IWS251" s="1206"/>
      <c r="IWT251" s="1206"/>
      <c r="IWU251" s="1206"/>
      <c r="IWV251" s="1206"/>
      <c r="IWW251" s="1206"/>
      <c r="IWX251" s="1206"/>
      <c r="IWY251" s="1206"/>
      <c r="IWZ251" s="1206"/>
      <c r="IXA251" s="1207"/>
      <c r="IXB251" s="1206"/>
      <c r="IXC251" s="1206"/>
      <c r="IXD251" s="1206"/>
      <c r="IXE251" s="1206"/>
      <c r="IXF251" s="1206"/>
      <c r="IXG251" s="1206"/>
      <c r="IXH251" s="1206"/>
      <c r="IXI251" s="1206"/>
      <c r="IXJ251" s="1206"/>
      <c r="IXK251" s="1206"/>
      <c r="IXL251" s="1206"/>
      <c r="IXM251" s="1206"/>
      <c r="IXN251" s="1206"/>
      <c r="IXO251" s="1206"/>
      <c r="IXP251" s="1206"/>
      <c r="IXQ251" s="1206"/>
      <c r="IXR251" s="1207"/>
      <c r="IXS251" s="1206"/>
      <c r="IXT251" s="1206"/>
      <c r="IXU251" s="1206"/>
      <c r="IXV251" s="1206"/>
      <c r="IXW251" s="1206"/>
      <c r="IXX251" s="1206"/>
      <c r="IXY251" s="1206"/>
      <c r="IXZ251" s="1206"/>
      <c r="IYA251" s="1206"/>
      <c r="IYB251" s="1206"/>
      <c r="IYC251" s="1206"/>
      <c r="IYD251" s="1206"/>
      <c r="IYE251" s="1206"/>
      <c r="IYF251" s="1206"/>
      <c r="IYG251" s="1206"/>
      <c r="IYH251" s="1206"/>
      <c r="IYI251" s="1207"/>
      <c r="IYJ251" s="1206"/>
      <c r="IYK251" s="1206"/>
      <c r="IYL251" s="1206"/>
      <c r="IYM251" s="1206"/>
      <c r="IYN251" s="1206"/>
      <c r="IYO251" s="1206"/>
      <c r="IYP251" s="1206"/>
      <c r="IYQ251" s="1206"/>
      <c r="IYR251" s="1206"/>
      <c r="IYS251" s="1206"/>
      <c r="IYT251" s="1206"/>
      <c r="IYU251" s="1206"/>
      <c r="IYV251" s="1206"/>
      <c r="IYW251" s="1206"/>
      <c r="IYX251" s="1206"/>
      <c r="IYY251" s="1206"/>
      <c r="IYZ251" s="1207"/>
      <c r="IZA251" s="1206"/>
      <c r="IZB251" s="1206"/>
      <c r="IZC251" s="1206"/>
      <c r="IZD251" s="1206"/>
      <c r="IZE251" s="1206"/>
      <c r="IZF251" s="1206"/>
      <c r="IZG251" s="1206"/>
      <c r="IZH251" s="1206"/>
      <c r="IZI251" s="1206"/>
      <c r="IZJ251" s="1206"/>
      <c r="IZK251" s="1206"/>
      <c r="IZL251" s="1206"/>
      <c r="IZM251" s="1206"/>
      <c r="IZN251" s="1206"/>
      <c r="IZO251" s="1206"/>
      <c r="IZP251" s="1206"/>
      <c r="IZQ251" s="1207"/>
      <c r="IZR251" s="1206"/>
      <c r="IZS251" s="1206"/>
      <c r="IZT251" s="1206"/>
      <c r="IZU251" s="1206"/>
      <c r="IZV251" s="1206"/>
      <c r="IZW251" s="1206"/>
      <c r="IZX251" s="1206"/>
      <c r="IZY251" s="1206"/>
      <c r="IZZ251" s="1206"/>
      <c r="JAA251" s="1206"/>
      <c r="JAB251" s="1206"/>
      <c r="JAC251" s="1206"/>
      <c r="JAD251" s="1206"/>
      <c r="JAE251" s="1206"/>
      <c r="JAF251" s="1206"/>
      <c r="JAG251" s="1206"/>
      <c r="JAH251" s="1207"/>
      <c r="JAI251" s="1206"/>
      <c r="JAJ251" s="1206"/>
      <c r="JAK251" s="1206"/>
      <c r="JAL251" s="1206"/>
      <c r="JAM251" s="1206"/>
      <c r="JAN251" s="1206"/>
      <c r="JAO251" s="1206"/>
      <c r="JAP251" s="1206"/>
      <c r="JAQ251" s="1206"/>
      <c r="JAR251" s="1206"/>
      <c r="JAS251" s="1206"/>
      <c r="JAT251" s="1206"/>
      <c r="JAU251" s="1206"/>
      <c r="JAV251" s="1206"/>
      <c r="JAW251" s="1206"/>
      <c r="JAX251" s="1206"/>
      <c r="JAY251" s="1207"/>
      <c r="JAZ251" s="1206"/>
      <c r="JBA251" s="1206"/>
      <c r="JBB251" s="1206"/>
      <c r="JBC251" s="1206"/>
      <c r="JBD251" s="1206"/>
      <c r="JBE251" s="1206"/>
      <c r="JBF251" s="1206"/>
      <c r="JBG251" s="1206"/>
      <c r="JBH251" s="1206"/>
      <c r="JBI251" s="1206"/>
      <c r="JBJ251" s="1206"/>
      <c r="JBK251" s="1206"/>
      <c r="JBL251" s="1206"/>
      <c r="JBM251" s="1206"/>
      <c r="JBN251" s="1206"/>
      <c r="JBO251" s="1206"/>
      <c r="JBP251" s="1207"/>
      <c r="JBQ251" s="1206"/>
      <c r="JBR251" s="1206"/>
      <c r="JBS251" s="1206"/>
      <c r="JBT251" s="1206"/>
      <c r="JBU251" s="1206"/>
      <c r="JBV251" s="1206"/>
      <c r="JBW251" s="1206"/>
      <c r="JBX251" s="1206"/>
      <c r="JBY251" s="1206"/>
      <c r="JBZ251" s="1206"/>
      <c r="JCA251" s="1206"/>
      <c r="JCB251" s="1206"/>
      <c r="JCC251" s="1206"/>
      <c r="JCD251" s="1206"/>
      <c r="JCE251" s="1206"/>
      <c r="JCF251" s="1206"/>
      <c r="JCG251" s="1207"/>
      <c r="JCH251" s="1206"/>
      <c r="JCI251" s="1206"/>
      <c r="JCJ251" s="1206"/>
      <c r="JCK251" s="1206"/>
      <c r="JCL251" s="1206"/>
      <c r="JCM251" s="1206"/>
      <c r="JCN251" s="1206"/>
      <c r="JCO251" s="1206"/>
      <c r="JCP251" s="1206"/>
      <c r="JCQ251" s="1206"/>
      <c r="JCR251" s="1206"/>
      <c r="JCS251" s="1206"/>
      <c r="JCT251" s="1206"/>
      <c r="JCU251" s="1206"/>
      <c r="JCV251" s="1206"/>
      <c r="JCW251" s="1206"/>
      <c r="JCX251" s="1207"/>
      <c r="JCY251" s="1206"/>
      <c r="JCZ251" s="1206"/>
      <c r="JDA251" s="1206"/>
      <c r="JDB251" s="1206"/>
      <c r="JDC251" s="1206"/>
      <c r="JDD251" s="1206"/>
      <c r="JDE251" s="1206"/>
      <c r="JDF251" s="1206"/>
      <c r="JDG251" s="1206"/>
      <c r="JDH251" s="1206"/>
      <c r="JDI251" s="1206"/>
      <c r="JDJ251" s="1206"/>
      <c r="JDK251" s="1206"/>
      <c r="JDL251" s="1206"/>
      <c r="JDM251" s="1206"/>
      <c r="JDN251" s="1206"/>
      <c r="JDO251" s="1207"/>
      <c r="JDP251" s="1206"/>
      <c r="JDQ251" s="1206"/>
      <c r="JDR251" s="1206"/>
      <c r="JDS251" s="1206"/>
      <c r="JDT251" s="1206"/>
      <c r="JDU251" s="1206"/>
      <c r="JDV251" s="1206"/>
      <c r="JDW251" s="1206"/>
      <c r="JDX251" s="1206"/>
      <c r="JDY251" s="1206"/>
      <c r="JDZ251" s="1206"/>
      <c r="JEA251" s="1206"/>
      <c r="JEB251" s="1206"/>
      <c r="JEC251" s="1206"/>
      <c r="JED251" s="1206"/>
      <c r="JEE251" s="1206"/>
      <c r="JEF251" s="1207"/>
      <c r="JEG251" s="1206"/>
      <c r="JEH251" s="1206"/>
      <c r="JEI251" s="1206"/>
      <c r="JEJ251" s="1206"/>
      <c r="JEK251" s="1206"/>
      <c r="JEL251" s="1206"/>
      <c r="JEM251" s="1206"/>
      <c r="JEN251" s="1206"/>
      <c r="JEO251" s="1206"/>
      <c r="JEP251" s="1206"/>
      <c r="JEQ251" s="1206"/>
      <c r="JER251" s="1206"/>
      <c r="JES251" s="1206"/>
      <c r="JET251" s="1206"/>
      <c r="JEU251" s="1206"/>
      <c r="JEV251" s="1206"/>
      <c r="JEW251" s="1207"/>
      <c r="JEX251" s="1206"/>
      <c r="JEY251" s="1206"/>
      <c r="JEZ251" s="1206"/>
      <c r="JFA251" s="1206"/>
      <c r="JFB251" s="1206"/>
      <c r="JFC251" s="1206"/>
      <c r="JFD251" s="1206"/>
      <c r="JFE251" s="1206"/>
      <c r="JFF251" s="1206"/>
      <c r="JFG251" s="1206"/>
      <c r="JFH251" s="1206"/>
      <c r="JFI251" s="1206"/>
      <c r="JFJ251" s="1206"/>
      <c r="JFK251" s="1206"/>
      <c r="JFL251" s="1206"/>
      <c r="JFM251" s="1206"/>
      <c r="JFN251" s="1207"/>
      <c r="JFO251" s="1206"/>
      <c r="JFP251" s="1206"/>
      <c r="JFQ251" s="1206"/>
      <c r="JFR251" s="1206"/>
      <c r="JFS251" s="1206"/>
      <c r="JFT251" s="1206"/>
      <c r="JFU251" s="1206"/>
      <c r="JFV251" s="1206"/>
      <c r="JFW251" s="1206"/>
      <c r="JFX251" s="1206"/>
      <c r="JFY251" s="1206"/>
      <c r="JFZ251" s="1206"/>
      <c r="JGA251" s="1206"/>
      <c r="JGB251" s="1206"/>
      <c r="JGC251" s="1206"/>
      <c r="JGD251" s="1206"/>
      <c r="JGE251" s="1207"/>
      <c r="JGF251" s="1206"/>
      <c r="JGG251" s="1206"/>
      <c r="JGH251" s="1206"/>
      <c r="JGI251" s="1206"/>
      <c r="JGJ251" s="1206"/>
      <c r="JGK251" s="1206"/>
      <c r="JGL251" s="1206"/>
      <c r="JGM251" s="1206"/>
      <c r="JGN251" s="1206"/>
      <c r="JGO251" s="1206"/>
      <c r="JGP251" s="1206"/>
      <c r="JGQ251" s="1206"/>
      <c r="JGR251" s="1206"/>
      <c r="JGS251" s="1206"/>
      <c r="JGT251" s="1206"/>
      <c r="JGU251" s="1206"/>
      <c r="JGV251" s="1207"/>
      <c r="JGW251" s="1206"/>
      <c r="JGX251" s="1206"/>
      <c r="JGY251" s="1206"/>
      <c r="JGZ251" s="1206"/>
      <c r="JHA251" s="1206"/>
      <c r="JHB251" s="1206"/>
      <c r="JHC251" s="1206"/>
      <c r="JHD251" s="1206"/>
      <c r="JHE251" s="1206"/>
      <c r="JHF251" s="1206"/>
      <c r="JHG251" s="1206"/>
      <c r="JHH251" s="1206"/>
      <c r="JHI251" s="1206"/>
      <c r="JHJ251" s="1206"/>
      <c r="JHK251" s="1206"/>
      <c r="JHL251" s="1206"/>
      <c r="JHM251" s="1207"/>
      <c r="JHN251" s="1206"/>
      <c r="JHO251" s="1206"/>
      <c r="JHP251" s="1206"/>
      <c r="JHQ251" s="1206"/>
      <c r="JHR251" s="1206"/>
      <c r="JHS251" s="1206"/>
      <c r="JHT251" s="1206"/>
      <c r="JHU251" s="1206"/>
      <c r="JHV251" s="1206"/>
      <c r="JHW251" s="1206"/>
      <c r="JHX251" s="1206"/>
      <c r="JHY251" s="1206"/>
      <c r="JHZ251" s="1206"/>
      <c r="JIA251" s="1206"/>
      <c r="JIB251" s="1206"/>
      <c r="JIC251" s="1206"/>
      <c r="JID251" s="1207"/>
      <c r="JIE251" s="1206"/>
      <c r="JIF251" s="1206"/>
      <c r="JIG251" s="1206"/>
      <c r="JIH251" s="1206"/>
      <c r="JII251" s="1206"/>
      <c r="JIJ251" s="1206"/>
      <c r="JIK251" s="1206"/>
      <c r="JIL251" s="1206"/>
      <c r="JIM251" s="1206"/>
      <c r="JIN251" s="1206"/>
      <c r="JIO251" s="1206"/>
      <c r="JIP251" s="1206"/>
      <c r="JIQ251" s="1206"/>
      <c r="JIR251" s="1206"/>
      <c r="JIS251" s="1206"/>
      <c r="JIT251" s="1206"/>
      <c r="JIU251" s="1207"/>
      <c r="JIV251" s="1206"/>
      <c r="JIW251" s="1206"/>
      <c r="JIX251" s="1206"/>
      <c r="JIY251" s="1206"/>
      <c r="JIZ251" s="1206"/>
      <c r="JJA251" s="1206"/>
      <c r="JJB251" s="1206"/>
      <c r="JJC251" s="1206"/>
      <c r="JJD251" s="1206"/>
      <c r="JJE251" s="1206"/>
      <c r="JJF251" s="1206"/>
      <c r="JJG251" s="1206"/>
      <c r="JJH251" s="1206"/>
      <c r="JJI251" s="1206"/>
      <c r="JJJ251" s="1206"/>
      <c r="JJK251" s="1206"/>
      <c r="JJL251" s="1207"/>
      <c r="JJM251" s="1206"/>
      <c r="JJN251" s="1206"/>
      <c r="JJO251" s="1206"/>
      <c r="JJP251" s="1206"/>
      <c r="JJQ251" s="1206"/>
      <c r="JJR251" s="1206"/>
      <c r="JJS251" s="1206"/>
      <c r="JJT251" s="1206"/>
      <c r="JJU251" s="1206"/>
      <c r="JJV251" s="1206"/>
      <c r="JJW251" s="1206"/>
      <c r="JJX251" s="1206"/>
      <c r="JJY251" s="1206"/>
      <c r="JJZ251" s="1206"/>
      <c r="JKA251" s="1206"/>
      <c r="JKB251" s="1206"/>
      <c r="JKC251" s="1207"/>
      <c r="JKD251" s="1206"/>
      <c r="JKE251" s="1206"/>
      <c r="JKF251" s="1206"/>
      <c r="JKG251" s="1206"/>
      <c r="JKH251" s="1206"/>
      <c r="JKI251" s="1206"/>
      <c r="JKJ251" s="1206"/>
      <c r="JKK251" s="1206"/>
      <c r="JKL251" s="1206"/>
      <c r="JKM251" s="1206"/>
      <c r="JKN251" s="1206"/>
      <c r="JKO251" s="1206"/>
      <c r="JKP251" s="1206"/>
      <c r="JKQ251" s="1206"/>
      <c r="JKR251" s="1206"/>
      <c r="JKS251" s="1206"/>
      <c r="JKT251" s="1207"/>
      <c r="JKU251" s="1206"/>
      <c r="JKV251" s="1206"/>
      <c r="JKW251" s="1206"/>
      <c r="JKX251" s="1206"/>
      <c r="JKY251" s="1206"/>
      <c r="JKZ251" s="1206"/>
      <c r="JLA251" s="1206"/>
      <c r="JLB251" s="1206"/>
      <c r="JLC251" s="1206"/>
      <c r="JLD251" s="1206"/>
      <c r="JLE251" s="1206"/>
      <c r="JLF251" s="1206"/>
      <c r="JLG251" s="1206"/>
      <c r="JLH251" s="1206"/>
      <c r="JLI251" s="1206"/>
      <c r="JLJ251" s="1206"/>
      <c r="JLK251" s="1207"/>
      <c r="JLL251" s="1206"/>
      <c r="JLM251" s="1206"/>
      <c r="JLN251" s="1206"/>
      <c r="JLO251" s="1206"/>
      <c r="JLP251" s="1206"/>
      <c r="JLQ251" s="1206"/>
      <c r="JLR251" s="1206"/>
      <c r="JLS251" s="1206"/>
      <c r="JLT251" s="1206"/>
      <c r="JLU251" s="1206"/>
      <c r="JLV251" s="1206"/>
      <c r="JLW251" s="1206"/>
      <c r="JLX251" s="1206"/>
      <c r="JLY251" s="1206"/>
      <c r="JLZ251" s="1206"/>
      <c r="JMA251" s="1206"/>
      <c r="JMB251" s="1207"/>
      <c r="JMC251" s="1206"/>
      <c r="JMD251" s="1206"/>
      <c r="JME251" s="1206"/>
      <c r="JMF251" s="1206"/>
      <c r="JMG251" s="1206"/>
      <c r="JMH251" s="1206"/>
      <c r="JMI251" s="1206"/>
      <c r="JMJ251" s="1206"/>
      <c r="JMK251" s="1206"/>
      <c r="JML251" s="1206"/>
      <c r="JMM251" s="1206"/>
      <c r="JMN251" s="1206"/>
      <c r="JMO251" s="1206"/>
      <c r="JMP251" s="1206"/>
      <c r="JMQ251" s="1206"/>
      <c r="JMR251" s="1206"/>
      <c r="JMS251" s="1207"/>
      <c r="JMT251" s="1206"/>
      <c r="JMU251" s="1206"/>
      <c r="JMV251" s="1206"/>
      <c r="JMW251" s="1206"/>
      <c r="JMX251" s="1206"/>
      <c r="JMY251" s="1206"/>
      <c r="JMZ251" s="1206"/>
      <c r="JNA251" s="1206"/>
      <c r="JNB251" s="1206"/>
      <c r="JNC251" s="1206"/>
      <c r="JND251" s="1206"/>
      <c r="JNE251" s="1206"/>
      <c r="JNF251" s="1206"/>
      <c r="JNG251" s="1206"/>
      <c r="JNH251" s="1206"/>
      <c r="JNI251" s="1206"/>
      <c r="JNJ251" s="1207"/>
      <c r="JNK251" s="1206"/>
      <c r="JNL251" s="1206"/>
      <c r="JNM251" s="1206"/>
      <c r="JNN251" s="1206"/>
      <c r="JNO251" s="1206"/>
      <c r="JNP251" s="1206"/>
      <c r="JNQ251" s="1206"/>
      <c r="JNR251" s="1206"/>
      <c r="JNS251" s="1206"/>
      <c r="JNT251" s="1206"/>
      <c r="JNU251" s="1206"/>
      <c r="JNV251" s="1206"/>
      <c r="JNW251" s="1206"/>
      <c r="JNX251" s="1206"/>
      <c r="JNY251" s="1206"/>
      <c r="JNZ251" s="1206"/>
      <c r="JOA251" s="1207"/>
      <c r="JOB251" s="1206"/>
      <c r="JOC251" s="1206"/>
      <c r="JOD251" s="1206"/>
      <c r="JOE251" s="1206"/>
      <c r="JOF251" s="1206"/>
      <c r="JOG251" s="1206"/>
      <c r="JOH251" s="1206"/>
      <c r="JOI251" s="1206"/>
      <c r="JOJ251" s="1206"/>
      <c r="JOK251" s="1206"/>
      <c r="JOL251" s="1206"/>
      <c r="JOM251" s="1206"/>
      <c r="JON251" s="1206"/>
      <c r="JOO251" s="1206"/>
      <c r="JOP251" s="1206"/>
      <c r="JOQ251" s="1206"/>
      <c r="JOR251" s="1207"/>
      <c r="JOS251" s="1206"/>
      <c r="JOT251" s="1206"/>
      <c r="JOU251" s="1206"/>
      <c r="JOV251" s="1206"/>
      <c r="JOW251" s="1206"/>
      <c r="JOX251" s="1206"/>
      <c r="JOY251" s="1206"/>
      <c r="JOZ251" s="1206"/>
      <c r="JPA251" s="1206"/>
      <c r="JPB251" s="1206"/>
      <c r="JPC251" s="1206"/>
      <c r="JPD251" s="1206"/>
      <c r="JPE251" s="1206"/>
      <c r="JPF251" s="1206"/>
      <c r="JPG251" s="1206"/>
      <c r="JPH251" s="1206"/>
      <c r="JPI251" s="1207"/>
      <c r="JPJ251" s="1206"/>
      <c r="JPK251" s="1206"/>
      <c r="JPL251" s="1206"/>
      <c r="JPM251" s="1206"/>
      <c r="JPN251" s="1206"/>
      <c r="JPO251" s="1206"/>
      <c r="JPP251" s="1206"/>
      <c r="JPQ251" s="1206"/>
      <c r="JPR251" s="1206"/>
      <c r="JPS251" s="1206"/>
      <c r="JPT251" s="1206"/>
      <c r="JPU251" s="1206"/>
      <c r="JPV251" s="1206"/>
      <c r="JPW251" s="1206"/>
      <c r="JPX251" s="1206"/>
      <c r="JPY251" s="1206"/>
      <c r="JPZ251" s="1207"/>
      <c r="JQA251" s="1206"/>
      <c r="JQB251" s="1206"/>
      <c r="JQC251" s="1206"/>
      <c r="JQD251" s="1206"/>
      <c r="JQE251" s="1206"/>
      <c r="JQF251" s="1206"/>
      <c r="JQG251" s="1206"/>
      <c r="JQH251" s="1206"/>
      <c r="JQI251" s="1206"/>
      <c r="JQJ251" s="1206"/>
      <c r="JQK251" s="1206"/>
      <c r="JQL251" s="1206"/>
      <c r="JQM251" s="1206"/>
      <c r="JQN251" s="1206"/>
      <c r="JQO251" s="1206"/>
      <c r="JQP251" s="1206"/>
      <c r="JQQ251" s="1207"/>
      <c r="JQR251" s="1206"/>
      <c r="JQS251" s="1206"/>
      <c r="JQT251" s="1206"/>
      <c r="JQU251" s="1206"/>
      <c r="JQV251" s="1206"/>
      <c r="JQW251" s="1206"/>
      <c r="JQX251" s="1206"/>
      <c r="JQY251" s="1206"/>
      <c r="JQZ251" s="1206"/>
      <c r="JRA251" s="1206"/>
      <c r="JRB251" s="1206"/>
      <c r="JRC251" s="1206"/>
      <c r="JRD251" s="1206"/>
      <c r="JRE251" s="1206"/>
      <c r="JRF251" s="1206"/>
      <c r="JRG251" s="1206"/>
      <c r="JRH251" s="1207"/>
      <c r="JRI251" s="1206"/>
      <c r="JRJ251" s="1206"/>
      <c r="JRK251" s="1206"/>
      <c r="JRL251" s="1206"/>
      <c r="JRM251" s="1206"/>
      <c r="JRN251" s="1206"/>
      <c r="JRO251" s="1206"/>
      <c r="JRP251" s="1206"/>
      <c r="JRQ251" s="1206"/>
      <c r="JRR251" s="1206"/>
      <c r="JRS251" s="1206"/>
      <c r="JRT251" s="1206"/>
      <c r="JRU251" s="1206"/>
      <c r="JRV251" s="1206"/>
      <c r="JRW251" s="1206"/>
      <c r="JRX251" s="1206"/>
      <c r="JRY251" s="1207"/>
      <c r="JRZ251" s="1206"/>
      <c r="JSA251" s="1206"/>
      <c r="JSB251" s="1206"/>
      <c r="JSC251" s="1206"/>
      <c r="JSD251" s="1206"/>
      <c r="JSE251" s="1206"/>
      <c r="JSF251" s="1206"/>
      <c r="JSG251" s="1206"/>
      <c r="JSH251" s="1206"/>
      <c r="JSI251" s="1206"/>
      <c r="JSJ251" s="1206"/>
      <c r="JSK251" s="1206"/>
      <c r="JSL251" s="1206"/>
      <c r="JSM251" s="1206"/>
      <c r="JSN251" s="1206"/>
      <c r="JSO251" s="1206"/>
      <c r="JSP251" s="1207"/>
      <c r="JSQ251" s="1206"/>
      <c r="JSR251" s="1206"/>
      <c r="JSS251" s="1206"/>
      <c r="JST251" s="1206"/>
      <c r="JSU251" s="1206"/>
      <c r="JSV251" s="1206"/>
      <c r="JSW251" s="1206"/>
      <c r="JSX251" s="1206"/>
      <c r="JSY251" s="1206"/>
      <c r="JSZ251" s="1206"/>
      <c r="JTA251" s="1206"/>
      <c r="JTB251" s="1206"/>
      <c r="JTC251" s="1206"/>
      <c r="JTD251" s="1206"/>
      <c r="JTE251" s="1206"/>
      <c r="JTF251" s="1206"/>
      <c r="JTG251" s="1207"/>
      <c r="JTH251" s="1206"/>
      <c r="JTI251" s="1206"/>
      <c r="JTJ251" s="1206"/>
      <c r="JTK251" s="1206"/>
      <c r="JTL251" s="1206"/>
      <c r="JTM251" s="1206"/>
      <c r="JTN251" s="1206"/>
      <c r="JTO251" s="1206"/>
      <c r="JTP251" s="1206"/>
      <c r="JTQ251" s="1206"/>
      <c r="JTR251" s="1206"/>
      <c r="JTS251" s="1206"/>
      <c r="JTT251" s="1206"/>
      <c r="JTU251" s="1206"/>
      <c r="JTV251" s="1206"/>
      <c r="JTW251" s="1206"/>
      <c r="JTX251" s="1207"/>
      <c r="JTY251" s="1206"/>
      <c r="JTZ251" s="1206"/>
      <c r="JUA251" s="1206"/>
      <c r="JUB251" s="1206"/>
      <c r="JUC251" s="1206"/>
      <c r="JUD251" s="1206"/>
      <c r="JUE251" s="1206"/>
      <c r="JUF251" s="1206"/>
      <c r="JUG251" s="1206"/>
      <c r="JUH251" s="1206"/>
      <c r="JUI251" s="1206"/>
      <c r="JUJ251" s="1206"/>
      <c r="JUK251" s="1206"/>
      <c r="JUL251" s="1206"/>
      <c r="JUM251" s="1206"/>
      <c r="JUN251" s="1206"/>
      <c r="JUO251" s="1207"/>
      <c r="JUP251" s="1206"/>
      <c r="JUQ251" s="1206"/>
      <c r="JUR251" s="1206"/>
      <c r="JUS251" s="1206"/>
      <c r="JUT251" s="1206"/>
      <c r="JUU251" s="1206"/>
      <c r="JUV251" s="1206"/>
      <c r="JUW251" s="1206"/>
      <c r="JUX251" s="1206"/>
      <c r="JUY251" s="1206"/>
      <c r="JUZ251" s="1206"/>
      <c r="JVA251" s="1206"/>
      <c r="JVB251" s="1206"/>
      <c r="JVC251" s="1206"/>
      <c r="JVD251" s="1206"/>
      <c r="JVE251" s="1206"/>
      <c r="JVF251" s="1207"/>
      <c r="JVG251" s="1206"/>
      <c r="JVH251" s="1206"/>
      <c r="JVI251" s="1206"/>
      <c r="JVJ251" s="1206"/>
      <c r="JVK251" s="1206"/>
      <c r="JVL251" s="1206"/>
      <c r="JVM251" s="1206"/>
      <c r="JVN251" s="1206"/>
      <c r="JVO251" s="1206"/>
      <c r="JVP251" s="1206"/>
      <c r="JVQ251" s="1206"/>
      <c r="JVR251" s="1206"/>
      <c r="JVS251" s="1206"/>
      <c r="JVT251" s="1206"/>
      <c r="JVU251" s="1206"/>
      <c r="JVV251" s="1206"/>
      <c r="JVW251" s="1207"/>
      <c r="JVX251" s="1206"/>
      <c r="JVY251" s="1206"/>
      <c r="JVZ251" s="1206"/>
      <c r="JWA251" s="1206"/>
      <c r="JWB251" s="1206"/>
      <c r="JWC251" s="1206"/>
      <c r="JWD251" s="1206"/>
      <c r="JWE251" s="1206"/>
      <c r="JWF251" s="1206"/>
      <c r="JWG251" s="1206"/>
      <c r="JWH251" s="1206"/>
      <c r="JWI251" s="1206"/>
      <c r="JWJ251" s="1206"/>
      <c r="JWK251" s="1206"/>
      <c r="JWL251" s="1206"/>
      <c r="JWM251" s="1206"/>
      <c r="JWN251" s="1207"/>
      <c r="JWO251" s="1206"/>
      <c r="JWP251" s="1206"/>
      <c r="JWQ251" s="1206"/>
      <c r="JWR251" s="1206"/>
      <c r="JWS251" s="1206"/>
      <c r="JWT251" s="1206"/>
      <c r="JWU251" s="1206"/>
      <c r="JWV251" s="1206"/>
      <c r="JWW251" s="1206"/>
      <c r="JWX251" s="1206"/>
      <c r="JWY251" s="1206"/>
      <c r="JWZ251" s="1206"/>
      <c r="JXA251" s="1206"/>
      <c r="JXB251" s="1206"/>
      <c r="JXC251" s="1206"/>
      <c r="JXD251" s="1206"/>
      <c r="JXE251" s="1207"/>
      <c r="JXF251" s="1206"/>
      <c r="JXG251" s="1206"/>
      <c r="JXH251" s="1206"/>
      <c r="JXI251" s="1206"/>
      <c r="JXJ251" s="1206"/>
      <c r="JXK251" s="1206"/>
      <c r="JXL251" s="1206"/>
      <c r="JXM251" s="1206"/>
      <c r="JXN251" s="1206"/>
      <c r="JXO251" s="1206"/>
      <c r="JXP251" s="1206"/>
      <c r="JXQ251" s="1206"/>
      <c r="JXR251" s="1206"/>
      <c r="JXS251" s="1206"/>
      <c r="JXT251" s="1206"/>
      <c r="JXU251" s="1206"/>
      <c r="JXV251" s="1207"/>
      <c r="JXW251" s="1206"/>
      <c r="JXX251" s="1206"/>
      <c r="JXY251" s="1206"/>
      <c r="JXZ251" s="1206"/>
      <c r="JYA251" s="1206"/>
      <c r="JYB251" s="1206"/>
      <c r="JYC251" s="1206"/>
      <c r="JYD251" s="1206"/>
      <c r="JYE251" s="1206"/>
      <c r="JYF251" s="1206"/>
      <c r="JYG251" s="1206"/>
      <c r="JYH251" s="1206"/>
      <c r="JYI251" s="1206"/>
      <c r="JYJ251" s="1206"/>
      <c r="JYK251" s="1206"/>
      <c r="JYL251" s="1206"/>
      <c r="JYM251" s="1207"/>
      <c r="JYN251" s="1206"/>
      <c r="JYO251" s="1206"/>
      <c r="JYP251" s="1206"/>
      <c r="JYQ251" s="1206"/>
      <c r="JYR251" s="1206"/>
      <c r="JYS251" s="1206"/>
      <c r="JYT251" s="1206"/>
      <c r="JYU251" s="1206"/>
      <c r="JYV251" s="1206"/>
      <c r="JYW251" s="1206"/>
      <c r="JYX251" s="1206"/>
      <c r="JYY251" s="1206"/>
      <c r="JYZ251" s="1206"/>
      <c r="JZA251" s="1206"/>
      <c r="JZB251" s="1206"/>
      <c r="JZC251" s="1206"/>
      <c r="JZD251" s="1207"/>
      <c r="JZE251" s="1206"/>
      <c r="JZF251" s="1206"/>
      <c r="JZG251" s="1206"/>
      <c r="JZH251" s="1206"/>
      <c r="JZI251" s="1206"/>
      <c r="JZJ251" s="1206"/>
      <c r="JZK251" s="1206"/>
      <c r="JZL251" s="1206"/>
      <c r="JZM251" s="1206"/>
      <c r="JZN251" s="1206"/>
      <c r="JZO251" s="1206"/>
      <c r="JZP251" s="1206"/>
      <c r="JZQ251" s="1206"/>
      <c r="JZR251" s="1206"/>
      <c r="JZS251" s="1206"/>
      <c r="JZT251" s="1206"/>
      <c r="JZU251" s="1207"/>
      <c r="JZV251" s="1206"/>
      <c r="JZW251" s="1206"/>
      <c r="JZX251" s="1206"/>
      <c r="JZY251" s="1206"/>
      <c r="JZZ251" s="1206"/>
      <c r="KAA251" s="1206"/>
      <c r="KAB251" s="1206"/>
      <c r="KAC251" s="1206"/>
      <c r="KAD251" s="1206"/>
      <c r="KAE251" s="1206"/>
      <c r="KAF251" s="1206"/>
      <c r="KAG251" s="1206"/>
      <c r="KAH251" s="1206"/>
      <c r="KAI251" s="1206"/>
      <c r="KAJ251" s="1206"/>
      <c r="KAK251" s="1206"/>
      <c r="KAL251" s="1207"/>
      <c r="KAM251" s="1206"/>
      <c r="KAN251" s="1206"/>
      <c r="KAO251" s="1206"/>
      <c r="KAP251" s="1206"/>
      <c r="KAQ251" s="1206"/>
      <c r="KAR251" s="1206"/>
      <c r="KAS251" s="1206"/>
      <c r="KAT251" s="1206"/>
      <c r="KAU251" s="1206"/>
      <c r="KAV251" s="1206"/>
      <c r="KAW251" s="1206"/>
      <c r="KAX251" s="1206"/>
      <c r="KAY251" s="1206"/>
      <c r="KAZ251" s="1206"/>
      <c r="KBA251" s="1206"/>
      <c r="KBB251" s="1206"/>
      <c r="KBC251" s="1207"/>
      <c r="KBD251" s="1206"/>
      <c r="KBE251" s="1206"/>
      <c r="KBF251" s="1206"/>
      <c r="KBG251" s="1206"/>
      <c r="KBH251" s="1206"/>
      <c r="KBI251" s="1206"/>
      <c r="KBJ251" s="1206"/>
      <c r="KBK251" s="1206"/>
      <c r="KBL251" s="1206"/>
      <c r="KBM251" s="1206"/>
      <c r="KBN251" s="1206"/>
      <c r="KBO251" s="1206"/>
      <c r="KBP251" s="1206"/>
      <c r="KBQ251" s="1206"/>
      <c r="KBR251" s="1206"/>
      <c r="KBS251" s="1206"/>
      <c r="KBT251" s="1207"/>
      <c r="KBU251" s="1206"/>
      <c r="KBV251" s="1206"/>
      <c r="KBW251" s="1206"/>
      <c r="KBX251" s="1206"/>
      <c r="KBY251" s="1206"/>
      <c r="KBZ251" s="1206"/>
      <c r="KCA251" s="1206"/>
      <c r="KCB251" s="1206"/>
      <c r="KCC251" s="1206"/>
      <c r="KCD251" s="1206"/>
      <c r="KCE251" s="1206"/>
      <c r="KCF251" s="1206"/>
      <c r="KCG251" s="1206"/>
      <c r="KCH251" s="1206"/>
      <c r="KCI251" s="1206"/>
      <c r="KCJ251" s="1206"/>
      <c r="KCK251" s="1207"/>
      <c r="KCL251" s="1206"/>
      <c r="KCM251" s="1206"/>
      <c r="KCN251" s="1206"/>
      <c r="KCO251" s="1206"/>
      <c r="KCP251" s="1206"/>
      <c r="KCQ251" s="1206"/>
      <c r="KCR251" s="1206"/>
      <c r="KCS251" s="1206"/>
      <c r="KCT251" s="1206"/>
      <c r="KCU251" s="1206"/>
      <c r="KCV251" s="1206"/>
      <c r="KCW251" s="1206"/>
      <c r="KCX251" s="1206"/>
      <c r="KCY251" s="1206"/>
      <c r="KCZ251" s="1206"/>
      <c r="KDA251" s="1206"/>
      <c r="KDB251" s="1207"/>
      <c r="KDC251" s="1206"/>
      <c r="KDD251" s="1206"/>
      <c r="KDE251" s="1206"/>
      <c r="KDF251" s="1206"/>
      <c r="KDG251" s="1206"/>
      <c r="KDH251" s="1206"/>
      <c r="KDI251" s="1206"/>
      <c r="KDJ251" s="1206"/>
      <c r="KDK251" s="1206"/>
      <c r="KDL251" s="1206"/>
      <c r="KDM251" s="1206"/>
      <c r="KDN251" s="1206"/>
      <c r="KDO251" s="1206"/>
      <c r="KDP251" s="1206"/>
      <c r="KDQ251" s="1206"/>
      <c r="KDR251" s="1206"/>
      <c r="KDS251" s="1207"/>
      <c r="KDT251" s="1206"/>
      <c r="KDU251" s="1206"/>
      <c r="KDV251" s="1206"/>
      <c r="KDW251" s="1206"/>
      <c r="KDX251" s="1206"/>
      <c r="KDY251" s="1206"/>
      <c r="KDZ251" s="1206"/>
      <c r="KEA251" s="1206"/>
      <c r="KEB251" s="1206"/>
      <c r="KEC251" s="1206"/>
      <c r="KED251" s="1206"/>
      <c r="KEE251" s="1206"/>
      <c r="KEF251" s="1206"/>
      <c r="KEG251" s="1206"/>
      <c r="KEH251" s="1206"/>
      <c r="KEI251" s="1206"/>
      <c r="KEJ251" s="1207"/>
      <c r="KEK251" s="1206"/>
      <c r="KEL251" s="1206"/>
      <c r="KEM251" s="1206"/>
      <c r="KEN251" s="1206"/>
      <c r="KEO251" s="1206"/>
      <c r="KEP251" s="1206"/>
      <c r="KEQ251" s="1206"/>
      <c r="KER251" s="1206"/>
      <c r="KES251" s="1206"/>
      <c r="KET251" s="1206"/>
      <c r="KEU251" s="1206"/>
      <c r="KEV251" s="1206"/>
      <c r="KEW251" s="1206"/>
      <c r="KEX251" s="1206"/>
      <c r="KEY251" s="1206"/>
      <c r="KEZ251" s="1206"/>
      <c r="KFA251" s="1207"/>
      <c r="KFB251" s="1206"/>
      <c r="KFC251" s="1206"/>
      <c r="KFD251" s="1206"/>
      <c r="KFE251" s="1206"/>
      <c r="KFF251" s="1206"/>
      <c r="KFG251" s="1206"/>
      <c r="KFH251" s="1206"/>
      <c r="KFI251" s="1206"/>
      <c r="KFJ251" s="1206"/>
      <c r="KFK251" s="1206"/>
      <c r="KFL251" s="1206"/>
      <c r="KFM251" s="1206"/>
      <c r="KFN251" s="1206"/>
      <c r="KFO251" s="1206"/>
      <c r="KFP251" s="1206"/>
      <c r="KFQ251" s="1206"/>
      <c r="KFR251" s="1207"/>
      <c r="KFS251" s="1206"/>
      <c r="KFT251" s="1206"/>
      <c r="KFU251" s="1206"/>
      <c r="KFV251" s="1206"/>
      <c r="KFW251" s="1206"/>
      <c r="KFX251" s="1206"/>
      <c r="KFY251" s="1206"/>
      <c r="KFZ251" s="1206"/>
      <c r="KGA251" s="1206"/>
      <c r="KGB251" s="1206"/>
      <c r="KGC251" s="1206"/>
      <c r="KGD251" s="1206"/>
      <c r="KGE251" s="1206"/>
      <c r="KGF251" s="1206"/>
      <c r="KGG251" s="1206"/>
      <c r="KGH251" s="1206"/>
      <c r="KGI251" s="1207"/>
      <c r="KGJ251" s="1206"/>
      <c r="KGK251" s="1206"/>
      <c r="KGL251" s="1206"/>
      <c r="KGM251" s="1206"/>
      <c r="KGN251" s="1206"/>
      <c r="KGO251" s="1206"/>
      <c r="KGP251" s="1206"/>
      <c r="KGQ251" s="1206"/>
      <c r="KGR251" s="1206"/>
      <c r="KGS251" s="1206"/>
      <c r="KGT251" s="1206"/>
      <c r="KGU251" s="1206"/>
      <c r="KGV251" s="1206"/>
      <c r="KGW251" s="1206"/>
      <c r="KGX251" s="1206"/>
      <c r="KGY251" s="1206"/>
      <c r="KGZ251" s="1207"/>
      <c r="KHA251" s="1206"/>
      <c r="KHB251" s="1206"/>
      <c r="KHC251" s="1206"/>
      <c r="KHD251" s="1206"/>
      <c r="KHE251" s="1206"/>
      <c r="KHF251" s="1206"/>
      <c r="KHG251" s="1206"/>
      <c r="KHH251" s="1206"/>
      <c r="KHI251" s="1206"/>
      <c r="KHJ251" s="1206"/>
      <c r="KHK251" s="1206"/>
      <c r="KHL251" s="1206"/>
      <c r="KHM251" s="1206"/>
      <c r="KHN251" s="1206"/>
      <c r="KHO251" s="1206"/>
      <c r="KHP251" s="1206"/>
      <c r="KHQ251" s="1207"/>
      <c r="KHR251" s="1206"/>
      <c r="KHS251" s="1206"/>
      <c r="KHT251" s="1206"/>
      <c r="KHU251" s="1206"/>
      <c r="KHV251" s="1206"/>
      <c r="KHW251" s="1206"/>
      <c r="KHX251" s="1206"/>
      <c r="KHY251" s="1206"/>
      <c r="KHZ251" s="1206"/>
      <c r="KIA251" s="1206"/>
      <c r="KIB251" s="1206"/>
      <c r="KIC251" s="1206"/>
      <c r="KID251" s="1206"/>
      <c r="KIE251" s="1206"/>
      <c r="KIF251" s="1206"/>
      <c r="KIG251" s="1206"/>
      <c r="KIH251" s="1207"/>
      <c r="KII251" s="1206"/>
      <c r="KIJ251" s="1206"/>
      <c r="KIK251" s="1206"/>
      <c r="KIL251" s="1206"/>
      <c r="KIM251" s="1206"/>
      <c r="KIN251" s="1206"/>
      <c r="KIO251" s="1206"/>
      <c r="KIP251" s="1206"/>
      <c r="KIQ251" s="1206"/>
      <c r="KIR251" s="1206"/>
      <c r="KIS251" s="1206"/>
      <c r="KIT251" s="1206"/>
      <c r="KIU251" s="1206"/>
      <c r="KIV251" s="1206"/>
      <c r="KIW251" s="1206"/>
      <c r="KIX251" s="1206"/>
      <c r="KIY251" s="1207"/>
      <c r="KIZ251" s="1206"/>
      <c r="KJA251" s="1206"/>
      <c r="KJB251" s="1206"/>
      <c r="KJC251" s="1206"/>
      <c r="KJD251" s="1206"/>
      <c r="KJE251" s="1206"/>
      <c r="KJF251" s="1206"/>
      <c r="KJG251" s="1206"/>
      <c r="KJH251" s="1206"/>
      <c r="KJI251" s="1206"/>
      <c r="KJJ251" s="1206"/>
      <c r="KJK251" s="1206"/>
      <c r="KJL251" s="1206"/>
      <c r="KJM251" s="1206"/>
      <c r="KJN251" s="1206"/>
      <c r="KJO251" s="1206"/>
      <c r="KJP251" s="1207"/>
      <c r="KJQ251" s="1206"/>
      <c r="KJR251" s="1206"/>
      <c r="KJS251" s="1206"/>
      <c r="KJT251" s="1206"/>
      <c r="KJU251" s="1206"/>
      <c r="KJV251" s="1206"/>
      <c r="KJW251" s="1206"/>
      <c r="KJX251" s="1206"/>
      <c r="KJY251" s="1206"/>
      <c r="KJZ251" s="1206"/>
      <c r="KKA251" s="1206"/>
      <c r="KKB251" s="1206"/>
      <c r="KKC251" s="1206"/>
      <c r="KKD251" s="1206"/>
      <c r="KKE251" s="1206"/>
      <c r="KKF251" s="1206"/>
      <c r="KKG251" s="1207"/>
      <c r="KKH251" s="1206"/>
      <c r="KKI251" s="1206"/>
      <c r="KKJ251" s="1206"/>
      <c r="KKK251" s="1206"/>
      <c r="KKL251" s="1206"/>
      <c r="KKM251" s="1206"/>
      <c r="KKN251" s="1206"/>
      <c r="KKO251" s="1206"/>
      <c r="KKP251" s="1206"/>
      <c r="KKQ251" s="1206"/>
      <c r="KKR251" s="1206"/>
      <c r="KKS251" s="1206"/>
      <c r="KKT251" s="1206"/>
      <c r="KKU251" s="1206"/>
      <c r="KKV251" s="1206"/>
      <c r="KKW251" s="1206"/>
      <c r="KKX251" s="1207"/>
      <c r="KKY251" s="1206"/>
      <c r="KKZ251" s="1206"/>
      <c r="KLA251" s="1206"/>
      <c r="KLB251" s="1206"/>
      <c r="KLC251" s="1206"/>
      <c r="KLD251" s="1206"/>
      <c r="KLE251" s="1206"/>
      <c r="KLF251" s="1206"/>
      <c r="KLG251" s="1206"/>
      <c r="KLH251" s="1206"/>
      <c r="KLI251" s="1206"/>
      <c r="KLJ251" s="1206"/>
      <c r="KLK251" s="1206"/>
      <c r="KLL251" s="1206"/>
      <c r="KLM251" s="1206"/>
      <c r="KLN251" s="1206"/>
      <c r="KLO251" s="1207"/>
      <c r="KLP251" s="1206"/>
      <c r="KLQ251" s="1206"/>
      <c r="KLR251" s="1206"/>
      <c r="KLS251" s="1206"/>
      <c r="KLT251" s="1206"/>
      <c r="KLU251" s="1206"/>
      <c r="KLV251" s="1206"/>
      <c r="KLW251" s="1206"/>
      <c r="KLX251" s="1206"/>
      <c r="KLY251" s="1206"/>
      <c r="KLZ251" s="1206"/>
      <c r="KMA251" s="1206"/>
      <c r="KMB251" s="1206"/>
      <c r="KMC251" s="1206"/>
      <c r="KMD251" s="1206"/>
      <c r="KME251" s="1206"/>
      <c r="KMF251" s="1207"/>
      <c r="KMG251" s="1206"/>
      <c r="KMH251" s="1206"/>
      <c r="KMI251" s="1206"/>
      <c r="KMJ251" s="1206"/>
      <c r="KMK251" s="1206"/>
      <c r="KML251" s="1206"/>
      <c r="KMM251" s="1206"/>
      <c r="KMN251" s="1206"/>
      <c r="KMO251" s="1206"/>
      <c r="KMP251" s="1206"/>
      <c r="KMQ251" s="1206"/>
      <c r="KMR251" s="1206"/>
      <c r="KMS251" s="1206"/>
      <c r="KMT251" s="1206"/>
      <c r="KMU251" s="1206"/>
      <c r="KMV251" s="1206"/>
      <c r="KMW251" s="1207"/>
      <c r="KMX251" s="1206"/>
      <c r="KMY251" s="1206"/>
      <c r="KMZ251" s="1206"/>
      <c r="KNA251" s="1206"/>
      <c r="KNB251" s="1206"/>
      <c r="KNC251" s="1206"/>
      <c r="KND251" s="1206"/>
      <c r="KNE251" s="1206"/>
      <c r="KNF251" s="1206"/>
      <c r="KNG251" s="1206"/>
      <c r="KNH251" s="1206"/>
      <c r="KNI251" s="1206"/>
      <c r="KNJ251" s="1206"/>
      <c r="KNK251" s="1206"/>
      <c r="KNL251" s="1206"/>
      <c r="KNM251" s="1206"/>
      <c r="KNN251" s="1207"/>
      <c r="KNO251" s="1206"/>
      <c r="KNP251" s="1206"/>
      <c r="KNQ251" s="1206"/>
      <c r="KNR251" s="1206"/>
      <c r="KNS251" s="1206"/>
      <c r="KNT251" s="1206"/>
      <c r="KNU251" s="1206"/>
      <c r="KNV251" s="1206"/>
      <c r="KNW251" s="1206"/>
      <c r="KNX251" s="1206"/>
      <c r="KNY251" s="1206"/>
      <c r="KNZ251" s="1206"/>
      <c r="KOA251" s="1206"/>
      <c r="KOB251" s="1206"/>
      <c r="KOC251" s="1206"/>
      <c r="KOD251" s="1206"/>
      <c r="KOE251" s="1207"/>
      <c r="KOF251" s="1206"/>
      <c r="KOG251" s="1206"/>
      <c r="KOH251" s="1206"/>
      <c r="KOI251" s="1206"/>
      <c r="KOJ251" s="1206"/>
      <c r="KOK251" s="1206"/>
      <c r="KOL251" s="1206"/>
      <c r="KOM251" s="1206"/>
      <c r="KON251" s="1206"/>
      <c r="KOO251" s="1206"/>
      <c r="KOP251" s="1206"/>
      <c r="KOQ251" s="1206"/>
      <c r="KOR251" s="1206"/>
      <c r="KOS251" s="1206"/>
      <c r="KOT251" s="1206"/>
      <c r="KOU251" s="1206"/>
      <c r="KOV251" s="1207"/>
      <c r="KOW251" s="1206"/>
      <c r="KOX251" s="1206"/>
      <c r="KOY251" s="1206"/>
      <c r="KOZ251" s="1206"/>
      <c r="KPA251" s="1206"/>
      <c r="KPB251" s="1206"/>
      <c r="KPC251" s="1206"/>
      <c r="KPD251" s="1206"/>
      <c r="KPE251" s="1206"/>
      <c r="KPF251" s="1206"/>
      <c r="KPG251" s="1206"/>
      <c r="KPH251" s="1206"/>
      <c r="KPI251" s="1206"/>
      <c r="KPJ251" s="1206"/>
      <c r="KPK251" s="1206"/>
      <c r="KPL251" s="1206"/>
      <c r="KPM251" s="1207"/>
      <c r="KPN251" s="1206"/>
      <c r="KPO251" s="1206"/>
      <c r="KPP251" s="1206"/>
      <c r="KPQ251" s="1206"/>
      <c r="KPR251" s="1206"/>
      <c r="KPS251" s="1206"/>
      <c r="KPT251" s="1206"/>
      <c r="KPU251" s="1206"/>
      <c r="KPV251" s="1206"/>
      <c r="KPW251" s="1206"/>
      <c r="KPX251" s="1206"/>
      <c r="KPY251" s="1206"/>
      <c r="KPZ251" s="1206"/>
      <c r="KQA251" s="1206"/>
      <c r="KQB251" s="1206"/>
      <c r="KQC251" s="1206"/>
      <c r="KQD251" s="1207"/>
      <c r="KQE251" s="1206"/>
      <c r="KQF251" s="1206"/>
      <c r="KQG251" s="1206"/>
      <c r="KQH251" s="1206"/>
      <c r="KQI251" s="1206"/>
      <c r="KQJ251" s="1206"/>
      <c r="KQK251" s="1206"/>
      <c r="KQL251" s="1206"/>
      <c r="KQM251" s="1206"/>
      <c r="KQN251" s="1206"/>
      <c r="KQO251" s="1206"/>
      <c r="KQP251" s="1206"/>
      <c r="KQQ251" s="1206"/>
      <c r="KQR251" s="1206"/>
      <c r="KQS251" s="1206"/>
      <c r="KQT251" s="1206"/>
      <c r="KQU251" s="1207"/>
      <c r="KQV251" s="1206"/>
      <c r="KQW251" s="1206"/>
      <c r="KQX251" s="1206"/>
      <c r="KQY251" s="1206"/>
      <c r="KQZ251" s="1206"/>
      <c r="KRA251" s="1206"/>
      <c r="KRB251" s="1206"/>
      <c r="KRC251" s="1206"/>
      <c r="KRD251" s="1206"/>
      <c r="KRE251" s="1206"/>
      <c r="KRF251" s="1206"/>
      <c r="KRG251" s="1206"/>
      <c r="KRH251" s="1206"/>
      <c r="KRI251" s="1206"/>
      <c r="KRJ251" s="1206"/>
      <c r="KRK251" s="1206"/>
      <c r="KRL251" s="1207"/>
      <c r="KRM251" s="1206"/>
      <c r="KRN251" s="1206"/>
      <c r="KRO251" s="1206"/>
      <c r="KRP251" s="1206"/>
      <c r="KRQ251" s="1206"/>
      <c r="KRR251" s="1206"/>
      <c r="KRS251" s="1206"/>
      <c r="KRT251" s="1206"/>
      <c r="KRU251" s="1206"/>
      <c r="KRV251" s="1206"/>
      <c r="KRW251" s="1206"/>
      <c r="KRX251" s="1206"/>
      <c r="KRY251" s="1206"/>
      <c r="KRZ251" s="1206"/>
      <c r="KSA251" s="1206"/>
      <c r="KSB251" s="1206"/>
      <c r="KSC251" s="1207"/>
      <c r="KSD251" s="1206"/>
      <c r="KSE251" s="1206"/>
      <c r="KSF251" s="1206"/>
      <c r="KSG251" s="1206"/>
      <c r="KSH251" s="1206"/>
      <c r="KSI251" s="1206"/>
      <c r="KSJ251" s="1206"/>
      <c r="KSK251" s="1206"/>
      <c r="KSL251" s="1206"/>
      <c r="KSM251" s="1206"/>
      <c r="KSN251" s="1206"/>
      <c r="KSO251" s="1206"/>
      <c r="KSP251" s="1206"/>
      <c r="KSQ251" s="1206"/>
      <c r="KSR251" s="1206"/>
      <c r="KSS251" s="1206"/>
      <c r="KST251" s="1207"/>
      <c r="KSU251" s="1206"/>
      <c r="KSV251" s="1206"/>
      <c r="KSW251" s="1206"/>
      <c r="KSX251" s="1206"/>
      <c r="KSY251" s="1206"/>
      <c r="KSZ251" s="1206"/>
      <c r="KTA251" s="1206"/>
      <c r="KTB251" s="1206"/>
      <c r="KTC251" s="1206"/>
      <c r="KTD251" s="1206"/>
      <c r="KTE251" s="1206"/>
      <c r="KTF251" s="1206"/>
      <c r="KTG251" s="1206"/>
      <c r="KTH251" s="1206"/>
      <c r="KTI251" s="1206"/>
      <c r="KTJ251" s="1206"/>
      <c r="KTK251" s="1207"/>
      <c r="KTL251" s="1206"/>
      <c r="KTM251" s="1206"/>
      <c r="KTN251" s="1206"/>
      <c r="KTO251" s="1206"/>
      <c r="KTP251" s="1206"/>
      <c r="KTQ251" s="1206"/>
      <c r="KTR251" s="1206"/>
      <c r="KTS251" s="1206"/>
      <c r="KTT251" s="1206"/>
      <c r="KTU251" s="1206"/>
      <c r="KTV251" s="1206"/>
      <c r="KTW251" s="1206"/>
      <c r="KTX251" s="1206"/>
      <c r="KTY251" s="1206"/>
      <c r="KTZ251" s="1206"/>
      <c r="KUA251" s="1206"/>
      <c r="KUB251" s="1207"/>
      <c r="KUC251" s="1206"/>
      <c r="KUD251" s="1206"/>
      <c r="KUE251" s="1206"/>
      <c r="KUF251" s="1206"/>
      <c r="KUG251" s="1206"/>
      <c r="KUH251" s="1206"/>
      <c r="KUI251" s="1206"/>
      <c r="KUJ251" s="1206"/>
      <c r="KUK251" s="1206"/>
      <c r="KUL251" s="1206"/>
      <c r="KUM251" s="1206"/>
      <c r="KUN251" s="1206"/>
      <c r="KUO251" s="1206"/>
      <c r="KUP251" s="1206"/>
      <c r="KUQ251" s="1206"/>
      <c r="KUR251" s="1206"/>
      <c r="KUS251" s="1207"/>
      <c r="KUT251" s="1206"/>
      <c r="KUU251" s="1206"/>
      <c r="KUV251" s="1206"/>
      <c r="KUW251" s="1206"/>
      <c r="KUX251" s="1206"/>
      <c r="KUY251" s="1206"/>
      <c r="KUZ251" s="1206"/>
      <c r="KVA251" s="1206"/>
      <c r="KVB251" s="1206"/>
      <c r="KVC251" s="1206"/>
      <c r="KVD251" s="1206"/>
      <c r="KVE251" s="1206"/>
      <c r="KVF251" s="1206"/>
      <c r="KVG251" s="1206"/>
      <c r="KVH251" s="1206"/>
      <c r="KVI251" s="1206"/>
      <c r="KVJ251" s="1207"/>
      <c r="KVK251" s="1206"/>
      <c r="KVL251" s="1206"/>
      <c r="KVM251" s="1206"/>
      <c r="KVN251" s="1206"/>
      <c r="KVO251" s="1206"/>
      <c r="KVP251" s="1206"/>
      <c r="KVQ251" s="1206"/>
      <c r="KVR251" s="1206"/>
      <c r="KVS251" s="1206"/>
      <c r="KVT251" s="1206"/>
      <c r="KVU251" s="1206"/>
      <c r="KVV251" s="1206"/>
      <c r="KVW251" s="1206"/>
      <c r="KVX251" s="1206"/>
      <c r="KVY251" s="1206"/>
      <c r="KVZ251" s="1206"/>
      <c r="KWA251" s="1207"/>
      <c r="KWB251" s="1206"/>
      <c r="KWC251" s="1206"/>
      <c r="KWD251" s="1206"/>
      <c r="KWE251" s="1206"/>
      <c r="KWF251" s="1206"/>
      <c r="KWG251" s="1206"/>
      <c r="KWH251" s="1206"/>
      <c r="KWI251" s="1206"/>
      <c r="KWJ251" s="1206"/>
      <c r="KWK251" s="1206"/>
      <c r="KWL251" s="1206"/>
      <c r="KWM251" s="1206"/>
      <c r="KWN251" s="1206"/>
      <c r="KWO251" s="1206"/>
      <c r="KWP251" s="1206"/>
      <c r="KWQ251" s="1206"/>
      <c r="KWR251" s="1207"/>
      <c r="KWS251" s="1206"/>
      <c r="KWT251" s="1206"/>
      <c r="KWU251" s="1206"/>
      <c r="KWV251" s="1206"/>
      <c r="KWW251" s="1206"/>
      <c r="KWX251" s="1206"/>
      <c r="KWY251" s="1206"/>
      <c r="KWZ251" s="1206"/>
      <c r="KXA251" s="1206"/>
      <c r="KXB251" s="1206"/>
      <c r="KXC251" s="1206"/>
      <c r="KXD251" s="1206"/>
      <c r="KXE251" s="1206"/>
      <c r="KXF251" s="1206"/>
      <c r="KXG251" s="1206"/>
      <c r="KXH251" s="1206"/>
      <c r="KXI251" s="1207"/>
      <c r="KXJ251" s="1206"/>
      <c r="KXK251" s="1206"/>
      <c r="KXL251" s="1206"/>
      <c r="KXM251" s="1206"/>
      <c r="KXN251" s="1206"/>
      <c r="KXO251" s="1206"/>
      <c r="KXP251" s="1206"/>
      <c r="KXQ251" s="1206"/>
      <c r="KXR251" s="1206"/>
      <c r="KXS251" s="1206"/>
      <c r="KXT251" s="1206"/>
      <c r="KXU251" s="1206"/>
      <c r="KXV251" s="1206"/>
      <c r="KXW251" s="1206"/>
      <c r="KXX251" s="1206"/>
      <c r="KXY251" s="1206"/>
      <c r="KXZ251" s="1207"/>
      <c r="KYA251" s="1206"/>
      <c r="KYB251" s="1206"/>
      <c r="KYC251" s="1206"/>
      <c r="KYD251" s="1206"/>
      <c r="KYE251" s="1206"/>
      <c r="KYF251" s="1206"/>
      <c r="KYG251" s="1206"/>
      <c r="KYH251" s="1206"/>
      <c r="KYI251" s="1206"/>
      <c r="KYJ251" s="1206"/>
      <c r="KYK251" s="1206"/>
      <c r="KYL251" s="1206"/>
      <c r="KYM251" s="1206"/>
      <c r="KYN251" s="1206"/>
      <c r="KYO251" s="1206"/>
      <c r="KYP251" s="1206"/>
      <c r="KYQ251" s="1207"/>
      <c r="KYR251" s="1206"/>
      <c r="KYS251" s="1206"/>
      <c r="KYT251" s="1206"/>
      <c r="KYU251" s="1206"/>
      <c r="KYV251" s="1206"/>
      <c r="KYW251" s="1206"/>
      <c r="KYX251" s="1206"/>
      <c r="KYY251" s="1206"/>
      <c r="KYZ251" s="1206"/>
      <c r="KZA251" s="1206"/>
      <c r="KZB251" s="1206"/>
      <c r="KZC251" s="1206"/>
      <c r="KZD251" s="1206"/>
      <c r="KZE251" s="1206"/>
      <c r="KZF251" s="1206"/>
      <c r="KZG251" s="1206"/>
      <c r="KZH251" s="1207"/>
      <c r="KZI251" s="1206"/>
      <c r="KZJ251" s="1206"/>
      <c r="KZK251" s="1206"/>
      <c r="KZL251" s="1206"/>
      <c r="KZM251" s="1206"/>
      <c r="KZN251" s="1206"/>
      <c r="KZO251" s="1206"/>
      <c r="KZP251" s="1206"/>
      <c r="KZQ251" s="1206"/>
      <c r="KZR251" s="1206"/>
      <c r="KZS251" s="1206"/>
      <c r="KZT251" s="1206"/>
      <c r="KZU251" s="1206"/>
      <c r="KZV251" s="1206"/>
      <c r="KZW251" s="1206"/>
      <c r="KZX251" s="1206"/>
      <c r="KZY251" s="1207"/>
      <c r="KZZ251" s="1206"/>
      <c r="LAA251" s="1206"/>
      <c r="LAB251" s="1206"/>
      <c r="LAC251" s="1206"/>
      <c r="LAD251" s="1206"/>
      <c r="LAE251" s="1206"/>
      <c r="LAF251" s="1206"/>
      <c r="LAG251" s="1206"/>
      <c r="LAH251" s="1206"/>
      <c r="LAI251" s="1206"/>
      <c r="LAJ251" s="1206"/>
      <c r="LAK251" s="1206"/>
      <c r="LAL251" s="1206"/>
      <c r="LAM251" s="1206"/>
      <c r="LAN251" s="1206"/>
      <c r="LAO251" s="1206"/>
      <c r="LAP251" s="1207"/>
      <c r="LAQ251" s="1206"/>
      <c r="LAR251" s="1206"/>
      <c r="LAS251" s="1206"/>
      <c r="LAT251" s="1206"/>
      <c r="LAU251" s="1206"/>
      <c r="LAV251" s="1206"/>
      <c r="LAW251" s="1206"/>
      <c r="LAX251" s="1206"/>
      <c r="LAY251" s="1206"/>
      <c r="LAZ251" s="1206"/>
      <c r="LBA251" s="1206"/>
      <c r="LBB251" s="1206"/>
      <c r="LBC251" s="1206"/>
      <c r="LBD251" s="1206"/>
      <c r="LBE251" s="1206"/>
      <c r="LBF251" s="1206"/>
      <c r="LBG251" s="1207"/>
      <c r="LBH251" s="1206"/>
      <c r="LBI251" s="1206"/>
      <c r="LBJ251" s="1206"/>
      <c r="LBK251" s="1206"/>
      <c r="LBL251" s="1206"/>
      <c r="LBM251" s="1206"/>
      <c r="LBN251" s="1206"/>
      <c r="LBO251" s="1206"/>
      <c r="LBP251" s="1206"/>
      <c r="LBQ251" s="1206"/>
      <c r="LBR251" s="1206"/>
      <c r="LBS251" s="1206"/>
      <c r="LBT251" s="1206"/>
      <c r="LBU251" s="1206"/>
      <c r="LBV251" s="1206"/>
      <c r="LBW251" s="1206"/>
      <c r="LBX251" s="1207"/>
      <c r="LBY251" s="1206"/>
      <c r="LBZ251" s="1206"/>
      <c r="LCA251" s="1206"/>
      <c r="LCB251" s="1206"/>
      <c r="LCC251" s="1206"/>
      <c r="LCD251" s="1206"/>
      <c r="LCE251" s="1206"/>
      <c r="LCF251" s="1206"/>
      <c r="LCG251" s="1206"/>
      <c r="LCH251" s="1206"/>
      <c r="LCI251" s="1206"/>
      <c r="LCJ251" s="1206"/>
      <c r="LCK251" s="1206"/>
      <c r="LCL251" s="1206"/>
      <c r="LCM251" s="1206"/>
      <c r="LCN251" s="1206"/>
      <c r="LCO251" s="1207"/>
      <c r="LCP251" s="1206"/>
      <c r="LCQ251" s="1206"/>
      <c r="LCR251" s="1206"/>
      <c r="LCS251" s="1206"/>
      <c r="LCT251" s="1206"/>
      <c r="LCU251" s="1206"/>
      <c r="LCV251" s="1206"/>
      <c r="LCW251" s="1206"/>
      <c r="LCX251" s="1206"/>
      <c r="LCY251" s="1206"/>
      <c r="LCZ251" s="1206"/>
      <c r="LDA251" s="1206"/>
      <c r="LDB251" s="1206"/>
      <c r="LDC251" s="1206"/>
      <c r="LDD251" s="1206"/>
      <c r="LDE251" s="1206"/>
      <c r="LDF251" s="1207"/>
      <c r="LDG251" s="1206"/>
      <c r="LDH251" s="1206"/>
      <c r="LDI251" s="1206"/>
      <c r="LDJ251" s="1206"/>
      <c r="LDK251" s="1206"/>
      <c r="LDL251" s="1206"/>
      <c r="LDM251" s="1206"/>
      <c r="LDN251" s="1206"/>
      <c r="LDO251" s="1206"/>
      <c r="LDP251" s="1206"/>
      <c r="LDQ251" s="1206"/>
      <c r="LDR251" s="1206"/>
      <c r="LDS251" s="1206"/>
      <c r="LDT251" s="1206"/>
      <c r="LDU251" s="1206"/>
      <c r="LDV251" s="1206"/>
      <c r="LDW251" s="1207"/>
      <c r="LDX251" s="1206"/>
      <c r="LDY251" s="1206"/>
      <c r="LDZ251" s="1206"/>
      <c r="LEA251" s="1206"/>
      <c r="LEB251" s="1206"/>
      <c r="LEC251" s="1206"/>
      <c r="LED251" s="1206"/>
      <c r="LEE251" s="1206"/>
      <c r="LEF251" s="1206"/>
      <c r="LEG251" s="1206"/>
      <c r="LEH251" s="1206"/>
      <c r="LEI251" s="1206"/>
      <c r="LEJ251" s="1206"/>
      <c r="LEK251" s="1206"/>
      <c r="LEL251" s="1206"/>
      <c r="LEM251" s="1206"/>
      <c r="LEN251" s="1207"/>
      <c r="LEO251" s="1206"/>
      <c r="LEP251" s="1206"/>
      <c r="LEQ251" s="1206"/>
      <c r="LER251" s="1206"/>
      <c r="LES251" s="1206"/>
      <c r="LET251" s="1206"/>
      <c r="LEU251" s="1206"/>
      <c r="LEV251" s="1206"/>
      <c r="LEW251" s="1206"/>
      <c r="LEX251" s="1206"/>
      <c r="LEY251" s="1206"/>
      <c r="LEZ251" s="1206"/>
      <c r="LFA251" s="1206"/>
      <c r="LFB251" s="1206"/>
      <c r="LFC251" s="1206"/>
      <c r="LFD251" s="1206"/>
      <c r="LFE251" s="1207"/>
      <c r="LFF251" s="1206"/>
      <c r="LFG251" s="1206"/>
      <c r="LFH251" s="1206"/>
      <c r="LFI251" s="1206"/>
      <c r="LFJ251" s="1206"/>
      <c r="LFK251" s="1206"/>
      <c r="LFL251" s="1206"/>
      <c r="LFM251" s="1206"/>
      <c r="LFN251" s="1206"/>
      <c r="LFO251" s="1206"/>
      <c r="LFP251" s="1206"/>
      <c r="LFQ251" s="1206"/>
      <c r="LFR251" s="1206"/>
      <c r="LFS251" s="1206"/>
      <c r="LFT251" s="1206"/>
      <c r="LFU251" s="1206"/>
      <c r="LFV251" s="1207"/>
      <c r="LFW251" s="1206"/>
      <c r="LFX251" s="1206"/>
      <c r="LFY251" s="1206"/>
      <c r="LFZ251" s="1206"/>
      <c r="LGA251" s="1206"/>
      <c r="LGB251" s="1206"/>
      <c r="LGC251" s="1206"/>
      <c r="LGD251" s="1206"/>
      <c r="LGE251" s="1206"/>
      <c r="LGF251" s="1206"/>
      <c r="LGG251" s="1206"/>
      <c r="LGH251" s="1206"/>
      <c r="LGI251" s="1206"/>
      <c r="LGJ251" s="1206"/>
      <c r="LGK251" s="1206"/>
      <c r="LGL251" s="1206"/>
      <c r="LGM251" s="1207"/>
      <c r="LGN251" s="1206"/>
      <c r="LGO251" s="1206"/>
      <c r="LGP251" s="1206"/>
      <c r="LGQ251" s="1206"/>
      <c r="LGR251" s="1206"/>
      <c r="LGS251" s="1206"/>
      <c r="LGT251" s="1206"/>
      <c r="LGU251" s="1206"/>
      <c r="LGV251" s="1206"/>
      <c r="LGW251" s="1206"/>
      <c r="LGX251" s="1206"/>
      <c r="LGY251" s="1206"/>
      <c r="LGZ251" s="1206"/>
      <c r="LHA251" s="1206"/>
      <c r="LHB251" s="1206"/>
      <c r="LHC251" s="1206"/>
      <c r="LHD251" s="1207"/>
      <c r="LHE251" s="1206"/>
      <c r="LHF251" s="1206"/>
      <c r="LHG251" s="1206"/>
      <c r="LHH251" s="1206"/>
      <c r="LHI251" s="1206"/>
      <c r="LHJ251" s="1206"/>
      <c r="LHK251" s="1206"/>
      <c r="LHL251" s="1206"/>
      <c r="LHM251" s="1206"/>
      <c r="LHN251" s="1206"/>
      <c r="LHO251" s="1206"/>
      <c r="LHP251" s="1206"/>
      <c r="LHQ251" s="1206"/>
      <c r="LHR251" s="1206"/>
      <c r="LHS251" s="1206"/>
      <c r="LHT251" s="1206"/>
      <c r="LHU251" s="1207"/>
      <c r="LHV251" s="1206"/>
      <c r="LHW251" s="1206"/>
      <c r="LHX251" s="1206"/>
      <c r="LHY251" s="1206"/>
      <c r="LHZ251" s="1206"/>
      <c r="LIA251" s="1206"/>
      <c r="LIB251" s="1206"/>
      <c r="LIC251" s="1206"/>
      <c r="LID251" s="1206"/>
      <c r="LIE251" s="1206"/>
      <c r="LIF251" s="1206"/>
      <c r="LIG251" s="1206"/>
      <c r="LIH251" s="1206"/>
      <c r="LII251" s="1206"/>
      <c r="LIJ251" s="1206"/>
      <c r="LIK251" s="1206"/>
      <c r="LIL251" s="1207"/>
      <c r="LIM251" s="1206"/>
      <c r="LIN251" s="1206"/>
      <c r="LIO251" s="1206"/>
      <c r="LIP251" s="1206"/>
      <c r="LIQ251" s="1206"/>
      <c r="LIR251" s="1206"/>
      <c r="LIS251" s="1206"/>
      <c r="LIT251" s="1206"/>
      <c r="LIU251" s="1206"/>
      <c r="LIV251" s="1206"/>
      <c r="LIW251" s="1206"/>
      <c r="LIX251" s="1206"/>
      <c r="LIY251" s="1206"/>
      <c r="LIZ251" s="1206"/>
      <c r="LJA251" s="1206"/>
      <c r="LJB251" s="1206"/>
      <c r="LJC251" s="1207"/>
      <c r="LJD251" s="1206"/>
      <c r="LJE251" s="1206"/>
      <c r="LJF251" s="1206"/>
      <c r="LJG251" s="1206"/>
      <c r="LJH251" s="1206"/>
      <c r="LJI251" s="1206"/>
      <c r="LJJ251" s="1206"/>
      <c r="LJK251" s="1206"/>
      <c r="LJL251" s="1206"/>
      <c r="LJM251" s="1206"/>
      <c r="LJN251" s="1206"/>
      <c r="LJO251" s="1206"/>
      <c r="LJP251" s="1206"/>
      <c r="LJQ251" s="1206"/>
      <c r="LJR251" s="1206"/>
      <c r="LJS251" s="1206"/>
      <c r="LJT251" s="1207"/>
      <c r="LJU251" s="1206"/>
      <c r="LJV251" s="1206"/>
      <c r="LJW251" s="1206"/>
      <c r="LJX251" s="1206"/>
      <c r="LJY251" s="1206"/>
      <c r="LJZ251" s="1206"/>
      <c r="LKA251" s="1206"/>
      <c r="LKB251" s="1206"/>
      <c r="LKC251" s="1206"/>
      <c r="LKD251" s="1206"/>
      <c r="LKE251" s="1206"/>
      <c r="LKF251" s="1206"/>
      <c r="LKG251" s="1206"/>
      <c r="LKH251" s="1206"/>
      <c r="LKI251" s="1206"/>
      <c r="LKJ251" s="1206"/>
      <c r="LKK251" s="1207"/>
      <c r="LKL251" s="1206"/>
      <c r="LKM251" s="1206"/>
      <c r="LKN251" s="1206"/>
      <c r="LKO251" s="1206"/>
      <c r="LKP251" s="1206"/>
      <c r="LKQ251" s="1206"/>
      <c r="LKR251" s="1206"/>
      <c r="LKS251" s="1206"/>
      <c r="LKT251" s="1206"/>
      <c r="LKU251" s="1206"/>
      <c r="LKV251" s="1206"/>
      <c r="LKW251" s="1206"/>
      <c r="LKX251" s="1206"/>
      <c r="LKY251" s="1206"/>
      <c r="LKZ251" s="1206"/>
      <c r="LLA251" s="1206"/>
      <c r="LLB251" s="1207"/>
      <c r="LLC251" s="1206"/>
      <c r="LLD251" s="1206"/>
      <c r="LLE251" s="1206"/>
      <c r="LLF251" s="1206"/>
      <c r="LLG251" s="1206"/>
      <c r="LLH251" s="1206"/>
      <c r="LLI251" s="1206"/>
      <c r="LLJ251" s="1206"/>
      <c r="LLK251" s="1206"/>
      <c r="LLL251" s="1206"/>
      <c r="LLM251" s="1206"/>
      <c r="LLN251" s="1206"/>
      <c r="LLO251" s="1206"/>
      <c r="LLP251" s="1206"/>
      <c r="LLQ251" s="1206"/>
      <c r="LLR251" s="1206"/>
      <c r="LLS251" s="1207"/>
      <c r="LLT251" s="1206"/>
      <c r="LLU251" s="1206"/>
      <c r="LLV251" s="1206"/>
      <c r="LLW251" s="1206"/>
      <c r="LLX251" s="1206"/>
      <c r="LLY251" s="1206"/>
      <c r="LLZ251" s="1206"/>
      <c r="LMA251" s="1206"/>
      <c r="LMB251" s="1206"/>
      <c r="LMC251" s="1206"/>
      <c r="LMD251" s="1206"/>
      <c r="LME251" s="1206"/>
      <c r="LMF251" s="1206"/>
      <c r="LMG251" s="1206"/>
      <c r="LMH251" s="1206"/>
      <c r="LMI251" s="1206"/>
      <c r="LMJ251" s="1207"/>
      <c r="LMK251" s="1206"/>
      <c r="LML251" s="1206"/>
      <c r="LMM251" s="1206"/>
      <c r="LMN251" s="1206"/>
      <c r="LMO251" s="1206"/>
      <c r="LMP251" s="1206"/>
      <c r="LMQ251" s="1206"/>
      <c r="LMR251" s="1206"/>
      <c r="LMS251" s="1206"/>
      <c r="LMT251" s="1206"/>
      <c r="LMU251" s="1206"/>
      <c r="LMV251" s="1206"/>
      <c r="LMW251" s="1206"/>
      <c r="LMX251" s="1206"/>
      <c r="LMY251" s="1206"/>
      <c r="LMZ251" s="1206"/>
      <c r="LNA251" s="1207"/>
      <c r="LNB251" s="1206"/>
      <c r="LNC251" s="1206"/>
      <c r="LND251" s="1206"/>
      <c r="LNE251" s="1206"/>
      <c r="LNF251" s="1206"/>
      <c r="LNG251" s="1206"/>
      <c r="LNH251" s="1206"/>
      <c r="LNI251" s="1206"/>
      <c r="LNJ251" s="1206"/>
      <c r="LNK251" s="1206"/>
      <c r="LNL251" s="1206"/>
      <c r="LNM251" s="1206"/>
      <c r="LNN251" s="1206"/>
      <c r="LNO251" s="1206"/>
      <c r="LNP251" s="1206"/>
      <c r="LNQ251" s="1206"/>
      <c r="LNR251" s="1207"/>
      <c r="LNS251" s="1206"/>
      <c r="LNT251" s="1206"/>
      <c r="LNU251" s="1206"/>
      <c r="LNV251" s="1206"/>
      <c r="LNW251" s="1206"/>
      <c r="LNX251" s="1206"/>
      <c r="LNY251" s="1206"/>
      <c r="LNZ251" s="1206"/>
      <c r="LOA251" s="1206"/>
      <c r="LOB251" s="1206"/>
      <c r="LOC251" s="1206"/>
      <c r="LOD251" s="1206"/>
      <c r="LOE251" s="1206"/>
      <c r="LOF251" s="1206"/>
      <c r="LOG251" s="1206"/>
      <c r="LOH251" s="1206"/>
      <c r="LOI251" s="1207"/>
      <c r="LOJ251" s="1206"/>
      <c r="LOK251" s="1206"/>
      <c r="LOL251" s="1206"/>
      <c r="LOM251" s="1206"/>
      <c r="LON251" s="1206"/>
      <c r="LOO251" s="1206"/>
      <c r="LOP251" s="1206"/>
      <c r="LOQ251" s="1206"/>
      <c r="LOR251" s="1206"/>
      <c r="LOS251" s="1206"/>
      <c r="LOT251" s="1206"/>
      <c r="LOU251" s="1206"/>
      <c r="LOV251" s="1206"/>
      <c r="LOW251" s="1206"/>
      <c r="LOX251" s="1206"/>
      <c r="LOY251" s="1206"/>
      <c r="LOZ251" s="1207"/>
      <c r="LPA251" s="1206"/>
      <c r="LPB251" s="1206"/>
      <c r="LPC251" s="1206"/>
      <c r="LPD251" s="1206"/>
      <c r="LPE251" s="1206"/>
      <c r="LPF251" s="1206"/>
      <c r="LPG251" s="1206"/>
      <c r="LPH251" s="1206"/>
      <c r="LPI251" s="1206"/>
      <c r="LPJ251" s="1206"/>
      <c r="LPK251" s="1206"/>
      <c r="LPL251" s="1206"/>
      <c r="LPM251" s="1206"/>
      <c r="LPN251" s="1206"/>
      <c r="LPO251" s="1206"/>
      <c r="LPP251" s="1206"/>
      <c r="LPQ251" s="1207"/>
      <c r="LPR251" s="1206"/>
      <c r="LPS251" s="1206"/>
      <c r="LPT251" s="1206"/>
      <c r="LPU251" s="1206"/>
      <c r="LPV251" s="1206"/>
      <c r="LPW251" s="1206"/>
      <c r="LPX251" s="1206"/>
      <c r="LPY251" s="1206"/>
      <c r="LPZ251" s="1206"/>
      <c r="LQA251" s="1206"/>
      <c r="LQB251" s="1206"/>
      <c r="LQC251" s="1206"/>
      <c r="LQD251" s="1206"/>
      <c r="LQE251" s="1206"/>
      <c r="LQF251" s="1206"/>
      <c r="LQG251" s="1206"/>
      <c r="LQH251" s="1207"/>
      <c r="LQI251" s="1206"/>
      <c r="LQJ251" s="1206"/>
      <c r="LQK251" s="1206"/>
      <c r="LQL251" s="1206"/>
      <c r="LQM251" s="1206"/>
      <c r="LQN251" s="1206"/>
      <c r="LQO251" s="1206"/>
      <c r="LQP251" s="1206"/>
      <c r="LQQ251" s="1206"/>
      <c r="LQR251" s="1206"/>
      <c r="LQS251" s="1206"/>
      <c r="LQT251" s="1206"/>
      <c r="LQU251" s="1206"/>
      <c r="LQV251" s="1206"/>
      <c r="LQW251" s="1206"/>
      <c r="LQX251" s="1206"/>
      <c r="LQY251" s="1207"/>
      <c r="LQZ251" s="1206"/>
      <c r="LRA251" s="1206"/>
      <c r="LRB251" s="1206"/>
      <c r="LRC251" s="1206"/>
      <c r="LRD251" s="1206"/>
      <c r="LRE251" s="1206"/>
      <c r="LRF251" s="1206"/>
      <c r="LRG251" s="1206"/>
      <c r="LRH251" s="1206"/>
      <c r="LRI251" s="1206"/>
      <c r="LRJ251" s="1206"/>
      <c r="LRK251" s="1206"/>
      <c r="LRL251" s="1206"/>
      <c r="LRM251" s="1206"/>
      <c r="LRN251" s="1206"/>
      <c r="LRO251" s="1206"/>
      <c r="LRP251" s="1207"/>
      <c r="LRQ251" s="1206"/>
      <c r="LRR251" s="1206"/>
      <c r="LRS251" s="1206"/>
      <c r="LRT251" s="1206"/>
      <c r="LRU251" s="1206"/>
      <c r="LRV251" s="1206"/>
      <c r="LRW251" s="1206"/>
      <c r="LRX251" s="1206"/>
      <c r="LRY251" s="1206"/>
      <c r="LRZ251" s="1206"/>
      <c r="LSA251" s="1206"/>
      <c r="LSB251" s="1206"/>
      <c r="LSC251" s="1206"/>
      <c r="LSD251" s="1206"/>
      <c r="LSE251" s="1206"/>
      <c r="LSF251" s="1206"/>
      <c r="LSG251" s="1207"/>
      <c r="LSH251" s="1206"/>
      <c r="LSI251" s="1206"/>
      <c r="LSJ251" s="1206"/>
      <c r="LSK251" s="1206"/>
      <c r="LSL251" s="1206"/>
      <c r="LSM251" s="1206"/>
      <c r="LSN251" s="1206"/>
      <c r="LSO251" s="1206"/>
      <c r="LSP251" s="1206"/>
      <c r="LSQ251" s="1206"/>
      <c r="LSR251" s="1206"/>
      <c r="LSS251" s="1206"/>
      <c r="LST251" s="1206"/>
      <c r="LSU251" s="1206"/>
      <c r="LSV251" s="1206"/>
      <c r="LSW251" s="1206"/>
      <c r="LSX251" s="1207"/>
      <c r="LSY251" s="1206"/>
      <c r="LSZ251" s="1206"/>
      <c r="LTA251" s="1206"/>
      <c r="LTB251" s="1206"/>
      <c r="LTC251" s="1206"/>
      <c r="LTD251" s="1206"/>
      <c r="LTE251" s="1206"/>
      <c r="LTF251" s="1206"/>
      <c r="LTG251" s="1206"/>
      <c r="LTH251" s="1206"/>
      <c r="LTI251" s="1206"/>
      <c r="LTJ251" s="1206"/>
      <c r="LTK251" s="1206"/>
      <c r="LTL251" s="1206"/>
      <c r="LTM251" s="1206"/>
      <c r="LTN251" s="1206"/>
      <c r="LTO251" s="1207"/>
      <c r="LTP251" s="1206"/>
      <c r="LTQ251" s="1206"/>
      <c r="LTR251" s="1206"/>
      <c r="LTS251" s="1206"/>
      <c r="LTT251" s="1206"/>
      <c r="LTU251" s="1206"/>
      <c r="LTV251" s="1206"/>
      <c r="LTW251" s="1206"/>
      <c r="LTX251" s="1206"/>
      <c r="LTY251" s="1206"/>
      <c r="LTZ251" s="1206"/>
      <c r="LUA251" s="1206"/>
      <c r="LUB251" s="1206"/>
      <c r="LUC251" s="1206"/>
      <c r="LUD251" s="1206"/>
      <c r="LUE251" s="1206"/>
      <c r="LUF251" s="1207"/>
      <c r="LUG251" s="1206"/>
      <c r="LUH251" s="1206"/>
      <c r="LUI251" s="1206"/>
      <c r="LUJ251" s="1206"/>
      <c r="LUK251" s="1206"/>
      <c r="LUL251" s="1206"/>
      <c r="LUM251" s="1206"/>
      <c r="LUN251" s="1206"/>
      <c r="LUO251" s="1206"/>
      <c r="LUP251" s="1206"/>
      <c r="LUQ251" s="1206"/>
      <c r="LUR251" s="1206"/>
      <c r="LUS251" s="1206"/>
      <c r="LUT251" s="1206"/>
      <c r="LUU251" s="1206"/>
      <c r="LUV251" s="1206"/>
      <c r="LUW251" s="1207"/>
      <c r="LUX251" s="1206"/>
      <c r="LUY251" s="1206"/>
      <c r="LUZ251" s="1206"/>
      <c r="LVA251" s="1206"/>
      <c r="LVB251" s="1206"/>
      <c r="LVC251" s="1206"/>
      <c r="LVD251" s="1206"/>
      <c r="LVE251" s="1206"/>
      <c r="LVF251" s="1206"/>
      <c r="LVG251" s="1206"/>
      <c r="LVH251" s="1206"/>
      <c r="LVI251" s="1206"/>
      <c r="LVJ251" s="1206"/>
      <c r="LVK251" s="1206"/>
      <c r="LVL251" s="1206"/>
      <c r="LVM251" s="1206"/>
      <c r="LVN251" s="1207"/>
      <c r="LVO251" s="1206"/>
      <c r="LVP251" s="1206"/>
      <c r="LVQ251" s="1206"/>
      <c r="LVR251" s="1206"/>
      <c r="LVS251" s="1206"/>
      <c r="LVT251" s="1206"/>
      <c r="LVU251" s="1206"/>
      <c r="LVV251" s="1206"/>
      <c r="LVW251" s="1206"/>
      <c r="LVX251" s="1206"/>
      <c r="LVY251" s="1206"/>
      <c r="LVZ251" s="1206"/>
      <c r="LWA251" s="1206"/>
      <c r="LWB251" s="1206"/>
      <c r="LWC251" s="1206"/>
      <c r="LWD251" s="1206"/>
      <c r="LWE251" s="1207"/>
      <c r="LWF251" s="1206"/>
      <c r="LWG251" s="1206"/>
      <c r="LWH251" s="1206"/>
      <c r="LWI251" s="1206"/>
      <c r="LWJ251" s="1206"/>
      <c r="LWK251" s="1206"/>
      <c r="LWL251" s="1206"/>
      <c r="LWM251" s="1206"/>
      <c r="LWN251" s="1206"/>
      <c r="LWO251" s="1206"/>
      <c r="LWP251" s="1206"/>
      <c r="LWQ251" s="1206"/>
      <c r="LWR251" s="1206"/>
      <c r="LWS251" s="1206"/>
      <c r="LWT251" s="1206"/>
      <c r="LWU251" s="1206"/>
      <c r="LWV251" s="1207"/>
      <c r="LWW251" s="1206"/>
      <c r="LWX251" s="1206"/>
      <c r="LWY251" s="1206"/>
      <c r="LWZ251" s="1206"/>
      <c r="LXA251" s="1206"/>
      <c r="LXB251" s="1206"/>
      <c r="LXC251" s="1206"/>
      <c r="LXD251" s="1206"/>
      <c r="LXE251" s="1206"/>
      <c r="LXF251" s="1206"/>
      <c r="LXG251" s="1206"/>
      <c r="LXH251" s="1206"/>
      <c r="LXI251" s="1206"/>
      <c r="LXJ251" s="1206"/>
      <c r="LXK251" s="1206"/>
      <c r="LXL251" s="1206"/>
      <c r="LXM251" s="1207"/>
      <c r="LXN251" s="1206"/>
      <c r="LXO251" s="1206"/>
      <c r="LXP251" s="1206"/>
      <c r="LXQ251" s="1206"/>
      <c r="LXR251" s="1206"/>
      <c r="LXS251" s="1206"/>
      <c r="LXT251" s="1206"/>
      <c r="LXU251" s="1206"/>
      <c r="LXV251" s="1206"/>
      <c r="LXW251" s="1206"/>
      <c r="LXX251" s="1206"/>
      <c r="LXY251" s="1206"/>
      <c r="LXZ251" s="1206"/>
      <c r="LYA251" s="1206"/>
      <c r="LYB251" s="1206"/>
      <c r="LYC251" s="1206"/>
      <c r="LYD251" s="1207"/>
      <c r="LYE251" s="1206"/>
      <c r="LYF251" s="1206"/>
      <c r="LYG251" s="1206"/>
      <c r="LYH251" s="1206"/>
      <c r="LYI251" s="1206"/>
      <c r="LYJ251" s="1206"/>
      <c r="LYK251" s="1206"/>
      <c r="LYL251" s="1206"/>
      <c r="LYM251" s="1206"/>
      <c r="LYN251" s="1206"/>
      <c r="LYO251" s="1206"/>
      <c r="LYP251" s="1206"/>
      <c r="LYQ251" s="1206"/>
      <c r="LYR251" s="1206"/>
      <c r="LYS251" s="1206"/>
      <c r="LYT251" s="1206"/>
      <c r="LYU251" s="1207"/>
      <c r="LYV251" s="1206"/>
      <c r="LYW251" s="1206"/>
      <c r="LYX251" s="1206"/>
      <c r="LYY251" s="1206"/>
      <c r="LYZ251" s="1206"/>
      <c r="LZA251" s="1206"/>
      <c r="LZB251" s="1206"/>
      <c r="LZC251" s="1206"/>
      <c r="LZD251" s="1206"/>
      <c r="LZE251" s="1206"/>
      <c r="LZF251" s="1206"/>
      <c r="LZG251" s="1206"/>
      <c r="LZH251" s="1206"/>
      <c r="LZI251" s="1206"/>
      <c r="LZJ251" s="1206"/>
      <c r="LZK251" s="1206"/>
      <c r="LZL251" s="1207"/>
      <c r="LZM251" s="1206"/>
      <c r="LZN251" s="1206"/>
      <c r="LZO251" s="1206"/>
      <c r="LZP251" s="1206"/>
      <c r="LZQ251" s="1206"/>
      <c r="LZR251" s="1206"/>
      <c r="LZS251" s="1206"/>
      <c r="LZT251" s="1206"/>
      <c r="LZU251" s="1206"/>
      <c r="LZV251" s="1206"/>
      <c r="LZW251" s="1206"/>
      <c r="LZX251" s="1206"/>
      <c r="LZY251" s="1206"/>
      <c r="LZZ251" s="1206"/>
      <c r="MAA251" s="1206"/>
      <c r="MAB251" s="1206"/>
      <c r="MAC251" s="1207"/>
      <c r="MAD251" s="1206"/>
      <c r="MAE251" s="1206"/>
      <c r="MAF251" s="1206"/>
      <c r="MAG251" s="1206"/>
      <c r="MAH251" s="1206"/>
      <c r="MAI251" s="1206"/>
      <c r="MAJ251" s="1206"/>
      <c r="MAK251" s="1206"/>
      <c r="MAL251" s="1206"/>
      <c r="MAM251" s="1206"/>
      <c r="MAN251" s="1206"/>
      <c r="MAO251" s="1206"/>
      <c r="MAP251" s="1206"/>
      <c r="MAQ251" s="1206"/>
      <c r="MAR251" s="1206"/>
      <c r="MAS251" s="1206"/>
      <c r="MAT251" s="1207"/>
      <c r="MAU251" s="1206"/>
      <c r="MAV251" s="1206"/>
      <c r="MAW251" s="1206"/>
      <c r="MAX251" s="1206"/>
      <c r="MAY251" s="1206"/>
      <c r="MAZ251" s="1206"/>
      <c r="MBA251" s="1206"/>
      <c r="MBB251" s="1206"/>
      <c r="MBC251" s="1206"/>
      <c r="MBD251" s="1206"/>
      <c r="MBE251" s="1206"/>
      <c r="MBF251" s="1206"/>
      <c r="MBG251" s="1206"/>
      <c r="MBH251" s="1206"/>
      <c r="MBI251" s="1206"/>
      <c r="MBJ251" s="1206"/>
      <c r="MBK251" s="1207"/>
      <c r="MBL251" s="1206"/>
      <c r="MBM251" s="1206"/>
      <c r="MBN251" s="1206"/>
      <c r="MBO251" s="1206"/>
      <c r="MBP251" s="1206"/>
      <c r="MBQ251" s="1206"/>
      <c r="MBR251" s="1206"/>
      <c r="MBS251" s="1206"/>
      <c r="MBT251" s="1206"/>
      <c r="MBU251" s="1206"/>
      <c r="MBV251" s="1206"/>
      <c r="MBW251" s="1206"/>
      <c r="MBX251" s="1206"/>
      <c r="MBY251" s="1206"/>
      <c r="MBZ251" s="1206"/>
      <c r="MCA251" s="1206"/>
      <c r="MCB251" s="1207"/>
      <c r="MCC251" s="1206"/>
      <c r="MCD251" s="1206"/>
      <c r="MCE251" s="1206"/>
      <c r="MCF251" s="1206"/>
      <c r="MCG251" s="1206"/>
      <c r="MCH251" s="1206"/>
      <c r="MCI251" s="1206"/>
      <c r="MCJ251" s="1206"/>
      <c r="MCK251" s="1206"/>
      <c r="MCL251" s="1206"/>
      <c r="MCM251" s="1206"/>
      <c r="MCN251" s="1206"/>
      <c r="MCO251" s="1206"/>
      <c r="MCP251" s="1206"/>
      <c r="MCQ251" s="1206"/>
      <c r="MCR251" s="1206"/>
      <c r="MCS251" s="1207"/>
      <c r="MCT251" s="1206"/>
      <c r="MCU251" s="1206"/>
      <c r="MCV251" s="1206"/>
      <c r="MCW251" s="1206"/>
      <c r="MCX251" s="1206"/>
      <c r="MCY251" s="1206"/>
      <c r="MCZ251" s="1206"/>
      <c r="MDA251" s="1206"/>
      <c r="MDB251" s="1206"/>
      <c r="MDC251" s="1206"/>
      <c r="MDD251" s="1206"/>
      <c r="MDE251" s="1206"/>
      <c r="MDF251" s="1206"/>
      <c r="MDG251" s="1206"/>
      <c r="MDH251" s="1206"/>
      <c r="MDI251" s="1206"/>
      <c r="MDJ251" s="1207"/>
      <c r="MDK251" s="1206"/>
      <c r="MDL251" s="1206"/>
      <c r="MDM251" s="1206"/>
      <c r="MDN251" s="1206"/>
      <c r="MDO251" s="1206"/>
      <c r="MDP251" s="1206"/>
      <c r="MDQ251" s="1206"/>
      <c r="MDR251" s="1206"/>
      <c r="MDS251" s="1206"/>
      <c r="MDT251" s="1206"/>
      <c r="MDU251" s="1206"/>
      <c r="MDV251" s="1206"/>
      <c r="MDW251" s="1206"/>
      <c r="MDX251" s="1206"/>
      <c r="MDY251" s="1206"/>
      <c r="MDZ251" s="1206"/>
      <c r="MEA251" s="1207"/>
      <c r="MEB251" s="1206"/>
      <c r="MEC251" s="1206"/>
      <c r="MED251" s="1206"/>
      <c r="MEE251" s="1206"/>
      <c r="MEF251" s="1206"/>
      <c r="MEG251" s="1206"/>
      <c r="MEH251" s="1206"/>
      <c r="MEI251" s="1206"/>
      <c r="MEJ251" s="1206"/>
      <c r="MEK251" s="1206"/>
      <c r="MEL251" s="1206"/>
      <c r="MEM251" s="1206"/>
      <c r="MEN251" s="1206"/>
      <c r="MEO251" s="1206"/>
      <c r="MEP251" s="1206"/>
      <c r="MEQ251" s="1206"/>
      <c r="MER251" s="1207"/>
      <c r="MES251" s="1206"/>
      <c r="MET251" s="1206"/>
      <c r="MEU251" s="1206"/>
      <c r="MEV251" s="1206"/>
      <c r="MEW251" s="1206"/>
      <c r="MEX251" s="1206"/>
      <c r="MEY251" s="1206"/>
      <c r="MEZ251" s="1206"/>
      <c r="MFA251" s="1206"/>
      <c r="MFB251" s="1206"/>
      <c r="MFC251" s="1206"/>
      <c r="MFD251" s="1206"/>
      <c r="MFE251" s="1206"/>
      <c r="MFF251" s="1206"/>
      <c r="MFG251" s="1206"/>
      <c r="MFH251" s="1206"/>
      <c r="MFI251" s="1207"/>
      <c r="MFJ251" s="1206"/>
      <c r="MFK251" s="1206"/>
      <c r="MFL251" s="1206"/>
      <c r="MFM251" s="1206"/>
      <c r="MFN251" s="1206"/>
      <c r="MFO251" s="1206"/>
      <c r="MFP251" s="1206"/>
      <c r="MFQ251" s="1206"/>
      <c r="MFR251" s="1206"/>
      <c r="MFS251" s="1206"/>
      <c r="MFT251" s="1206"/>
      <c r="MFU251" s="1206"/>
      <c r="MFV251" s="1206"/>
      <c r="MFW251" s="1206"/>
      <c r="MFX251" s="1206"/>
      <c r="MFY251" s="1206"/>
      <c r="MFZ251" s="1207"/>
      <c r="MGA251" s="1206"/>
      <c r="MGB251" s="1206"/>
      <c r="MGC251" s="1206"/>
      <c r="MGD251" s="1206"/>
      <c r="MGE251" s="1206"/>
      <c r="MGF251" s="1206"/>
      <c r="MGG251" s="1206"/>
      <c r="MGH251" s="1206"/>
      <c r="MGI251" s="1206"/>
      <c r="MGJ251" s="1206"/>
      <c r="MGK251" s="1206"/>
      <c r="MGL251" s="1206"/>
      <c r="MGM251" s="1206"/>
      <c r="MGN251" s="1206"/>
      <c r="MGO251" s="1206"/>
      <c r="MGP251" s="1206"/>
      <c r="MGQ251" s="1207"/>
      <c r="MGR251" s="1206"/>
      <c r="MGS251" s="1206"/>
      <c r="MGT251" s="1206"/>
      <c r="MGU251" s="1206"/>
      <c r="MGV251" s="1206"/>
      <c r="MGW251" s="1206"/>
      <c r="MGX251" s="1206"/>
      <c r="MGY251" s="1206"/>
      <c r="MGZ251" s="1206"/>
      <c r="MHA251" s="1206"/>
      <c r="MHB251" s="1206"/>
      <c r="MHC251" s="1206"/>
      <c r="MHD251" s="1206"/>
      <c r="MHE251" s="1206"/>
      <c r="MHF251" s="1206"/>
      <c r="MHG251" s="1206"/>
      <c r="MHH251" s="1207"/>
      <c r="MHI251" s="1206"/>
      <c r="MHJ251" s="1206"/>
      <c r="MHK251" s="1206"/>
      <c r="MHL251" s="1206"/>
      <c r="MHM251" s="1206"/>
      <c r="MHN251" s="1206"/>
      <c r="MHO251" s="1206"/>
      <c r="MHP251" s="1206"/>
      <c r="MHQ251" s="1206"/>
      <c r="MHR251" s="1206"/>
      <c r="MHS251" s="1206"/>
      <c r="MHT251" s="1206"/>
      <c r="MHU251" s="1206"/>
      <c r="MHV251" s="1206"/>
      <c r="MHW251" s="1206"/>
      <c r="MHX251" s="1206"/>
      <c r="MHY251" s="1207"/>
      <c r="MHZ251" s="1206"/>
      <c r="MIA251" s="1206"/>
      <c r="MIB251" s="1206"/>
      <c r="MIC251" s="1206"/>
      <c r="MID251" s="1206"/>
      <c r="MIE251" s="1206"/>
      <c r="MIF251" s="1206"/>
      <c r="MIG251" s="1206"/>
      <c r="MIH251" s="1206"/>
      <c r="MII251" s="1206"/>
      <c r="MIJ251" s="1206"/>
      <c r="MIK251" s="1206"/>
      <c r="MIL251" s="1206"/>
      <c r="MIM251" s="1206"/>
      <c r="MIN251" s="1206"/>
      <c r="MIO251" s="1206"/>
      <c r="MIP251" s="1207"/>
      <c r="MIQ251" s="1206"/>
      <c r="MIR251" s="1206"/>
      <c r="MIS251" s="1206"/>
      <c r="MIT251" s="1206"/>
      <c r="MIU251" s="1206"/>
      <c r="MIV251" s="1206"/>
      <c r="MIW251" s="1206"/>
      <c r="MIX251" s="1206"/>
      <c r="MIY251" s="1206"/>
      <c r="MIZ251" s="1206"/>
      <c r="MJA251" s="1206"/>
      <c r="MJB251" s="1206"/>
      <c r="MJC251" s="1206"/>
      <c r="MJD251" s="1206"/>
      <c r="MJE251" s="1206"/>
      <c r="MJF251" s="1206"/>
      <c r="MJG251" s="1207"/>
      <c r="MJH251" s="1206"/>
      <c r="MJI251" s="1206"/>
      <c r="MJJ251" s="1206"/>
      <c r="MJK251" s="1206"/>
      <c r="MJL251" s="1206"/>
      <c r="MJM251" s="1206"/>
      <c r="MJN251" s="1206"/>
      <c r="MJO251" s="1206"/>
      <c r="MJP251" s="1206"/>
      <c r="MJQ251" s="1206"/>
      <c r="MJR251" s="1206"/>
      <c r="MJS251" s="1206"/>
      <c r="MJT251" s="1206"/>
      <c r="MJU251" s="1206"/>
      <c r="MJV251" s="1206"/>
      <c r="MJW251" s="1206"/>
      <c r="MJX251" s="1207"/>
      <c r="MJY251" s="1206"/>
      <c r="MJZ251" s="1206"/>
      <c r="MKA251" s="1206"/>
      <c r="MKB251" s="1206"/>
      <c r="MKC251" s="1206"/>
      <c r="MKD251" s="1206"/>
      <c r="MKE251" s="1206"/>
      <c r="MKF251" s="1206"/>
      <c r="MKG251" s="1206"/>
      <c r="MKH251" s="1206"/>
      <c r="MKI251" s="1206"/>
      <c r="MKJ251" s="1206"/>
      <c r="MKK251" s="1206"/>
      <c r="MKL251" s="1206"/>
      <c r="MKM251" s="1206"/>
      <c r="MKN251" s="1206"/>
      <c r="MKO251" s="1207"/>
      <c r="MKP251" s="1206"/>
      <c r="MKQ251" s="1206"/>
      <c r="MKR251" s="1206"/>
      <c r="MKS251" s="1206"/>
      <c r="MKT251" s="1206"/>
      <c r="MKU251" s="1206"/>
      <c r="MKV251" s="1206"/>
      <c r="MKW251" s="1206"/>
      <c r="MKX251" s="1206"/>
      <c r="MKY251" s="1206"/>
      <c r="MKZ251" s="1206"/>
      <c r="MLA251" s="1206"/>
      <c r="MLB251" s="1206"/>
      <c r="MLC251" s="1206"/>
      <c r="MLD251" s="1206"/>
      <c r="MLE251" s="1206"/>
      <c r="MLF251" s="1207"/>
      <c r="MLG251" s="1206"/>
      <c r="MLH251" s="1206"/>
      <c r="MLI251" s="1206"/>
      <c r="MLJ251" s="1206"/>
      <c r="MLK251" s="1206"/>
      <c r="MLL251" s="1206"/>
      <c r="MLM251" s="1206"/>
      <c r="MLN251" s="1206"/>
      <c r="MLO251" s="1206"/>
      <c r="MLP251" s="1206"/>
      <c r="MLQ251" s="1206"/>
      <c r="MLR251" s="1206"/>
      <c r="MLS251" s="1206"/>
      <c r="MLT251" s="1206"/>
      <c r="MLU251" s="1206"/>
      <c r="MLV251" s="1206"/>
      <c r="MLW251" s="1207"/>
      <c r="MLX251" s="1206"/>
      <c r="MLY251" s="1206"/>
      <c r="MLZ251" s="1206"/>
      <c r="MMA251" s="1206"/>
      <c r="MMB251" s="1206"/>
      <c r="MMC251" s="1206"/>
      <c r="MMD251" s="1206"/>
      <c r="MME251" s="1206"/>
      <c r="MMF251" s="1206"/>
      <c r="MMG251" s="1206"/>
      <c r="MMH251" s="1206"/>
      <c r="MMI251" s="1206"/>
      <c r="MMJ251" s="1206"/>
      <c r="MMK251" s="1206"/>
      <c r="MML251" s="1206"/>
      <c r="MMM251" s="1206"/>
      <c r="MMN251" s="1207"/>
      <c r="MMO251" s="1206"/>
      <c r="MMP251" s="1206"/>
      <c r="MMQ251" s="1206"/>
      <c r="MMR251" s="1206"/>
      <c r="MMS251" s="1206"/>
      <c r="MMT251" s="1206"/>
      <c r="MMU251" s="1206"/>
      <c r="MMV251" s="1206"/>
      <c r="MMW251" s="1206"/>
      <c r="MMX251" s="1206"/>
      <c r="MMY251" s="1206"/>
      <c r="MMZ251" s="1206"/>
      <c r="MNA251" s="1206"/>
      <c r="MNB251" s="1206"/>
      <c r="MNC251" s="1206"/>
      <c r="MND251" s="1206"/>
      <c r="MNE251" s="1207"/>
      <c r="MNF251" s="1206"/>
      <c r="MNG251" s="1206"/>
      <c r="MNH251" s="1206"/>
      <c r="MNI251" s="1206"/>
      <c r="MNJ251" s="1206"/>
      <c r="MNK251" s="1206"/>
      <c r="MNL251" s="1206"/>
      <c r="MNM251" s="1206"/>
      <c r="MNN251" s="1206"/>
      <c r="MNO251" s="1206"/>
      <c r="MNP251" s="1206"/>
      <c r="MNQ251" s="1206"/>
      <c r="MNR251" s="1206"/>
      <c r="MNS251" s="1206"/>
      <c r="MNT251" s="1206"/>
      <c r="MNU251" s="1206"/>
      <c r="MNV251" s="1207"/>
      <c r="MNW251" s="1206"/>
      <c r="MNX251" s="1206"/>
      <c r="MNY251" s="1206"/>
      <c r="MNZ251" s="1206"/>
      <c r="MOA251" s="1206"/>
      <c r="MOB251" s="1206"/>
      <c r="MOC251" s="1206"/>
      <c r="MOD251" s="1206"/>
      <c r="MOE251" s="1206"/>
      <c r="MOF251" s="1206"/>
      <c r="MOG251" s="1206"/>
      <c r="MOH251" s="1206"/>
      <c r="MOI251" s="1206"/>
      <c r="MOJ251" s="1206"/>
      <c r="MOK251" s="1206"/>
      <c r="MOL251" s="1206"/>
      <c r="MOM251" s="1207"/>
      <c r="MON251" s="1206"/>
      <c r="MOO251" s="1206"/>
      <c r="MOP251" s="1206"/>
      <c r="MOQ251" s="1206"/>
      <c r="MOR251" s="1206"/>
      <c r="MOS251" s="1206"/>
      <c r="MOT251" s="1206"/>
      <c r="MOU251" s="1206"/>
      <c r="MOV251" s="1206"/>
      <c r="MOW251" s="1206"/>
      <c r="MOX251" s="1206"/>
      <c r="MOY251" s="1206"/>
      <c r="MOZ251" s="1206"/>
      <c r="MPA251" s="1206"/>
      <c r="MPB251" s="1206"/>
      <c r="MPC251" s="1206"/>
      <c r="MPD251" s="1207"/>
      <c r="MPE251" s="1206"/>
      <c r="MPF251" s="1206"/>
      <c r="MPG251" s="1206"/>
      <c r="MPH251" s="1206"/>
      <c r="MPI251" s="1206"/>
      <c r="MPJ251" s="1206"/>
      <c r="MPK251" s="1206"/>
      <c r="MPL251" s="1206"/>
      <c r="MPM251" s="1206"/>
      <c r="MPN251" s="1206"/>
      <c r="MPO251" s="1206"/>
      <c r="MPP251" s="1206"/>
      <c r="MPQ251" s="1206"/>
      <c r="MPR251" s="1206"/>
      <c r="MPS251" s="1206"/>
      <c r="MPT251" s="1206"/>
      <c r="MPU251" s="1207"/>
      <c r="MPV251" s="1206"/>
      <c r="MPW251" s="1206"/>
      <c r="MPX251" s="1206"/>
      <c r="MPY251" s="1206"/>
      <c r="MPZ251" s="1206"/>
      <c r="MQA251" s="1206"/>
      <c r="MQB251" s="1206"/>
      <c r="MQC251" s="1206"/>
      <c r="MQD251" s="1206"/>
      <c r="MQE251" s="1206"/>
      <c r="MQF251" s="1206"/>
      <c r="MQG251" s="1206"/>
      <c r="MQH251" s="1206"/>
      <c r="MQI251" s="1206"/>
      <c r="MQJ251" s="1206"/>
      <c r="MQK251" s="1206"/>
      <c r="MQL251" s="1207"/>
      <c r="MQM251" s="1206"/>
      <c r="MQN251" s="1206"/>
      <c r="MQO251" s="1206"/>
      <c r="MQP251" s="1206"/>
      <c r="MQQ251" s="1206"/>
      <c r="MQR251" s="1206"/>
      <c r="MQS251" s="1206"/>
      <c r="MQT251" s="1206"/>
      <c r="MQU251" s="1206"/>
      <c r="MQV251" s="1206"/>
      <c r="MQW251" s="1206"/>
      <c r="MQX251" s="1206"/>
      <c r="MQY251" s="1206"/>
      <c r="MQZ251" s="1206"/>
      <c r="MRA251" s="1206"/>
      <c r="MRB251" s="1206"/>
      <c r="MRC251" s="1207"/>
      <c r="MRD251" s="1206"/>
      <c r="MRE251" s="1206"/>
      <c r="MRF251" s="1206"/>
      <c r="MRG251" s="1206"/>
      <c r="MRH251" s="1206"/>
      <c r="MRI251" s="1206"/>
      <c r="MRJ251" s="1206"/>
      <c r="MRK251" s="1206"/>
      <c r="MRL251" s="1206"/>
      <c r="MRM251" s="1206"/>
      <c r="MRN251" s="1206"/>
      <c r="MRO251" s="1206"/>
      <c r="MRP251" s="1206"/>
      <c r="MRQ251" s="1206"/>
      <c r="MRR251" s="1206"/>
      <c r="MRS251" s="1206"/>
      <c r="MRT251" s="1207"/>
      <c r="MRU251" s="1206"/>
      <c r="MRV251" s="1206"/>
      <c r="MRW251" s="1206"/>
      <c r="MRX251" s="1206"/>
      <c r="MRY251" s="1206"/>
      <c r="MRZ251" s="1206"/>
      <c r="MSA251" s="1206"/>
      <c r="MSB251" s="1206"/>
      <c r="MSC251" s="1206"/>
      <c r="MSD251" s="1206"/>
      <c r="MSE251" s="1206"/>
      <c r="MSF251" s="1206"/>
      <c r="MSG251" s="1206"/>
      <c r="MSH251" s="1206"/>
      <c r="MSI251" s="1206"/>
      <c r="MSJ251" s="1206"/>
      <c r="MSK251" s="1207"/>
      <c r="MSL251" s="1206"/>
      <c r="MSM251" s="1206"/>
      <c r="MSN251" s="1206"/>
      <c r="MSO251" s="1206"/>
      <c r="MSP251" s="1206"/>
      <c r="MSQ251" s="1206"/>
      <c r="MSR251" s="1206"/>
      <c r="MSS251" s="1206"/>
      <c r="MST251" s="1206"/>
      <c r="MSU251" s="1206"/>
      <c r="MSV251" s="1206"/>
      <c r="MSW251" s="1206"/>
      <c r="MSX251" s="1206"/>
      <c r="MSY251" s="1206"/>
      <c r="MSZ251" s="1206"/>
      <c r="MTA251" s="1206"/>
      <c r="MTB251" s="1207"/>
      <c r="MTC251" s="1206"/>
      <c r="MTD251" s="1206"/>
      <c r="MTE251" s="1206"/>
      <c r="MTF251" s="1206"/>
      <c r="MTG251" s="1206"/>
      <c r="MTH251" s="1206"/>
      <c r="MTI251" s="1206"/>
      <c r="MTJ251" s="1206"/>
      <c r="MTK251" s="1206"/>
      <c r="MTL251" s="1206"/>
      <c r="MTM251" s="1206"/>
      <c r="MTN251" s="1206"/>
      <c r="MTO251" s="1206"/>
      <c r="MTP251" s="1206"/>
      <c r="MTQ251" s="1206"/>
      <c r="MTR251" s="1206"/>
      <c r="MTS251" s="1207"/>
      <c r="MTT251" s="1206"/>
      <c r="MTU251" s="1206"/>
      <c r="MTV251" s="1206"/>
      <c r="MTW251" s="1206"/>
      <c r="MTX251" s="1206"/>
      <c r="MTY251" s="1206"/>
      <c r="MTZ251" s="1206"/>
      <c r="MUA251" s="1206"/>
      <c r="MUB251" s="1206"/>
      <c r="MUC251" s="1206"/>
      <c r="MUD251" s="1206"/>
      <c r="MUE251" s="1206"/>
      <c r="MUF251" s="1206"/>
      <c r="MUG251" s="1206"/>
      <c r="MUH251" s="1206"/>
      <c r="MUI251" s="1206"/>
      <c r="MUJ251" s="1207"/>
      <c r="MUK251" s="1206"/>
      <c r="MUL251" s="1206"/>
      <c r="MUM251" s="1206"/>
      <c r="MUN251" s="1206"/>
      <c r="MUO251" s="1206"/>
      <c r="MUP251" s="1206"/>
      <c r="MUQ251" s="1206"/>
      <c r="MUR251" s="1206"/>
      <c r="MUS251" s="1206"/>
      <c r="MUT251" s="1206"/>
      <c r="MUU251" s="1206"/>
      <c r="MUV251" s="1206"/>
      <c r="MUW251" s="1206"/>
      <c r="MUX251" s="1206"/>
      <c r="MUY251" s="1206"/>
      <c r="MUZ251" s="1206"/>
      <c r="MVA251" s="1207"/>
      <c r="MVB251" s="1206"/>
      <c r="MVC251" s="1206"/>
      <c r="MVD251" s="1206"/>
      <c r="MVE251" s="1206"/>
      <c r="MVF251" s="1206"/>
      <c r="MVG251" s="1206"/>
      <c r="MVH251" s="1206"/>
      <c r="MVI251" s="1206"/>
      <c r="MVJ251" s="1206"/>
      <c r="MVK251" s="1206"/>
      <c r="MVL251" s="1206"/>
      <c r="MVM251" s="1206"/>
      <c r="MVN251" s="1206"/>
      <c r="MVO251" s="1206"/>
      <c r="MVP251" s="1206"/>
      <c r="MVQ251" s="1206"/>
      <c r="MVR251" s="1207"/>
      <c r="MVS251" s="1206"/>
      <c r="MVT251" s="1206"/>
      <c r="MVU251" s="1206"/>
      <c r="MVV251" s="1206"/>
      <c r="MVW251" s="1206"/>
      <c r="MVX251" s="1206"/>
      <c r="MVY251" s="1206"/>
      <c r="MVZ251" s="1206"/>
      <c r="MWA251" s="1206"/>
      <c r="MWB251" s="1206"/>
      <c r="MWC251" s="1206"/>
      <c r="MWD251" s="1206"/>
      <c r="MWE251" s="1206"/>
      <c r="MWF251" s="1206"/>
      <c r="MWG251" s="1206"/>
      <c r="MWH251" s="1206"/>
      <c r="MWI251" s="1207"/>
      <c r="MWJ251" s="1206"/>
      <c r="MWK251" s="1206"/>
      <c r="MWL251" s="1206"/>
      <c r="MWM251" s="1206"/>
      <c r="MWN251" s="1206"/>
      <c r="MWO251" s="1206"/>
      <c r="MWP251" s="1206"/>
      <c r="MWQ251" s="1206"/>
      <c r="MWR251" s="1206"/>
      <c r="MWS251" s="1206"/>
      <c r="MWT251" s="1206"/>
      <c r="MWU251" s="1206"/>
      <c r="MWV251" s="1206"/>
      <c r="MWW251" s="1206"/>
      <c r="MWX251" s="1206"/>
      <c r="MWY251" s="1206"/>
      <c r="MWZ251" s="1207"/>
      <c r="MXA251" s="1206"/>
      <c r="MXB251" s="1206"/>
      <c r="MXC251" s="1206"/>
      <c r="MXD251" s="1206"/>
      <c r="MXE251" s="1206"/>
      <c r="MXF251" s="1206"/>
      <c r="MXG251" s="1206"/>
      <c r="MXH251" s="1206"/>
      <c r="MXI251" s="1206"/>
      <c r="MXJ251" s="1206"/>
      <c r="MXK251" s="1206"/>
      <c r="MXL251" s="1206"/>
      <c r="MXM251" s="1206"/>
      <c r="MXN251" s="1206"/>
      <c r="MXO251" s="1206"/>
      <c r="MXP251" s="1206"/>
      <c r="MXQ251" s="1207"/>
      <c r="MXR251" s="1206"/>
      <c r="MXS251" s="1206"/>
      <c r="MXT251" s="1206"/>
      <c r="MXU251" s="1206"/>
      <c r="MXV251" s="1206"/>
      <c r="MXW251" s="1206"/>
      <c r="MXX251" s="1206"/>
      <c r="MXY251" s="1206"/>
      <c r="MXZ251" s="1206"/>
      <c r="MYA251" s="1206"/>
      <c r="MYB251" s="1206"/>
      <c r="MYC251" s="1206"/>
      <c r="MYD251" s="1206"/>
      <c r="MYE251" s="1206"/>
      <c r="MYF251" s="1206"/>
      <c r="MYG251" s="1206"/>
      <c r="MYH251" s="1207"/>
      <c r="MYI251" s="1206"/>
      <c r="MYJ251" s="1206"/>
      <c r="MYK251" s="1206"/>
      <c r="MYL251" s="1206"/>
      <c r="MYM251" s="1206"/>
      <c r="MYN251" s="1206"/>
      <c r="MYO251" s="1206"/>
      <c r="MYP251" s="1206"/>
      <c r="MYQ251" s="1206"/>
      <c r="MYR251" s="1206"/>
      <c r="MYS251" s="1206"/>
      <c r="MYT251" s="1206"/>
      <c r="MYU251" s="1206"/>
      <c r="MYV251" s="1206"/>
      <c r="MYW251" s="1206"/>
      <c r="MYX251" s="1206"/>
      <c r="MYY251" s="1207"/>
      <c r="MYZ251" s="1206"/>
      <c r="MZA251" s="1206"/>
      <c r="MZB251" s="1206"/>
      <c r="MZC251" s="1206"/>
      <c r="MZD251" s="1206"/>
      <c r="MZE251" s="1206"/>
      <c r="MZF251" s="1206"/>
      <c r="MZG251" s="1206"/>
      <c r="MZH251" s="1206"/>
      <c r="MZI251" s="1206"/>
      <c r="MZJ251" s="1206"/>
      <c r="MZK251" s="1206"/>
      <c r="MZL251" s="1206"/>
      <c r="MZM251" s="1206"/>
      <c r="MZN251" s="1206"/>
      <c r="MZO251" s="1206"/>
      <c r="MZP251" s="1207"/>
      <c r="MZQ251" s="1206"/>
      <c r="MZR251" s="1206"/>
      <c r="MZS251" s="1206"/>
      <c r="MZT251" s="1206"/>
      <c r="MZU251" s="1206"/>
      <c r="MZV251" s="1206"/>
      <c r="MZW251" s="1206"/>
      <c r="MZX251" s="1206"/>
      <c r="MZY251" s="1206"/>
      <c r="MZZ251" s="1206"/>
      <c r="NAA251" s="1206"/>
      <c r="NAB251" s="1206"/>
      <c r="NAC251" s="1206"/>
      <c r="NAD251" s="1206"/>
      <c r="NAE251" s="1206"/>
      <c r="NAF251" s="1206"/>
      <c r="NAG251" s="1207"/>
      <c r="NAH251" s="1206"/>
      <c r="NAI251" s="1206"/>
      <c r="NAJ251" s="1206"/>
      <c r="NAK251" s="1206"/>
      <c r="NAL251" s="1206"/>
      <c r="NAM251" s="1206"/>
      <c r="NAN251" s="1206"/>
      <c r="NAO251" s="1206"/>
      <c r="NAP251" s="1206"/>
      <c r="NAQ251" s="1206"/>
      <c r="NAR251" s="1206"/>
      <c r="NAS251" s="1206"/>
      <c r="NAT251" s="1206"/>
      <c r="NAU251" s="1206"/>
      <c r="NAV251" s="1206"/>
      <c r="NAW251" s="1206"/>
      <c r="NAX251" s="1207"/>
      <c r="NAY251" s="1206"/>
      <c r="NAZ251" s="1206"/>
      <c r="NBA251" s="1206"/>
      <c r="NBB251" s="1206"/>
      <c r="NBC251" s="1206"/>
      <c r="NBD251" s="1206"/>
      <c r="NBE251" s="1206"/>
      <c r="NBF251" s="1206"/>
      <c r="NBG251" s="1206"/>
      <c r="NBH251" s="1206"/>
      <c r="NBI251" s="1206"/>
      <c r="NBJ251" s="1206"/>
      <c r="NBK251" s="1206"/>
      <c r="NBL251" s="1206"/>
      <c r="NBM251" s="1206"/>
      <c r="NBN251" s="1206"/>
      <c r="NBO251" s="1207"/>
      <c r="NBP251" s="1206"/>
      <c r="NBQ251" s="1206"/>
      <c r="NBR251" s="1206"/>
      <c r="NBS251" s="1206"/>
      <c r="NBT251" s="1206"/>
      <c r="NBU251" s="1206"/>
      <c r="NBV251" s="1206"/>
      <c r="NBW251" s="1206"/>
      <c r="NBX251" s="1206"/>
      <c r="NBY251" s="1206"/>
      <c r="NBZ251" s="1206"/>
      <c r="NCA251" s="1206"/>
      <c r="NCB251" s="1206"/>
      <c r="NCC251" s="1206"/>
      <c r="NCD251" s="1206"/>
      <c r="NCE251" s="1206"/>
      <c r="NCF251" s="1207"/>
      <c r="NCG251" s="1206"/>
      <c r="NCH251" s="1206"/>
      <c r="NCI251" s="1206"/>
      <c r="NCJ251" s="1206"/>
      <c r="NCK251" s="1206"/>
      <c r="NCL251" s="1206"/>
      <c r="NCM251" s="1206"/>
      <c r="NCN251" s="1206"/>
      <c r="NCO251" s="1206"/>
      <c r="NCP251" s="1206"/>
      <c r="NCQ251" s="1206"/>
      <c r="NCR251" s="1206"/>
      <c r="NCS251" s="1206"/>
      <c r="NCT251" s="1206"/>
      <c r="NCU251" s="1206"/>
      <c r="NCV251" s="1206"/>
      <c r="NCW251" s="1207"/>
      <c r="NCX251" s="1206"/>
      <c r="NCY251" s="1206"/>
      <c r="NCZ251" s="1206"/>
      <c r="NDA251" s="1206"/>
      <c r="NDB251" s="1206"/>
      <c r="NDC251" s="1206"/>
      <c r="NDD251" s="1206"/>
      <c r="NDE251" s="1206"/>
      <c r="NDF251" s="1206"/>
      <c r="NDG251" s="1206"/>
      <c r="NDH251" s="1206"/>
      <c r="NDI251" s="1206"/>
      <c r="NDJ251" s="1206"/>
      <c r="NDK251" s="1206"/>
      <c r="NDL251" s="1206"/>
      <c r="NDM251" s="1206"/>
      <c r="NDN251" s="1207"/>
      <c r="NDO251" s="1206"/>
      <c r="NDP251" s="1206"/>
      <c r="NDQ251" s="1206"/>
      <c r="NDR251" s="1206"/>
      <c r="NDS251" s="1206"/>
      <c r="NDT251" s="1206"/>
      <c r="NDU251" s="1206"/>
      <c r="NDV251" s="1206"/>
      <c r="NDW251" s="1206"/>
      <c r="NDX251" s="1206"/>
      <c r="NDY251" s="1206"/>
      <c r="NDZ251" s="1206"/>
      <c r="NEA251" s="1206"/>
      <c r="NEB251" s="1206"/>
      <c r="NEC251" s="1206"/>
      <c r="NED251" s="1206"/>
      <c r="NEE251" s="1207"/>
      <c r="NEF251" s="1206"/>
      <c r="NEG251" s="1206"/>
      <c r="NEH251" s="1206"/>
      <c r="NEI251" s="1206"/>
      <c r="NEJ251" s="1206"/>
      <c r="NEK251" s="1206"/>
      <c r="NEL251" s="1206"/>
      <c r="NEM251" s="1206"/>
      <c r="NEN251" s="1206"/>
      <c r="NEO251" s="1206"/>
      <c r="NEP251" s="1206"/>
      <c r="NEQ251" s="1206"/>
      <c r="NER251" s="1206"/>
      <c r="NES251" s="1206"/>
      <c r="NET251" s="1206"/>
      <c r="NEU251" s="1206"/>
      <c r="NEV251" s="1207"/>
      <c r="NEW251" s="1206"/>
      <c r="NEX251" s="1206"/>
      <c r="NEY251" s="1206"/>
      <c r="NEZ251" s="1206"/>
      <c r="NFA251" s="1206"/>
      <c r="NFB251" s="1206"/>
      <c r="NFC251" s="1206"/>
      <c r="NFD251" s="1206"/>
      <c r="NFE251" s="1206"/>
      <c r="NFF251" s="1206"/>
      <c r="NFG251" s="1206"/>
      <c r="NFH251" s="1206"/>
      <c r="NFI251" s="1206"/>
      <c r="NFJ251" s="1206"/>
      <c r="NFK251" s="1206"/>
      <c r="NFL251" s="1206"/>
      <c r="NFM251" s="1207"/>
      <c r="NFN251" s="1206"/>
      <c r="NFO251" s="1206"/>
      <c r="NFP251" s="1206"/>
      <c r="NFQ251" s="1206"/>
      <c r="NFR251" s="1206"/>
      <c r="NFS251" s="1206"/>
      <c r="NFT251" s="1206"/>
      <c r="NFU251" s="1206"/>
      <c r="NFV251" s="1206"/>
      <c r="NFW251" s="1206"/>
      <c r="NFX251" s="1206"/>
      <c r="NFY251" s="1206"/>
      <c r="NFZ251" s="1206"/>
      <c r="NGA251" s="1206"/>
      <c r="NGB251" s="1206"/>
      <c r="NGC251" s="1206"/>
      <c r="NGD251" s="1207"/>
      <c r="NGE251" s="1206"/>
      <c r="NGF251" s="1206"/>
      <c r="NGG251" s="1206"/>
      <c r="NGH251" s="1206"/>
      <c r="NGI251" s="1206"/>
      <c r="NGJ251" s="1206"/>
      <c r="NGK251" s="1206"/>
      <c r="NGL251" s="1206"/>
      <c r="NGM251" s="1206"/>
      <c r="NGN251" s="1206"/>
      <c r="NGO251" s="1206"/>
      <c r="NGP251" s="1206"/>
      <c r="NGQ251" s="1206"/>
      <c r="NGR251" s="1206"/>
      <c r="NGS251" s="1206"/>
      <c r="NGT251" s="1206"/>
      <c r="NGU251" s="1207"/>
      <c r="NGV251" s="1206"/>
      <c r="NGW251" s="1206"/>
      <c r="NGX251" s="1206"/>
      <c r="NGY251" s="1206"/>
      <c r="NGZ251" s="1206"/>
      <c r="NHA251" s="1206"/>
      <c r="NHB251" s="1206"/>
      <c r="NHC251" s="1206"/>
      <c r="NHD251" s="1206"/>
      <c r="NHE251" s="1206"/>
      <c r="NHF251" s="1206"/>
      <c r="NHG251" s="1206"/>
      <c r="NHH251" s="1206"/>
      <c r="NHI251" s="1206"/>
      <c r="NHJ251" s="1206"/>
      <c r="NHK251" s="1206"/>
      <c r="NHL251" s="1207"/>
      <c r="NHM251" s="1206"/>
      <c r="NHN251" s="1206"/>
      <c r="NHO251" s="1206"/>
      <c r="NHP251" s="1206"/>
      <c r="NHQ251" s="1206"/>
      <c r="NHR251" s="1206"/>
      <c r="NHS251" s="1206"/>
      <c r="NHT251" s="1206"/>
      <c r="NHU251" s="1206"/>
      <c r="NHV251" s="1206"/>
      <c r="NHW251" s="1206"/>
      <c r="NHX251" s="1206"/>
      <c r="NHY251" s="1206"/>
      <c r="NHZ251" s="1206"/>
      <c r="NIA251" s="1206"/>
      <c r="NIB251" s="1206"/>
      <c r="NIC251" s="1207"/>
      <c r="NID251" s="1206"/>
      <c r="NIE251" s="1206"/>
      <c r="NIF251" s="1206"/>
      <c r="NIG251" s="1206"/>
      <c r="NIH251" s="1206"/>
      <c r="NII251" s="1206"/>
      <c r="NIJ251" s="1206"/>
      <c r="NIK251" s="1206"/>
      <c r="NIL251" s="1206"/>
      <c r="NIM251" s="1206"/>
      <c r="NIN251" s="1206"/>
      <c r="NIO251" s="1206"/>
      <c r="NIP251" s="1206"/>
      <c r="NIQ251" s="1206"/>
      <c r="NIR251" s="1206"/>
      <c r="NIS251" s="1206"/>
      <c r="NIT251" s="1207"/>
      <c r="NIU251" s="1206"/>
      <c r="NIV251" s="1206"/>
      <c r="NIW251" s="1206"/>
      <c r="NIX251" s="1206"/>
      <c r="NIY251" s="1206"/>
      <c r="NIZ251" s="1206"/>
      <c r="NJA251" s="1206"/>
      <c r="NJB251" s="1206"/>
      <c r="NJC251" s="1206"/>
      <c r="NJD251" s="1206"/>
      <c r="NJE251" s="1206"/>
      <c r="NJF251" s="1206"/>
      <c r="NJG251" s="1206"/>
      <c r="NJH251" s="1206"/>
      <c r="NJI251" s="1206"/>
      <c r="NJJ251" s="1206"/>
      <c r="NJK251" s="1207"/>
      <c r="NJL251" s="1206"/>
      <c r="NJM251" s="1206"/>
      <c r="NJN251" s="1206"/>
      <c r="NJO251" s="1206"/>
      <c r="NJP251" s="1206"/>
      <c r="NJQ251" s="1206"/>
      <c r="NJR251" s="1206"/>
      <c r="NJS251" s="1206"/>
      <c r="NJT251" s="1206"/>
      <c r="NJU251" s="1206"/>
      <c r="NJV251" s="1206"/>
      <c r="NJW251" s="1206"/>
      <c r="NJX251" s="1206"/>
      <c r="NJY251" s="1206"/>
      <c r="NJZ251" s="1206"/>
      <c r="NKA251" s="1206"/>
      <c r="NKB251" s="1207"/>
      <c r="NKC251" s="1206"/>
      <c r="NKD251" s="1206"/>
      <c r="NKE251" s="1206"/>
      <c r="NKF251" s="1206"/>
      <c r="NKG251" s="1206"/>
      <c r="NKH251" s="1206"/>
      <c r="NKI251" s="1206"/>
      <c r="NKJ251" s="1206"/>
      <c r="NKK251" s="1206"/>
      <c r="NKL251" s="1206"/>
      <c r="NKM251" s="1206"/>
      <c r="NKN251" s="1206"/>
      <c r="NKO251" s="1206"/>
      <c r="NKP251" s="1206"/>
      <c r="NKQ251" s="1206"/>
      <c r="NKR251" s="1206"/>
      <c r="NKS251" s="1207"/>
      <c r="NKT251" s="1206"/>
      <c r="NKU251" s="1206"/>
      <c r="NKV251" s="1206"/>
      <c r="NKW251" s="1206"/>
      <c r="NKX251" s="1206"/>
      <c r="NKY251" s="1206"/>
      <c r="NKZ251" s="1206"/>
      <c r="NLA251" s="1206"/>
      <c r="NLB251" s="1206"/>
      <c r="NLC251" s="1206"/>
      <c r="NLD251" s="1206"/>
      <c r="NLE251" s="1206"/>
      <c r="NLF251" s="1206"/>
      <c r="NLG251" s="1206"/>
      <c r="NLH251" s="1206"/>
      <c r="NLI251" s="1206"/>
      <c r="NLJ251" s="1207"/>
      <c r="NLK251" s="1206"/>
      <c r="NLL251" s="1206"/>
      <c r="NLM251" s="1206"/>
      <c r="NLN251" s="1206"/>
      <c r="NLO251" s="1206"/>
      <c r="NLP251" s="1206"/>
      <c r="NLQ251" s="1206"/>
      <c r="NLR251" s="1206"/>
      <c r="NLS251" s="1206"/>
      <c r="NLT251" s="1206"/>
      <c r="NLU251" s="1206"/>
      <c r="NLV251" s="1206"/>
      <c r="NLW251" s="1206"/>
      <c r="NLX251" s="1206"/>
      <c r="NLY251" s="1206"/>
      <c r="NLZ251" s="1206"/>
      <c r="NMA251" s="1207"/>
      <c r="NMB251" s="1206"/>
      <c r="NMC251" s="1206"/>
      <c r="NMD251" s="1206"/>
      <c r="NME251" s="1206"/>
      <c r="NMF251" s="1206"/>
      <c r="NMG251" s="1206"/>
      <c r="NMH251" s="1206"/>
      <c r="NMI251" s="1206"/>
      <c r="NMJ251" s="1206"/>
      <c r="NMK251" s="1206"/>
      <c r="NML251" s="1206"/>
      <c r="NMM251" s="1206"/>
      <c r="NMN251" s="1206"/>
      <c r="NMO251" s="1206"/>
      <c r="NMP251" s="1206"/>
      <c r="NMQ251" s="1206"/>
      <c r="NMR251" s="1207"/>
      <c r="NMS251" s="1206"/>
      <c r="NMT251" s="1206"/>
      <c r="NMU251" s="1206"/>
      <c r="NMV251" s="1206"/>
      <c r="NMW251" s="1206"/>
      <c r="NMX251" s="1206"/>
      <c r="NMY251" s="1206"/>
      <c r="NMZ251" s="1206"/>
      <c r="NNA251" s="1206"/>
      <c r="NNB251" s="1206"/>
      <c r="NNC251" s="1206"/>
      <c r="NND251" s="1206"/>
      <c r="NNE251" s="1206"/>
      <c r="NNF251" s="1206"/>
      <c r="NNG251" s="1206"/>
      <c r="NNH251" s="1206"/>
      <c r="NNI251" s="1207"/>
      <c r="NNJ251" s="1206"/>
      <c r="NNK251" s="1206"/>
      <c r="NNL251" s="1206"/>
      <c r="NNM251" s="1206"/>
      <c r="NNN251" s="1206"/>
      <c r="NNO251" s="1206"/>
      <c r="NNP251" s="1206"/>
      <c r="NNQ251" s="1206"/>
      <c r="NNR251" s="1206"/>
      <c r="NNS251" s="1206"/>
      <c r="NNT251" s="1206"/>
      <c r="NNU251" s="1206"/>
      <c r="NNV251" s="1206"/>
      <c r="NNW251" s="1206"/>
      <c r="NNX251" s="1206"/>
      <c r="NNY251" s="1206"/>
      <c r="NNZ251" s="1207"/>
      <c r="NOA251" s="1206"/>
      <c r="NOB251" s="1206"/>
      <c r="NOC251" s="1206"/>
      <c r="NOD251" s="1206"/>
      <c r="NOE251" s="1206"/>
      <c r="NOF251" s="1206"/>
      <c r="NOG251" s="1206"/>
      <c r="NOH251" s="1206"/>
      <c r="NOI251" s="1206"/>
      <c r="NOJ251" s="1206"/>
      <c r="NOK251" s="1206"/>
      <c r="NOL251" s="1206"/>
      <c r="NOM251" s="1206"/>
      <c r="NON251" s="1206"/>
      <c r="NOO251" s="1206"/>
      <c r="NOP251" s="1206"/>
      <c r="NOQ251" s="1207"/>
      <c r="NOR251" s="1206"/>
      <c r="NOS251" s="1206"/>
      <c r="NOT251" s="1206"/>
      <c r="NOU251" s="1206"/>
      <c r="NOV251" s="1206"/>
      <c r="NOW251" s="1206"/>
      <c r="NOX251" s="1206"/>
      <c r="NOY251" s="1206"/>
      <c r="NOZ251" s="1206"/>
      <c r="NPA251" s="1206"/>
      <c r="NPB251" s="1206"/>
      <c r="NPC251" s="1206"/>
      <c r="NPD251" s="1206"/>
      <c r="NPE251" s="1206"/>
      <c r="NPF251" s="1206"/>
      <c r="NPG251" s="1206"/>
      <c r="NPH251" s="1207"/>
      <c r="NPI251" s="1206"/>
      <c r="NPJ251" s="1206"/>
      <c r="NPK251" s="1206"/>
      <c r="NPL251" s="1206"/>
      <c r="NPM251" s="1206"/>
      <c r="NPN251" s="1206"/>
      <c r="NPO251" s="1206"/>
      <c r="NPP251" s="1206"/>
      <c r="NPQ251" s="1206"/>
      <c r="NPR251" s="1206"/>
      <c r="NPS251" s="1206"/>
      <c r="NPT251" s="1206"/>
      <c r="NPU251" s="1206"/>
      <c r="NPV251" s="1206"/>
      <c r="NPW251" s="1206"/>
      <c r="NPX251" s="1206"/>
      <c r="NPY251" s="1207"/>
      <c r="NPZ251" s="1206"/>
      <c r="NQA251" s="1206"/>
      <c r="NQB251" s="1206"/>
      <c r="NQC251" s="1206"/>
      <c r="NQD251" s="1206"/>
      <c r="NQE251" s="1206"/>
      <c r="NQF251" s="1206"/>
      <c r="NQG251" s="1206"/>
      <c r="NQH251" s="1206"/>
      <c r="NQI251" s="1206"/>
      <c r="NQJ251" s="1206"/>
      <c r="NQK251" s="1206"/>
      <c r="NQL251" s="1206"/>
      <c r="NQM251" s="1206"/>
      <c r="NQN251" s="1206"/>
      <c r="NQO251" s="1206"/>
      <c r="NQP251" s="1207"/>
      <c r="NQQ251" s="1206"/>
      <c r="NQR251" s="1206"/>
      <c r="NQS251" s="1206"/>
      <c r="NQT251" s="1206"/>
      <c r="NQU251" s="1206"/>
      <c r="NQV251" s="1206"/>
      <c r="NQW251" s="1206"/>
      <c r="NQX251" s="1206"/>
      <c r="NQY251" s="1206"/>
      <c r="NQZ251" s="1206"/>
      <c r="NRA251" s="1206"/>
      <c r="NRB251" s="1206"/>
      <c r="NRC251" s="1206"/>
      <c r="NRD251" s="1206"/>
      <c r="NRE251" s="1206"/>
      <c r="NRF251" s="1206"/>
      <c r="NRG251" s="1207"/>
      <c r="NRH251" s="1206"/>
      <c r="NRI251" s="1206"/>
      <c r="NRJ251" s="1206"/>
      <c r="NRK251" s="1206"/>
      <c r="NRL251" s="1206"/>
      <c r="NRM251" s="1206"/>
      <c r="NRN251" s="1206"/>
      <c r="NRO251" s="1206"/>
      <c r="NRP251" s="1206"/>
      <c r="NRQ251" s="1206"/>
      <c r="NRR251" s="1206"/>
      <c r="NRS251" s="1206"/>
      <c r="NRT251" s="1206"/>
      <c r="NRU251" s="1206"/>
      <c r="NRV251" s="1206"/>
      <c r="NRW251" s="1206"/>
      <c r="NRX251" s="1207"/>
      <c r="NRY251" s="1206"/>
      <c r="NRZ251" s="1206"/>
      <c r="NSA251" s="1206"/>
      <c r="NSB251" s="1206"/>
      <c r="NSC251" s="1206"/>
      <c r="NSD251" s="1206"/>
      <c r="NSE251" s="1206"/>
      <c r="NSF251" s="1206"/>
      <c r="NSG251" s="1206"/>
      <c r="NSH251" s="1206"/>
      <c r="NSI251" s="1206"/>
      <c r="NSJ251" s="1206"/>
      <c r="NSK251" s="1206"/>
      <c r="NSL251" s="1206"/>
      <c r="NSM251" s="1206"/>
      <c r="NSN251" s="1206"/>
      <c r="NSO251" s="1207"/>
      <c r="NSP251" s="1206"/>
      <c r="NSQ251" s="1206"/>
      <c r="NSR251" s="1206"/>
      <c r="NSS251" s="1206"/>
      <c r="NST251" s="1206"/>
      <c r="NSU251" s="1206"/>
      <c r="NSV251" s="1206"/>
      <c r="NSW251" s="1206"/>
      <c r="NSX251" s="1206"/>
      <c r="NSY251" s="1206"/>
      <c r="NSZ251" s="1206"/>
      <c r="NTA251" s="1206"/>
      <c r="NTB251" s="1206"/>
      <c r="NTC251" s="1206"/>
      <c r="NTD251" s="1206"/>
      <c r="NTE251" s="1206"/>
      <c r="NTF251" s="1207"/>
      <c r="NTG251" s="1206"/>
      <c r="NTH251" s="1206"/>
      <c r="NTI251" s="1206"/>
      <c r="NTJ251" s="1206"/>
      <c r="NTK251" s="1206"/>
      <c r="NTL251" s="1206"/>
      <c r="NTM251" s="1206"/>
      <c r="NTN251" s="1206"/>
      <c r="NTO251" s="1206"/>
      <c r="NTP251" s="1206"/>
      <c r="NTQ251" s="1206"/>
      <c r="NTR251" s="1206"/>
      <c r="NTS251" s="1206"/>
      <c r="NTT251" s="1206"/>
      <c r="NTU251" s="1206"/>
      <c r="NTV251" s="1206"/>
      <c r="NTW251" s="1207"/>
      <c r="NTX251" s="1206"/>
      <c r="NTY251" s="1206"/>
      <c r="NTZ251" s="1206"/>
      <c r="NUA251" s="1206"/>
      <c r="NUB251" s="1206"/>
      <c r="NUC251" s="1206"/>
      <c r="NUD251" s="1206"/>
      <c r="NUE251" s="1206"/>
      <c r="NUF251" s="1206"/>
      <c r="NUG251" s="1206"/>
      <c r="NUH251" s="1206"/>
      <c r="NUI251" s="1206"/>
      <c r="NUJ251" s="1206"/>
      <c r="NUK251" s="1206"/>
      <c r="NUL251" s="1206"/>
      <c r="NUM251" s="1206"/>
      <c r="NUN251" s="1207"/>
      <c r="NUO251" s="1206"/>
      <c r="NUP251" s="1206"/>
      <c r="NUQ251" s="1206"/>
      <c r="NUR251" s="1206"/>
      <c r="NUS251" s="1206"/>
      <c r="NUT251" s="1206"/>
      <c r="NUU251" s="1206"/>
      <c r="NUV251" s="1206"/>
      <c r="NUW251" s="1206"/>
      <c r="NUX251" s="1206"/>
      <c r="NUY251" s="1206"/>
      <c r="NUZ251" s="1206"/>
      <c r="NVA251" s="1206"/>
      <c r="NVB251" s="1206"/>
      <c r="NVC251" s="1206"/>
      <c r="NVD251" s="1206"/>
      <c r="NVE251" s="1207"/>
      <c r="NVF251" s="1206"/>
      <c r="NVG251" s="1206"/>
      <c r="NVH251" s="1206"/>
      <c r="NVI251" s="1206"/>
      <c r="NVJ251" s="1206"/>
      <c r="NVK251" s="1206"/>
      <c r="NVL251" s="1206"/>
      <c r="NVM251" s="1206"/>
      <c r="NVN251" s="1206"/>
      <c r="NVO251" s="1206"/>
      <c r="NVP251" s="1206"/>
      <c r="NVQ251" s="1206"/>
      <c r="NVR251" s="1206"/>
      <c r="NVS251" s="1206"/>
      <c r="NVT251" s="1206"/>
      <c r="NVU251" s="1206"/>
      <c r="NVV251" s="1207"/>
      <c r="NVW251" s="1206"/>
      <c r="NVX251" s="1206"/>
      <c r="NVY251" s="1206"/>
      <c r="NVZ251" s="1206"/>
      <c r="NWA251" s="1206"/>
      <c r="NWB251" s="1206"/>
      <c r="NWC251" s="1206"/>
      <c r="NWD251" s="1206"/>
      <c r="NWE251" s="1206"/>
      <c r="NWF251" s="1206"/>
      <c r="NWG251" s="1206"/>
      <c r="NWH251" s="1206"/>
      <c r="NWI251" s="1206"/>
      <c r="NWJ251" s="1206"/>
      <c r="NWK251" s="1206"/>
      <c r="NWL251" s="1206"/>
      <c r="NWM251" s="1207"/>
      <c r="NWN251" s="1206"/>
      <c r="NWO251" s="1206"/>
      <c r="NWP251" s="1206"/>
      <c r="NWQ251" s="1206"/>
      <c r="NWR251" s="1206"/>
      <c r="NWS251" s="1206"/>
      <c r="NWT251" s="1206"/>
      <c r="NWU251" s="1206"/>
      <c r="NWV251" s="1206"/>
      <c r="NWW251" s="1206"/>
      <c r="NWX251" s="1206"/>
      <c r="NWY251" s="1206"/>
      <c r="NWZ251" s="1206"/>
      <c r="NXA251" s="1206"/>
      <c r="NXB251" s="1206"/>
      <c r="NXC251" s="1206"/>
      <c r="NXD251" s="1207"/>
      <c r="NXE251" s="1206"/>
      <c r="NXF251" s="1206"/>
      <c r="NXG251" s="1206"/>
      <c r="NXH251" s="1206"/>
      <c r="NXI251" s="1206"/>
      <c r="NXJ251" s="1206"/>
      <c r="NXK251" s="1206"/>
      <c r="NXL251" s="1206"/>
      <c r="NXM251" s="1206"/>
      <c r="NXN251" s="1206"/>
      <c r="NXO251" s="1206"/>
      <c r="NXP251" s="1206"/>
      <c r="NXQ251" s="1206"/>
      <c r="NXR251" s="1206"/>
      <c r="NXS251" s="1206"/>
      <c r="NXT251" s="1206"/>
      <c r="NXU251" s="1207"/>
      <c r="NXV251" s="1206"/>
      <c r="NXW251" s="1206"/>
      <c r="NXX251" s="1206"/>
      <c r="NXY251" s="1206"/>
      <c r="NXZ251" s="1206"/>
      <c r="NYA251" s="1206"/>
      <c r="NYB251" s="1206"/>
      <c r="NYC251" s="1206"/>
      <c r="NYD251" s="1206"/>
      <c r="NYE251" s="1206"/>
      <c r="NYF251" s="1206"/>
      <c r="NYG251" s="1206"/>
      <c r="NYH251" s="1206"/>
      <c r="NYI251" s="1206"/>
      <c r="NYJ251" s="1206"/>
      <c r="NYK251" s="1206"/>
      <c r="NYL251" s="1207"/>
      <c r="NYM251" s="1206"/>
      <c r="NYN251" s="1206"/>
      <c r="NYO251" s="1206"/>
      <c r="NYP251" s="1206"/>
      <c r="NYQ251" s="1206"/>
      <c r="NYR251" s="1206"/>
      <c r="NYS251" s="1206"/>
      <c r="NYT251" s="1206"/>
      <c r="NYU251" s="1206"/>
      <c r="NYV251" s="1206"/>
      <c r="NYW251" s="1206"/>
      <c r="NYX251" s="1206"/>
      <c r="NYY251" s="1206"/>
      <c r="NYZ251" s="1206"/>
      <c r="NZA251" s="1206"/>
      <c r="NZB251" s="1206"/>
      <c r="NZC251" s="1207"/>
      <c r="NZD251" s="1206"/>
      <c r="NZE251" s="1206"/>
      <c r="NZF251" s="1206"/>
      <c r="NZG251" s="1206"/>
      <c r="NZH251" s="1206"/>
      <c r="NZI251" s="1206"/>
      <c r="NZJ251" s="1206"/>
      <c r="NZK251" s="1206"/>
      <c r="NZL251" s="1206"/>
      <c r="NZM251" s="1206"/>
      <c r="NZN251" s="1206"/>
      <c r="NZO251" s="1206"/>
      <c r="NZP251" s="1206"/>
      <c r="NZQ251" s="1206"/>
      <c r="NZR251" s="1206"/>
      <c r="NZS251" s="1206"/>
      <c r="NZT251" s="1207"/>
      <c r="NZU251" s="1206"/>
      <c r="NZV251" s="1206"/>
      <c r="NZW251" s="1206"/>
      <c r="NZX251" s="1206"/>
      <c r="NZY251" s="1206"/>
      <c r="NZZ251" s="1206"/>
      <c r="OAA251" s="1206"/>
      <c r="OAB251" s="1206"/>
      <c r="OAC251" s="1206"/>
      <c r="OAD251" s="1206"/>
      <c r="OAE251" s="1206"/>
      <c r="OAF251" s="1206"/>
      <c r="OAG251" s="1206"/>
      <c r="OAH251" s="1206"/>
      <c r="OAI251" s="1206"/>
      <c r="OAJ251" s="1206"/>
      <c r="OAK251" s="1207"/>
      <c r="OAL251" s="1206"/>
      <c r="OAM251" s="1206"/>
      <c r="OAN251" s="1206"/>
      <c r="OAO251" s="1206"/>
      <c r="OAP251" s="1206"/>
      <c r="OAQ251" s="1206"/>
      <c r="OAR251" s="1206"/>
      <c r="OAS251" s="1206"/>
      <c r="OAT251" s="1206"/>
      <c r="OAU251" s="1206"/>
      <c r="OAV251" s="1206"/>
      <c r="OAW251" s="1206"/>
      <c r="OAX251" s="1206"/>
      <c r="OAY251" s="1206"/>
      <c r="OAZ251" s="1206"/>
      <c r="OBA251" s="1206"/>
      <c r="OBB251" s="1207"/>
      <c r="OBC251" s="1206"/>
      <c r="OBD251" s="1206"/>
      <c r="OBE251" s="1206"/>
      <c r="OBF251" s="1206"/>
      <c r="OBG251" s="1206"/>
      <c r="OBH251" s="1206"/>
      <c r="OBI251" s="1206"/>
      <c r="OBJ251" s="1206"/>
      <c r="OBK251" s="1206"/>
      <c r="OBL251" s="1206"/>
      <c r="OBM251" s="1206"/>
      <c r="OBN251" s="1206"/>
      <c r="OBO251" s="1206"/>
      <c r="OBP251" s="1206"/>
      <c r="OBQ251" s="1206"/>
      <c r="OBR251" s="1206"/>
      <c r="OBS251" s="1207"/>
      <c r="OBT251" s="1206"/>
      <c r="OBU251" s="1206"/>
      <c r="OBV251" s="1206"/>
      <c r="OBW251" s="1206"/>
      <c r="OBX251" s="1206"/>
      <c r="OBY251" s="1206"/>
      <c r="OBZ251" s="1206"/>
      <c r="OCA251" s="1206"/>
      <c r="OCB251" s="1206"/>
      <c r="OCC251" s="1206"/>
      <c r="OCD251" s="1206"/>
      <c r="OCE251" s="1206"/>
      <c r="OCF251" s="1206"/>
      <c r="OCG251" s="1206"/>
      <c r="OCH251" s="1206"/>
      <c r="OCI251" s="1206"/>
      <c r="OCJ251" s="1207"/>
      <c r="OCK251" s="1206"/>
      <c r="OCL251" s="1206"/>
      <c r="OCM251" s="1206"/>
      <c r="OCN251" s="1206"/>
      <c r="OCO251" s="1206"/>
      <c r="OCP251" s="1206"/>
      <c r="OCQ251" s="1206"/>
      <c r="OCR251" s="1206"/>
      <c r="OCS251" s="1206"/>
      <c r="OCT251" s="1206"/>
      <c r="OCU251" s="1206"/>
      <c r="OCV251" s="1206"/>
      <c r="OCW251" s="1206"/>
      <c r="OCX251" s="1206"/>
      <c r="OCY251" s="1206"/>
      <c r="OCZ251" s="1206"/>
      <c r="ODA251" s="1207"/>
      <c r="ODB251" s="1206"/>
      <c r="ODC251" s="1206"/>
      <c r="ODD251" s="1206"/>
      <c r="ODE251" s="1206"/>
      <c r="ODF251" s="1206"/>
      <c r="ODG251" s="1206"/>
      <c r="ODH251" s="1206"/>
      <c r="ODI251" s="1206"/>
      <c r="ODJ251" s="1206"/>
      <c r="ODK251" s="1206"/>
      <c r="ODL251" s="1206"/>
      <c r="ODM251" s="1206"/>
      <c r="ODN251" s="1206"/>
      <c r="ODO251" s="1206"/>
      <c r="ODP251" s="1206"/>
      <c r="ODQ251" s="1206"/>
      <c r="ODR251" s="1207"/>
      <c r="ODS251" s="1206"/>
      <c r="ODT251" s="1206"/>
      <c r="ODU251" s="1206"/>
      <c r="ODV251" s="1206"/>
      <c r="ODW251" s="1206"/>
      <c r="ODX251" s="1206"/>
      <c r="ODY251" s="1206"/>
      <c r="ODZ251" s="1206"/>
      <c r="OEA251" s="1206"/>
      <c r="OEB251" s="1206"/>
      <c r="OEC251" s="1206"/>
      <c r="OED251" s="1206"/>
      <c r="OEE251" s="1206"/>
      <c r="OEF251" s="1206"/>
      <c r="OEG251" s="1206"/>
      <c r="OEH251" s="1206"/>
      <c r="OEI251" s="1207"/>
      <c r="OEJ251" s="1206"/>
      <c r="OEK251" s="1206"/>
      <c r="OEL251" s="1206"/>
      <c r="OEM251" s="1206"/>
      <c r="OEN251" s="1206"/>
      <c r="OEO251" s="1206"/>
      <c r="OEP251" s="1206"/>
      <c r="OEQ251" s="1206"/>
      <c r="OER251" s="1206"/>
      <c r="OES251" s="1206"/>
      <c r="OET251" s="1206"/>
      <c r="OEU251" s="1206"/>
      <c r="OEV251" s="1206"/>
      <c r="OEW251" s="1206"/>
      <c r="OEX251" s="1206"/>
      <c r="OEY251" s="1206"/>
      <c r="OEZ251" s="1207"/>
      <c r="OFA251" s="1206"/>
      <c r="OFB251" s="1206"/>
      <c r="OFC251" s="1206"/>
      <c r="OFD251" s="1206"/>
      <c r="OFE251" s="1206"/>
      <c r="OFF251" s="1206"/>
      <c r="OFG251" s="1206"/>
      <c r="OFH251" s="1206"/>
      <c r="OFI251" s="1206"/>
      <c r="OFJ251" s="1206"/>
      <c r="OFK251" s="1206"/>
      <c r="OFL251" s="1206"/>
      <c r="OFM251" s="1206"/>
      <c r="OFN251" s="1206"/>
      <c r="OFO251" s="1206"/>
      <c r="OFP251" s="1206"/>
      <c r="OFQ251" s="1207"/>
      <c r="OFR251" s="1206"/>
      <c r="OFS251" s="1206"/>
      <c r="OFT251" s="1206"/>
      <c r="OFU251" s="1206"/>
      <c r="OFV251" s="1206"/>
      <c r="OFW251" s="1206"/>
      <c r="OFX251" s="1206"/>
      <c r="OFY251" s="1206"/>
      <c r="OFZ251" s="1206"/>
      <c r="OGA251" s="1206"/>
      <c r="OGB251" s="1206"/>
      <c r="OGC251" s="1206"/>
      <c r="OGD251" s="1206"/>
      <c r="OGE251" s="1206"/>
      <c r="OGF251" s="1206"/>
      <c r="OGG251" s="1206"/>
      <c r="OGH251" s="1207"/>
      <c r="OGI251" s="1206"/>
      <c r="OGJ251" s="1206"/>
      <c r="OGK251" s="1206"/>
      <c r="OGL251" s="1206"/>
      <c r="OGM251" s="1206"/>
      <c r="OGN251" s="1206"/>
      <c r="OGO251" s="1206"/>
      <c r="OGP251" s="1206"/>
      <c r="OGQ251" s="1206"/>
      <c r="OGR251" s="1206"/>
      <c r="OGS251" s="1206"/>
      <c r="OGT251" s="1206"/>
      <c r="OGU251" s="1206"/>
      <c r="OGV251" s="1206"/>
      <c r="OGW251" s="1206"/>
      <c r="OGX251" s="1206"/>
      <c r="OGY251" s="1207"/>
      <c r="OGZ251" s="1206"/>
      <c r="OHA251" s="1206"/>
      <c r="OHB251" s="1206"/>
      <c r="OHC251" s="1206"/>
      <c r="OHD251" s="1206"/>
      <c r="OHE251" s="1206"/>
      <c r="OHF251" s="1206"/>
      <c r="OHG251" s="1206"/>
      <c r="OHH251" s="1206"/>
      <c r="OHI251" s="1206"/>
      <c r="OHJ251" s="1206"/>
      <c r="OHK251" s="1206"/>
      <c r="OHL251" s="1206"/>
      <c r="OHM251" s="1206"/>
      <c r="OHN251" s="1206"/>
      <c r="OHO251" s="1206"/>
      <c r="OHP251" s="1207"/>
      <c r="OHQ251" s="1206"/>
      <c r="OHR251" s="1206"/>
      <c r="OHS251" s="1206"/>
      <c r="OHT251" s="1206"/>
      <c r="OHU251" s="1206"/>
      <c r="OHV251" s="1206"/>
      <c r="OHW251" s="1206"/>
      <c r="OHX251" s="1206"/>
      <c r="OHY251" s="1206"/>
      <c r="OHZ251" s="1206"/>
      <c r="OIA251" s="1206"/>
      <c r="OIB251" s="1206"/>
      <c r="OIC251" s="1206"/>
      <c r="OID251" s="1206"/>
      <c r="OIE251" s="1206"/>
      <c r="OIF251" s="1206"/>
      <c r="OIG251" s="1207"/>
      <c r="OIH251" s="1206"/>
      <c r="OII251" s="1206"/>
      <c r="OIJ251" s="1206"/>
      <c r="OIK251" s="1206"/>
      <c r="OIL251" s="1206"/>
      <c r="OIM251" s="1206"/>
      <c r="OIN251" s="1206"/>
      <c r="OIO251" s="1206"/>
      <c r="OIP251" s="1206"/>
      <c r="OIQ251" s="1206"/>
      <c r="OIR251" s="1206"/>
      <c r="OIS251" s="1206"/>
      <c r="OIT251" s="1206"/>
      <c r="OIU251" s="1206"/>
      <c r="OIV251" s="1206"/>
      <c r="OIW251" s="1206"/>
      <c r="OIX251" s="1207"/>
      <c r="OIY251" s="1206"/>
      <c r="OIZ251" s="1206"/>
      <c r="OJA251" s="1206"/>
      <c r="OJB251" s="1206"/>
      <c r="OJC251" s="1206"/>
      <c r="OJD251" s="1206"/>
      <c r="OJE251" s="1206"/>
      <c r="OJF251" s="1206"/>
      <c r="OJG251" s="1206"/>
      <c r="OJH251" s="1206"/>
      <c r="OJI251" s="1206"/>
      <c r="OJJ251" s="1206"/>
      <c r="OJK251" s="1206"/>
      <c r="OJL251" s="1206"/>
      <c r="OJM251" s="1206"/>
      <c r="OJN251" s="1206"/>
      <c r="OJO251" s="1207"/>
      <c r="OJP251" s="1206"/>
      <c r="OJQ251" s="1206"/>
      <c r="OJR251" s="1206"/>
      <c r="OJS251" s="1206"/>
      <c r="OJT251" s="1206"/>
      <c r="OJU251" s="1206"/>
      <c r="OJV251" s="1206"/>
      <c r="OJW251" s="1206"/>
      <c r="OJX251" s="1206"/>
      <c r="OJY251" s="1206"/>
      <c r="OJZ251" s="1206"/>
      <c r="OKA251" s="1206"/>
      <c r="OKB251" s="1206"/>
      <c r="OKC251" s="1206"/>
      <c r="OKD251" s="1206"/>
      <c r="OKE251" s="1206"/>
      <c r="OKF251" s="1207"/>
      <c r="OKG251" s="1206"/>
      <c r="OKH251" s="1206"/>
      <c r="OKI251" s="1206"/>
      <c r="OKJ251" s="1206"/>
      <c r="OKK251" s="1206"/>
      <c r="OKL251" s="1206"/>
      <c r="OKM251" s="1206"/>
      <c r="OKN251" s="1206"/>
      <c r="OKO251" s="1206"/>
      <c r="OKP251" s="1206"/>
      <c r="OKQ251" s="1206"/>
      <c r="OKR251" s="1206"/>
      <c r="OKS251" s="1206"/>
      <c r="OKT251" s="1206"/>
      <c r="OKU251" s="1206"/>
      <c r="OKV251" s="1206"/>
      <c r="OKW251" s="1207"/>
      <c r="OKX251" s="1206"/>
      <c r="OKY251" s="1206"/>
      <c r="OKZ251" s="1206"/>
      <c r="OLA251" s="1206"/>
      <c r="OLB251" s="1206"/>
      <c r="OLC251" s="1206"/>
      <c r="OLD251" s="1206"/>
      <c r="OLE251" s="1206"/>
      <c r="OLF251" s="1206"/>
      <c r="OLG251" s="1206"/>
      <c r="OLH251" s="1206"/>
      <c r="OLI251" s="1206"/>
      <c r="OLJ251" s="1206"/>
      <c r="OLK251" s="1206"/>
      <c r="OLL251" s="1206"/>
      <c r="OLM251" s="1206"/>
      <c r="OLN251" s="1207"/>
      <c r="OLO251" s="1206"/>
      <c r="OLP251" s="1206"/>
      <c r="OLQ251" s="1206"/>
      <c r="OLR251" s="1206"/>
      <c r="OLS251" s="1206"/>
      <c r="OLT251" s="1206"/>
      <c r="OLU251" s="1206"/>
      <c r="OLV251" s="1206"/>
      <c r="OLW251" s="1206"/>
      <c r="OLX251" s="1206"/>
      <c r="OLY251" s="1206"/>
      <c r="OLZ251" s="1206"/>
      <c r="OMA251" s="1206"/>
      <c r="OMB251" s="1206"/>
      <c r="OMC251" s="1206"/>
      <c r="OMD251" s="1206"/>
      <c r="OME251" s="1207"/>
      <c r="OMF251" s="1206"/>
      <c r="OMG251" s="1206"/>
      <c r="OMH251" s="1206"/>
      <c r="OMI251" s="1206"/>
      <c r="OMJ251" s="1206"/>
      <c r="OMK251" s="1206"/>
      <c r="OML251" s="1206"/>
      <c r="OMM251" s="1206"/>
      <c r="OMN251" s="1206"/>
      <c r="OMO251" s="1206"/>
      <c r="OMP251" s="1206"/>
      <c r="OMQ251" s="1206"/>
      <c r="OMR251" s="1206"/>
      <c r="OMS251" s="1206"/>
      <c r="OMT251" s="1206"/>
      <c r="OMU251" s="1206"/>
      <c r="OMV251" s="1207"/>
      <c r="OMW251" s="1206"/>
      <c r="OMX251" s="1206"/>
      <c r="OMY251" s="1206"/>
      <c r="OMZ251" s="1206"/>
      <c r="ONA251" s="1206"/>
      <c r="ONB251" s="1206"/>
      <c r="ONC251" s="1206"/>
      <c r="OND251" s="1206"/>
      <c r="ONE251" s="1206"/>
      <c r="ONF251" s="1206"/>
      <c r="ONG251" s="1206"/>
      <c r="ONH251" s="1206"/>
      <c r="ONI251" s="1206"/>
      <c r="ONJ251" s="1206"/>
      <c r="ONK251" s="1206"/>
      <c r="ONL251" s="1206"/>
      <c r="ONM251" s="1207"/>
      <c r="ONN251" s="1206"/>
      <c r="ONO251" s="1206"/>
      <c r="ONP251" s="1206"/>
      <c r="ONQ251" s="1206"/>
      <c r="ONR251" s="1206"/>
      <c r="ONS251" s="1206"/>
      <c r="ONT251" s="1206"/>
      <c r="ONU251" s="1206"/>
      <c r="ONV251" s="1206"/>
      <c r="ONW251" s="1206"/>
      <c r="ONX251" s="1206"/>
      <c r="ONY251" s="1206"/>
      <c r="ONZ251" s="1206"/>
      <c r="OOA251" s="1206"/>
      <c r="OOB251" s="1206"/>
      <c r="OOC251" s="1206"/>
      <c r="OOD251" s="1207"/>
      <c r="OOE251" s="1206"/>
      <c r="OOF251" s="1206"/>
      <c r="OOG251" s="1206"/>
      <c r="OOH251" s="1206"/>
      <c r="OOI251" s="1206"/>
      <c r="OOJ251" s="1206"/>
      <c r="OOK251" s="1206"/>
      <c r="OOL251" s="1206"/>
      <c r="OOM251" s="1206"/>
      <c r="OON251" s="1206"/>
      <c r="OOO251" s="1206"/>
      <c r="OOP251" s="1206"/>
      <c r="OOQ251" s="1206"/>
      <c r="OOR251" s="1206"/>
      <c r="OOS251" s="1206"/>
      <c r="OOT251" s="1206"/>
      <c r="OOU251" s="1207"/>
      <c r="OOV251" s="1206"/>
      <c r="OOW251" s="1206"/>
      <c r="OOX251" s="1206"/>
      <c r="OOY251" s="1206"/>
      <c r="OOZ251" s="1206"/>
      <c r="OPA251" s="1206"/>
      <c r="OPB251" s="1206"/>
      <c r="OPC251" s="1206"/>
      <c r="OPD251" s="1206"/>
      <c r="OPE251" s="1206"/>
      <c r="OPF251" s="1206"/>
      <c r="OPG251" s="1206"/>
      <c r="OPH251" s="1206"/>
      <c r="OPI251" s="1206"/>
      <c r="OPJ251" s="1206"/>
      <c r="OPK251" s="1206"/>
      <c r="OPL251" s="1207"/>
      <c r="OPM251" s="1206"/>
      <c r="OPN251" s="1206"/>
      <c r="OPO251" s="1206"/>
      <c r="OPP251" s="1206"/>
      <c r="OPQ251" s="1206"/>
      <c r="OPR251" s="1206"/>
      <c r="OPS251" s="1206"/>
      <c r="OPT251" s="1206"/>
      <c r="OPU251" s="1206"/>
      <c r="OPV251" s="1206"/>
      <c r="OPW251" s="1206"/>
      <c r="OPX251" s="1206"/>
      <c r="OPY251" s="1206"/>
      <c r="OPZ251" s="1206"/>
      <c r="OQA251" s="1206"/>
      <c r="OQB251" s="1206"/>
      <c r="OQC251" s="1207"/>
      <c r="OQD251" s="1206"/>
      <c r="OQE251" s="1206"/>
      <c r="OQF251" s="1206"/>
      <c r="OQG251" s="1206"/>
      <c r="OQH251" s="1206"/>
      <c r="OQI251" s="1206"/>
      <c r="OQJ251" s="1206"/>
      <c r="OQK251" s="1206"/>
      <c r="OQL251" s="1206"/>
      <c r="OQM251" s="1206"/>
      <c r="OQN251" s="1206"/>
      <c r="OQO251" s="1206"/>
      <c r="OQP251" s="1206"/>
      <c r="OQQ251" s="1206"/>
      <c r="OQR251" s="1206"/>
      <c r="OQS251" s="1206"/>
      <c r="OQT251" s="1207"/>
      <c r="OQU251" s="1206"/>
      <c r="OQV251" s="1206"/>
      <c r="OQW251" s="1206"/>
      <c r="OQX251" s="1206"/>
      <c r="OQY251" s="1206"/>
      <c r="OQZ251" s="1206"/>
      <c r="ORA251" s="1206"/>
      <c r="ORB251" s="1206"/>
      <c r="ORC251" s="1206"/>
      <c r="ORD251" s="1206"/>
      <c r="ORE251" s="1206"/>
      <c r="ORF251" s="1206"/>
      <c r="ORG251" s="1206"/>
      <c r="ORH251" s="1206"/>
      <c r="ORI251" s="1206"/>
      <c r="ORJ251" s="1206"/>
      <c r="ORK251" s="1207"/>
      <c r="ORL251" s="1206"/>
      <c r="ORM251" s="1206"/>
      <c r="ORN251" s="1206"/>
      <c r="ORO251" s="1206"/>
      <c r="ORP251" s="1206"/>
      <c r="ORQ251" s="1206"/>
      <c r="ORR251" s="1206"/>
      <c r="ORS251" s="1206"/>
      <c r="ORT251" s="1206"/>
      <c r="ORU251" s="1206"/>
      <c r="ORV251" s="1206"/>
      <c r="ORW251" s="1206"/>
      <c r="ORX251" s="1206"/>
      <c r="ORY251" s="1206"/>
      <c r="ORZ251" s="1206"/>
      <c r="OSA251" s="1206"/>
      <c r="OSB251" s="1207"/>
      <c r="OSC251" s="1206"/>
      <c r="OSD251" s="1206"/>
      <c r="OSE251" s="1206"/>
      <c r="OSF251" s="1206"/>
      <c r="OSG251" s="1206"/>
      <c r="OSH251" s="1206"/>
      <c r="OSI251" s="1206"/>
      <c r="OSJ251" s="1206"/>
      <c r="OSK251" s="1206"/>
      <c r="OSL251" s="1206"/>
      <c r="OSM251" s="1206"/>
      <c r="OSN251" s="1206"/>
      <c r="OSO251" s="1206"/>
      <c r="OSP251" s="1206"/>
      <c r="OSQ251" s="1206"/>
      <c r="OSR251" s="1206"/>
      <c r="OSS251" s="1207"/>
      <c r="OST251" s="1206"/>
      <c r="OSU251" s="1206"/>
      <c r="OSV251" s="1206"/>
      <c r="OSW251" s="1206"/>
      <c r="OSX251" s="1206"/>
      <c r="OSY251" s="1206"/>
      <c r="OSZ251" s="1206"/>
      <c r="OTA251" s="1206"/>
      <c r="OTB251" s="1206"/>
      <c r="OTC251" s="1206"/>
      <c r="OTD251" s="1206"/>
      <c r="OTE251" s="1206"/>
      <c r="OTF251" s="1206"/>
      <c r="OTG251" s="1206"/>
      <c r="OTH251" s="1206"/>
      <c r="OTI251" s="1206"/>
      <c r="OTJ251" s="1207"/>
      <c r="OTK251" s="1206"/>
      <c r="OTL251" s="1206"/>
      <c r="OTM251" s="1206"/>
      <c r="OTN251" s="1206"/>
      <c r="OTO251" s="1206"/>
      <c r="OTP251" s="1206"/>
      <c r="OTQ251" s="1206"/>
      <c r="OTR251" s="1206"/>
      <c r="OTS251" s="1206"/>
      <c r="OTT251" s="1206"/>
      <c r="OTU251" s="1206"/>
      <c r="OTV251" s="1206"/>
      <c r="OTW251" s="1206"/>
      <c r="OTX251" s="1206"/>
      <c r="OTY251" s="1206"/>
      <c r="OTZ251" s="1206"/>
      <c r="OUA251" s="1207"/>
      <c r="OUB251" s="1206"/>
      <c r="OUC251" s="1206"/>
      <c r="OUD251" s="1206"/>
      <c r="OUE251" s="1206"/>
      <c r="OUF251" s="1206"/>
      <c r="OUG251" s="1206"/>
      <c r="OUH251" s="1206"/>
      <c r="OUI251" s="1206"/>
      <c r="OUJ251" s="1206"/>
      <c r="OUK251" s="1206"/>
      <c r="OUL251" s="1206"/>
      <c r="OUM251" s="1206"/>
      <c r="OUN251" s="1206"/>
      <c r="OUO251" s="1206"/>
      <c r="OUP251" s="1206"/>
      <c r="OUQ251" s="1206"/>
      <c r="OUR251" s="1207"/>
      <c r="OUS251" s="1206"/>
      <c r="OUT251" s="1206"/>
      <c r="OUU251" s="1206"/>
      <c r="OUV251" s="1206"/>
      <c r="OUW251" s="1206"/>
      <c r="OUX251" s="1206"/>
      <c r="OUY251" s="1206"/>
      <c r="OUZ251" s="1206"/>
      <c r="OVA251" s="1206"/>
      <c r="OVB251" s="1206"/>
      <c r="OVC251" s="1206"/>
      <c r="OVD251" s="1206"/>
      <c r="OVE251" s="1206"/>
      <c r="OVF251" s="1206"/>
      <c r="OVG251" s="1206"/>
      <c r="OVH251" s="1206"/>
      <c r="OVI251" s="1207"/>
      <c r="OVJ251" s="1206"/>
      <c r="OVK251" s="1206"/>
      <c r="OVL251" s="1206"/>
      <c r="OVM251" s="1206"/>
      <c r="OVN251" s="1206"/>
      <c r="OVO251" s="1206"/>
      <c r="OVP251" s="1206"/>
      <c r="OVQ251" s="1206"/>
      <c r="OVR251" s="1206"/>
      <c r="OVS251" s="1206"/>
      <c r="OVT251" s="1206"/>
      <c r="OVU251" s="1206"/>
      <c r="OVV251" s="1206"/>
      <c r="OVW251" s="1206"/>
      <c r="OVX251" s="1206"/>
      <c r="OVY251" s="1206"/>
      <c r="OVZ251" s="1207"/>
      <c r="OWA251" s="1206"/>
      <c r="OWB251" s="1206"/>
      <c r="OWC251" s="1206"/>
      <c r="OWD251" s="1206"/>
      <c r="OWE251" s="1206"/>
      <c r="OWF251" s="1206"/>
      <c r="OWG251" s="1206"/>
      <c r="OWH251" s="1206"/>
      <c r="OWI251" s="1206"/>
      <c r="OWJ251" s="1206"/>
      <c r="OWK251" s="1206"/>
      <c r="OWL251" s="1206"/>
      <c r="OWM251" s="1206"/>
      <c r="OWN251" s="1206"/>
      <c r="OWO251" s="1206"/>
      <c r="OWP251" s="1206"/>
      <c r="OWQ251" s="1207"/>
      <c r="OWR251" s="1206"/>
      <c r="OWS251" s="1206"/>
      <c r="OWT251" s="1206"/>
      <c r="OWU251" s="1206"/>
      <c r="OWV251" s="1206"/>
      <c r="OWW251" s="1206"/>
      <c r="OWX251" s="1206"/>
      <c r="OWY251" s="1206"/>
      <c r="OWZ251" s="1206"/>
      <c r="OXA251" s="1206"/>
      <c r="OXB251" s="1206"/>
      <c r="OXC251" s="1206"/>
      <c r="OXD251" s="1206"/>
      <c r="OXE251" s="1206"/>
      <c r="OXF251" s="1206"/>
      <c r="OXG251" s="1206"/>
      <c r="OXH251" s="1207"/>
      <c r="OXI251" s="1206"/>
      <c r="OXJ251" s="1206"/>
      <c r="OXK251" s="1206"/>
      <c r="OXL251" s="1206"/>
      <c r="OXM251" s="1206"/>
      <c r="OXN251" s="1206"/>
      <c r="OXO251" s="1206"/>
      <c r="OXP251" s="1206"/>
      <c r="OXQ251" s="1206"/>
      <c r="OXR251" s="1206"/>
      <c r="OXS251" s="1206"/>
      <c r="OXT251" s="1206"/>
      <c r="OXU251" s="1206"/>
      <c r="OXV251" s="1206"/>
      <c r="OXW251" s="1206"/>
      <c r="OXX251" s="1206"/>
      <c r="OXY251" s="1207"/>
      <c r="OXZ251" s="1206"/>
      <c r="OYA251" s="1206"/>
      <c r="OYB251" s="1206"/>
      <c r="OYC251" s="1206"/>
      <c r="OYD251" s="1206"/>
      <c r="OYE251" s="1206"/>
      <c r="OYF251" s="1206"/>
      <c r="OYG251" s="1206"/>
      <c r="OYH251" s="1206"/>
      <c r="OYI251" s="1206"/>
      <c r="OYJ251" s="1206"/>
      <c r="OYK251" s="1206"/>
      <c r="OYL251" s="1206"/>
      <c r="OYM251" s="1206"/>
      <c r="OYN251" s="1206"/>
      <c r="OYO251" s="1206"/>
      <c r="OYP251" s="1207"/>
      <c r="OYQ251" s="1206"/>
      <c r="OYR251" s="1206"/>
      <c r="OYS251" s="1206"/>
      <c r="OYT251" s="1206"/>
      <c r="OYU251" s="1206"/>
      <c r="OYV251" s="1206"/>
      <c r="OYW251" s="1206"/>
      <c r="OYX251" s="1206"/>
      <c r="OYY251" s="1206"/>
      <c r="OYZ251" s="1206"/>
      <c r="OZA251" s="1206"/>
      <c r="OZB251" s="1206"/>
      <c r="OZC251" s="1206"/>
      <c r="OZD251" s="1206"/>
      <c r="OZE251" s="1206"/>
      <c r="OZF251" s="1206"/>
      <c r="OZG251" s="1207"/>
      <c r="OZH251" s="1206"/>
      <c r="OZI251" s="1206"/>
      <c r="OZJ251" s="1206"/>
      <c r="OZK251" s="1206"/>
      <c r="OZL251" s="1206"/>
      <c r="OZM251" s="1206"/>
      <c r="OZN251" s="1206"/>
      <c r="OZO251" s="1206"/>
      <c r="OZP251" s="1206"/>
      <c r="OZQ251" s="1206"/>
      <c r="OZR251" s="1206"/>
      <c r="OZS251" s="1206"/>
      <c r="OZT251" s="1206"/>
      <c r="OZU251" s="1206"/>
      <c r="OZV251" s="1206"/>
      <c r="OZW251" s="1206"/>
      <c r="OZX251" s="1207"/>
      <c r="OZY251" s="1206"/>
      <c r="OZZ251" s="1206"/>
      <c r="PAA251" s="1206"/>
      <c r="PAB251" s="1206"/>
      <c r="PAC251" s="1206"/>
      <c r="PAD251" s="1206"/>
      <c r="PAE251" s="1206"/>
      <c r="PAF251" s="1206"/>
      <c r="PAG251" s="1206"/>
      <c r="PAH251" s="1206"/>
      <c r="PAI251" s="1206"/>
      <c r="PAJ251" s="1206"/>
      <c r="PAK251" s="1206"/>
      <c r="PAL251" s="1206"/>
      <c r="PAM251" s="1206"/>
      <c r="PAN251" s="1206"/>
      <c r="PAO251" s="1207"/>
      <c r="PAP251" s="1206"/>
      <c r="PAQ251" s="1206"/>
      <c r="PAR251" s="1206"/>
      <c r="PAS251" s="1206"/>
      <c r="PAT251" s="1206"/>
      <c r="PAU251" s="1206"/>
      <c r="PAV251" s="1206"/>
      <c r="PAW251" s="1206"/>
      <c r="PAX251" s="1206"/>
      <c r="PAY251" s="1206"/>
      <c r="PAZ251" s="1206"/>
      <c r="PBA251" s="1206"/>
      <c r="PBB251" s="1206"/>
      <c r="PBC251" s="1206"/>
      <c r="PBD251" s="1206"/>
      <c r="PBE251" s="1206"/>
      <c r="PBF251" s="1207"/>
      <c r="PBG251" s="1206"/>
      <c r="PBH251" s="1206"/>
      <c r="PBI251" s="1206"/>
      <c r="PBJ251" s="1206"/>
      <c r="PBK251" s="1206"/>
      <c r="PBL251" s="1206"/>
      <c r="PBM251" s="1206"/>
      <c r="PBN251" s="1206"/>
      <c r="PBO251" s="1206"/>
      <c r="PBP251" s="1206"/>
      <c r="PBQ251" s="1206"/>
      <c r="PBR251" s="1206"/>
      <c r="PBS251" s="1206"/>
      <c r="PBT251" s="1206"/>
      <c r="PBU251" s="1206"/>
      <c r="PBV251" s="1206"/>
      <c r="PBW251" s="1207"/>
      <c r="PBX251" s="1206"/>
      <c r="PBY251" s="1206"/>
      <c r="PBZ251" s="1206"/>
      <c r="PCA251" s="1206"/>
      <c r="PCB251" s="1206"/>
      <c r="PCC251" s="1206"/>
      <c r="PCD251" s="1206"/>
      <c r="PCE251" s="1206"/>
      <c r="PCF251" s="1206"/>
      <c r="PCG251" s="1206"/>
      <c r="PCH251" s="1206"/>
      <c r="PCI251" s="1206"/>
      <c r="PCJ251" s="1206"/>
      <c r="PCK251" s="1206"/>
      <c r="PCL251" s="1206"/>
      <c r="PCM251" s="1206"/>
      <c r="PCN251" s="1207"/>
      <c r="PCO251" s="1206"/>
      <c r="PCP251" s="1206"/>
      <c r="PCQ251" s="1206"/>
      <c r="PCR251" s="1206"/>
      <c r="PCS251" s="1206"/>
      <c r="PCT251" s="1206"/>
      <c r="PCU251" s="1206"/>
      <c r="PCV251" s="1206"/>
      <c r="PCW251" s="1206"/>
      <c r="PCX251" s="1206"/>
      <c r="PCY251" s="1206"/>
      <c r="PCZ251" s="1206"/>
      <c r="PDA251" s="1206"/>
      <c r="PDB251" s="1206"/>
      <c r="PDC251" s="1206"/>
      <c r="PDD251" s="1206"/>
      <c r="PDE251" s="1207"/>
      <c r="PDF251" s="1206"/>
      <c r="PDG251" s="1206"/>
      <c r="PDH251" s="1206"/>
      <c r="PDI251" s="1206"/>
      <c r="PDJ251" s="1206"/>
      <c r="PDK251" s="1206"/>
      <c r="PDL251" s="1206"/>
      <c r="PDM251" s="1206"/>
      <c r="PDN251" s="1206"/>
      <c r="PDO251" s="1206"/>
      <c r="PDP251" s="1206"/>
      <c r="PDQ251" s="1206"/>
      <c r="PDR251" s="1206"/>
      <c r="PDS251" s="1206"/>
      <c r="PDT251" s="1206"/>
      <c r="PDU251" s="1206"/>
      <c r="PDV251" s="1207"/>
      <c r="PDW251" s="1206"/>
      <c r="PDX251" s="1206"/>
      <c r="PDY251" s="1206"/>
      <c r="PDZ251" s="1206"/>
      <c r="PEA251" s="1206"/>
      <c r="PEB251" s="1206"/>
      <c r="PEC251" s="1206"/>
      <c r="PED251" s="1206"/>
      <c r="PEE251" s="1206"/>
      <c r="PEF251" s="1206"/>
      <c r="PEG251" s="1206"/>
      <c r="PEH251" s="1206"/>
      <c r="PEI251" s="1206"/>
      <c r="PEJ251" s="1206"/>
      <c r="PEK251" s="1206"/>
      <c r="PEL251" s="1206"/>
      <c r="PEM251" s="1207"/>
      <c r="PEN251" s="1206"/>
      <c r="PEO251" s="1206"/>
      <c r="PEP251" s="1206"/>
      <c r="PEQ251" s="1206"/>
      <c r="PER251" s="1206"/>
      <c r="PES251" s="1206"/>
      <c r="PET251" s="1206"/>
      <c r="PEU251" s="1206"/>
      <c r="PEV251" s="1206"/>
      <c r="PEW251" s="1206"/>
      <c r="PEX251" s="1206"/>
      <c r="PEY251" s="1206"/>
      <c r="PEZ251" s="1206"/>
      <c r="PFA251" s="1206"/>
      <c r="PFB251" s="1206"/>
      <c r="PFC251" s="1206"/>
      <c r="PFD251" s="1207"/>
      <c r="PFE251" s="1206"/>
      <c r="PFF251" s="1206"/>
      <c r="PFG251" s="1206"/>
      <c r="PFH251" s="1206"/>
      <c r="PFI251" s="1206"/>
      <c r="PFJ251" s="1206"/>
      <c r="PFK251" s="1206"/>
      <c r="PFL251" s="1206"/>
      <c r="PFM251" s="1206"/>
      <c r="PFN251" s="1206"/>
      <c r="PFO251" s="1206"/>
      <c r="PFP251" s="1206"/>
      <c r="PFQ251" s="1206"/>
      <c r="PFR251" s="1206"/>
      <c r="PFS251" s="1206"/>
      <c r="PFT251" s="1206"/>
      <c r="PFU251" s="1207"/>
      <c r="PFV251" s="1206"/>
      <c r="PFW251" s="1206"/>
      <c r="PFX251" s="1206"/>
      <c r="PFY251" s="1206"/>
      <c r="PFZ251" s="1206"/>
      <c r="PGA251" s="1206"/>
      <c r="PGB251" s="1206"/>
      <c r="PGC251" s="1206"/>
      <c r="PGD251" s="1206"/>
      <c r="PGE251" s="1206"/>
      <c r="PGF251" s="1206"/>
      <c r="PGG251" s="1206"/>
      <c r="PGH251" s="1206"/>
      <c r="PGI251" s="1206"/>
      <c r="PGJ251" s="1206"/>
      <c r="PGK251" s="1206"/>
      <c r="PGL251" s="1207"/>
      <c r="PGM251" s="1206"/>
      <c r="PGN251" s="1206"/>
      <c r="PGO251" s="1206"/>
      <c r="PGP251" s="1206"/>
      <c r="PGQ251" s="1206"/>
      <c r="PGR251" s="1206"/>
      <c r="PGS251" s="1206"/>
      <c r="PGT251" s="1206"/>
      <c r="PGU251" s="1206"/>
      <c r="PGV251" s="1206"/>
      <c r="PGW251" s="1206"/>
      <c r="PGX251" s="1206"/>
      <c r="PGY251" s="1206"/>
      <c r="PGZ251" s="1206"/>
      <c r="PHA251" s="1206"/>
      <c r="PHB251" s="1206"/>
      <c r="PHC251" s="1207"/>
      <c r="PHD251" s="1206"/>
      <c r="PHE251" s="1206"/>
      <c r="PHF251" s="1206"/>
      <c r="PHG251" s="1206"/>
      <c r="PHH251" s="1206"/>
      <c r="PHI251" s="1206"/>
      <c r="PHJ251" s="1206"/>
      <c r="PHK251" s="1206"/>
      <c r="PHL251" s="1206"/>
      <c r="PHM251" s="1206"/>
      <c r="PHN251" s="1206"/>
      <c r="PHO251" s="1206"/>
      <c r="PHP251" s="1206"/>
      <c r="PHQ251" s="1206"/>
      <c r="PHR251" s="1206"/>
      <c r="PHS251" s="1206"/>
      <c r="PHT251" s="1207"/>
      <c r="PHU251" s="1206"/>
      <c r="PHV251" s="1206"/>
      <c r="PHW251" s="1206"/>
      <c r="PHX251" s="1206"/>
      <c r="PHY251" s="1206"/>
      <c r="PHZ251" s="1206"/>
      <c r="PIA251" s="1206"/>
      <c r="PIB251" s="1206"/>
      <c r="PIC251" s="1206"/>
      <c r="PID251" s="1206"/>
      <c r="PIE251" s="1206"/>
      <c r="PIF251" s="1206"/>
      <c r="PIG251" s="1206"/>
      <c r="PIH251" s="1206"/>
      <c r="PII251" s="1206"/>
      <c r="PIJ251" s="1206"/>
      <c r="PIK251" s="1207"/>
      <c r="PIL251" s="1206"/>
      <c r="PIM251" s="1206"/>
      <c r="PIN251" s="1206"/>
      <c r="PIO251" s="1206"/>
      <c r="PIP251" s="1206"/>
      <c r="PIQ251" s="1206"/>
      <c r="PIR251" s="1206"/>
      <c r="PIS251" s="1206"/>
      <c r="PIT251" s="1206"/>
      <c r="PIU251" s="1206"/>
      <c r="PIV251" s="1206"/>
      <c r="PIW251" s="1206"/>
      <c r="PIX251" s="1206"/>
      <c r="PIY251" s="1206"/>
      <c r="PIZ251" s="1206"/>
      <c r="PJA251" s="1206"/>
      <c r="PJB251" s="1207"/>
      <c r="PJC251" s="1206"/>
      <c r="PJD251" s="1206"/>
      <c r="PJE251" s="1206"/>
      <c r="PJF251" s="1206"/>
      <c r="PJG251" s="1206"/>
      <c r="PJH251" s="1206"/>
      <c r="PJI251" s="1206"/>
      <c r="PJJ251" s="1206"/>
      <c r="PJK251" s="1206"/>
      <c r="PJL251" s="1206"/>
      <c r="PJM251" s="1206"/>
      <c r="PJN251" s="1206"/>
      <c r="PJO251" s="1206"/>
      <c r="PJP251" s="1206"/>
      <c r="PJQ251" s="1206"/>
      <c r="PJR251" s="1206"/>
      <c r="PJS251" s="1207"/>
      <c r="PJT251" s="1206"/>
      <c r="PJU251" s="1206"/>
      <c r="PJV251" s="1206"/>
      <c r="PJW251" s="1206"/>
      <c r="PJX251" s="1206"/>
      <c r="PJY251" s="1206"/>
      <c r="PJZ251" s="1206"/>
      <c r="PKA251" s="1206"/>
      <c r="PKB251" s="1206"/>
      <c r="PKC251" s="1206"/>
      <c r="PKD251" s="1206"/>
      <c r="PKE251" s="1206"/>
      <c r="PKF251" s="1206"/>
      <c r="PKG251" s="1206"/>
      <c r="PKH251" s="1206"/>
      <c r="PKI251" s="1206"/>
      <c r="PKJ251" s="1207"/>
      <c r="PKK251" s="1206"/>
      <c r="PKL251" s="1206"/>
      <c r="PKM251" s="1206"/>
      <c r="PKN251" s="1206"/>
      <c r="PKO251" s="1206"/>
      <c r="PKP251" s="1206"/>
      <c r="PKQ251" s="1206"/>
      <c r="PKR251" s="1206"/>
      <c r="PKS251" s="1206"/>
      <c r="PKT251" s="1206"/>
      <c r="PKU251" s="1206"/>
      <c r="PKV251" s="1206"/>
      <c r="PKW251" s="1206"/>
      <c r="PKX251" s="1206"/>
      <c r="PKY251" s="1206"/>
      <c r="PKZ251" s="1206"/>
      <c r="PLA251" s="1207"/>
      <c r="PLB251" s="1206"/>
      <c r="PLC251" s="1206"/>
      <c r="PLD251" s="1206"/>
      <c r="PLE251" s="1206"/>
      <c r="PLF251" s="1206"/>
      <c r="PLG251" s="1206"/>
      <c r="PLH251" s="1206"/>
      <c r="PLI251" s="1206"/>
      <c r="PLJ251" s="1206"/>
      <c r="PLK251" s="1206"/>
      <c r="PLL251" s="1206"/>
      <c r="PLM251" s="1206"/>
      <c r="PLN251" s="1206"/>
      <c r="PLO251" s="1206"/>
      <c r="PLP251" s="1206"/>
      <c r="PLQ251" s="1206"/>
      <c r="PLR251" s="1207"/>
      <c r="PLS251" s="1206"/>
      <c r="PLT251" s="1206"/>
      <c r="PLU251" s="1206"/>
      <c r="PLV251" s="1206"/>
      <c r="PLW251" s="1206"/>
      <c r="PLX251" s="1206"/>
      <c r="PLY251" s="1206"/>
      <c r="PLZ251" s="1206"/>
      <c r="PMA251" s="1206"/>
      <c r="PMB251" s="1206"/>
      <c r="PMC251" s="1206"/>
      <c r="PMD251" s="1206"/>
      <c r="PME251" s="1206"/>
      <c r="PMF251" s="1206"/>
      <c r="PMG251" s="1206"/>
      <c r="PMH251" s="1206"/>
      <c r="PMI251" s="1207"/>
      <c r="PMJ251" s="1206"/>
      <c r="PMK251" s="1206"/>
      <c r="PML251" s="1206"/>
      <c r="PMM251" s="1206"/>
      <c r="PMN251" s="1206"/>
      <c r="PMO251" s="1206"/>
      <c r="PMP251" s="1206"/>
      <c r="PMQ251" s="1206"/>
      <c r="PMR251" s="1206"/>
      <c r="PMS251" s="1206"/>
      <c r="PMT251" s="1206"/>
      <c r="PMU251" s="1206"/>
      <c r="PMV251" s="1206"/>
      <c r="PMW251" s="1206"/>
      <c r="PMX251" s="1206"/>
      <c r="PMY251" s="1206"/>
      <c r="PMZ251" s="1207"/>
      <c r="PNA251" s="1206"/>
      <c r="PNB251" s="1206"/>
      <c r="PNC251" s="1206"/>
      <c r="PND251" s="1206"/>
      <c r="PNE251" s="1206"/>
      <c r="PNF251" s="1206"/>
      <c r="PNG251" s="1206"/>
      <c r="PNH251" s="1206"/>
      <c r="PNI251" s="1206"/>
      <c r="PNJ251" s="1206"/>
      <c r="PNK251" s="1206"/>
      <c r="PNL251" s="1206"/>
      <c r="PNM251" s="1206"/>
      <c r="PNN251" s="1206"/>
      <c r="PNO251" s="1206"/>
      <c r="PNP251" s="1206"/>
      <c r="PNQ251" s="1207"/>
      <c r="PNR251" s="1206"/>
      <c r="PNS251" s="1206"/>
      <c r="PNT251" s="1206"/>
      <c r="PNU251" s="1206"/>
      <c r="PNV251" s="1206"/>
      <c r="PNW251" s="1206"/>
      <c r="PNX251" s="1206"/>
      <c r="PNY251" s="1206"/>
      <c r="PNZ251" s="1206"/>
      <c r="POA251" s="1206"/>
      <c r="POB251" s="1206"/>
      <c r="POC251" s="1206"/>
      <c r="POD251" s="1206"/>
      <c r="POE251" s="1206"/>
      <c r="POF251" s="1206"/>
      <c r="POG251" s="1206"/>
      <c r="POH251" s="1207"/>
      <c r="POI251" s="1206"/>
      <c r="POJ251" s="1206"/>
      <c r="POK251" s="1206"/>
      <c r="POL251" s="1206"/>
      <c r="POM251" s="1206"/>
      <c r="PON251" s="1206"/>
      <c r="POO251" s="1206"/>
      <c r="POP251" s="1206"/>
      <c r="POQ251" s="1206"/>
      <c r="POR251" s="1206"/>
      <c r="POS251" s="1206"/>
      <c r="POT251" s="1206"/>
      <c r="POU251" s="1206"/>
      <c r="POV251" s="1206"/>
      <c r="POW251" s="1206"/>
      <c r="POX251" s="1206"/>
      <c r="POY251" s="1207"/>
      <c r="POZ251" s="1206"/>
      <c r="PPA251" s="1206"/>
      <c r="PPB251" s="1206"/>
      <c r="PPC251" s="1206"/>
      <c r="PPD251" s="1206"/>
      <c r="PPE251" s="1206"/>
      <c r="PPF251" s="1206"/>
      <c r="PPG251" s="1206"/>
      <c r="PPH251" s="1206"/>
      <c r="PPI251" s="1206"/>
      <c r="PPJ251" s="1206"/>
      <c r="PPK251" s="1206"/>
      <c r="PPL251" s="1206"/>
      <c r="PPM251" s="1206"/>
      <c r="PPN251" s="1206"/>
      <c r="PPO251" s="1206"/>
      <c r="PPP251" s="1207"/>
      <c r="PPQ251" s="1206"/>
      <c r="PPR251" s="1206"/>
      <c r="PPS251" s="1206"/>
      <c r="PPT251" s="1206"/>
      <c r="PPU251" s="1206"/>
      <c r="PPV251" s="1206"/>
      <c r="PPW251" s="1206"/>
      <c r="PPX251" s="1206"/>
      <c r="PPY251" s="1206"/>
      <c r="PPZ251" s="1206"/>
      <c r="PQA251" s="1206"/>
      <c r="PQB251" s="1206"/>
      <c r="PQC251" s="1206"/>
      <c r="PQD251" s="1206"/>
      <c r="PQE251" s="1206"/>
      <c r="PQF251" s="1206"/>
      <c r="PQG251" s="1207"/>
      <c r="PQH251" s="1206"/>
      <c r="PQI251" s="1206"/>
      <c r="PQJ251" s="1206"/>
      <c r="PQK251" s="1206"/>
      <c r="PQL251" s="1206"/>
      <c r="PQM251" s="1206"/>
      <c r="PQN251" s="1206"/>
      <c r="PQO251" s="1206"/>
      <c r="PQP251" s="1206"/>
      <c r="PQQ251" s="1206"/>
      <c r="PQR251" s="1206"/>
      <c r="PQS251" s="1206"/>
      <c r="PQT251" s="1206"/>
      <c r="PQU251" s="1206"/>
      <c r="PQV251" s="1206"/>
      <c r="PQW251" s="1206"/>
      <c r="PQX251" s="1207"/>
      <c r="PQY251" s="1206"/>
      <c r="PQZ251" s="1206"/>
      <c r="PRA251" s="1206"/>
      <c r="PRB251" s="1206"/>
      <c r="PRC251" s="1206"/>
      <c r="PRD251" s="1206"/>
      <c r="PRE251" s="1206"/>
      <c r="PRF251" s="1206"/>
      <c r="PRG251" s="1206"/>
      <c r="PRH251" s="1206"/>
      <c r="PRI251" s="1206"/>
      <c r="PRJ251" s="1206"/>
      <c r="PRK251" s="1206"/>
      <c r="PRL251" s="1206"/>
      <c r="PRM251" s="1206"/>
      <c r="PRN251" s="1206"/>
      <c r="PRO251" s="1207"/>
      <c r="PRP251" s="1206"/>
      <c r="PRQ251" s="1206"/>
      <c r="PRR251" s="1206"/>
      <c r="PRS251" s="1206"/>
      <c r="PRT251" s="1206"/>
      <c r="PRU251" s="1206"/>
      <c r="PRV251" s="1206"/>
      <c r="PRW251" s="1206"/>
      <c r="PRX251" s="1206"/>
      <c r="PRY251" s="1206"/>
      <c r="PRZ251" s="1206"/>
      <c r="PSA251" s="1206"/>
      <c r="PSB251" s="1206"/>
      <c r="PSC251" s="1206"/>
      <c r="PSD251" s="1206"/>
      <c r="PSE251" s="1206"/>
      <c r="PSF251" s="1207"/>
      <c r="PSG251" s="1206"/>
      <c r="PSH251" s="1206"/>
      <c r="PSI251" s="1206"/>
      <c r="PSJ251" s="1206"/>
      <c r="PSK251" s="1206"/>
      <c r="PSL251" s="1206"/>
      <c r="PSM251" s="1206"/>
      <c r="PSN251" s="1206"/>
      <c r="PSO251" s="1206"/>
      <c r="PSP251" s="1206"/>
      <c r="PSQ251" s="1206"/>
      <c r="PSR251" s="1206"/>
      <c r="PSS251" s="1206"/>
      <c r="PST251" s="1206"/>
      <c r="PSU251" s="1206"/>
      <c r="PSV251" s="1206"/>
      <c r="PSW251" s="1207"/>
      <c r="PSX251" s="1206"/>
      <c r="PSY251" s="1206"/>
      <c r="PSZ251" s="1206"/>
      <c r="PTA251" s="1206"/>
      <c r="PTB251" s="1206"/>
      <c r="PTC251" s="1206"/>
      <c r="PTD251" s="1206"/>
      <c r="PTE251" s="1206"/>
      <c r="PTF251" s="1206"/>
      <c r="PTG251" s="1206"/>
      <c r="PTH251" s="1206"/>
      <c r="PTI251" s="1206"/>
      <c r="PTJ251" s="1206"/>
      <c r="PTK251" s="1206"/>
      <c r="PTL251" s="1206"/>
      <c r="PTM251" s="1206"/>
      <c r="PTN251" s="1207"/>
      <c r="PTO251" s="1206"/>
      <c r="PTP251" s="1206"/>
      <c r="PTQ251" s="1206"/>
      <c r="PTR251" s="1206"/>
      <c r="PTS251" s="1206"/>
      <c r="PTT251" s="1206"/>
      <c r="PTU251" s="1206"/>
      <c r="PTV251" s="1206"/>
      <c r="PTW251" s="1206"/>
      <c r="PTX251" s="1206"/>
      <c r="PTY251" s="1206"/>
      <c r="PTZ251" s="1206"/>
      <c r="PUA251" s="1206"/>
      <c r="PUB251" s="1206"/>
      <c r="PUC251" s="1206"/>
      <c r="PUD251" s="1206"/>
      <c r="PUE251" s="1207"/>
      <c r="PUF251" s="1206"/>
      <c r="PUG251" s="1206"/>
      <c r="PUH251" s="1206"/>
      <c r="PUI251" s="1206"/>
      <c r="PUJ251" s="1206"/>
      <c r="PUK251" s="1206"/>
      <c r="PUL251" s="1206"/>
      <c r="PUM251" s="1206"/>
      <c r="PUN251" s="1206"/>
      <c r="PUO251" s="1206"/>
      <c r="PUP251" s="1206"/>
      <c r="PUQ251" s="1206"/>
      <c r="PUR251" s="1206"/>
      <c r="PUS251" s="1206"/>
      <c r="PUT251" s="1206"/>
      <c r="PUU251" s="1206"/>
      <c r="PUV251" s="1207"/>
      <c r="PUW251" s="1206"/>
      <c r="PUX251" s="1206"/>
      <c r="PUY251" s="1206"/>
      <c r="PUZ251" s="1206"/>
      <c r="PVA251" s="1206"/>
      <c r="PVB251" s="1206"/>
      <c r="PVC251" s="1206"/>
      <c r="PVD251" s="1206"/>
      <c r="PVE251" s="1206"/>
      <c r="PVF251" s="1206"/>
      <c r="PVG251" s="1206"/>
      <c r="PVH251" s="1206"/>
      <c r="PVI251" s="1206"/>
      <c r="PVJ251" s="1206"/>
      <c r="PVK251" s="1206"/>
      <c r="PVL251" s="1206"/>
      <c r="PVM251" s="1207"/>
      <c r="PVN251" s="1206"/>
      <c r="PVO251" s="1206"/>
      <c r="PVP251" s="1206"/>
      <c r="PVQ251" s="1206"/>
      <c r="PVR251" s="1206"/>
      <c r="PVS251" s="1206"/>
      <c r="PVT251" s="1206"/>
      <c r="PVU251" s="1206"/>
      <c r="PVV251" s="1206"/>
      <c r="PVW251" s="1206"/>
      <c r="PVX251" s="1206"/>
      <c r="PVY251" s="1206"/>
      <c r="PVZ251" s="1206"/>
      <c r="PWA251" s="1206"/>
      <c r="PWB251" s="1206"/>
      <c r="PWC251" s="1206"/>
      <c r="PWD251" s="1207"/>
      <c r="PWE251" s="1206"/>
      <c r="PWF251" s="1206"/>
      <c r="PWG251" s="1206"/>
      <c r="PWH251" s="1206"/>
      <c r="PWI251" s="1206"/>
      <c r="PWJ251" s="1206"/>
      <c r="PWK251" s="1206"/>
      <c r="PWL251" s="1206"/>
      <c r="PWM251" s="1206"/>
      <c r="PWN251" s="1206"/>
      <c r="PWO251" s="1206"/>
      <c r="PWP251" s="1206"/>
      <c r="PWQ251" s="1206"/>
      <c r="PWR251" s="1206"/>
      <c r="PWS251" s="1206"/>
      <c r="PWT251" s="1206"/>
      <c r="PWU251" s="1207"/>
      <c r="PWV251" s="1206"/>
      <c r="PWW251" s="1206"/>
      <c r="PWX251" s="1206"/>
      <c r="PWY251" s="1206"/>
      <c r="PWZ251" s="1206"/>
      <c r="PXA251" s="1206"/>
      <c r="PXB251" s="1206"/>
      <c r="PXC251" s="1206"/>
      <c r="PXD251" s="1206"/>
      <c r="PXE251" s="1206"/>
      <c r="PXF251" s="1206"/>
      <c r="PXG251" s="1206"/>
      <c r="PXH251" s="1206"/>
      <c r="PXI251" s="1206"/>
      <c r="PXJ251" s="1206"/>
      <c r="PXK251" s="1206"/>
      <c r="PXL251" s="1207"/>
      <c r="PXM251" s="1206"/>
      <c r="PXN251" s="1206"/>
      <c r="PXO251" s="1206"/>
      <c r="PXP251" s="1206"/>
      <c r="PXQ251" s="1206"/>
      <c r="PXR251" s="1206"/>
      <c r="PXS251" s="1206"/>
      <c r="PXT251" s="1206"/>
      <c r="PXU251" s="1206"/>
      <c r="PXV251" s="1206"/>
      <c r="PXW251" s="1206"/>
      <c r="PXX251" s="1206"/>
      <c r="PXY251" s="1206"/>
      <c r="PXZ251" s="1206"/>
      <c r="PYA251" s="1206"/>
      <c r="PYB251" s="1206"/>
      <c r="PYC251" s="1207"/>
      <c r="PYD251" s="1206"/>
      <c r="PYE251" s="1206"/>
      <c r="PYF251" s="1206"/>
      <c r="PYG251" s="1206"/>
      <c r="PYH251" s="1206"/>
      <c r="PYI251" s="1206"/>
      <c r="PYJ251" s="1206"/>
      <c r="PYK251" s="1206"/>
      <c r="PYL251" s="1206"/>
      <c r="PYM251" s="1206"/>
      <c r="PYN251" s="1206"/>
      <c r="PYO251" s="1206"/>
      <c r="PYP251" s="1206"/>
      <c r="PYQ251" s="1206"/>
      <c r="PYR251" s="1206"/>
      <c r="PYS251" s="1206"/>
      <c r="PYT251" s="1207"/>
      <c r="PYU251" s="1206"/>
      <c r="PYV251" s="1206"/>
      <c r="PYW251" s="1206"/>
      <c r="PYX251" s="1206"/>
      <c r="PYY251" s="1206"/>
      <c r="PYZ251" s="1206"/>
      <c r="PZA251" s="1206"/>
      <c r="PZB251" s="1206"/>
      <c r="PZC251" s="1206"/>
      <c r="PZD251" s="1206"/>
      <c r="PZE251" s="1206"/>
      <c r="PZF251" s="1206"/>
      <c r="PZG251" s="1206"/>
      <c r="PZH251" s="1206"/>
      <c r="PZI251" s="1206"/>
      <c r="PZJ251" s="1206"/>
      <c r="PZK251" s="1207"/>
      <c r="PZL251" s="1206"/>
      <c r="PZM251" s="1206"/>
      <c r="PZN251" s="1206"/>
      <c r="PZO251" s="1206"/>
      <c r="PZP251" s="1206"/>
      <c r="PZQ251" s="1206"/>
      <c r="PZR251" s="1206"/>
      <c r="PZS251" s="1206"/>
      <c r="PZT251" s="1206"/>
      <c r="PZU251" s="1206"/>
      <c r="PZV251" s="1206"/>
      <c r="PZW251" s="1206"/>
      <c r="PZX251" s="1206"/>
      <c r="PZY251" s="1206"/>
      <c r="PZZ251" s="1206"/>
      <c r="QAA251" s="1206"/>
      <c r="QAB251" s="1207"/>
      <c r="QAC251" s="1206"/>
      <c r="QAD251" s="1206"/>
      <c r="QAE251" s="1206"/>
      <c r="QAF251" s="1206"/>
      <c r="QAG251" s="1206"/>
      <c r="QAH251" s="1206"/>
      <c r="QAI251" s="1206"/>
      <c r="QAJ251" s="1206"/>
      <c r="QAK251" s="1206"/>
      <c r="QAL251" s="1206"/>
      <c r="QAM251" s="1206"/>
      <c r="QAN251" s="1206"/>
      <c r="QAO251" s="1206"/>
      <c r="QAP251" s="1206"/>
      <c r="QAQ251" s="1206"/>
      <c r="QAR251" s="1206"/>
      <c r="QAS251" s="1207"/>
      <c r="QAT251" s="1206"/>
      <c r="QAU251" s="1206"/>
      <c r="QAV251" s="1206"/>
      <c r="QAW251" s="1206"/>
      <c r="QAX251" s="1206"/>
      <c r="QAY251" s="1206"/>
      <c r="QAZ251" s="1206"/>
      <c r="QBA251" s="1206"/>
      <c r="QBB251" s="1206"/>
      <c r="QBC251" s="1206"/>
      <c r="QBD251" s="1206"/>
      <c r="QBE251" s="1206"/>
      <c r="QBF251" s="1206"/>
      <c r="QBG251" s="1206"/>
      <c r="QBH251" s="1206"/>
      <c r="QBI251" s="1206"/>
      <c r="QBJ251" s="1207"/>
      <c r="QBK251" s="1206"/>
      <c r="QBL251" s="1206"/>
      <c r="QBM251" s="1206"/>
      <c r="QBN251" s="1206"/>
      <c r="QBO251" s="1206"/>
      <c r="QBP251" s="1206"/>
      <c r="QBQ251" s="1206"/>
      <c r="QBR251" s="1206"/>
      <c r="QBS251" s="1206"/>
      <c r="QBT251" s="1206"/>
      <c r="QBU251" s="1206"/>
      <c r="QBV251" s="1206"/>
      <c r="QBW251" s="1206"/>
      <c r="QBX251" s="1206"/>
      <c r="QBY251" s="1206"/>
      <c r="QBZ251" s="1206"/>
      <c r="QCA251" s="1207"/>
      <c r="QCB251" s="1206"/>
      <c r="QCC251" s="1206"/>
      <c r="QCD251" s="1206"/>
      <c r="QCE251" s="1206"/>
      <c r="QCF251" s="1206"/>
      <c r="QCG251" s="1206"/>
      <c r="QCH251" s="1206"/>
      <c r="QCI251" s="1206"/>
      <c r="QCJ251" s="1206"/>
      <c r="QCK251" s="1206"/>
      <c r="QCL251" s="1206"/>
      <c r="QCM251" s="1206"/>
      <c r="QCN251" s="1206"/>
      <c r="QCO251" s="1206"/>
      <c r="QCP251" s="1206"/>
      <c r="QCQ251" s="1206"/>
      <c r="QCR251" s="1207"/>
      <c r="QCS251" s="1206"/>
      <c r="QCT251" s="1206"/>
      <c r="QCU251" s="1206"/>
      <c r="QCV251" s="1206"/>
      <c r="QCW251" s="1206"/>
      <c r="QCX251" s="1206"/>
      <c r="QCY251" s="1206"/>
      <c r="QCZ251" s="1206"/>
      <c r="QDA251" s="1206"/>
      <c r="QDB251" s="1206"/>
      <c r="QDC251" s="1206"/>
      <c r="QDD251" s="1206"/>
      <c r="QDE251" s="1206"/>
      <c r="QDF251" s="1206"/>
      <c r="QDG251" s="1206"/>
      <c r="QDH251" s="1206"/>
      <c r="QDI251" s="1207"/>
      <c r="QDJ251" s="1206"/>
      <c r="QDK251" s="1206"/>
      <c r="QDL251" s="1206"/>
      <c r="QDM251" s="1206"/>
      <c r="QDN251" s="1206"/>
      <c r="QDO251" s="1206"/>
      <c r="QDP251" s="1206"/>
      <c r="QDQ251" s="1206"/>
      <c r="QDR251" s="1206"/>
      <c r="QDS251" s="1206"/>
      <c r="QDT251" s="1206"/>
      <c r="QDU251" s="1206"/>
      <c r="QDV251" s="1206"/>
      <c r="QDW251" s="1206"/>
      <c r="QDX251" s="1206"/>
      <c r="QDY251" s="1206"/>
      <c r="QDZ251" s="1207"/>
      <c r="QEA251" s="1206"/>
      <c r="QEB251" s="1206"/>
      <c r="QEC251" s="1206"/>
      <c r="QED251" s="1206"/>
      <c r="QEE251" s="1206"/>
      <c r="QEF251" s="1206"/>
      <c r="QEG251" s="1206"/>
      <c r="QEH251" s="1206"/>
      <c r="QEI251" s="1206"/>
      <c r="QEJ251" s="1206"/>
      <c r="QEK251" s="1206"/>
      <c r="QEL251" s="1206"/>
      <c r="QEM251" s="1206"/>
      <c r="QEN251" s="1206"/>
      <c r="QEO251" s="1206"/>
      <c r="QEP251" s="1206"/>
      <c r="QEQ251" s="1207"/>
      <c r="QER251" s="1206"/>
      <c r="QES251" s="1206"/>
      <c r="QET251" s="1206"/>
      <c r="QEU251" s="1206"/>
      <c r="QEV251" s="1206"/>
      <c r="QEW251" s="1206"/>
      <c r="QEX251" s="1206"/>
      <c r="QEY251" s="1206"/>
      <c r="QEZ251" s="1206"/>
      <c r="QFA251" s="1206"/>
      <c r="QFB251" s="1206"/>
      <c r="QFC251" s="1206"/>
      <c r="QFD251" s="1206"/>
      <c r="QFE251" s="1206"/>
      <c r="QFF251" s="1206"/>
      <c r="QFG251" s="1206"/>
      <c r="QFH251" s="1207"/>
      <c r="QFI251" s="1206"/>
      <c r="QFJ251" s="1206"/>
      <c r="QFK251" s="1206"/>
      <c r="QFL251" s="1206"/>
      <c r="QFM251" s="1206"/>
      <c r="QFN251" s="1206"/>
      <c r="QFO251" s="1206"/>
      <c r="QFP251" s="1206"/>
      <c r="QFQ251" s="1206"/>
      <c r="QFR251" s="1206"/>
      <c r="QFS251" s="1206"/>
      <c r="QFT251" s="1206"/>
      <c r="QFU251" s="1206"/>
      <c r="QFV251" s="1206"/>
      <c r="QFW251" s="1206"/>
      <c r="QFX251" s="1206"/>
      <c r="QFY251" s="1207"/>
      <c r="QFZ251" s="1206"/>
      <c r="QGA251" s="1206"/>
      <c r="QGB251" s="1206"/>
      <c r="QGC251" s="1206"/>
      <c r="QGD251" s="1206"/>
      <c r="QGE251" s="1206"/>
      <c r="QGF251" s="1206"/>
      <c r="QGG251" s="1206"/>
      <c r="QGH251" s="1206"/>
      <c r="QGI251" s="1206"/>
      <c r="QGJ251" s="1206"/>
      <c r="QGK251" s="1206"/>
      <c r="QGL251" s="1206"/>
      <c r="QGM251" s="1206"/>
      <c r="QGN251" s="1206"/>
      <c r="QGO251" s="1206"/>
      <c r="QGP251" s="1207"/>
      <c r="QGQ251" s="1206"/>
      <c r="QGR251" s="1206"/>
      <c r="QGS251" s="1206"/>
      <c r="QGT251" s="1206"/>
      <c r="QGU251" s="1206"/>
      <c r="QGV251" s="1206"/>
      <c r="QGW251" s="1206"/>
      <c r="QGX251" s="1206"/>
      <c r="QGY251" s="1206"/>
      <c r="QGZ251" s="1206"/>
      <c r="QHA251" s="1206"/>
      <c r="QHB251" s="1206"/>
      <c r="QHC251" s="1206"/>
      <c r="QHD251" s="1206"/>
      <c r="QHE251" s="1206"/>
      <c r="QHF251" s="1206"/>
      <c r="QHG251" s="1207"/>
      <c r="QHH251" s="1206"/>
      <c r="QHI251" s="1206"/>
      <c r="QHJ251" s="1206"/>
      <c r="QHK251" s="1206"/>
      <c r="QHL251" s="1206"/>
      <c r="QHM251" s="1206"/>
      <c r="QHN251" s="1206"/>
      <c r="QHO251" s="1206"/>
      <c r="QHP251" s="1206"/>
      <c r="QHQ251" s="1206"/>
      <c r="QHR251" s="1206"/>
      <c r="QHS251" s="1206"/>
      <c r="QHT251" s="1206"/>
      <c r="QHU251" s="1206"/>
      <c r="QHV251" s="1206"/>
      <c r="QHW251" s="1206"/>
      <c r="QHX251" s="1207"/>
      <c r="QHY251" s="1206"/>
      <c r="QHZ251" s="1206"/>
      <c r="QIA251" s="1206"/>
      <c r="QIB251" s="1206"/>
      <c r="QIC251" s="1206"/>
      <c r="QID251" s="1206"/>
      <c r="QIE251" s="1206"/>
      <c r="QIF251" s="1206"/>
      <c r="QIG251" s="1206"/>
      <c r="QIH251" s="1206"/>
      <c r="QII251" s="1206"/>
      <c r="QIJ251" s="1206"/>
      <c r="QIK251" s="1206"/>
      <c r="QIL251" s="1206"/>
      <c r="QIM251" s="1206"/>
      <c r="QIN251" s="1206"/>
      <c r="QIO251" s="1207"/>
      <c r="QIP251" s="1206"/>
      <c r="QIQ251" s="1206"/>
      <c r="QIR251" s="1206"/>
      <c r="QIS251" s="1206"/>
      <c r="QIT251" s="1206"/>
      <c r="QIU251" s="1206"/>
      <c r="QIV251" s="1206"/>
      <c r="QIW251" s="1206"/>
      <c r="QIX251" s="1206"/>
      <c r="QIY251" s="1206"/>
      <c r="QIZ251" s="1206"/>
      <c r="QJA251" s="1206"/>
      <c r="QJB251" s="1206"/>
      <c r="QJC251" s="1206"/>
      <c r="QJD251" s="1206"/>
      <c r="QJE251" s="1206"/>
      <c r="QJF251" s="1207"/>
      <c r="QJG251" s="1206"/>
      <c r="QJH251" s="1206"/>
      <c r="QJI251" s="1206"/>
      <c r="QJJ251" s="1206"/>
      <c r="QJK251" s="1206"/>
      <c r="QJL251" s="1206"/>
      <c r="QJM251" s="1206"/>
      <c r="QJN251" s="1206"/>
      <c r="QJO251" s="1206"/>
      <c r="QJP251" s="1206"/>
      <c r="QJQ251" s="1206"/>
      <c r="QJR251" s="1206"/>
      <c r="QJS251" s="1206"/>
      <c r="QJT251" s="1206"/>
      <c r="QJU251" s="1206"/>
      <c r="QJV251" s="1206"/>
      <c r="QJW251" s="1207"/>
      <c r="QJX251" s="1206"/>
      <c r="QJY251" s="1206"/>
      <c r="QJZ251" s="1206"/>
      <c r="QKA251" s="1206"/>
      <c r="QKB251" s="1206"/>
      <c r="QKC251" s="1206"/>
      <c r="QKD251" s="1206"/>
      <c r="QKE251" s="1206"/>
      <c r="QKF251" s="1206"/>
      <c r="QKG251" s="1206"/>
      <c r="QKH251" s="1206"/>
      <c r="QKI251" s="1206"/>
      <c r="QKJ251" s="1206"/>
      <c r="QKK251" s="1206"/>
      <c r="QKL251" s="1206"/>
      <c r="QKM251" s="1206"/>
      <c r="QKN251" s="1207"/>
      <c r="QKO251" s="1206"/>
      <c r="QKP251" s="1206"/>
      <c r="QKQ251" s="1206"/>
      <c r="QKR251" s="1206"/>
      <c r="QKS251" s="1206"/>
      <c r="QKT251" s="1206"/>
      <c r="QKU251" s="1206"/>
      <c r="QKV251" s="1206"/>
      <c r="QKW251" s="1206"/>
      <c r="QKX251" s="1206"/>
      <c r="QKY251" s="1206"/>
      <c r="QKZ251" s="1206"/>
      <c r="QLA251" s="1206"/>
      <c r="QLB251" s="1206"/>
      <c r="QLC251" s="1206"/>
      <c r="QLD251" s="1206"/>
      <c r="QLE251" s="1207"/>
      <c r="QLF251" s="1206"/>
      <c r="QLG251" s="1206"/>
      <c r="QLH251" s="1206"/>
      <c r="QLI251" s="1206"/>
      <c r="QLJ251" s="1206"/>
      <c r="QLK251" s="1206"/>
      <c r="QLL251" s="1206"/>
      <c r="QLM251" s="1206"/>
      <c r="QLN251" s="1206"/>
      <c r="QLO251" s="1206"/>
      <c r="QLP251" s="1206"/>
      <c r="QLQ251" s="1206"/>
      <c r="QLR251" s="1206"/>
      <c r="QLS251" s="1206"/>
      <c r="QLT251" s="1206"/>
      <c r="QLU251" s="1206"/>
      <c r="QLV251" s="1207"/>
      <c r="QLW251" s="1206"/>
      <c r="QLX251" s="1206"/>
      <c r="QLY251" s="1206"/>
      <c r="QLZ251" s="1206"/>
      <c r="QMA251" s="1206"/>
      <c r="QMB251" s="1206"/>
      <c r="QMC251" s="1206"/>
      <c r="QMD251" s="1206"/>
      <c r="QME251" s="1206"/>
      <c r="QMF251" s="1206"/>
      <c r="QMG251" s="1206"/>
      <c r="QMH251" s="1206"/>
      <c r="QMI251" s="1206"/>
      <c r="QMJ251" s="1206"/>
      <c r="QMK251" s="1206"/>
      <c r="QML251" s="1206"/>
      <c r="QMM251" s="1207"/>
      <c r="QMN251" s="1206"/>
      <c r="QMO251" s="1206"/>
      <c r="QMP251" s="1206"/>
      <c r="QMQ251" s="1206"/>
      <c r="QMR251" s="1206"/>
      <c r="QMS251" s="1206"/>
      <c r="QMT251" s="1206"/>
      <c r="QMU251" s="1206"/>
      <c r="QMV251" s="1206"/>
      <c r="QMW251" s="1206"/>
      <c r="QMX251" s="1206"/>
      <c r="QMY251" s="1206"/>
      <c r="QMZ251" s="1206"/>
      <c r="QNA251" s="1206"/>
      <c r="QNB251" s="1206"/>
      <c r="QNC251" s="1206"/>
      <c r="QND251" s="1207"/>
      <c r="QNE251" s="1206"/>
      <c r="QNF251" s="1206"/>
      <c r="QNG251" s="1206"/>
      <c r="QNH251" s="1206"/>
      <c r="QNI251" s="1206"/>
      <c r="QNJ251" s="1206"/>
      <c r="QNK251" s="1206"/>
      <c r="QNL251" s="1206"/>
      <c r="QNM251" s="1206"/>
      <c r="QNN251" s="1206"/>
      <c r="QNO251" s="1206"/>
      <c r="QNP251" s="1206"/>
      <c r="QNQ251" s="1206"/>
      <c r="QNR251" s="1206"/>
      <c r="QNS251" s="1206"/>
      <c r="QNT251" s="1206"/>
      <c r="QNU251" s="1207"/>
      <c r="QNV251" s="1206"/>
      <c r="QNW251" s="1206"/>
      <c r="QNX251" s="1206"/>
      <c r="QNY251" s="1206"/>
      <c r="QNZ251" s="1206"/>
      <c r="QOA251" s="1206"/>
      <c r="QOB251" s="1206"/>
      <c r="QOC251" s="1206"/>
      <c r="QOD251" s="1206"/>
      <c r="QOE251" s="1206"/>
      <c r="QOF251" s="1206"/>
      <c r="QOG251" s="1206"/>
      <c r="QOH251" s="1206"/>
      <c r="QOI251" s="1206"/>
      <c r="QOJ251" s="1206"/>
      <c r="QOK251" s="1206"/>
      <c r="QOL251" s="1207"/>
      <c r="QOM251" s="1206"/>
      <c r="QON251" s="1206"/>
      <c r="QOO251" s="1206"/>
      <c r="QOP251" s="1206"/>
      <c r="QOQ251" s="1206"/>
      <c r="QOR251" s="1206"/>
      <c r="QOS251" s="1206"/>
      <c r="QOT251" s="1206"/>
      <c r="QOU251" s="1206"/>
      <c r="QOV251" s="1206"/>
      <c r="QOW251" s="1206"/>
      <c r="QOX251" s="1206"/>
      <c r="QOY251" s="1206"/>
      <c r="QOZ251" s="1206"/>
      <c r="QPA251" s="1206"/>
      <c r="QPB251" s="1206"/>
      <c r="QPC251" s="1207"/>
      <c r="QPD251" s="1206"/>
      <c r="QPE251" s="1206"/>
      <c r="QPF251" s="1206"/>
      <c r="QPG251" s="1206"/>
      <c r="QPH251" s="1206"/>
      <c r="QPI251" s="1206"/>
      <c r="QPJ251" s="1206"/>
      <c r="QPK251" s="1206"/>
      <c r="QPL251" s="1206"/>
      <c r="QPM251" s="1206"/>
      <c r="QPN251" s="1206"/>
      <c r="QPO251" s="1206"/>
      <c r="QPP251" s="1206"/>
      <c r="QPQ251" s="1206"/>
      <c r="QPR251" s="1206"/>
      <c r="QPS251" s="1206"/>
      <c r="QPT251" s="1207"/>
      <c r="QPU251" s="1206"/>
      <c r="QPV251" s="1206"/>
      <c r="QPW251" s="1206"/>
      <c r="QPX251" s="1206"/>
      <c r="QPY251" s="1206"/>
      <c r="QPZ251" s="1206"/>
      <c r="QQA251" s="1206"/>
      <c r="QQB251" s="1206"/>
      <c r="QQC251" s="1206"/>
      <c r="QQD251" s="1206"/>
      <c r="QQE251" s="1206"/>
      <c r="QQF251" s="1206"/>
      <c r="QQG251" s="1206"/>
      <c r="QQH251" s="1206"/>
      <c r="QQI251" s="1206"/>
      <c r="QQJ251" s="1206"/>
      <c r="QQK251" s="1207"/>
      <c r="QQL251" s="1206"/>
      <c r="QQM251" s="1206"/>
      <c r="QQN251" s="1206"/>
      <c r="QQO251" s="1206"/>
      <c r="QQP251" s="1206"/>
      <c r="QQQ251" s="1206"/>
      <c r="QQR251" s="1206"/>
      <c r="QQS251" s="1206"/>
      <c r="QQT251" s="1206"/>
      <c r="QQU251" s="1206"/>
      <c r="QQV251" s="1206"/>
      <c r="QQW251" s="1206"/>
      <c r="QQX251" s="1206"/>
      <c r="QQY251" s="1206"/>
      <c r="QQZ251" s="1206"/>
      <c r="QRA251" s="1206"/>
      <c r="QRB251" s="1207"/>
      <c r="QRC251" s="1206"/>
      <c r="QRD251" s="1206"/>
      <c r="QRE251" s="1206"/>
      <c r="QRF251" s="1206"/>
      <c r="QRG251" s="1206"/>
      <c r="QRH251" s="1206"/>
      <c r="QRI251" s="1206"/>
      <c r="QRJ251" s="1206"/>
      <c r="QRK251" s="1206"/>
      <c r="QRL251" s="1206"/>
      <c r="QRM251" s="1206"/>
      <c r="QRN251" s="1206"/>
      <c r="QRO251" s="1206"/>
      <c r="QRP251" s="1206"/>
      <c r="QRQ251" s="1206"/>
      <c r="QRR251" s="1206"/>
      <c r="QRS251" s="1207"/>
      <c r="QRT251" s="1206"/>
      <c r="QRU251" s="1206"/>
      <c r="QRV251" s="1206"/>
      <c r="QRW251" s="1206"/>
      <c r="QRX251" s="1206"/>
      <c r="QRY251" s="1206"/>
      <c r="QRZ251" s="1206"/>
      <c r="QSA251" s="1206"/>
      <c r="QSB251" s="1206"/>
      <c r="QSC251" s="1206"/>
      <c r="QSD251" s="1206"/>
      <c r="QSE251" s="1206"/>
      <c r="QSF251" s="1206"/>
      <c r="QSG251" s="1206"/>
      <c r="QSH251" s="1206"/>
      <c r="QSI251" s="1206"/>
      <c r="QSJ251" s="1207"/>
      <c r="QSK251" s="1206"/>
      <c r="QSL251" s="1206"/>
      <c r="QSM251" s="1206"/>
      <c r="QSN251" s="1206"/>
      <c r="QSO251" s="1206"/>
      <c r="QSP251" s="1206"/>
      <c r="QSQ251" s="1206"/>
      <c r="QSR251" s="1206"/>
      <c r="QSS251" s="1206"/>
      <c r="QST251" s="1206"/>
      <c r="QSU251" s="1206"/>
      <c r="QSV251" s="1206"/>
      <c r="QSW251" s="1206"/>
      <c r="QSX251" s="1206"/>
      <c r="QSY251" s="1206"/>
      <c r="QSZ251" s="1206"/>
      <c r="QTA251" s="1207"/>
      <c r="QTB251" s="1206"/>
      <c r="QTC251" s="1206"/>
      <c r="QTD251" s="1206"/>
      <c r="QTE251" s="1206"/>
      <c r="QTF251" s="1206"/>
      <c r="QTG251" s="1206"/>
      <c r="QTH251" s="1206"/>
      <c r="QTI251" s="1206"/>
      <c r="QTJ251" s="1206"/>
      <c r="QTK251" s="1206"/>
      <c r="QTL251" s="1206"/>
      <c r="QTM251" s="1206"/>
      <c r="QTN251" s="1206"/>
      <c r="QTO251" s="1206"/>
      <c r="QTP251" s="1206"/>
      <c r="QTQ251" s="1206"/>
      <c r="QTR251" s="1207"/>
      <c r="QTS251" s="1206"/>
      <c r="QTT251" s="1206"/>
      <c r="QTU251" s="1206"/>
      <c r="QTV251" s="1206"/>
      <c r="QTW251" s="1206"/>
      <c r="QTX251" s="1206"/>
      <c r="QTY251" s="1206"/>
      <c r="QTZ251" s="1206"/>
      <c r="QUA251" s="1206"/>
      <c r="QUB251" s="1206"/>
      <c r="QUC251" s="1206"/>
      <c r="QUD251" s="1206"/>
      <c r="QUE251" s="1206"/>
      <c r="QUF251" s="1206"/>
      <c r="QUG251" s="1206"/>
      <c r="QUH251" s="1206"/>
      <c r="QUI251" s="1207"/>
      <c r="QUJ251" s="1206"/>
      <c r="QUK251" s="1206"/>
      <c r="QUL251" s="1206"/>
      <c r="QUM251" s="1206"/>
      <c r="QUN251" s="1206"/>
      <c r="QUO251" s="1206"/>
      <c r="QUP251" s="1206"/>
      <c r="QUQ251" s="1206"/>
      <c r="QUR251" s="1206"/>
      <c r="QUS251" s="1206"/>
      <c r="QUT251" s="1206"/>
      <c r="QUU251" s="1206"/>
      <c r="QUV251" s="1206"/>
      <c r="QUW251" s="1206"/>
      <c r="QUX251" s="1206"/>
      <c r="QUY251" s="1206"/>
      <c r="QUZ251" s="1207"/>
      <c r="QVA251" s="1206"/>
      <c r="QVB251" s="1206"/>
      <c r="QVC251" s="1206"/>
      <c r="QVD251" s="1206"/>
      <c r="QVE251" s="1206"/>
      <c r="QVF251" s="1206"/>
      <c r="QVG251" s="1206"/>
      <c r="QVH251" s="1206"/>
      <c r="QVI251" s="1206"/>
      <c r="QVJ251" s="1206"/>
      <c r="QVK251" s="1206"/>
      <c r="QVL251" s="1206"/>
      <c r="QVM251" s="1206"/>
      <c r="QVN251" s="1206"/>
      <c r="QVO251" s="1206"/>
      <c r="QVP251" s="1206"/>
      <c r="QVQ251" s="1207"/>
      <c r="QVR251" s="1206"/>
      <c r="QVS251" s="1206"/>
      <c r="QVT251" s="1206"/>
      <c r="QVU251" s="1206"/>
      <c r="QVV251" s="1206"/>
      <c r="QVW251" s="1206"/>
      <c r="QVX251" s="1206"/>
      <c r="QVY251" s="1206"/>
      <c r="QVZ251" s="1206"/>
      <c r="QWA251" s="1206"/>
      <c r="QWB251" s="1206"/>
      <c r="QWC251" s="1206"/>
      <c r="QWD251" s="1206"/>
      <c r="QWE251" s="1206"/>
      <c r="QWF251" s="1206"/>
      <c r="QWG251" s="1206"/>
      <c r="QWH251" s="1207"/>
      <c r="QWI251" s="1206"/>
      <c r="QWJ251" s="1206"/>
      <c r="QWK251" s="1206"/>
      <c r="QWL251" s="1206"/>
      <c r="QWM251" s="1206"/>
      <c r="QWN251" s="1206"/>
      <c r="QWO251" s="1206"/>
      <c r="QWP251" s="1206"/>
      <c r="QWQ251" s="1206"/>
      <c r="QWR251" s="1206"/>
      <c r="QWS251" s="1206"/>
      <c r="QWT251" s="1206"/>
      <c r="QWU251" s="1206"/>
      <c r="QWV251" s="1206"/>
      <c r="QWW251" s="1206"/>
      <c r="QWX251" s="1206"/>
      <c r="QWY251" s="1207"/>
      <c r="QWZ251" s="1206"/>
      <c r="QXA251" s="1206"/>
      <c r="QXB251" s="1206"/>
      <c r="QXC251" s="1206"/>
      <c r="QXD251" s="1206"/>
      <c r="QXE251" s="1206"/>
      <c r="QXF251" s="1206"/>
      <c r="QXG251" s="1206"/>
      <c r="QXH251" s="1206"/>
      <c r="QXI251" s="1206"/>
      <c r="QXJ251" s="1206"/>
      <c r="QXK251" s="1206"/>
      <c r="QXL251" s="1206"/>
      <c r="QXM251" s="1206"/>
      <c r="QXN251" s="1206"/>
      <c r="QXO251" s="1206"/>
      <c r="QXP251" s="1207"/>
      <c r="QXQ251" s="1206"/>
      <c r="QXR251" s="1206"/>
      <c r="QXS251" s="1206"/>
      <c r="QXT251" s="1206"/>
      <c r="QXU251" s="1206"/>
      <c r="QXV251" s="1206"/>
      <c r="QXW251" s="1206"/>
      <c r="QXX251" s="1206"/>
      <c r="QXY251" s="1206"/>
      <c r="QXZ251" s="1206"/>
      <c r="QYA251" s="1206"/>
      <c r="QYB251" s="1206"/>
      <c r="QYC251" s="1206"/>
      <c r="QYD251" s="1206"/>
      <c r="QYE251" s="1206"/>
      <c r="QYF251" s="1206"/>
      <c r="QYG251" s="1207"/>
      <c r="QYH251" s="1206"/>
      <c r="QYI251" s="1206"/>
      <c r="QYJ251" s="1206"/>
      <c r="QYK251" s="1206"/>
      <c r="QYL251" s="1206"/>
      <c r="QYM251" s="1206"/>
      <c r="QYN251" s="1206"/>
      <c r="QYO251" s="1206"/>
      <c r="QYP251" s="1206"/>
      <c r="QYQ251" s="1206"/>
      <c r="QYR251" s="1206"/>
      <c r="QYS251" s="1206"/>
      <c r="QYT251" s="1206"/>
      <c r="QYU251" s="1206"/>
      <c r="QYV251" s="1206"/>
      <c r="QYW251" s="1206"/>
      <c r="QYX251" s="1207"/>
      <c r="QYY251" s="1206"/>
      <c r="QYZ251" s="1206"/>
      <c r="QZA251" s="1206"/>
      <c r="QZB251" s="1206"/>
      <c r="QZC251" s="1206"/>
      <c r="QZD251" s="1206"/>
      <c r="QZE251" s="1206"/>
      <c r="QZF251" s="1206"/>
      <c r="QZG251" s="1206"/>
      <c r="QZH251" s="1206"/>
      <c r="QZI251" s="1206"/>
      <c r="QZJ251" s="1206"/>
      <c r="QZK251" s="1206"/>
      <c r="QZL251" s="1206"/>
      <c r="QZM251" s="1206"/>
      <c r="QZN251" s="1206"/>
      <c r="QZO251" s="1207"/>
      <c r="QZP251" s="1206"/>
      <c r="QZQ251" s="1206"/>
      <c r="QZR251" s="1206"/>
      <c r="QZS251" s="1206"/>
      <c r="QZT251" s="1206"/>
      <c r="QZU251" s="1206"/>
      <c r="QZV251" s="1206"/>
      <c r="QZW251" s="1206"/>
      <c r="QZX251" s="1206"/>
      <c r="QZY251" s="1206"/>
      <c r="QZZ251" s="1206"/>
      <c r="RAA251" s="1206"/>
      <c r="RAB251" s="1206"/>
      <c r="RAC251" s="1206"/>
      <c r="RAD251" s="1206"/>
      <c r="RAE251" s="1206"/>
      <c r="RAF251" s="1207"/>
      <c r="RAG251" s="1206"/>
      <c r="RAH251" s="1206"/>
      <c r="RAI251" s="1206"/>
      <c r="RAJ251" s="1206"/>
      <c r="RAK251" s="1206"/>
      <c r="RAL251" s="1206"/>
      <c r="RAM251" s="1206"/>
      <c r="RAN251" s="1206"/>
      <c r="RAO251" s="1206"/>
      <c r="RAP251" s="1206"/>
      <c r="RAQ251" s="1206"/>
      <c r="RAR251" s="1206"/>
      <c r="RAS251" s="1206"/>
      <c r="RAT251" s="1206"/>
      <c r="RAU251" s="1206"/>
      <c r="RAV251" s="1206"/>
      <c r="RAW251" s="1207"/>
      <c r="RAX251" s="1206"/>
      <c r="RAY251" s="1206"/>
      <c r="RAZ251" s="1206"/>
      <c r="RBA251" s="1206"/>
      <c r="RBB251" s="1206"/>
      <c r="RBC251" s="1206"/>
      <c r="RBD251" s="1206"/>
      <c r="RBE251" s="1206"/>
      <c r="RBF251" s="1206"/>
      <c r="RBG251" s="1206"/>
      <c r="RBH251" s="1206"/>
      <c r="RBI251" s="1206"/>
      <c r="RBJ251" s="1206"/>
      <c r="RBK251" s="1206"/>
      <c r="RBL251" s="1206"/>
      <c r="RBM251" s="1206"/>
      <c r="RBN251" s="1207"/>
      <c r="RBO251" s="1206"/>
      <c r="RBP251" s="1206"/>
      <c r="RBQ251" s="1206"/>
      <c r="RBR251" s="1206"/>
      <c r="RBS251" s="1206"/>
      <c r="RBT251" s="1206"/>
      <c r="RBU251" s="1206"/>
      <c r="RBV251" s="1206"/>
      <c r="RBW251" s="1206"/>
      <c r="RBX251" s="1206"/>
      <c r="RBY251" s="1206"/>
      <c r="RBZ251" s="1206"/>
      <c r="RCA251" s="1206"/>
      <c r="RCB251" s="1206"/>
      <c r="RCC251" s="1206"/>
      <c r="RCD251" s="1206"/>
      <c r="RCE251" s="1207"/>
      <c r="RCF251" s="1206"/>
      <c r="RCG251" s="1206"/>
      <c r="RCH251" s="1206"/>
      <c r="RCI251" s="1206"/>
      <c r="RCJ251" s="1206"/>
      <c r="RCK251" s="1206"/>
      <c r="RCL251" s="1206"/>
      <c r="RCM251" s="1206"/>
      <c r="RCN251" s="1206"/>
      <c r="RCO251" s="1206"/>
      <c r="RCP251" s="1206"/>
      <c r="RCQ251" s="1206"/>
      <c r="RCR251" s="1206"/>
      <c r="RCS251" s="1206"/>
      <c r="RCT251" s="1206"/>
      <c r="RCU251" s="1206"/>
      <c r="RCV251" s="1207"/>
      <c r="RCW251" s="1206"/>
      <c r="RCX251" s="1206"/>
      <c r="RCY251" s="1206"/>
      <c r="RCZ251" s="1206"/>
      <c r="RDA251" s="1206"/>
      <c r="RDB251" s="1206"/>
      <c r="RDC251" s="1206"/>
      <c r="RDD251" s="1206"/>
      <c r="RDE251" s="1206"/>
      <c r="RDF251" s="1206"/>
      <c r="RDG251" s="1206"/>
      <c r="RDH251" s="1206"/>
      <c r="RDI251" s="1206"/>
      <c r="RDJ251" s="1206"/>
      <c r="RDK251" s="1206"/>
      <c r="RDL251" s="1206"/>
      <c r="RDM251" s="1207"/>
      <c r="RDN251" s="1206"/>
      <c r="RDO251" s="1206"/>
      <c r="RDP251" s="1206"/>
      <c r="RDQ251" s="1206"/>
      <c r="RDR251" s="1206"/>
      <c r="RDS251" s="1206"/>
      <c r="RDT251" s="1206"/>
      <c r="RDU251" s="1206"/>
      <c r="RDV251" s="1206"/>
      <c r="RDW251" s="1206"/>
      <c r="RDX251" s="1206"/>
      <c r="RDY251" s="1206"/>
      <c r="RDZ251" s="1206"/>
      <c r="REA251" s="1206"/>
      <c r="REB251" s="1206"/>
      <c r="REC251" s="1206"/>
      <c r="RED251" s="1207"/>
    </row>
    <row r="252" spans="1:12302" s="78" customFormat="1" ht="59.25" x14ac:dyDescent="0.25">
      <c r="A252" s="994">
        <v>22</v>
      </c>
      <c r="B252" s="441">
        <v>1</v>
      </c>
      <c r="C252" s="158"/>
      <c r="D252" s="442"/>
      <c r="E252" s="402" t="s">
        <v>1279</v>
      </c>
      <c r="F252" s="634">
        <f>F253+F254</f>
        <v>68801.100000000006</v>
      </c>
      <c r="G252" s="634">
        <f>G253+G254</f>
        <v>102779.33</v>
      </c>
      <c r="H252" s="151"/>
      <c r="I252" s="151"/>
      <c r="J252" s="151"/>
      <c r="K252" s="633"/>
      <c r="L252" s="635"/>
      <c r="M252" s="355"/>
      <c r="N252" s="355"/>
      <c r="O252" s="637"/>
      <c r="P252" s="637"/>
      <c r="Q252" s="638"/>
    </row>
    <row r="253" spans="1:12302" s="78" customFormat="1" ht="45" x14ac:dyDescent="0.25">
      <c r="A253" s="994"/>
      <c r="B253" s="441"/>
      <c r="C253" s="152">
        <v>1</v>
      </c>
      <c r="D253" s="105"/>
      <c r="E253" s="436" t="s">
        <v>1716</v>
      </c>
      <c r="F253" s="106">
        <v>45249.1</v>
      </c>
      <c r="G253" s="106">
        <v>86800.23</v>
      </c>
      <c r="H253" s="151"/>
      <c r="I253" s="151"/>
      <c r="J253" s="151"/>
      <c r="K253" s="57" t="s">
        <v>1704</v>
      </c>
      <c r="L253" s="635" t="s">
        <v>19</v>
      </c>
      <c r="M253" s="635">
        <v>100</v>
      </c>
      <c r="N253" s="635">
        <v>100</v>
      </c>
      <c r="O253" s="637"/>
      <c r="P253" s="637"/>
      <c r="Q253" s="638"/>
    </row>
    <row r="254" spans="1:12302" s="78" customFormat="1" ht="30" x14ac:dyDescent="0.25">
      <c r="A254" s="994"/>
      <c r="B254" s="441"/>
      <c r="C254" s="152">
        <v>2</v>
      </c>
      <c r="D254" s="105"/>
      <c r="E254" s="107" t="s">
        <v>1717</v>
      </c>
      <c r="F254" s="106">
        <v>23552</v>
      </c>
      <c r="G254" s="106">
        <v>15979.1</v>
      </c>
      <c r="H254" s="151"/>
      <c r="I254" s="151"/>
      <c r="J254" s="151"/>
      <c r="K254" s="57" t="s">
        <v>325</v>
      </c>
      <c r="L254" s="635" t="s">
        <v>19</v>
      </c>
      <c r="M254" s="635">
        <v>90</v>
      </c>
      <c r="N254" s="635">
        <v>100</v>
      </c>
      <c r="O254" s="637"/>
      <c r="P254" s="637"/>
      <c r="Q254" s="638"/>
    </row>
    <row r="255" spans="1:12302" s="78" customFormat="1" ht="119.25" x14ac:dyDescent="0.25">
      <c r="A255" s="994"/>
      <c r="B255" s="441">
        <v>2</v>
      </c>
      <c r="C255" s="152"/>
      <c r="D255" s="105"/>
      <c r="E255" s="443" t="s">
        <v>1272</v>
      </c>
      <c r="F255" s="634">
        <f>F256+F257+F258</f>
        <v>1122208.3999999999</v>
      </c>
      <c r="G255" s="634">
        <f>G256+G257+G258</f>
        <v>660807.071</v>
      </c>
      <c r="H255" s="151"/>
      <c r="I255" s="151"/>
      <c r="J255" s="151"/>
      <c r="K255" s="57" t="s">
        <v>326</v>
      </c>
      <c r="L255" s="635" t="s">
        <v>19</v>
      </c>
      <c r="M255" s="635">
        <v>90</v>
      </c>
      <c r="N255" s="635">
        <v>100</v>
      </c>
      <c r="O255" s="637"/>
      <c r="P255" s="637"/>
      <c r="Q255" s="638"/>
    </row>
    <row r="256" spans="1:12302" s="78" customFormat="1" ht="59.25" customHeight="1" x14ac:dyDescent="0.25">
      <c r="A256" s="994"/>
      <c r="B256" s="441"/>
      <c r="C256" s="152">
        <v>1</v>
      </c>
      <c r="D256" s="105"/>
      <c r="E256" s="107" t="s">
        <v>1341</v>
      </c>
      <c r="F256" s="106">
        <f>714431.8-10.8+27278.9+5489.6</f>
        <v>747189.5</v>
      </c>
      <c r="G256" s="106">
        <f>501780.571+11123.3</f>
        <v>512903.87099999998</v>
      </c>
      <c r="H256" s="151"/>
      <c r="I256" s="151"/>
      <c r="J256" s="151"/>
      <c r="K256" s="57" t="s">
        <v>328</v>
      </c>
      <c r="L256" s="635" t="s">
        <v>19</v>
      </c>
      <c r="M256" s="635">
        <v>50</v>
      </c>
      <c r="N256" s="635">
        <v>40</v>
      </c>
      <c r="O256" s="637"/>
      <c r="P256" s="637"/>
      <c r="Q256" s="638"/>
    </row>
    <row r="257" spans="1:17" s="78" customFormat="1" ht="30" x14ac:dyDescent="0.25">
      <c r="A257" s="994"/>
      <c r="B257" s="441"/>
      <c r="C257" s="152">
        <v>2</v>
      </c>
      <c r="D257" s="105"/>
      <c r="E257" s="107" t="s">
        <v>329</v>
      </c>
      <c r="F257" s="106">
        <v>125000</v>
      </c>
      <c r="G257" s="106">
        <v>0</v>
      </c>
      <c r="H257" s="151"/>
      <c r="I257" s="151"/>
      <c r="J257" s="151"/>
      <c r="K257" s="57" t="s">
        <v>330</v>
      </c>
      <c r="L257" s="635" t="s">
        <v>19</v>
      </c>
      <c r="M257" s="635">
        <v>70</v>
      </c>
      <c r="N257" s="635">
        <v>80</v>
      </c>
      <c r="O257" s="637"/>
      <c r="P257" s="637"/>
      <c r="Q257" s="638"/>
    </row>
    <row r="258" spans="1:17" s="78" customFormat="1" ht="30" x14ac:dyDescent="0.25">
      <c r="A258" s="994"/>
      <c r="B258" s="441"/>
      <c r="C258" s="152">
        <v>3</v>
      </c>
      <c r="D258" s="105"/>
      <c r="E258" s="107" t="s">
        <v>331</v>
      </c>
      <c r="F258" s="106">
        <v>250018.9</v>
      </c>
      <c r="G258" s="106">
        <v>147903.20000000001</v>
      </c>
      <c r="H258" s="151"/>
      <c r="I258" s="151"/>
      <c r="J258" s="151"/>
      <c r="K258" s="57" t="s">
        <v>332</v>
      </c>
      <c r="L258" s="635" t="s">
        <v>19</v>
      </c>
      <c r="M258" s="635">
        <v>80</v>
      </c>
      <c r="N258" s="635">
        <v>90</v>
      </c>
      <c r="O258" s="637"/>
      <c r="P258" s="637"/>
      <c r="Q258" s="638"/>
    </row>
    <row r="259" spans="1:17" s="78" customFormat="1" ht="30" x14ac:dyDescent="0.25">
      <c r="A259" s="994"/>
      <c r="B259" s="441"/>
      <c r="C259" s="152">
        <v>7</v>
      </c>
      <c r="D259" s="105"/>
      <c r="E259" s="107" t="s">
        <v>333</v>
      </c>
      <c r="F259" s="106">
        <v>0</v>
      </c>
      <c r="G259" s="106">
        <v>0</v>
      </c>
      <c r="H259" s="151"/>
      <c r="I259" s="151"/>
      <c r="J259" s="151"/>
      <c r="K259" s="57" t="s">
        <v>334</v>
      </c>
      <c r="L259" s="635" t="s">
        <v>19</v>
      </c>
      <c r="M259" s="635">
        <v>90</v>
      </c>
      <c r="N259" s="635">
        <v>100</v>
      </c>
      <c r="O259" s="637"/>
      <c r="P259" s="637"/>
      <c r="Q259" s="638"/>
    </row>
    <row r="260" spans="1:17" s="78" customFormat="1" x14ac:dyDescent="0.25">
      <c r="A260" s="994"/>
      <c r="B260" s="441">
        <v>3</v>
      </c>
      <c r="C260" s="152"/>
      <c r="D260" s="105"/>
      <c r="E260" s="443" t="s">
        <v>335</v>
      </c>
      <c r="F260" s="634">
        <f>SUM(F261:F267)</f>
        <v>0</v>
      </c>
      <c r="G260" s="634">
        <f>SUM(G261:G267)</f>
        <v>153613.60000000003</v>
      </c>
      <c r="H260" s="151"/>
      <c r="I260" s="151"/>
      <c r="J260" s="151"/>
      <c r="K260" s="57"/>
      <c r="L260" s="635"/>
      <c r="M260" s="635"/>
      <c r="N260" s="635"/>
      <c r="O260" s="637"/>
      <c r="P260" s="637"/>
      <c r="Q260" s="638"/>
    </row>
    <row r="261" spans="1:17" ht="90" customHeight="1" x14ac:dyDescent="0.25">
      <c r="A261" s="994"/>
      <c r="B261" s="441"/>
      <c r="C261" s="152">
        <v>1</v>
      </c>
      <c r="D261" s="105"/>
      <c r="E261" s="107" t="s">
        <v>336</v>
      </c>
      <c r="F261" s="106">
        <v>0</v>
      </c>
      <c r="G261" s="106">
        <v>17280.5</v>
      </c>
      <c r="H261" s="151"/>
      <c r="I261" s="151"/>
      <c r="J261" s="151"/>
      <c r="K261" s="57" t="s">
        <v>330</v>
      </c>
      <c r="L261" s="635" t="s">
        <v>19</v>
      </c>
      <c r="M261" s="635"/>
      <c r="N261" s="635">
        <v>80</v>
      </c>
      <c r="O261" s="637"/>
      <c r="P261" s="637"/>
      <c r="Q261" s="638"/>
    </row>
    <row r="262" spans="1:17" ht="41.25" customHeight="1" x14ac:dyDescent="0.25">
      <c r="A262" s="994"/>
      <c r="B262" s="441"/>
      <c r="C262" s="152">
        <v>2</v>
      </c>
      <c r="D262" s="105"/>
      <c r="E262" s="107" t="s">
        <v>337</v>
      </c>
      <c r="F262" s="106">
        <v>0</v>
      </c>
      <c r="G262" s="106">
        <v>19274.8</v>
      </c>
      <c r="H262" s="151"/>
      <c r="I262" s="151"/>
      <c r="J262" s="151"/>
      <c r="K262" s="57" t="s">
        <v>330</v>
      </c>
      <c r="L262" s="635" t="s">
        <v>19</v>
      </c>
      <c r="M262" s="635"/>
      <c r="N262" s="635">
        <v>80</v>
      </c>
      <c r="O262" s="637"/>
      <c r="P262" s="637"/>
      <c r="Q262" s="638"/>
    </row>
    <row r="263" spans="1:17" ht="127.5" customHeight="1" x14ac:dyDescent="0.25">
      <c r="A263" s="994"/>
      <c r="B263" s="441"/>
      <c r="C263" s="152">
        <v>3</v>
      </c>
      <c r="D263" s="105"/>
      <c r="E263" s="107" t="s">
        <v>1342</v>
      </c>
      <c r="F263" s="106">
        <v>0</v>
      </c>
      <c r="G263" s="106">
        <v>108338.1</v>
      </c>
      <c r="H263" s="151"/>
      <c r="I263" s="151"/>
      <c r="J263" s="151"/>
      <c r="K263" s="57" t="s">
        <v>330</v>
      </c>
      <c r="L263" s="635" t="s">
        <v>19</v>
      </c>
      <c r="M263" s="635"/>
      <c r="N263" s="635">
        <v>80</v>
      </c>
      <c r="O263" s="637"/>
      <c r="P263" s="637"/>
      <c r="Q263" s="638"/>
    </row>
    <row r="264" spans="1:17" ht="55.5" customHeight="1" x14ac:dyDescent="0.25">
      <c r="A264" s="994"/>
      <c r="B264" s="441"/>
      <c r="C264" s="152">
        <v>4</v>
      </c>
      <c r="D264" s="105"/>
      <c r="E264" s="107" t="s">
        <v>338</v>
      </c>
      <c r="F264" s="106">
        <v>0</v>
      </c>
      <c r="G264" s="106"/>
      <c r="H264" s="151"/>
      <c r="I264" s="151"/>
      <c r="J264" s="151"/>
      <c r="K264" s="57" t="s">
        <v>339</v>
      </c>
      <c r="L264" s="635" t="s">
        <v>19</v>
      </c>
      <c r="M264" s="635"/>
      <c r="N264" s="635">
        <v>100</v>
      </c>
      <c r="O264" s="637"/>
      <c r="P264" s="637"/>
      <c r="Q264" s="638"/>
    </row>
    <row r="265" spans="1:17" ht="83.25" customHeight="1" x14ac:dyDescent="0.25">
      <c r="A265" s="994"/>
      <c r="B265" s="441"/>
      <c r="C265" s="152">
        <v>5</v>
      </c>
      <c r="D265" s="105"/>
      <c r="E265" s="107" t="s">
        <v>340</v>
      </c>
      <c r="F265" s="106">
        <v>0</v>
      </c>
      <c r="G265" s="106">
        <v>1472.7</v>
      </c>
      <c r="H265" s="151"/>
      <c r="I265" s="151"/>
      <c r="J265" s="151"/>
      <c r="K265" s="57" t="s">
        <v>341</v>
      </c>
      <c r="L265" s="635" t="s">
        <v>19</v>
      </c>
      <c r="M265" s="635"/>
      <c r="N265" s="635">
        <v>90</v>
      </c>
      <c r="O265" s="637"/>
      <c r="P265" s="637"/>
      <c r="Q265" s="638"/>
    </row>
    <row r="266" spans="1:17" ht="61.5" customHeight="1" x14ac:dyDescent="0.25">
      <c r="A266" s="994"/>
      <c r="B266" s="441"/>
      <c r="C266" s="152">
        <v>5</v>
      </c>
      <c r="D266" s="105"/>
      <c r="E266" s="107" t="s">
        <v>342</v>
      </c>
      <c r="F266" s="106">
        <v>0</v>
      </c>
      <c r="G266" s="106">
        <v>6400</v>
      </c>
      <c r="H266" s="151"/>
      <c r="I266" s="151"/>
      <c r="J266" s="151"/>
      <c r="K266" s="57" t="s">
        <v>330</v>
      </c>
      <c r="L266" s="635" t="s">
        <v>19</v>
      </c>
      <c r="M266" s="635"/>
      <c r="N266" s="635">
        <v>90</v>
      </c>
      <c r="O266" s="637"/>
      <c r="P266" s="637"/>
      <c r="Q266" s="638"/>
    </row>
    <row r="267" spans="1:17" ht="60" x14ac:dyDescent="0.25">
      <c r="A267" s="994"/>
      <c r="B267" s="441"/>
      <c r="C267" s="152">
        <v>6</v>
      </c>
      <c r="D267" s="105"/>
      <c r="E267" s="107" t="s">
        <v>343</v>
      </c>
      <c r="F267" s="106">
        <v>0</v>
      </c>
      <c r="G267" s="106">
        <v>847.5</v>
      </c>
      <c r="H267" s="151"/>
      <c r="I267" s="151"/>
      <c r="J267" s="151"/>
      <c r="K267" s="57" t="s">
        <v>1348</v>
      </c>
      <c r="L267" s="635" t="s">
        <v>19</v>
      </c>
      <c r="M267" s="635"/>
      <c r="N267" s="635">
        <v>100</v>
      </c>
      <c r="O267" s="637"/>
      <c r="P267" s="637"/>
      <c r="Q267" s="638"/>
    </row>
    <row r="268" spans="1:17" ht="59.25" x14ac:dyDescent="0.25">
      <c r="A268" s="994"/>
      <c r="B268" s="626" t="s">
        <v>699</v>
      </c>
      <c r="C268" s="444"/>
      <c r="D268" s="445"/>
      <c r="E268" s="633" t="s">
        <v>1344</v>
      </c>
      <c r="F268" s="634">
        <f>SUM(F269:F271)</f>
        <v>87983.900000000009</v>
      </c>
      <c r="G268" s="634">
        <f>SUM(G269:G271)</f>
        <v>57073.999999999993</v>
      </c>
      <c r="H268" s="151"/>
      <c r="I268" s="151"/>
      <c r="J268" s="151"/>
      <c r="K268" s="57" t="s">
        <v>1343</v>
      </c>
      <c r="L268" s="635"/>
      <c r="M268" s="158"/>
      <c r="N268" s="158"/>
      <c r="O268" s="637"/>
      <c r="P268" s="637"/>
      <c r="Q268" s="638"/>
    </row>
    <row r="269" spans="1:17" ht="30" x14ac:dyDescent="0.25">
      <c r="A269" s="994"/>
      <c r="B269" s="626"/>
      <c r="C269" s="444" t="s">
        <v>43</v>
      </c>
      <c r="D269" s="445"/>
      <c r="E269" s="627" t="s">
        <v>344</v>
      </c>
      <c r="F269" s="106">
        <f>66174.5+25.6</f>
        <v>66200.100000000006</v>
      </c>
      <c r="G269" s="106">
        <f>56543.1+9.2</f>
        <v>56552.299999999996</v>
      </c>
      <c r="H269" s="151"/>
      <c r="I269" s="151"/>
      <c r="J269" s="151"/>
      <c r="K269" s="628" t="s">
        <v>345</v>
      </c>
      <c r="L269" s="635" t="s">
        <v>19</v>
      </c>
      <c r="M269" s="104">
        <v>90</v>
      </c>
      <c r="N269" s="104">
        <v>100</v>
      </c>
      <c r="O269" s="637"/>
      <c r="P269" s="637"/>
      <c r="Q269" s="638"/>
    </row>
    <row r="270" spans="1:17" ht="30" x14ac:dyDescent="0.25">
      <c r="A270" s="994"/>
      <c r="B270" s="626"/>
      <c r="C270" s="444" t="s">
        <v>48</v>
      </c>
      <c r="D270" s="445"/>
      <c r="E270" s="627" t="s">
        <v>346</v>
      </c>
      <c r="F270" s="106">
        <v>18261.3</v>
      </c>
      <c r="G270" s="106">
        <v>521.70000000000005</v>
      </c>
      <c r="H270" s="151"/>
      <c r="I270" s="151"/>
      <c r="J270" s="151"/>
      <c r="K270" s="628" t="s">
        <v>332</v>
      </c>
      <c r="L270" s="635" t="s">
        <v>19</v>
      </c>
      <c r="M270" s="635">
        <v>80</v>
      </c>
      <c r="N270" s="635">
        <v>90</v>
      </c>
      <c r="O270" s="637"/>
      <c r="P270" s="637"/>
      <c r="Q270" s="638"/>
    </row>
    <row r="271" spans="1:17" ht="30" x14ac:dyDescent="0.25">
      <c r="A271" s="994"/>
      <c r="B271" s="626"/>
      <c r="C271" s="444" t="s">
        <v>37</v>
      </c>
      <c r="D271" s="445"/>
      <c r="E271" s="627" t="s">
        <v>1718</v>
      </c>
      <c r="F271" s="106">
        <v>3522.5</v>
      </c>
      <c r="G271" s="106">
        <v>0</v>
      </c>
      <c r="H271" s="151"/>
      <c r="I271" s="151"/>
      <c r="J271" s="151"/>
      <c r="K271" s="57" t="s">
        <v>330</v>
      </c>
      <c r="L271" s="635" t="s">
        <v>19</v>
      </c>
      <c r="M271" s="104">
        <v>60</v>
      </c>
      <c r="N271" s="104">
        <v>70</v>
      </c>
      <c r="O271" s="637"/>
      <c r="P271" s="637"/>
      <c r="Q271" s="638"/>
    </row>
    <row r="272" spans="1:17" ht="44.25" x14ac:dyDescent="0.25">
      <c r="A272" s="994"/>
      <c r="B272" s="626" t="s">
        <v>689</v>
      </c>
      <c r="C272" s="444"/>
      <c r="D272" s="445"/>
      <c r="E272" s="633" t="s">
        <v>1302</v>
      </c>
      <c r="F272" s="634">
        <f>SUM(F273:F275)</f>
        <v>4215.5</v>
      </c>
      <c r="G272" s="634">
        <f>SUM(G273:G275)</f>
        <v>3689</v>
      </c>
      <c r="H272" s="151"/>
      <c r="I272" s="151"/>
      <c r="J272" s="151"/>
      <c r="K272" s="57" t="s">
        <v>1271</v>
      </c>
      <c r="L272" s="635"/>
      <c r="M272" s="158"/>
      <c r="N272" s="158"/>
      <c r="O272" s="637"/>
      <c r="P272" s="637"/>
      <c r="Q272" s="638"/>
    </row>
    <row r="273" spans="1:17" ht="30" x14ac:dyDescent="0.25">
      <c r="A273" s="994"/>
      <c r="B273" s="626"/>
      <c r="C273" s="444" t="s">
        <v>43</v>
      </c>
      <c r="D273" s="445"/>
      <c r="E273" s="627" t="s">
        <v>347</v>
      </c>
      <c r="F273" s="106">
        <f>4033.2+114.8</f>
        <v>4148</v>
      </c>
      <c r="G273" s="106">
        <v>3689</v>
      </c>
      <c r="H273" s="151"/>
      <c r="I273" s="151"/>
      <c r="J273" s="151"/>
      <c r="K273" s="628" t="s">
        <v>1345</v>
      </c>
      <c r="L273" s="635" t="s">
        <v>19</v>
      </c>
      <c r="M273" s="104">
        <v>90</v>
      </c>
      <c r="N273" s="104">
        <v>100</v>
      </c>
      <c r="O273" s="637"/>
      <c r="P273" s="637"/>
      <c r="Q273" s="638"/>
    </row>
    <row r="274" spans="1:17" ht="30" x14ac:dyDescent="0.25">
      <c r="A274" s="994"/>
      <c r="B274" s="626"/>
      <c r="C274" s="444" t="s">
        <v>48</v>
      </c>
      <c r="D274" s="445"/>
      <c r="E274" s="627" t="s">
        <v>348</v>
      </c>
      <c r="F274" s="106">
        <v>67.5</v>
      </c>
      <c r="G274" s="106">
        <v>0</v>
      </c>
      <c r="H274" s="151"/>
      <c r="I274" s="151"/>
      <c r="J274" s="151"/>
      <c r="K274" s="628" t="s">
        <v>349</v>
      </c>
      <c r="L274" s="635" t="s">
        <v>19</v>
      </c>
      <c r="M274" s="104">
        <v>80</v>
      </c>
      <c r="N274" s="104">
        <v>90</v>
      </c>
      <c r="O274" s="637"/>
      <c r="P274" s="637"/>
      <c r="Q274" s="638"/>
    </row>
    <row r="275" spans="1:17" ht="30" x14ac:dyDescent="0.25">
      <c r="A275" s="994"/>
      <c r="B275" s="626"/>
      <c r="C275" s="444" t="s">
        <v>37</v>
      </c>
      <c r="D275" s="445"/>
      <c r="E275" s="627" t="s">
        <v>350</v>
      </c>
      <c r="F275" s="106">
        <v>0</v>
      </c>
      <c r="G275" s="106">
        <v>0</v>
      </c>
      <c r="H275" s="151"/>
      <c r="I275" s="151"/>
      <c r="J275" s="151"/>
      <c r="K275" s="628" t="s">
        <v>351</v>
      </c>
      <c r="L275" s="635" t="s">
        <v>19</v>
      </c>
      <c r="M275" s="104">
        <v>70</v>
      </c>
      <c r="N275" s="104">
        <v>80</v>
      </c>
      <c r="O275" s="637"/>
      <c r="P275" s="637"/>
      <c r="Q275" s="638"/>
    </row>
    <row r="276" spans="1:17" s="101" customFormat="1" hidden="1" x14ac:dyDescent="0.25">
      <c r="A276" s="1216" t="s">
        <v>698</v>
      </c>
      <c r="B276" s="1217"/>
      <c r="C276" s="1217"/>
      <c r="D276" s="1217"/>
      <c r="E276" s="627"/>
      <c r="F276" s="108">
        <f>F252+F255+F268+F272</f>
        <v>1283208.8999999999</v>
      </c>
      <c r="G276" s="108">
        <f>G252+G255+G268+G272+G260</f>
        <v>977963.00099999993</v>
      </c>
      <c r="H276" s="151"/>
      <c r="I276" s="151"/>
      <c r="J276" s="151"/>
      <c r="L276" s="637"/>
      <c r="M276" s="637"/>
      <c r="N276" s="637"/>
      <c r="O276" s="637"/>
      <c r="P276" s="637"/>
      <c r="Q276" s="638"/>
    </row>
    <row r="277" spans="1:17" ht="72" customHeight="1" x14ac:dyDescent="0.25">
      <c r="A277" s="1210" t="s">
        <v>361</v>
      </c>
      <c r="B277" s="650">
        <v>226</v>
      </c>
      <c r="C277" s="620"/>
      <c r="D277" s="639"/>
      <c r="E277" s="651" t="s">
        <v>1346</v>
      </c>
      <c r="F277" s="634">
        <f>F278+F279+F280+F281</f>
        <v>0</v>
      </c>
      <c r="G277" s="634">
        <f>G278+G279+G280+G281</f>
        <v>372107.9</v>
      </c>
      <c r="H277" s="634">
        <f>H278+H279+H280+H281</f>
        <v>1369953.4</v>
      </c>
      <c r="I277" s="634">
        <f>I278+I279+I280+I281</f>
        <v>1334609.8999999999</v>
      </c>
      <c r="J277" s="634">
        <f>J278+J279+J280+J281</f>
        <v>1535305.2999999998</v>
      </c>
      <c r="K277" s="633"/>
      <c r="L277" s="635" t="s">
        <v>19</v>
      </c>
      <c r="M277" s="640"/>
      <c r="N277" s="646"/>
      <c r="O277" s="635">
        <v>100</v>
      </c>
      <c r="P277" s="635">
        <v>100</v>
      </c>
      <c r="Q277" s="518">
        <v>100</v>
      </c>
    </row>
    <row r="278" spans="1:17" ht="45" x14ac:dyDescent="0.25">
      <c r="A278" s="1210"/>
      <c r="B278" s="620"/>
      <c r="C278" s="152">
        <v>601</v>
      </c>
      <c r="D278" s="639"/>
      <c r="E278" s="436" t="s">
        <v>1716</v>
      </c>
      <c r="F278" s="111"/>
      <c r="G278" s="106">
        <f>22539.2+292+546.4+745.4</f>
        <v>24123.000000000004</v>
      </c>
      <c r="H278" s="106">
        <v>124162.7</v>
      </c>
      <c r="I278" s="106">
        <v>154058.1</v>
      </c>
      <c r="J278" s="106">
        <f>3420.9+153476.5+4000</f>
        <v>160897.4</v>
      </c>
      <c r="K278" s="57" t="s">
        <v>324</v>
      </c>
      <c r="L278" s="635" t="s">
        <v>19</v>
      </c>
      <c r="M278" s="677"/>
      <c r="N278" s="677"/>
      <c r="O278" s="635">
        <v>100</v>
      </c>
      <c r="P278" s="635">
        <v>100</v>
      </c>
      <c r="Q278" s="518">
        <v>100</v>
      </c>
    </row>
    <row r="279" spans="1:17" ht="45" x14ac:dyDescent="0.25">
      <c r="A279" s="1210"/>
      <c r="B279" s="620"/>
      <c r="C279" s="152">
        <v>602</v>
      </c>
      <c r="D279" s="639"/>
      <c r="E279" s="107" t="s">
        <v>327</v>
      </c>
      <c r="F279" s="111"/>
      <c r="G279" s="106">
        <f>149315.5+1797.3+70072.6+18310.1+31664.3+2784.7+32355.4</f>
        <v>306299.90000000002</v>
      </c>
      <c r="H279" s="106">
        <v>1143514.5</v>
      </c>
      <c r="I279" s="106">
        <v>1076119.3999999999</v>
      </c>
      <c r="J279" s="106">
        <v>1266811.8999999999</v>
      </c>
      <c r="K279" s="57" t="s">
        <v>325</v>
      </c>
      <c r="L279" s="635" t="s">
        <v>19</v>
      </c>
      <c r="M279" s="677"/>
      <c r="N279" s="677"/>
      <c r="O279" s="635">
        <v>100</v>
      </c>
      <c r="P279" s="635">
        <v>100</v>
      </c>
      <c r="Q279" s="518">
        <v>100</v>
      </c>
    </row>
    <row r="280" spans="1:17" ht="30" x14ac:dyDescent="0.25">
      <c r="A280" s="1210"/>
      <c r="B280" s="620"/>
      <c r="C280" s="152">
        <v>603</v>
      </c>
      <c r="D280" s="639"/>
      <c r="E280" s="627" t="s">
        <v>344</v>
      </c>
      <c r="F280" s="111"/>
      <c r="G280" s="106">
        <f>36955.8+434.4</f>
        <v>37390.200000000004</v>
      </c>
      <c r="H280" s="106">
        <f>82819.6+1407.4+7716.5+400+2000+433</f>
        <v>94776.5</v>
      </c>
      <c r="I280" s="106">
        <f>96172.2+454.7</f>
        <v>96626.9</v>
      </c>
      <c r="J280" s="106">
        <f>99049.1+477.4</f>
        <v>99526.5</v>
      </c>
      <c r="K280" s="628" t="s">
        <v>345</v>
      </c>
      <c r="L280" s="635" t="s">
        <v>19</v>
      </c>
      <c r="M280" s="677"/>
      <c r="N280" s="677"/>
      <c r="O280" s="104">
        <v>100</v>
      </c>
      <c r="P280" s="104">
        <v>100</v>
      </c>
      <c r="Q280" s="519">
        <v>100</v>
      </c>
    </row>
    <row r="281" spans="1:17" ht="30" x14ac:dyDescent="0.25">
      <c r="A281" s="1210"/>
      <c r="B281" s="620"/>
      <c r="C281" s="152">
        <v>604</v>
      </c>
      <c r="D281" s="639"/>
      <c r="E281" s="627" t="s">
        <v>347</v>
      </c>
      <c r="F281" s="111"/>
      <c r="G281" s="106">
        <f>2481.6+1813.2</f>
        <v>4294.8</v>
      </c>
      <c r="H281" s="106">
        <f>4418.3+762+690.3+300+1329.1</f>
        <v>7499.7000000000007</v>
      </c>
      <c r="I281" s="106">
        <f>6290.2+1515.3</f>
        <v>7805.5</v>
      </c>
      <c r="J281" s="106">
        <f>6478.4+1591.1</f>
        <v>8069.5</v>
      </c>
      <c r="K281" s="628" t="s">
        <v>1345</v>
      </c>
      <c r="L281" s="635" t="s">
        <v>19</v>
      </c>
      <c r="M281" s="677"/>
      <c r="N281" s="677"/>
      <c r="O281" s="104">
        <v>100</v>
      </c>
      <c r="P281" s="104">
        <v>100</v>
      </c>
      <c r="Q281" s="519">
        <v>100</v>
      </c>
    </row>
    <row r="282" spans="1:17" x14ac:dyDescent="0.25">
      <c r="A282" s="1210"/>
      <c r="B282" s="441">
        <v>227</v>
      </c>
      <c r="C282" s="152"/>
      <c r="D282" s="105"/>
      <c r="E282" s="443" t="s">
        <v>352</v>
      </c>
      <c r="F282" s="634">
        <f>SUM(F283:F289)</f>
        <v>0</v>
      </c>
      <c r="G282" s="634">
        <f>SUM(G283:G289)</f>
        <v>16427.400000000001</v>
      </c>
      <c r="H282" s="634">
        <f>SUM(H283:H289)</f>
        <v>170041.10000000003</v>
      </c>
      <c r="I282" s="634">
        <f>SUM(I283:I289)</f>
        <v>165853.20000000001</v>
      </c>
      <c r="J282" s="634">
        <f>SUM(J283:J289)</f>
        <v>8946</v>
      </c>
      <c r="K282" s="1058"/>
      <c r="L282" s="1058"/>
      <c r="M282" s="1058"/>
      <c r="N282" s="1058"/>
      <c r="O282" s="1058"/>
      <c r="P282" s="1058"/>
      <c r="Q282" s="1062"/>
    </row>
    <row r="283" spans="1:17" ht="68.25" customHeight="1" x14ac:dyDescent="0.25">
      <c r="A283" s="1210"/>
      <c r="B283" s="441"/>
      <c r="C283" s="152">
        <v>701</v>
      </c>
      <c r="D283" s="105"/>
      <c r="E283" s="107" t="s">
        <v>336</v>
      </c>
      <c r="F283" s="618"/>
      <c r="G283" s="618"/>
      <c r="H283" s="106">
        <v>17280.5</v>
      </c>
      <c r="I283" s="106">
        <v>17280.5</v>
      </c>
      <c r="J283" s="106"/>
      <c r="K283" s="57" t="s">
        <v>330</v>
      </c>
      <c r="L283" s="635" t="s">
        <v>19</v>
      </c>
      <c r="M283" s="640"/>
      <c r="N283" s="646"/>
      <c r="O283" s="635">
        <v>80</v>
      </c>
      <c r="P283" s="635">
        <v>100</v>
      </c>
      <c r="Q283" s="518"/>
    </row>
    <row r="284" spans="1:17" ht="30" x14ac:dyDescent="0.25">
      <c r="A284" s="1210"/>
      <c r="B284" s="441"/>
      <c r="C284" s="152">
        <v>702</v>
      </c>
      <c r="D284" s="105"/>
      <c r="E284" s="107" t="s">
        <v>337</v>
      </c>
      <c r="F284" s="618"/>
      <c r="G284" s="618"/>
      <c r="H284" s="106">
        <v>19274.8</v>
      </c>
      <c r="I284" s="106">
        <v>3958.1</v>
      </c>
      <c r="J284" s="106"/>
      <c r="K284" s="57" t="s">
        <v>330</v>
      </c>
      <c r="L284" s="635" t="s">
        <v>19</v>
      </c>
      <c r="M284" s="640"/>
      <c r="N284" s="646"/>
      <c r="O284" s="635">
        <v>80</v>
      </c>
      <c r="P284" s="635">
        <v>100</v>
      </c>
      <c r="Q284" s="518"/>
    </row>
    <row r="285" spans="1:17" ht="123.75" customHeight="1" x14ac:dyDescent="0.25">
      <c r="A285" s="1210"/>
      <c r="B285" s="441"/>
      <c r="C285" s="152">
        <v>703</v>
      </c>
      <c r="D285" s="105"/>
      <c r="E285" s="107" t="s">
        <v>1347</v>
      </c>
      <c r="F285" s="618"/>
      <c r="G285" s="106">
        <v>1060</v>
      </c>
      <c r="H285" s="106">
        <v>109398.1</v>
      </c>
      <c r="I285" s="106">
        <v>123361.4</v>
      </c>
      <c r="J285" s="106"/>
      <c r="K285" s="57" t="s">
        <v>330</v>
      </c>
      <c r="L285" s="635" t="s">
        <v>19</v>
      </c>
      <c r="M285" s="640"/>
      <c r="N285" s="646"/>
      <c r="O285" s="635">
        <v>80</v>
      </c>
      <c r="P285" s="635">
        <v>100</v>
      </c>
      <c r="Q285" s="518"/>
    </row>
    <row r="286" spans="1:17" ht="30" x14ac:dyDescent="0.25">
      <c r="A286" s="1210"/>
      <c r="B286" s="441"/>
      <c r="C286" s="152">
        <v>704</v>
      </c>
      <c r="D286" s="105"/>
      <c r="E286" s="107" t="s">
        <v>338</v>
      </c>
      <c r="F286" s="618"/>
      <c r="G286" s="106">
        <v>74.5</v>
      </c>
      <c r="H286" s="106">
        <v>74.5</v>
      </c>
      <c r="I286" s="106">
        <v>74.5</v>
      </c>
      <c r="J286" s="106"/>
      <c r="K286" s="57" t="s">
        <v>339</v>
      </c>
      <c r="L286" s="635" t="s">
        <v>19</v>
      </c>
      <c r="M286" s="640"/>
      <c r="N286" s="646"/>
      <c r="O286" s="635">
        <v>100</v>
      </c>
      <c r="P286" s="635">
        <v>100</v>
      </c>
      <c r="Q286" s="518"/>
    </row>
    <row r="287" spans="1:17" ht="88.5" customHeight="1" x14ac:dyDescent="0.25">
      <c r="A287" s="1210"/>
      <c r="B287" s="441"/>
      <c r="C287" s="152">
        <v>705</v>
      </c>
      <c r="D287" s="105"/>
      <c r="E287" s="107" t="s">
        <v>340</v>
      </c>
      <c r="F287" s="618"/>
      <c r="G287" s="106">
        <v>7194.5</v>
      </c>
      <c r="H287" s="106">
        <v>8667.2000000000007</v>
      </c>
      <c r="I287" s="106">
        <v>5832.7</v>
      </c>
      <c r="J287" s="106"/>
      <c r="K287" s="57" t="s">
        <v>1270</v>
      </c>
      <c r="L287" s="635" t="s">
        <v>19</v>
      </c>
      <c r="M287" s="640"/>
      <c r="N287" s="646"/>
      <c r="O287" s="635">
        <v>80</v>
      </c>
      <c r="P287" s="635">
        <v>100</v>
      </c>
      <c r="Q287" s="518"/>
    </row>
    <row r="288" spans="1:17" ht="45" x14ac:dyDescent="0.25">
      <c r="A288" s="1210"/>
      <c r="B288" s="441"/>
      <c r="C288" s="152">
        <v>706</v>
      </c>
      <c r="D288" s="105"/>
      <c r="E288" s="107" t="s">
        <v>342</v>
      </c>
      <c r="F288" s="618"/>
      <c r="G288" s="106"/>
      <c r="H288" s="106">
        <v>6400</v>
      </c>
      <c r="I288" s="106">
        <v>6400</v>
      </c>
      <c r="J288" s="106"/>
      <c r="K288" s="57" t="s">
        <v>330</v>
      </c>
      <c r="L288" s="635" t="s">
        <v>19</v>
      </c>
      <c r="M288" s="640"/>
      <c r="N288" s="646"/>
      <c r="O288" s="635">
        <v>80</v>
      </c>
      <c r="P288" s="635">
        <v>100</v>
      </c>
      <c r="Q288" s="518"/>
    </row>
    <row r="289" spans="1:12302" ht="71.25" customHeight="1" x14ac:dyDescent="0.25">
      <c r="A289" s="1210"/>
      <c r="B289" s="441"/>
      <c r="C289" s="152">
        <v>707</v>
      </c>
      <c r="D289" s="105"/>
      <c r="E289" s="107" t="s">
        <v>343</v>
      </c>
      <c r="F289" s="618"/>
      <c r="G289" s="106">
        <f>3254.4+4844</f>
        <v>8098.4</v>
      </c>
      <c r="H289" s="106">
        <v>8946</v>
      </c>
      <c r="I289" s="106">
        <v>8946</v>
      </c>
      <c r="J289" s="106">
        <v>8946</v>
      </c>
      <c r="K289" s="57" t="s">
        <v>1348</v>
      </c>
      <c r="L289" s="635" t="s">
        <v>19</v>
      </c>
      <c r="M289" s="640"/>
      <c r="N289" s="646"/>
      <c r="O289" s="635">
        <v>100</v>
      </c>
      <c r="P289" s="635">
        <v>100</v>
      </c>
      <c r="Q289" s="518">
        <v>100</v>
      </c>
    </row>
    <row r="290" spans="1:12302" s="23" customFormat="1" ht="21.75" customHeight="1" x14ac:dyDescent="0.25">
      <c r="A290" s="1004" t="s">
        <v>219</v>
      </c>
      <c r="B290" s="1005"/>
      <c r="C290" s="1005"/>
      <c r="D290" s="1005"/>
      <c r="E290" s="1005"/>
      <c r="F290" s="28">
        <f>F282+F277+F276</f>
        <v>1283208.8999999999</v>
      </c>
      <c r="G290" s="28">
        <f>G282+G277+G276</f>
        <v>1366498.301</v>
      </c>
      <c r="H290" s="28">
        <f>H282+H277+H276</f>
        <v>1539994.5</v>
      </c>
      <c r="I290" s="28">
        <f>I282+I277+I276</f>
        <v>1500463.0999999999</v>
      </c>
      <c r="J290" s="28">
        <f>J282+J277+J276</f>
        <v>1544251.2999999998</v>
      </c>
      <c r="K290" s="43"/>
      <c r="L290" s="161"/>
      <c r="M290" s="161"/>
      <c r="N290" s="161"/>
      <c r="O290" s="161"/>
      <c r="P290" s="161"/>
      <c r="Q290" s="493"/>
    </row>
    <row r="291" spans="1:12302" ht="21.75" customHeight="1" x14ac:dyDescent="0.25">
      <c r="A291" s="1211" t="s">
        <v>1719</v>
      </c>
      <c r="B291" s="1212"/>
      <c r="C291" s="1212"/>
      <c r="D291" s="1212"/>
      <c r="E291" s="1212"/>
      <c r="F291" s="1212"/>
      <c r="G291" s="1212"/>
      <c r="H291" s="1212"/>
      <c r="I291" s="1212"/>
      <c r="J291" s="1212"/>
      <c r="K291" s="1212"/>
      <c r="L291" s="1212"/>
      <c r="M291" s="1212"/>
      <c r="N291" s="1212"/>
      <c r="O291" s="1212"/>
      <c r="P291" s="439"/>
      <c r="Q291" s="517"/>
      <c r="R291" s="1206"/>
      <c r="S291" s="1206"/>
      <c r="T291" s="1206"/>
      <c r="U291" s="1206"/>
      <c r="V291" s="1206"/>
      <c r="W291" s="1206"/>
      <c r="X291" s="1206"/>
      <c r="Y291" s="1206"/>
      <c r="Z291" s="1206"/>
      <c r="AA291" s="1206"/>
      <c r="AB291" s="1207"/>
      <c r="AC291" s="1206"/>
      <c r="AD291" s="1206"/>
      <c r="AE291" s="1206"/>
      <c r="AF291" s="1206"/>
      <c r="AG291" s="1206"/>
      <c r="AH291" s="1206"/>
      <c r="AI291" s="1206"/>
      <c r="AJ291" s="1206"/>
      <c r="AK291" s="1206"/>
      <c r="AL291" s="1206"/>
      <c r="AM291" s="1206"/>
      <c r="AN291" s="1206"/>
      <c r="AO291" s="1206"/>
      <c r="AP291" s="1206"/>
      <c r="AQ291" s="1206"/>
      <c r="AR291" s="1206"/>
      <c r="AS291" s="1207"/>
      <c r="AT291" s="1206"/>
      <c r="AU291" s="1206"/>
      <c r="AV291" s="1206"/>
      <c r="AW291" s="1206"/>
      <c r="AX291" s="1206"/>
      <c r="AY291" s="1206"/>
      <c r="AZ291" s="1206"/>
      <c r="BA291" s="1206"/>
      <c r="BB291" s="1206"/>
      <c r="BC291" s="1206"/>
      <c r="BD291" s="1206"/>
      <c r="BE291" s="1206"/>
      <c r="BF291" s="1206"/>
      <c r="BG291" s="1206"/>
      <c r="BH291" s="1206"/>
      <c r="BI291" s="1206"/>
      <c r="BJ291" s="1207"/>
      <c r="BK291" s="1206"/>
      <c r="BL291" s="1206"/>
      <c r="BM291" s="1206"/>
      <c r="BN291" s="1206"/>
      <c r="BO291" s="1206"/>
      <c r="BP291" s="1206"/>
      <c r="BQ291" s="1206"/>
      <c r="BR291" s="1206"/>
      <c r="BS291" s="1206"/>
      <c r="BT291" s="1206"/>
      <c r="BU291" s="1206"/>
      <c r="BV291" s="1206"/>
      <c r="BW291" s="1206"/>
      <c r="BX291" s="1206"/>
      <c r="BY291" s="1206"/>
      <c r="BZ291" s="1206"/>
      <c r="CA291" s="1207"/>
      <c r="CB291" s="1206"/>
      <c r="CC291" s="1206"/>
      <c r="CD291" s="1206"/>
      <c r="CE291" s="1206"/>
      <c r="CF291" s="1206"/>
      <c r="CG291" s="1206"/>
      <c r="CH291" s="1206"/>
      <c r="CI291" s="1206"/>
      <c r="CJ291" s="1206"/>
      <c r="CK291" s="1206"/>
      <c r="CL291" s="1206"/>
      <c r="CM291" s="1206"/>
      <c r="CN291" s="1206"/>
      <c r="CO291" s="1206"/>
      <c r="CP291" s="1206"/>
      <c r="CQ291" s="1206"/>
      <c r="CR291" s="1207"/>
      <c r="CS291" s="1206"/>
      <c r="CT291" s="1206"/>
      <c r="CU291" s="1206"/>
      <c r="CV291" s="1206"/>
      <c r="CW291" s="1206"/>
      <c r="CX291" s="1206"/>
      <c r="CY291" s="1206"/>
      <c r="CZ291" s="1206"/>
      <c r="DA291" s="1206"/>
      <c r="DB291" s="1206"/>
      <c r="DC291" s="1206"/>
      <c r="DD291" s="1206"/>
      <c r="DE291" s="1206"/>
      <c r="DF291" s="1206"/>
      <c r="DG291" s="1206"/>
      <c r="DH291" s="1206"/>
      <c r="DI291" s="1207"/>
      <c r="DJ291" s="1206"/>
      <c r="DK291" s="1206"/>
      <c r="DL291" s="1206"/>
      <c r="DM291" s="1206"/>
      <c r="DN291" s="1206"/>
      <c r="DO291" s="1206"/>
      <c r="DP291" s="1206"/>
      <c r="DQ291" s="1206"/>
      <c r="DR291" s="1206"/>
      <c r="DS291" s="1206"/>
      <c r="DT291" s="1206"/>
      <c r="DU291" s="1206"/>
      <c r="DV291" s="1206"/>
      <c r="DW291" s="1206"/>
      <c r="DX291" s="1206"/>
      <c r="DY291" s="1206"/>
      <c r="DZ291" s="1207"/>
      <c r="EA291" s="1206"/>
      <c r="EB291" s="1206"/>
      <c r="EC291" s="1206"/>
      <c r="ED291" s="1206"/>
      <c r="EE291" s="1206"/>
      <c r="EF291" s="1206"/>
      <c r="EG291" s="1206"/>
      <c r="EH291" s="1206"/>
      <c r="EI291" s="1206"/>
      <c r="EJ291" s="1206"/>
      <c r="EK291" s="1206"/>
      <c r="EL291" s="1206"/>
      <c r="EM291" s="1206"/>
      <c r="EN291" s="1206"/>
      <c r="EO291" s="1206"/>
      <c r="EP291" s="1206"/>
      <c r="EQ291" s="1207"/>
      <c r="ER291" s="1206"/>
      <c r="ES291" s="1206"/>
      <c r="ET291" s="1206"/>
      <c r="EU291" s="1206"/>
      <c r="EV291" s="1206"/>
      <c r="EW291" s="1206"/>
      <c r="EX291" s="1206"/>
      <c r="EY291" s="1206"/>
      <c r="EZ291" s="1206"/>
      <c r="FA291" s="1206"/>
      <c r="FB291" s="1206"/>
      <c r="FC291" s="1206"/>
      <c r="FD291" s="1206"/>
      <c r="FE291" s="1206"/>
      <c r="FF291" s="1206"/>
      <c r="FG291" s="1206"/>
      <c r="FH291" s="1207"/>
      <c r="FI291" s="1206"/>
      <c r="FJ291" s="1206"/>
      <c r="FK291" s="1206"/>
      <c r="FL291" s="1206"/>
      <c r="FM291" s="1206"/>
      <c r="FN291" s="1206"/>
      <c r="FO291" s="1206"/>
      <c r="FP291" s="1206"/>
      <c r="FQ291" s="1206"/>
      <c r="FR291" s="1206"/>
      <c r="FS291" s="1206"/>
      <c r="FT291" s="1206"/>
      <c r="FU291" s="1206"/>
      <c r="FV291" s="1206"/>
      <c r="FW291" s="1206"/>
      <c r="FX291" s="1206"/>
      <c r="FY291" s="1207"/>
      <c r="FZ291" s="1206"/>
      <c r="GA291" s="1206"/>
      <c r="GB291" s="1206"/>
      <c r="GC291" s="1206"/>
      <c r="GD291" s="1206"/>
      <c r="GE291" s="1206"/>
      <c r="GF291" s="1206"/>
      <c r="GG291" s="1206"/>
      <c r="GH291" s="1206"/>
      <c r="GI291" s="1206"/>
      <c r="GJ291" s="1206"/>
      <c r="GK291" s="1206"/>
      <c r="GL291" s="1206"/>
      <c r="GM291" s="1206"/>
      <c r="GN291" s="1206"/>
      <c r="GO291" s="1206"/>
      <c r="GP291" s="1207"/>
      <c r="GQ291" s="1206"/>
      <c r="GR291" s="1206"/>
      <c r="GS291" s="1206"/>
      <c r="GT291" s="1206"/>
      <c r="GU291" s="1206"/>
      <c r="GV291" s="1206"/>
      <c r="GW291" s="1206"/>
      <c r="GX291" s="1206"/>
      <c r="GY291" s="1206"/>
      <c r="GZ291" s="1206"/>
      <c r="HA291" s="1206"/>
      <c r="HB291" s="1206"/>
      <c r="HC291" s="1206"/>
      <c r="HD291" s="1206"/>
      <c r="HE291" s="1206"/>
      <c r="HF291" s="1206"/>
      <c r="HG291" s="1207"/>
      <c r="HH291" s="1206"/>
      <c r="HI291" s="1206"/>
      <c r="HJ291" s="1206"/>
      <c r="HK291" s="1206"/>
      <c r="HL291" s="1206"/>
      <c r="HM291" s="1206"/>
      <c r="HN291" s="1206"/>
      <c r="HO291" s="1206"/>
      <c r="HP291" s="1206"/>
      <c r="HQ291" s="1206"/>
      <c r="HR291" s="1206"/>
      <c r="HS291" s="1206"/>
      <c r="HT291" s="1206"/>
      <c r="HU291" s="1206"/>
      <c r="HV291" s="1206"/>
      <c r="HW291" s="1206"/>
      <c r="HX291" s="1207"/>
      <c r="HY291" s="1206"/>
      <c r="HZ291" s="1206"/>
      <c r="IA291" s="1206"/>
      <c r="IB291" s="1206"/>
      <c r="IC291" s="1206"/>
      <c r="ID291" s="1206"/>
      <c r="IE291" s="1206"/>
      <c r="IF291" s="1206"/>
      <c r="IG291" s="1206"/>
      <c r="IH291" s="1206"/>
      <c r="II291" s="1206"/>
      <c r="IJ291" s="1206"/>
      <c r="IK291" s="1206"/>
      <c r="IL291" s="1206"/>
      <c r="IM291" s="1206"/>
      <c r="IN291" s="1206"/>
      <c r="IO291" s="1207"/>
      <c r="IP291" s="1206"/>
      <c r="IQ291" s="1206"/>
      <c r="IR291" s="1206"/>
      <c r="IS291" s="1206"/>
      <c r="IT291" s="1206"/>
      <c r="IU291" s="1206"/>
      <c r="IV291" s="1206"/>
      <c r="IW291" s="1206"/>
      <c r="IX291" s="1206"/>
      <c r="IY291" s="1206"/>
      <c r="IZ291" s="1206"/>
      <c r="JA291" s="1206"/>
      <c r="JB291" s="1206"/>
      <c r="JC291" s="1206"/>
      <c r="JD291" s="1206"/>
      <c r="JE291" s="1206"/>
      <c r="JF291" s="1207"/>
      <c r="JG291" s="1206"/>
      <c r="JH291" s="1206"/>
      <c r="JI291" s="1206"/>
      <c r="JJ291" s="1206"/>
      <c r="JK291" s="1206"/>
      <c r="JL291" s="1206"/>
      <c r="JM291" s="1206"/>
      <c r="JN291" s="1206"/>
      <c r="JO291" s="1206"/>
      <c r="JP291" s="1206"/>
      <c r="JQ291" s="1206"/>
      <c r="JR291" s="1206"/>
      <c r="JS291" s="1206"/>
      <c r="JT291" s="1206"/>
      <c r="JU291" s="1206"/>
      <c r="JV291" s="1206"/>
      <c r="JW291" s="1207"/>
      <c r="JX291" s="1206"/>
      <c r="JY291" s="1206"/>
      <c r="JZ291" s="1206"/>
      <c r="KA291" s="1206"/>
      <c r="KB291" s="1206"/>
      <c r="KC291" s="1206"/>
      <c r="KD291" s="1206"/>
      <c r="KE291" s="1206"/>
      <c r="KF291" s="1206"/>
      <c r="KG291" s="1206"/>
      <c r="KH291" s="1206"/>
      <c r="KI291" s="1206"/>
      <c r="KJ291" s="1206"/>
      <c r="KK291" s="1206"/>
      <c r="KL291" s="1206"/>
      <c r="KM291" s="1206"/>
      <c r="KN291" s="1207"/>
      <c r="KO291" s="1206"/>
      <c r="KP291" s="1206"/>
      <c r="KQ291" s="1206"/>
      <c r="KR291" s="1206"/>
      <c r="KS291" s="1206"/>
      <c r="KT291" s="1206"/>
      <c r="KU291" s="1206"/>
      <c r="KV291" s="1206"/>
      <c r="KW291" s="1206"/>
      <c r="KX291" s="1206"/>
      <c r="KY291" s="1206"/>
      <c r="KZ291" s="1206"/>
      <c r="LA291" s="1206"/>
      <c r="LB291" s="1206"/>
      <c r="LC291" s="1206"/>
      <c r="LD291" s="1206"/>
      <c r="LE291" s="1207"/>
      <c r="LF291" s="1206"/>
      <c r="LG291" s="1206"/>
      <c r="LH291" s="1206"/>
      <c r="LI291" s="1206"/>
      <c r="LJ291" s="1206"/>
      <c r="LK291" s="1206"/>
      <c r="LL291" s="1206"/>
      <c r="LM291" s="1206"/>
      <c r="LN291" s="1206"/>
      <c r="LO291" s="1206"/>
      <c r="LP291" s="1206"/>
      <c r="LQ291" s="1206"/>
      <c r="LR291" s="1206"/>
      <c r="LS291" s="1206"/>
      <c r="LT291" s="1206"/>
      <c r="LU291" s="1206"/>
      <c r="LV291" s="1207"/>
      <c r="LW291" s="1206"/>
      <c r="LX291" s="1206"/>
      <c r="LY291" s="1206"/>
      <c r="LZ291" s="1206"/>
      <c r="MA291" s="1206"/>
      <c r="MB291" s="1206"/>
      <c r="MC291" s="1206"/>
      <c r="MD291" s="1206"/>
      <c r="ME291" s="1206"/>
      <c r="MF291" s="1206"/>
      <c r="MG291" s="1206"/>
      <c r="MH291" s="1206"/>
      <c r="MI291" s="1206"/>
      <c r="MJ291" s="1206"/>
      <c r="MK291" s="1206"/>
      <c r="ML291" s="1206"/>
      <c r="MM291" s="1207"/>
      <c r="MN291" s="1206"/>
      <c r="MO291" s="1206"/>
      <c r="MP291" s="1206"/>
      <c r="MQ291" s="1206"/>
      <c r="MR291" s="1206"/>
      <c r="MS291" s="1206"/>
      <c r="MT291" s="1206"/>
      <c r="MU291" s="1206"/>
      <c r="MV291" s="1206"/>
      <c r="MW291" s="1206"/>
      <c r="MX291" s="1206"/>
      <c r="MY291" s="1206"/>
      <c r="MZ291" s="1206"/>
      <c r="NA291" s="1206"/>
      <c r="NB291" s="1206"/>
      <c r="NC291" s="1206"/>
      <c r="ND291" s="1207"/>
      <c r="NE291" s="1206"/>
      <c r="NF291" s="1206"/>
      <c r="NG291" s="1206"/>
      <c r="NH291" s="1206"/>
      <c r="NI291" s="1206"/>
      <c r="NJ291" s="1206"/>
      <c r="NK291" s="1206"/>
      <c r="NL291" s="1206"/>
      <c r="NM291" s="1206"/>
      <c r="NN291" s="1206"/>
      <c r="NO291" s="1206"/>
      <c r="NP291" s="1206"/>
      <c r="NQ291" s="1206"/>
      <c r="NR291" s="1206"/>
      <c r="NS291" s="1206"/>
      <c r="NT291" s="1206"/>
      <c r="NU291" s="1207"/>
      <c r="NV291" s="1206"/>
      <c r="NW291" s="1206"/>
      <c r="NX291" s="1206"/>
      <c r="NY291" s="1206"/>
      <c r="NZ291" s="1206"/>
      <c r="OA291" s="1206"/>
      <c r="OB291" s="1206"/>
      <c r="OC291" s="1206"/>
      <c r="OD291" s="1206"/>
      <c r="OE291" s="1206"/>
      <c r="OF291" s="1206"/>
      <c r="OG291" s="1206"/>
      <c r="OH291" s="1206"/>
      <c r="OI291" s="1206"/>
      <c r="OJ291" s="1206"/>
      <c r="OK291" s="1206"/>
      <c r="OL291" s="1207"/>
      <c r="OM291" s="1206"/>
      <c r="ON291" s="1206"/>
      <c r="OO291" s="1206"/>
      <c r="OP291" s="1206"/>
      <c r="OQ291" s="1206"/>
      <c r="OR291" s="1206"/>
      <c r="OS291" s="1206"/>
      <c r="OT291" s="1206"/>
      <c r="OU291" s="1206"/>
      <c r="OV291" s="1206"/>
      <c r="OW291" s="1206"/>
      <c r="OX291" s="1206"/>
      <c r="OY291" s="1206"/>
      <c r="OZ291" s="1206"/>
      <c r="PA291" s="1206"/>
      <c r="PB291" s="1206"/>
      <c r="PC291" s="1207"/>
      <c r="PD291" s="1206"/>
      <c r="PE291" s="1206"/>
      <c r="PF291" s="1206"/>
      <c r="PG291" s="1206"/>
      <c r="PH291" s="1206"/>
      <c r="PI291" s="1206"/>
      <c r="PJ291" s="1206"/>
      <c r="PK291" s="1206"/>
      <c r="PL291" s="1206"/>
      <c r="PM291" s="1206"/>
      <c r="PN291" s="1206"/>
      <c r="PO291" s="1206"/>
      <c r="PP291" s="1206"/>
      <c r="PQ291" s="1206"/>
      <c r="PR291" s="1206"/>
      <c r="PS291" s="1206"/>
      <c r="PT291" s="1207"/>
      <c r="PU291" s="1206"/>
      <c r="PV291" s="1206"/>
      <c r="PW291" s="1206"/>
      <c r="PX291" s="1206"/>
      <c r="PY291" s="1206"/>
      <c r="PZ291" s="1206"/>
      <c r="QA291" s="1206"/>
      <c r="QB291" s="1206"/>
      <c r="QC291" s="1206"/>
      <c r="QD291" s="1206"/>
      <c r="QE291" s="1206"/>
      <c r="QF291" s="1206"/>
      <c r="QG291" s="1206"/>
      <c r="QH291" s="1206"/>
      <c r="QI291" s="1206"/>
      <c r="QJ291" s="1206"/>
      <c r="QK291" s="1207"/>
      <c r="QL291" s="1206"/>
      <c r="QM291" s="1206"/>
      <c r="QN291" s="1206"/>
      <c r="QO291" s="1206"/>
      <c r="QP291" s="1206"/>
      <c r="QQ291" s="1206"/>
      <c r="QR291" s="1206"/>
      <c r="QS291" s="1206"/>
      <c r="QT291" s="1206"/>
      <c r="QU291" s="1206"/>
      <c r="QV291" s="1206"/>
      <c r="QW291" s="1206"/>
      <c r="QX291" s="1206"/>
      <c r="QY291" s="1206"/>
      <c r="QZ291" s="1206"/>
      <c r="RA291" s="1206"/>
      <c r="RB291" s="1207"/>
      <c r="RC291" s="1206"/>
      <c r="RD291" s="1206"/>
      <c r="RE291" s="1206"/>
      <c r="RF291" s="1206"/>
      <c r="RG291" s="1206"/>
      <c r="RH291" s="1206"/>
      <c r="RI291" s="1206"/>
      <c r="RJ291" s="1206"/>
      <c r="RK291" s="1206"/>
      <c r="RL291" s="1206"/>
      <c r="RM291" s="1206"/>
      <c r="RN291" s="1206"/>
      <c r="RO291" s="1206"/>
      <c r="RP291" s="1206"/>
      <c r="RQ291" s="1206"/>
      <c r="RR291" s="1206"/>
      <c r="RS291" s="1207"/>
      <c r="RT291" s="1206"/>
      <c r="RU291" s="1206"/>
      <c r="RV291" s="1206"/>
      <c r="RW291" s="1206"/>
      <c r="RX291" s="1206"/>
      <c r="RY291" s="1206"/>
      <c r="RZ291" s="1206"/>
      <c r="SA291" s="1206"/>
      <c r="SB291" s="1206"/>
      <c r="SC291" s="1206"/>
      <c r="SD291" s="1206"/>
      <c r="SE291" s="1206"/>
      <c r="SF291" s="1206"/>
      <c r="SG291" s="1206"/>
      <c r="SH291" s="1206"/>
      <c r="SI291" s="1206"/>
      <c r="SJ291" s="1207"/>
      <c r="SK291" s="1206"/>
      <c r="SL291" s="1206"/>
      <c r="SM291" s="1206"/>
      <c r="SN291" s="1206"/>
      <c r="SO291" s="1206"/>
      <c r="SP291" s="1206"/>
      <c r="SQ291" s="1206"/>
      <c r="SR291" s="1206"/>
      <c r="SS291" s="1206"/>
      <c r="ST291" s="1206"/>
      <c r="SU291" s="1206"/>
      <c r="SV291" s="1206"/>
      <c r="SW291" s="1206"/>
      <c r="SX291" s="1206"/>
      <c r="SY291" s="1206"/>
      <c r="SZ291" s="1206"/>
      <c r="TA291" s="1207"/>
      <c r="TB291" s="1206"/>
      <c r="TC291" s="1206"/>
      <c r="TD291" s="1206"/>
      <c r="TE291" s="1206"/>
      <c r="TF291" s="1206"/>
      <c r="TG291" s="1206"/>
      <c r="TH291" s="1206"/>
      <c r="TI291" s="1206"/>
      <c r="TJ291" s="1206"/>
      <c r="TK291" s="1206"/>
      <c r="TL291" s="1206"/>
      <c r="TM291" s="1206"/>
      <c r="TN291" s="1206"/>
      <c r="TO291" s="1206"/>
      <c r="TP291" s="1206"/>
      <c r="TQ291" s="1206"/>
      <c r="TR291" s="1207"/>
      <c r="TS291" s="1206"/>
      <c r="TT291" s="1206"/>
      <c r="TU291" s="1206"/>
      <c r="TV291" s="1206"/>
      <c r="TW291" s="1206"/>
      <c r="TX291" s="1206"/>
      <c r="TY291" s="1206"/>
      <c r="TZ291" s="1206"/>
      <c r="UA291" s="1206"/>
      <c r="UB291" s="1206"/>
      <c r="UC291" s="1206"/>
      <c r="UD291" s="1206"/>
      <c r="UE291" s="1206"/>
      <c r="UF291" s="1206"/>
      <c r="UG291" s="1206"/>
      <c r="UH291" s="1206"/>
      <c r="UI291" s="1207"/>
      <c r="UJ291" s="1206"/>
      <c r="UK291" s="1206"/>
      <c r="UL291" s="1206"/>
      <c r="UM291" s="1206"/>
      <c r="UN291" s="1206"/>
      <c r="UO291" s="1206"/>
      <c r="UP291" s="1206"/>
      <c r="UQ291" s="1206"/>
      <c r="UR291" s="1206"/>
      <c r="US291" s="1206"/>
      <c r="UT291" s="1206"/>
      <c r="UU291" s="1206"/>
      <c r="UV291" s="1206"/>
      <c r="UW291" s="1206"/>
      <c r="UX291" s="1206"/>
      <c r="UY291" s="1206"/>
      <c r="UZ291" s="1207"/>
      <c r="VA291" s="1206"/>
      <c r="VB291" s="1206"/>
      <c r="VC291" s="1206"/>
      <c r="VD291" s="1206"/>
      <c r="VE291" s="1206"/>
      <c r="VF291" s="1206"/>
      <c r="VG291" s="1206"/>
      <c r="VH291" s="1206"/>
      <c r="VI291" s="1206"/>
      <c r="VJ291" s="1206"/>
      <c r="VK291" s="1206"/>
      <c r="VL291" s="1206"/>
      <c r="VM291" s="1206"/>
      <c r="VN291" s="1206"/>
      <c r="VO291" s="1206"/>
      <c r="VP291" s="1206"/>
      <c r="VQ291" s="1207"/>
      <c r="VR291" s="1206"/>
      <c r="VS291" s="1206"/>
      <c r="VT291" s="1206"/>
      <c r="VU291" s="1206"/>
      <c r="VV291" s="1206"/>
      <c r="VW291" s="1206"/>
      <c r="VX291" s="1206"/>
      <c r="VY291" s="1206"/>
      <c r="VZ291" s="1206"/>
      <c r="WA291" s="1206"/>
      <c r="WB291" s="1206"/>
      <c r="WC291" s="1206"/>
      <c r="WD291" s="1206"/>
      <c r="WE291" s="1206"/>
      <c r="WF291" s="1206"/>
      <c r="WG291" s="1206"/>
      <c r="WH291" s="1207"/>
      <c r="WI291" s="1206"/>
      <c r="WJ291" s="1206"/>
      <c r="WK291" s="1206"/>
      <c r="WL291" s="1206"/>
      <c r="WM291" s="1206"/>
      <c r="WN291" s="1206"/>
      <c r="WO291" s="1206"/>
      <c r="WP291" s="1206"/>
      <c r="WQ291" s="1206"/>
      <c r="WR291" s="1206"/>
      <c r="WS291" s="1206"/>
      <c r="WT291" s="1206"/>
      <c r="WU291" s="1206"/>
      <c r="WV291" s="1206"/>
      <c r="WW291" s="1206"/>
      <c r="WX291" s="1206"/>
      <c r="WY291" s="1207"/>
      <c r="WZ291" s="1206"/>
      <c r="XA291" s="1206"/>
      <c r="XB291" s="1206"/>
      <c r="XC291" s="1206"/>
      <c r="XD291" s="1206"/>
      <c r="XE291" s="1206"/>
      <c r="XF291" s="1206"/>
      <c r="XG291" s="1206"/>
      <c r="XH291" s="1206"/>
      <c r="XI291" s="1206"/>
      <c r="XJ291" s="1206"/>
      <c r="XK291" s="1206"/>
      <c r="XL291" s="1206"/>
      <c r="XM291" s="1206"/>
      <c r="XN291" s="1206"/>
      <c r="XO291" s="1206"/>
      <c r="XP291" s="1207"/>
      <c r="XQ291" s="1206"/>
      <c r="XR291" s="1206"/>
      <c r="XS291" s="1206"/>
      <c r="XT291" s="1206"/>
      <c r="XU291" s="1206"/>
      <c r="XV291" s="1206"/>
      <c r="XW291" s="1206"/>
      <c r="XX291" s="1206"/>
      <c r="XY291" s="1206"/>
      <c r="XZ291" s="1206"/>
      <c r="YA291" s="1206"/>
      <c r="YB291" s="1206"/>
      <c r="YC291" s="1206"/>
      <c r="YD291" s="1206"/>
      <c r="YE291" s="1206"/>
      <c r="YF291" s="1206"/>
      <c r="YG291" s="1207"/>
      <c r="YH291" s="1206"/>
      <c r="YI291" s="1206"/>
      <c r="YJ291" s="1206"/>
      <c r="YK291" s="1206"/>
      <c r="YL291" s="1206"/>
      <c r="YM291" s="1206"/>
      <c r="YN291" s="1206"/>
      <c r="YO291" s="1206"/>
      <c r="YP291" s="1206"/>
      <c r="YQ291" s="1206"/>
      <c r="YR291" s="1206"/>
      <c r="YS291" s="1206"/>
      <c r="YT291" s="1206"/>
      <c r="YU291" s="1206"/>
      <c r="YV291" s="1206"/>
      <c r="YW291" s="1206"/>
      <c r="YX291" s="1207"/>
      <c r="YY291" s="1206"/>
      <c r="YZ291" s="1206"/>
      <c r="ZA291" s="1206"/>
      <c r="ZB291" s="1206"/>
      <c r="ZC291" s="1206"/>
      <c r="ZD291" s="1206"/>
      <c r="ZE291" s="1206"/>
      <c r="ZF291" s="1206"/>
      <c r="ZG291" s="1206"/>
      <c r="ZH291" s="1206"/>
      <c r="ZI291" s="1206"/>
      <c r="ZJ291" s="1206"/>
      <c r="ZK291" s="1206"/>
      <c r="ZL291" s="1206"/>
      <c r="ZM291" s="1206"/>
      <c r="ZN291" s="1206"/>
      <c r="ZO291" s="1207"/>
      <c r="ZP291" s="1206"/>
      <c r="ZQ291" s="1206"/>
      <c r="ZR291" s="1206"/>
      <c r="ZS291" s="1206"/>
      <c r="ZT291" s="1206"/>
      <c r="ZU291" s="1206"/>
      <c r="ZV291" s="1206"/>
      <c r="ZW291" s="1206"/>
      <c r="ZX291" s="1206"/>
      <c r="ZY291" s="1206"/>
      <c r="ZZ291" s="1206"/>
      <c r="AAA291" s="1206"/>
      <c r="AAB291" s="1206"/>
      <c r="AAC291" s="1206"/>
      <c r="AAD291" s="1206"/>
      <c r="AAE291" s="1206"/>
      <c r="AAF291" s="1207"/>
      <c r="AAG291" s="1206"/>
      <c r="AAH291" s="1206"/>
      <c r="AAI291" s="1206"/>
      <c r="AAJ291" s="1206"/>
      <c r="AAK291" s="1206"/>
      <c r="AAL291" s="1206"/>
      <c r="AAM291" s="1206"/>
      <c r="AAN291" s="1206"/>
      <c r="AAO291" s="1206"/>
      <c r="AAP291" s="1206"/>
      <c r="AAQ291" s="1206"/>
      <c r="AAR291" s="1206"/>
      <c r="AAS291" s="1206"/>
      <c r="AAT291" s="1206"/>
      <c r="AAU291" s="1206"/>
      <c r="AAV291" s="1206"/>
      <c r="AAW291" s="1207"/>
      <c r="AAX291" s="1206"/>
      <c r="AAY291" s="1206"/>
      <c r="AAZ291" s="1206"/>
      <c r="ABA291" s="1206"/>
      <c r="ABB291" s="1206"/>
      <c r="ABC291" s="1206"/>
      <c r="ABD291" s="1206"/>
      <c r="ABE291" s="1206"/>
      <c r="ABF291" s="1206"/>
      <c r="ABG291" s="1206"/>
      <c r="ABH291" s="1206"/>
      <c r="ABI291" s="1206"/>
      <c r="ABJ291" s="1206"/>
      <c r="ABK291" s="1206"/>
      <c r="ABL291" s="1206"/>
      <c r="ABM291" s="1206"/>
      <c r="ABN291" s="1207"/>
      <c r="ABO291" s="1206"/>
      <c r="ABP291" s="1206"/>
      <c r="ABQ291" s="1206"/>
      <c r="ABR291" s="1206"/>
      <c r="ABS291" s="1206"/>
      <c r="ABT291" s="1206"/>
      <c r="ABU291" s="1206"/>
      <c r="ABV291" s="1206"/>
      <c r="ABW291" s="1206"/>
      <c r="ABX291" s="1206"/>
      <c r="ABY291" s="1206"/>
      <c r="ABZ291" s="1206"/>
      <c r="ACA291" s="1206"/>
      <c r="ACB291" s="1206"/>
      <c r="ACC291" s="1206"/>
      <c r="ACD291" s="1206"/>
      <c r="ACE291" s="1207"/>
      <c r="ACF291" s="1206"/>
      <c r="ACG291" s="1206"/>
      <c r="ACH291" s="1206"/>
      <c r="ACI291" s="1206"/>
      <c r="ACJ291" s="1206"/>
      <c r="ACK291" s="1206"/>
      <c r="ACL291" s="1206"/>
      <c r="ACM291" s="1206"/>
      <c r="ACN291" s="1206"/>
      <c r="ACO291" s="1206"/>
      <c r="ACP291" s="1206"/>
      <c r="ACQ291" s="1206"/>
      <c r="ACR291" s="1206"/>
      <c r="ACS291" s="1206"/>
      <c r="ACT291" s="1206"/>
      <c r="ACU291" s="1206"/>
      <c r="ACV291" s="1207"/>
      <c r="ACW291" s="1206"/>
      <c r="ACX291" s="1206"/>
      <c r="ACY291" s="1206"/>
      <c r="ACZ291" s="1206"/>
      <c r="ADA291" s="1206"/>
      <c r="ADB291" s="1206"/>
      <c r="ADC291" s="1206"/>
      <c r="ADD291" s="1206"/>
      <c r="ADE291" s="1206"/>
      <c r="ADF291" s="1206"/>
      <c r="ADG291" s="1206"/>
      <c r="ADH291" s="1206"/>
      <c r="ADI291" s="1206"/>
      <c r="ADJ291" s="1206"/>
      <c r="ADK291" s="1206"/>
      <c r="ADL291" s="1206"/>
      <c r="ADM291" s="1207"/>
      <c r="ADN291" s="1206"/>
      <c r="ADO291" s="1206"/>
      <c r="ADP291" s="1206"/>
      <c r="ADQ291" s="1206"/>
      <c r="ADR291" s="1206"/>
      <c r="ADS291" s="1206"/>
      <c r="ADT291" s="1206"/>
      <c r="ADU291" s="1206"/>
      <c r="ADV291" s="1206"/>
      <c r="ADW291" s="1206"/>
      <c r="ADX291" s="1206"/>
      <c r="ADY291" s="1206"/>
      <c r="ADZ291" s="1206"/>
      <c r="AEA291" s="1206"/>
      <c r="AEB291" s="1206"/>
      <c r="AEC291" s="1206"/>
      <c r="AED291" s="1207"/>
      <c r="AEE291" s="1206"/>
      <c r="AEF291" s="1206"/>
      <c r="AEG291" s="1206"/>
      <c r="AEH291" s="1206"/>
      <c r="AEI291" s="1206"/>
      <c r="AEJ291" s="1206"/>
      <c r="AEK291" s="1206"/>
      <c r="AEL291" s="1206"/>
      <c r="AEM291" s="1206"/>
      <c r="AEN291" s="1206"/>
      <c r="AEO291" s="1206"/>
      <c r="AEP291" s="1206"/>
      <c r="AEQ291" s="1206"/>
      <c r="AER291" s="1206"/>
      <c r="AES291" s="1206"/>
      <c r="AET291" s="1206"/>
      <c r="AEU291" s="1207"/>
      <c r="AEV291" s="1206"/>
      <c r="AEW291" s="1206"/>
      <c r="AEX291" s="1206"/>
      <c r="AEY291" s="1206"/>
      <c r="AEZ291" s="1206"/>
      <c r="AFA291" s="1206"/>
      <c r="AFB291" s="1206"/>
      <c r="AFC291" s="1206"/>
      <c r="AFD291" s="1206"/>
      <c r="AFE291" s="1206"/>
      <c r="AFF291" s="1206"/>
      <c r="AFG291" s="1206"/>
      <c r="AFH291" s="1206"/>
      <c r="AFI291" s="1206"/>
      <c r="AFJ291" s="1206"/>
      <c r="AFK291" s="1206"/>
      <c r="AFL291" s="1207"/>
      <c r="AFM291" s="1206"/>
      <c r="AFN291" s="1206"/>
      <c r="AFO291" s="1206"/>
      <c r="AFP291" s="1206"/>
      <c r="AFQ291" s="1206"/>
      <c r="AFR291" s="1206"/>
      <c r="AFS291" s="1206"/>
      <c r="AFT291" s="1206"/>
      <c r="AFU291" s="1206"/>
      <c r="AFV291" s="1206"/>
      <c r="AFW291" s="1206"/>
      <c r="AFX291" s="1206"/>
      <c r="AFY291" s="1206"/>
      <c r="AFZ291" s="1206"/>
      <c r="AGA291" s="1206"/>
      <c r="AGB291" s="1206"/>
      <c r="AGC291" s="1207"/>
      <c r="AGD291" s="1206"/>
      <c r="AGE291" s="1206"/>
      <c r="AGF291" s="1206"/>
      <c r="AGG291" s="1206"/>
      <c r="AGH291" s="1206"/>
      <c r="AGI291" s="1206"/>
      <c r="AGJ291" s="1206"/>
      <c r="AGK291" s="1206"/>
      <c r="AGL291" s="1206"/>
      <c r="AGM291" s="1206"/>
      <c r="AGN291" s="1206"/>
      <c r="AGO291" s="1206"/>
      <c r="AGP291" s="1206"/>
      <c r="AGQ291" s="1206"/>
      <c r="AGR291" s="1206"/>
      <c r="AGS291" s="1206"/>
      <c r="AGT291" s="1207"/>
      <c r="AGU291" s="1206"/>
      <c r="AGV291" s="1206"/>
      <c r="AGW291" s="1206"/>
      <c r="AGX291" s="1206"/>
      <c r="AGY291" s="1206"/>
      <c r="AGZ291" s="1206"/>
      <c r="AHA291" s="1206"/>
      <c r="AHB291" s="1206"/>
      <c r="AHC291" s="1206"/>
      <c r="AHD291" s="1206"/>
      <c r="AHE291" s="1206"/>
      <c r="AHF291" s="1206"/>
      <c r="AHG291" s="1206"/>
      <c r="AHH291" s="1206"/>
      <c r="AHI291" s="1206"/>
      <c r="AHJ291" s="1206"/>
      <c r="AHK291" s="1207"/>
      <c r="AHL291" s="1206"/>
      <c r="AHM291" s="1206"/>
      <c r="AHN291" s="1206"/>
      <c r="AHO291" s="1206"/>
      <c r="AHP291" s="1206"/>
      <c r="AHQ291" s="1206"/>
      <c r="AHR291" s="1206"/>
      <c r="AHS291" s="1206"/>
      <c r="AHT291" s="1206"/>
      <c r="AHU291" s="1206"/>
      <c r="AHV291" s="1206"/>
      <c r="AHW291" s="1206"/>
      <c r="AHX291" s="1206"/>
      <c r="AHY291" s="1206"/>
      <c r="AHZ291" s="1206"/>
      <c r="AIA291" s="1206"/>
      <c r="AIB291" s="1207"/>
      <c r="AIC291" s="1206"/>
      <c r="AID291" s="1206"/>
      <c r="AIE291" s="1206"/>
      <c r="AIF291" s="1206"/>
      <c r="AIG291" s="1206"/>
      <c r="AIH291" s="1206"/>
      <c r="AII291" s="1206"/>
      <c r="AIJ291" s="1206"/>
      <c r="AIK291" s="1206"/>
      <c r="AIL291" s="1206"/>
      <c r="AIM291" s="1206"/>
      <c r="AIN291" s="1206"/>
      <c r="AIO291" s="1206"/>
      <c r="AIP291" s="1206"/>
      <c r="AIQ291" s="1206"/>
      <c r="AIR291" s="1206"/>
      <c r="AIS291" s="1207"/>
      <c r="AIT291" s="1206"/>
      <c r="AIU291" s="1206"/>
      <c r="AIV291" s="1206"/>
      <c r="AIW291" s="1206"/>
      <c r="AIX291" s="1206"/>
      <c r="AIY291" s="1206"/>
      <c r="AIZ291" s="1206"/>
      <c r="AJA291" s="1206"/>
      <c r="AJB291" s="1206"/>
      <c r="AJC291" s="1206"/>
      <c r="AJD291" s="1206"/>
      <c r="AJE291" s="1206"/>
      <c r="AJF291" s="1206"/>
      <c r="AJG291" s="1206"/>
      <c r="AJH291" s="1206"/>
      <c r="AJI291" s="1206"/>
      <c r="AJJ291" s="1207"/>
      <c r="AJK291" s="1206"/>
      <c r="AJL291" s="1206"/>
      <c r="AJM291" s="1206"/>
      <c r="AJN291" s="1206"/>
      <c r="AJO291" s="1206"/>
      <c r="AJP291" s="1206"/>
      <c r="AJQ291" s="1206"/>
      <c r="AJR291" s="1206"/>
      <c r="AJS291" s="1206"/>
      <c r="AJT291" s="1206"/>
      <c r="AJU291" s="1206"/>
      <c r="AJV291" s="1206"/>
      <c r="AJW291" s="1206"/>
      <c r="AJX291" s="1206"/>
      <c r="AJY291" s="1206"/>
      <c r="AJZ291" s="1206"/>
      <c r="AKA291" s="1207"/>
      <c r="AKB291" s="1206"/>
      <c r="AKC291" s="1206"/>
      <c r="AKD291" s="1206"/>
      <c r="AKE291" s="1206"/>
      <c r="AKF291" s="1206"/>
      <c r="AKG291" s="1206"/>
      <c r="AKH291" s="1206"/>
      <c r="AKI291" s="1206"/>
      <c r="AKJ291" s="1206"/>
      <c r="AKK291" s="1206"/>
      <c r="AKL291" s="1206"/>
      <c r="AKM291" s="1206"/>
      <c r="AKN291" s="1206"/>
      <c r="AKO291" s="1206"/>
      <c r="AKP291" s="1206"/>
      <c r="AKQ291" s="1206"/>
      <c r="AKR291" s="1207"/>
      <c r="AKS291" s="1206"/>
      <c r="AKT291" s="1206"/>
      <c r="AKU291" s="1206"/>
      <c r="AKV291" s="1206"/>
      <c r="AKW291" s="1206"/>
      <c r="AKX291" s="1206"/>
      <c r="AKY291" s="1206"/>
      <c r="AKZ291" s="1206"/>
      <c r="ALA291" s="1206"/>
      <c r="ALB291" s="1206"/>
      <c r="ALC291" s="1206"/>
      <c r="ALD291" s="1206"/>
      <c r="ALE291" s="1206"/>
      <c r="ALF291" s="1206"/>
      <c r="ALG291" s="1206"/>
      <c r="ALH291" s="1206"/>
      <c r="ALI291" s="1207"/>
      <c r="ALJ291" s="1206"/>
      <c r="ALK291" s="1206"/>
      <c r="ALL291" s="1206"/>
      <c r="ALM291" s="1206"/>
      <c r="ALN291" s="1206"/>
      <c r="ALO291" s="1206"/>
      <c r="ALP291" s="1206"/>
      <c r="ALQ291" s="1206"/>
      <c r="ALR291" s="1206"/>
      <c r="ALS291" s="1206"/>
      <c r="ALT291" s="1206"/>
      <c r="ALU291" s="1206"/>
      <c r="ALV291" s="1206"/>
      <c r="ALW291" s="1206"/>
      <c r="ALX291" s="1206"/>
      <c r="ALY291" s="1206"/>
      <c r="ALZ291" s="1207"/>
      <c r="AMA291" s="1206"/>
      <c r="AMB291" s="1206"/>
      <c r="AMC291" s="1206"/>
      <c r="AMD291" s="1206"/>
      <c r="AME291" s="1206"/>
      <c r="AMF291" s="1206"/>
      <c r="AMG291" s="1206"/>
      <c r="AMH291" s="1206"/>
      <c r="AMI291" s="1206"/>
      <c r="AMJ291" s="1206"/>
      <c r="AMK291" s="1206"/>
      <c r="AML291" s="1206"/>
      <c r="AMM291" s="1206"/>
      <c r="AMN291" s="1206"/>
      <c r="AMO291" s="1206"/>
      <c r="AMP291" s="1206"/>
      <c r="AMQ291" s="1207"/>
      <c r="AMR291" s="1206"/>
      <c r="AMS291" s="1206"/>
      <c r="AMT291" s="1206"/>
      <c r="AMU291" s="1206"/>
      <c r="AMV291" s="1206"/>
      <c r="AMW291" s="1206"/>
      <c r="AMX291" s="1206"/>
      <c r="AMY291" s="1206"/>
      <c r="AMZ291" s="1206"/>
      <c r="ANA291" s="1206"/>
      <c r="ANB291" s="1206"/>
      <c r="ANC291" s="1206"/>
      <c r="AND291" s="1206"/>
      <c r="ANE291" s="1206"/>
      <c r="ANF291" s="1206"/>
      <c r="ANG291" s="1206"/>
      <c r="ANH291" s="1207"/>
      <c r="ANI291" s="1206"/>
      <c r="ANJ291" s="1206"/>
      <c r="ANK291" s="1206"/>
      <c r="ANL291" s="1206"/>
      <c r="ANM291" s="1206"/>
      <c r="ANN291" s="1206"/>
      <c r="ANO291" s="1206"/>
      <c r="ANP291" s="1206"/>
      <c r="ANQ291" s="1206"/>
      <c r="ANR291" s="1206"/>
      <c r="ANS291" s="1206"/>
      <c r="ANT291" s="1206"/>
      <c r="ANU291" s="1206"/>
      <c r="ANV291" s="1206"/>
      <c r="ANW291" s="1206"/>
      <c r="ANX291" s="1206"/>
      <c r="ANY291" s="1207"/>
      <c r="ANZ291" s="1206"/>
      <c r="AOA291" s="1206"/>
      <c r="AOB291" s="1206"/>
      <c r="AOC291" s="1206"/>
      <c r="AOD291" s="1206"/>
      <c r="AOE291" s="1206"/>
      <c r="AOF291" s="1206"/>
      <c r="AOG291" s="1206"/>
      <c r="AOH291" s="1206"/>
      <c r="AOI291" s="1206"/>
      <c r="AOJ291" s="1206"/>
      <c r="AOK291" s="1206"/>
      <c r="AOL291" s="1206"/>
      <c r="AOM291" s="1206"/>
      <c r="AON291" s="1206"/>
      <c r="AOO291" s="1206"/>
      <c r="AOP291" s="1207"/>
      <c r="AOQ291" s="1206"/>
      <c r="AOR291" s="1206"/>
      <c r="AOS291" s="1206"/>
      <c r="AOT291" s="1206"/>
      <c r="AOU291" s="1206"/>
      <c r="AOV291" s="1206"/>
      <c r="AOW291" s="1206"/>
      <c r="AOX291" s="1206"/>
      <c r="AOY291" s="1206"/>
      <c r="AOZ291" s="1206"/>
      <c r="APA291" s="1206"/>
      <c r="APB291" s="1206"/>
      <c r="APC291" s="1206"/>
      <c r="APD291" s="1206"/>
      <c r="APE291" s="1206"/>
      <c r="APF291" s="1206"/>
      <c r="APG291" s="1207"/>
      <c r="APH291" s="1206"/>
      <c r="API291" s="1206"/>
      <c r="APJ291" s="1206"/>
      <c r="APK291" s="1206"/>
      <c r="APL291" s="1206"/>
      <c r="APM291" s="1206"/>
      <c r="APN291" s="1206"/>
      <c r="APO291" s="1206"/>
      <c r="APP291" s="1206"/>
      <c r="APQ291" s="1206"/>
      <c r="APR291" s="1206"/>
      <c r="APS291" s="1206"/>
      <c r="APT291" s="1206"/>
      <c r="APU291" s="1206"/>
      <c r="APV291" s="1206"/>
      <c r="APW291" s="1206"/>
      <c r="APX291" s="1207"/>
      <c r="APY291" s="1206"/>
      <c r="APZ291" s="1206"/>
      <c r="AQA291" s="1206"/>
      <c r="AQB291" s="1206"/>
      <c r="AQC291" s="1206"/>
      <c r="AQD291" s="1206"/>
      <c r="AQE291" s="1206"/>
      <c r="AQF291" s="1206"/>
      <c r="AQG291" s="1206"/>
      <c r="AQH291" s="1206"/>
      <c r="AQI291" s="1206"/>
      <c r="AQJ291" s="1206"/>
      <c r="AQK291" s="1206"/>
      <c r="AQL291" s="1206"/>
      <c r="AQM291" s="1206"/>
      <c r="AQN291" s="1206"/>
      <c r="AQO291" s="1207"/>
      <c r="AQP291" s="1206"/>
      <c r="AQQ291" s="1206"/>
      <c r="AQR291" s="1206"/>
      <c r="AQS291" s="1206"/>
      <c r="AQT291" s="1206"/>
      <c r="AQU291" s="1206"/>
      <c r="AQV291" s="1206"/>
      <c r="AQW291" s="1206"/>
      <c r="AQX291" s="1206"/>
      <c r="AQY291" s="1206"/>
      <c r="AQZ291" s="1206"/>
      <c r="ARA291" s="1206"/>
      <c r="ARB291" s="1206"/>
      <c r="ARC291" s="1206"/>
      <c r="ARD291" s="1206"/>
      <c r="ARE291" s="1206"/>
      <c r="ARF291" s="1207"/>
      <c r="ARG291" s="1206"/>
      <c r="ARH291" s="1206"/>
      <c r="ARI291" s="1206"/>
      <c r="ARJ291" s="1206"/>
      <c r="ARK291" s="1206"/>
      <c r="ARL291" s="1206"/>
      <c r="ARM291" s="1206"/>
      <c r="ARN291" s="1206"/>
      <c r="ARO291" s="1206"/>
      <c r="ARP291" s="1206"/>
      <c r="ARQ291" s="1206"/>
      <c r="ARR291" s="1206"/>
      <c r="ARS291" s="1206"/>
      <c r="ART291" s="1206"/>
      <c r="ARU291" s="1206"/>
      <c r="ARV291" s="1206"/>
      <c r="ARW291" s="1207"/>
      <c r="ARX291" s="1206"/>
      <c r="ARY291" s="1206"/>
      <c r="ARZ291" s="1206"/>
      <c r="ASA291" s="1206"/>
      <c r="ASB291" s="1206"/>
      <c r="ASC291" s="1206"/>
      <c r="ASD291" s="1206"/>
      <c r="ASE291" s="1206"/>
      <c r="ASF291" s="1206"/>
      <c r="ASG291" s="1206"/>
      <c r="ASH291" s="1206"/>
      <c r="ASI291" s="1206"/>
      <c r="ASJ291" s="1206"/>
      <c r="ASK291" s="1206"/>
      <c r="ASL291" s="1206"/>
      <c r="ASM291" s="1206"/>
      <c r="ASN291" s="1207"/>
      <c r="ASO291" s="1206"/>
      <c r="ASP291" s="1206"/>
      <c r="ASQ291" s="1206"/>
      <c r="ASR291" s="1206"/>
      <c r="ASS291" s="1206"/>
      <c r="AST291" s="1206"/>
      <c r="ASU291" s="1206"/>
      <c r="ASV291" s="1206"/>
      <c r="ASW291" s="1206"/>
      <c r="ASX291" s="1206"/>
      <c r="ASY291" s="1206"/>
      <c r="ASZ291" s="1206"/>
      <c r="ATA291" s="1206"/>
      <c r="ATB291" s="1206"/>
      <c r="ATC291" s="1206"/>
      <c r="ATD291" s="1206"/>
      <c r="ATE291" s="1207"/>
      <c r="ATF291" s="1206"/>
      <c r="ATG291" s="1206"/>
      <c r="ATH291" s="1206"/>
      <c r="ATI291" s="1206"/>
      <c r="ATJ291" s="1206"/>
      <c r="ATK291" s="1206"/>
      <c r="ATL291" s="1206"/>
      <c r="ATM291" s="1206"/>
      <c r="ATN291" s="1206"/>
      <c r="ATO291" s="1206"/>
      <c r="ATP291" s="1206"/>
      <c r="ATQ291" s="1206"/>
      <c r="ATR291" s="1206"/>
      <c r="ATS291" s="1206"/>
      <c r="ATT291" s="1206"/>
      <c r="ATU291" s="1206"/>
      <c r="ATV291" s="1207"/>
      <c r="ATW291" s="1206"/>
      <c r="ATX291" s="1206"/>
      <c r="ATY291" s="1206"/>
      <c r="ATZ291" s="1206"/>
      <c r="AUA291" s="1206"/>
      <c r="AUB291" s="1206"/>
      <c r="AUC291" s="1206"/>
      <c r="AUD291" s="1206"/>
      <c r="AUE291" s="1206"/>
      <c r="AUF291" s="1206"/>
      <c r="AUG291" s="1206"/>
      <c r="AUH291" s="1206"/>
      <c r="AUI291" s="1206"/>
      <c r="AUJ291" s="1206"/>
      <c r="AUK291" s="1206"/>
      <c r="AUL291" s="1206"/>
      <c r="AUM291" s="1207"/>
      <c r="AUN291" s="1206"/>
      <c r="AUO291" s="1206"/>
      <c r="AUP291" s="1206"/>
      <c r="AUQ291" s="1206"/>
      <c r="AUR291" s="1206"/>
      <c r="AUS291" s="1206"/>
      <c r="AUT291" s="1206"/>
      <c r="AUU291" s="1206"/>
      <c r="AUV291" s="1206"/>
      <c r="AUW291" s="1206"/>
      <c r="AUX291" s="1206"/>
      <c r="AUY291" s="1206"/>
      <c r="AUZ291" s="1206"/>
      <c r="AVA291" s="1206"/>
      <c r="AVB291" s="1206"/>
      <c r="AVC291" s="1206"/>
      <c r="AVD291" s="1207"/>
      <c r="AVE291" s="1206"/>
      <c r="AVF291" s="1206"/>
      <c r="AVG291" s="1206"/>
      <c r="AVH291" s="1206"/>
      <c r="AVI291" s="1206"/>
      <c r="AVJ291" s="1206"/>
      <c r="AVK291" s="1206"/>
      <c r="AVL291" s="1206"/>
      <c r="AVM291" s="1206"/>
      <c r="AVN291" s="1206"/>
      <c r="AVO291" s="1206"/>
      <c r="AVP291" s="1206"/>
      <c r="AVQ291" s="1206"/>
      <c r="AVR291" s="1206"/>
      <c r="AVS291" s="1206"/>
      <c r="AVT291" s="1206"/>
      <c r="AVU291" s="1207"/>
      <c r="AVV291" s="1206"/>
      <c r="AVW291" s="1206"/>
      <c r="AVX291" s="1206"/>
      <c r="AVY291" s="1206"/>
      <c r="AVZ291" s="1206"/>
      <c r="AWA291" s="1206"/>
      <c r="AWB291" s="1206"/>
      <c r="AWC291" s="1206"/>
      <c r="AWD291" s="1206"/>
      <c r="AWE291" s="1206"/>
      <c r="AWF291" s="1206"/>
      <c r="AWG291" s="1206"/>
      <c r="AWH291" s="1206"/>
      <c r="AWI291" s="1206"/>
      <c r="AWJ291" s="1206"/>
      <c r="AWK291" s="1206"/>
      <c r="AWL291" s="1207"/>
      <c r="AWM291" s="1206"/>
      <c r="AWN291" s="1206"/>
      <c r="AWO291" s="1206"/>
      <c r="AWP291" s="1206"/>
      <c r="AWQ291" s="1206"/>
      <c r="AWR291" s="1206"/>
      <c r="AWS291" s="1206"/>
      <c r="AWT291" s="1206"/>
      <c r="AWU291" s="1206"/>
      <c r="AWV291" s="1206"/>
      <c r="AWW291" s="1206"/>
      <c r="AWX291" s="1206"/>
      <c r="AWY291" s="1206"/>
      <c r="AWZ291" s="1206"/>
      <c r="AXA291" s="1206"/>
      <c r="AXB291" s="1206"/>
      <c r="AXC291" s="1207"/>
      <c r="AXD291" s="1206"/>
      <c r="AXE291" s="1206"/>
      <c r="AXF291" s="1206"/>
      <c r="AXG291" s="1206"/>
      <c r="AXH291" s="1206"/>
      <c r="AXI291" s="1206"/>
      <c r="AXJ291" s="1206"/>
      <c r="AXK291" s="1206"/>
      <c r="AXL291" s="1206"/>
      <c r="AXM291" s="1206"/>
      <c r="AXN291" s="1206"/>
      <c r="AXO291" s="1206"/>
      <c r="AXP291" s="1206"/>
      <c r="AXQ291" s="1206"/>
      <c r="AXR291" s="1206"/>
      <c r="AXS291" s="1206"/>
      <c r="AXT291" s="1207"/>
      <c r="AXU291" s="1206"/>
      <c r="AXV291" s="1206"/>
      <c r="AXW291" s="1206"/>
      <c r="AXX291" s="1206"/>
      <c r="AXY291" s="1206"/>
      <c r="AXZ291" s="1206"/>
      <c r="AYA291" s="1206"/>
      <c r="AYB291" s="1206"/>
      <c r="AYC291" s="1206"/>
      <c r="AYD291" s="1206"/>
      <c r="AYE291" s="1206"/>
      <c r="AYF291" s="1206"/>
      <c r="AYG291" s="1206"/>
      <c r="AYH291" s="1206"/>
      <c r="AYI291" s="1206"/>
      <c r="AYJ291" s="1206"/>
      <c r="AYK291" s="1207"/>
      <c r="AYL291" s="1206"/>
      <c r="AYM291" s="1206"/>
      <c r="AYN291" s="1206"/>
      <c r="AYO291" s="1206"/>
      <c r="AYP291" s="1206"/>
      <c r="AYQ291" s="1206"/>
      <c r="AYR291" s="1206"/>
      <c r="AYS291" s="1206"/>
      <c r="AYT291" s="1206"/>
      <c r="AYU291" s="1206"/>
      <c r="AYV291" s="1206"/>
      <c r="AYW291" s="1206"/>
      <c r="AYX291" s="1206"/>
      <c r="AYY291" s="1206"/>
      <c r="AYZ291" s="1206"/>
      <c r="AZA291" s="1206"/>
      <c r="AZB291" s="1207"/>
      <c r="AZC291" s="1206"/>
      <c r="AZD291" s="1206"/>
      <c r="AZE291" s="1206"/>
      <c r="AZF291" s="1206"/>
      <c r="AZG291" s="1206"/>
      <c r="AZH291" s="1206"/>
      <c r="AZI291" s="1206"/>
      <c r="AZJ291" s="1206"/>
      <c r="AZK291" s="1206"/>
      <c r="AZL291" s="1206"/>
      <c r="AZM291" s="1206"/>
      <c r="AZN291" s="1206"/>
      <c r="AZO291" s="1206"/>
      <c r="AZP291" s="1206"/>
      <c r="AZQ291" s="1206"/>
      <c r="AZR291" s="1206"/>
      <c r="AZS291" s="1207"/>
      <c r="AZT291" s="1206"/>
      <c r="AZU291" s="1206"/>
      <c r="AZV291" s="1206"/>
      <c r="AZW291" s="1206"/>
      <c r="AZX291" s="1206"/>
      <c r="AZY291" s="1206"/>
      <c r="AZZ291" s="1206"/>
      <c r="BAA291" s="1206"/>
      <c r="BAB291" s="1206"/>
      <c r="BAC291" s="1206"/>
      <c r="BAD291" s="1206"/>
      <c r="BAE291" s="1206"/>
      <c r="BAF291" s="1206"/>
      <c r="BAG291" s="1206"/>
      <c r="BAH291" s="1206"/>
      <c r="BAI291" s="1206"/>
      <c r="BAJ291" s="1207"/>
      <c r="BAK291" s="1206"/>
      <c r="BAL291" s="1206"/>
      <c r="BAM291" s="1206"/>
      <c r="BAN291" s="1206"/>
      <c r="BAO291" s="1206"/>
      <c r="BAP291" s="1206"/>
      <c r="BAQ291" s="1206"/>
      <c r="BAR291" s="1206"/>
      <c r="BAS291" s="1206"/>
      <c r="BAT291" s="1206"/>
      <c r="BAU291" s="1206"/>
      <c r="BAV291" s="1206"/>
      <c r="BAW291" s="1206"/>
      <c r="BAX291" s="1206"/>
      <c r="BAY291" s="1206"/>
      <c r="BAZ291" s="1206"/>
      <c r="BBA291" s="1207"/>
      <c r="BBB291" s="1206"/>
      <c r="BBC291" s="1206"/>
      <c r="BBD291" s="1206"/>
      <c r="BBE291" s="1206"/>
      <c r="BBF291" s="1206"/>
      <c r="BBG291" s="1206"/>
      <c r="BBH291" s="1206"/>
      <c r="BBI291" s="1206"/>
      <c r="BBJ291" s="1206"/>
      <c r="BBK291" s="1206"/>
      <c r="BBL291" s="1206"/>
      <c r="BBM291" s="1206"/>
      <c r="BBN291" s="1206"/>
      <c r="BBO291" s="1206"/>
      <c r="BBP291" s="1206"/>
      <c r="BBQ291" s="1206"/>
      <c r="BBR291" s="1207"/>
      <c r="BBS291" s="1206"/>
      <c r="BBT291" s="1206"/>
      <c r="BBU291" s="1206"/>
      <c r="BBV291" s="1206"/>
      <c r="BBW291" s="1206"/>
      <c r="BBX291" s="1206"/>
      <c r="BBY291" s="1206"/>
      <c r="BBZ291" s="1206"/>
      <c r="BCA291" s="1206"/>
      <c r="BCB291" s="1206"/>
      <c r="BCC291" s="1206"/>
      <c r="BCD291" s="1206"/>
      <c r="BCE291" s="1206"/>
      <c r="BCF291" s="1206"/>
      <c r="BCG291" s="1206"/>
      <c r="BCH291" s="1206"/>
      <c r="BCI291" s="1207"/>
      <c r="BCJ291" s="1206"/>
      <c r="BCK291" s="1206"/>
      <c r="BCL291" s="1206"/>
      <c r="BCM291" s="1206"/>
      <c r="BCN291" s="1206"/>
      <c r="BCO291" s="1206"/>
      <c r="BCP291" s="1206"/>
      <c r="BCQ291" s="1206"/>
      <c r="BCR291" s="1206"/>
      <c r="BCS291" s="1206"/>
      <c r="BCT291" s="1206"/>
      <c r="BCU291" s="1206"/>
      <c r="BCV291" s="1206"/>
      <c r="BCW291" s="1206"/>
      <c r="BCX291" s="1206"/>
      <c r="BCY291" s="1206"/>
      <c r="BCZ291" s="1207"/>
      <c r="BDA291" s="1206"/>
      <c r="BDB291" s="1206"/>
      <c r="BDC291" s="1206"/>
      <c r="BDD291" s="1206"/>
      <c r="BDE291" s="1206"/>
      <c r="BDF291" s="1206"/>
      <c r="BDG291" s="1206"/>
      <c r="BDH291" s="1206"/>
      <c r="BDI291" s="1206"/>
      <c r="BDJ291" s="1206"/>
      <c r="BDK291" s="1206"/>
      <c r="BDL291" s="1206"/>
      <c r="BDM291" s="1206"/>
      <c r="BDN291" s="1206"/>
      <c r="BDO291" s="1206"/>
      <c r="BDP291" s="1206"/>
      <c r="BDQ291" s="1207"/>
      <c r="BDR291" s="1206"/>
      <c r="BDS291" s="1206"/>
      <c r="BDT291" s="1206"/>
      <c r="BDU291" s="1206"/>
      <c r="BDV291" s="1206"/>
      <c r="BDW291" s="1206"/>
      <c r="BDX291" s="1206"/>
      <c r="BDY291" s="1206"/>
      <c r="BDZ291" s="1206"/>
      <c r="BEA291" s="1206"/>
      <c r="BEB291" s="1206"/>
      <c r="BEC291" s="1206"/>
      <c r="BED291" s="1206"/>
      <c r="BEE291" s="1206"/>
      <c r="BEF291" s="1206"/>
      <c r="BEG291" s="1206"/>
      <c r="BEH291" s="1207"/>
      <c r="BEI291" s="1206"/>
      <c r="BEJ291" s="1206"/>
      <c r="BEK291" s="1206"/>
      <c r="BEL291" s="1206"/>
      <c r="BEM291" s="1206"/>
      <c r="BEN291" s="1206"/>
      <c r="BEO291" s="1206"/>
      <c r="BEP291" s="1206"/>
      <c r="BEQ291" s="1206"/>
      <c r="BER291" s="1206"/>
      <c r="BES291" s="1206"/>
      <c r="BET291" s="1206"/>
      <c r="BEU291" s="1206"/>
      <c r="BEV291" s="1206"/>
      <c r="BEW291" s="1206"/>
      <c r="BEX291" s="1206"/>
      <c r="BEY291" s="1207"/>
      <c r="BEZ291" s="1206"/>
      <c r="BFA291" s="1206"/>
      <c r="BFB291" s="1206"/>
      <c r="BFC291" s="1206"/>
      <c r="BFD291" s="1206"/>
      <c r="BFE291" s="1206"/>
      <c r="BFF291" s="1206"/>
      <c r="BFG291" s="1206"/>
      <c r="BFH291" s="1206"/>
      <c r="BFI291" s="1206"/>
      <c r="BFJ291" s="1206"/>
      <c r="BFK291" s="1206"/>
      <c r="BFL291" s="1206"/>
      <c r="BFM291" s="1206"/>
      <c r="BFN291" s="1206"/>
      <c r="BFO291" s="1206"/>
      <c r="BFP291" s="1207"/>
      <c r="BFQ291" s="1206"/>
      <c r="BFR291" s="1206"/>
      <c r="BFS291" s="1206"/>
      <c r="BFT291" s="1206"/>
      <c r="BFU291" s="1206"/>
      <c r="BFV291" s="1206"/>
      <c r="BFW291" s="1206"/>
      <c r="BFX291" s="1206"/>
      <c r="BFY291" s="1206"/>
      <c r="BFZ291" s="1206"/>
      <c r="BGA291" s="1206"/>
      <c r="BGB291" s="1206"/>
      <c r="BGC291" s="1206"/>
      <c r="BGD291" s="1206"/>
      <c r="BGE291" s="1206"/>
      <c r="BGF291" s="1206"/>
      <c r="BGG291" s="1207"/>
      <c r="BGH291" s="1206"/>
      <c r="BGI291" s="1206"/>
      <c r="BGJ291" s="1206"/>
      <c r="BGK291" s="1206"/>
      <c r="BGL291" s="1206"/>
      <c r="BGM291" s="1206"/>
      <c r="BGN291" s="1206"/>
      <c r="BGO291" s="1206"/>
      <c r="BGP291" s="1206"/>
      <c r="BGQ291" s="1206"/>
      <c r="BGR291" s="1206"/>
      <c r="BGS291" s="1206"/>
      <c r="BGT291" s="1206"/>
      <c r="BGU291" s="1206"/>
      <c r="BGV291" s="1206"/>
      <c r="BGW291" s="1206"/>
      <c r="BGX291" s="1207"/>
      <c r="BGY291" s="1206"/>
      <c r="BGZ291" s="1206"/>
      <c r="BHA291" s="1206"/>
      <c r="BHB291" s="1206"/>
      <c r="BHC291" s="1206"/>
      <c r="BHD291" s="1206"/>
      <c r="BHE291" s="1206"/>
      <c r="BHF291" s="1206"/>
      <c r="BHG291" s="1206"/>
      <c r="BHH291" s="1206"/>
      <c r="BHI291" s="1206"/>
      <c r="BHJ291" s="1206"/>
      <c r="BHK291" s="1206"/>
      <c r="BHL291" s="1206"/>
      <c r="BHM291" s="1206"/>
      <c r="BHN291" s="1206"/>
      <c r="BHO291" s="1207"/>
      <c r="BHP291" s="1206"/>
      <c r="BHQ291" s="1206"/>
      <c r="BHR291" s="1206"/>
      <c r="BHS291" s="1206"/>
      <c r="BHT291" s="1206"/>
      <c r="BHU291" s="1206"/>
      <c r="BHV291" s="1206"/>
      <c r="BHW291" s="1206"/>
      <c r="BHX291" s="1206"/>
      <c r="BHY291" s="1206"/>
      <c r="BHZ291" s="1206"/>
      <c r="BIA291" s="1206"/>
      <c r="BIB291" s="1206"/>
      <c r="BIC291" s="1206"/>
      <c r="BID291" s="1206"/>
      <c r="BIE291" s="1206"/>
      <c r="BIF291" s="1207"/>
      <c r="BIG291" s="1206"/>
      <c r="BIH291" s="1206"/>
      <c r="BII291" s="1206"/>
      <c r="BIJ291" s="1206"/>
      <c r="BIK291" s="1206"/>
      <c r="BIL291" s="1206"/>
      <c r="BIM291" s="1206"/>
      <c r="BIN291" s="1206"/>
      <c r="BIO291" s="1206"/>
      <c r="BIP291" s="1206"/>
      <c r="BIQ291" s="1206"/>
      <c r="BIR291" s="1206"/>
      <c r="BIS291" s="1206"/>
      <c r="BIT291" s="1206"/>
      <c r="BIU291" s="1206"/>
      <c r="BIV291" s="1206"/>
      <c r="BIW291" s="1207"/>
      <c r="BIX291" s="1206"/>
      <c r="BIY291" s="1206"/>
      <c r="BIZ291" s="1206"/>
      <c r="BJA291" s="1206"/>
      <c r="BJB291" s="1206"/>
      <c r="BJC291" s="1206"/>
      <c r="BJD291" s="1206"/>
      <c r="BJE291" s="1206"/>
      <c r="BJF291" s="1206"/>
      <c r="BJG291" s="1206"/>
      <c r="BJH291" s="1206"/>
      <c r="BJI291" s="1206"/>
      <c r="BJJ291" s="1206"/>
      <c r="BJK291" s="1206"/>
      <c r="BJL291" s="1206"/>
      <c r="BJM291" s="1206"/>
      <c r="BJN291" s="1207"/>
      <c r="BJO291" s="1206"/>
      <c r="BJP291" s="1206"/>
      <c r="BJQ291" s="1206"/>
      <c r="BJR291" s="1206"/>
      <c r="BJS291" s="1206"/>
      <c r="BJT291" s="1206"/>
      <c r="BJU291" s="1206"/>
      <c r="BJV291" s="1206"/>
      <c r="BJW291" s="1206"/>
      <c r="BJX291" s="1206"/>
      <c r="BJY291" s="1206"/>
      <c r="BJZ291" s="1206"/>
      <c r="BKA291" s="1206"/>
      <c r="BKB291" s="1206"/>
      <c r="BKC291" s="1206"/>
      <c r="BKD291" s="1206"/>
      <c r="BKE291" s="1207"/>
      <c r="BKF291" s="1206"/>
      <c r="BKG291" s="1206"/>
      <c r="BKH291" s="1206"/>
      <c r="BKI291" s="1206"/>
      <c r="BKJ291" s="1206"/>
      <c r="BKK291" s="1206"/>
      <c r="BKL291" s="1206"/>
      <c r="BKM291" s="1206"/>
      <c r="BKN291" s="1206"/>
      <c r="BKO291" s="1206"/>
      <c r="BKP291" s="1206"/>
      <c r="BKQ291" s="1206"/>
      <c r="BKR291" s="1206"/>
      <c r="BKS291" s="1206"/>
      <c r="BKT291" s="1206"/>
      <c r="BKU291" s="1206"/>
      <c r="BKV291" s="1207"/>
      <c r="BKW291" s="1206"/>
      <c r="BKX291" s="1206"/>
      <c r="BKY291" s="1206"/>
      <c r="BKZ291" s="1206"/>
      <c r="BLA291" s="1206"/>
      <c r="BLB291" s="1206"/>
      <c r="BLC291" s="1206"/>
      <c r="BLD291" s="1206"/>
      <c r="BLE291" s="1206"/>
      <c r="BLF291" s="1206"/>
      <c r="BLG291" s="1206"/>
      <c r="BLH291" s="1206"/>
      <c r="BLI291" s="1206"/>
      <c r="BLJ291" s="1206"/>
      <c r="BLK291" s="1206"/>
      <c r="BLL291" s="1206"/>
      <c r="BLM291" s="1207"/>
      <c r="BLN291" s="1206"/>
      <c r="BLO291" s="1206"/>
      <c r="BLP291" s="1206"/>
      <c r="BLQ291" s="1206"/>
      <c r="BLR291" s="1206"/>
      <c r="BLS291" s="1206"/>
      <c r="BLT291" s="1206"/>
      <c r="BLU291" s="1206"/>
      <c r="BLV291" s="1206"/>
      <c r="BLW291" s="1206"/>
      <c r="BLX291" s="1206"/>
      <c r="BLY291" s="1206"/>
      <c r="BLZ291" s="1206"/>
      <c r="BMA291" s="1206"/>
      <c r="BMB291" s="1206"/>
      <c r="BMC291" s="1206"/>
      <c r="BMD291" s="1207"/>
      <c r="BME291" s="1206"/>
      <c r="BMF291" s="1206"/>
      <c r="BMG291" s="1206"/>
      <c r="BMH291" s="1206"/>
      <c r="BMI291" s="1206"/>
      <c r="BMJ291" s="1206"/>
      <c r="BMK291" s="1206"/>
      <c r="BML291" s="1206"/>
      <c r="BMM291" s="1206"/>
      <c r="BMN291" s="1206"/>
      <c r="BMO291" s="1206"/>
      <c r="BMP291" s="1206"/>
      <c r="BMQ291" s="1206"/>
      <c r="BMR291" s="1206"/>
      <c r="BMS291" s="1206"/>
      <c r="BMT291" s="1206"/>
      <c r="BMU291" s="1207"/>
      <c r="BMV291" s="1206"/>
      <c r="BMW291" s="1206"/>
      <c r="BMX291" s="1206"/>
      <c r="BMY291" s="1206"/>
      <c r="BMZ291" s="1206"/>
      <c r="BNA291" s="1206"/>
      <c r="BNB291" s="1206"/>
      <c r="BNC291" s="1206"/>
      <c r="BND291" s="1206"/>
      <c r="BNE291" s="1206"/>
      <c r="BNF291" s="1206"/>
      <c r="BNG291" s="1206"/>
      <c r="BNH291" s="1206"/>
      <c r="BNI291" s="1206"/>
      <c r="BNJ291" s="1206"/>
      <c r="BNK291" s="1206"/>
      <c r="BNL291" s="1207"/>
      <c r="BNM291" s="1206"/>
      <c r="BNN291" s="1206"/>
      <c r="BNO291" s="1206"/>
      <c r="BNP291" s="1206"/>
      <c r="BNQ291" s="1206"/>
      <c r="BNR291" s="1206"/>
      <c r="BNS291" s="1206"/>
      <c r="BNT291" s="1206"/>
      <c r="BNU291" s="1206"/>
      <c r="BNV291" s="1206"/>
      <c r="BNW291" s="1206"/>
      <c r="BNX291" s="1206"/>
      <c r="BNY291" s="1206"/>
      <c r="BNZ291" s="1206"/>
      <c r="BOA291" s="1206"/>
      <c r="BOB291" s="1206"/>
      <c r="BOC291" s="1207"/>
      <c r="BOD291" s="1206"/>
      <c r="BOE291" s="1206"/>
      <c r="BOF291" s="1206"/>
      <c r="BOG291" s="1206"/>
      <c r="BOH291" s="1206"/>
      <c r="BOI291" s="1206"/>
      <c r="BOJ291" s="1206"/>
      <c r="BOK291" s="1206"/>
      <c r="BOL291" s="1206"/>
      <c r="BOM291" s="1206"/>
      <c r="BON291" s="1206"/>
      <c r="BOO291" s="1206"/>
      <c r="BOP291" s="1206"/>
      <c r="BOQ291" s="1206"/>
      <c r="BOR291" s="1206"/>
      <c r="BOS291" s="1206"/>
      <c r="BOT291" s="1207"/>
      <c r="BOU291" s="1206"/>
      <c r="BOV291" s="1206"/>
      <c r="BOW291" s="1206"/>
      <c r="BOX291" s="1206"/>
      <c r="BOY291" s="1206"/>
      <c r="BOZ291" s="1206"/>
      <c r="BPA291" s="1206"/>
      <c r="BPB291" s="1206"/>
      <c r="BPC291" s="1206"/>
      <c r="BPD291" s="1206"/>
      <c r="BPE291" s="1206"/>
      <c r="BPF291" s="1206"/>
      <c r="BPG291" s="1206"/>
      <c r="BPH291" s="1206"/>
      <c r="BPI291" s="1206"/>
      <c r="BPJ291" s="1206"/>
      <c r="BPK291" s="1207"/>
      <c r="BPL291" s="1206"/>
      <c r="BPM291" s="1206"/>
      <c r="BPN291" s="1206"/>
      <c r="BPO291" s="1206"/>
      <c r="BPP291" s="1206"/>
      <c r="BPQ291" s="1206"/>
      <c r="BPR291" s="1206"/>
      <c r="BPS291" s="1206"/>
      <c r="BPT291" s="1206"/>
      <c r="BPU291" s="1206"/>
      <c r="BPV291" s="1206"/>
      <c r="BPW291" s="1206"/>
      <c r="BPX291" s="1206"/>
      <c r="BPY291" s="1206"/>
      <c r="BPZ291" s="1206"/>
      <c r="BQA291" s="1206"/>
      <c r="BQB291" s="1207"/>
      <c r="BQC291" s="1206"/>
      <c r="BQD291" s="1206"/>
      <c r="BQE291" s="1206"/>
      <c r="BQF291" s="1206"/>
      <c r="BQG291" s="1206"/>
      <c r="BQH291" s="1206"/>
      <c r="BQI291" s="1206"/>
      <c r="BQJ291" s="1206"/>
      <c r="BQK291" s="1206"/>
      <c r="BQL291" s="1206"/>
      <c r="BQM291" s="1206"/>
      <c r="BQN291" s="1206"/>
      <c r="BQO291" s="1206"/>
      <c r="BQP291" s="1206"/>
      <c r="BQQ291" s="1206"/>
      <c r="BQR291" s="1206"/>
      <c r="BQS291" s="1207"/>
      <c r="BQT291" s="1206"/>
      <c r="BQU291" s="1206"/>
      <c r="BQV291" s="1206"/>
      <c r="BQW291" s="1206"/>
      <c r="BQX291" s="1206"/>
      <c r="BQY291" s="1206"/>
      <c r="BQZ291" s="1206"/>
      <c r="BRA291" s="1206"/>
      <c r="BRB291" s="1206"/>
      <c r="BRC291" s="1206"/>
      <c r="BRD291" s="1206"/>
      <c r="BRE291" s="1206"/>
      <c r="BRF291" s="1206"/>
      <c r="BRG291" s="1206"/>
      <c r="BRH291" s="1206"/>
      <c r="BRI291" s="1206"/>
      <c r="BRJ291" s="1207"/>
      <c r="BRK291" s="1206"/>
      <c r="BRL291" s="1206"/>
      <c r="BRM291" s="1206"/>
      <c r="BRN291" s="1206"/>
      <c r="BRO291" s="1206"/>
      <c r="BRP291" s="1206"/>
      <c r="BRQ291" s="1206"/>
      <c r="BRR291" s="1206"/>
      <c r="BRS291" s="1206"/>
      <c r="BRT291" s="1206"/>
      <c r="BRU291" s="1206"/>
      <c r="BRV291" s="1206"/>
      <c r="BRW291" s="1206"/>
      <c r="BRX291" s="1206"/>
      <c r="BRY291" s="1206"/>
      <c r="BRZ291" s="1206"/>
      <c r="BSA291" s="1207"/>
      <c r="BSB291" s="1206"/>
      <c r="BSC291" s="1206"/>
      <c r="BSD291" s="1206"/>
      <c r="BSE291" s="1206"/>
      <c r="BSF291" s="1206"/>
      <c r="BSG291" s="1206"/>
      <c r="BSH291" s="1206"/>
      <c r="BSI291" s="1206"/>
      <c r="BSJ291" s="1206"/>
      <c r="BSK291" s="1206"/>
      <c r="BSL291" s="1206"/>
      <c r="BSM291" s="1206"/>
      <c r="BSN291" s="1206"/>
      <c r="BSO291" s="1206"/>
      <c r="BSP291" s="1206"/>
      <c r="BSQ291" s="1206"/>
      <c r="BSR291" s="1207"/>
      <c r="BSS291" s="1206"/>
      <c r="BST291" s="1206"/>
      <c r="BSU291" s="1206"/>
      <c r="BSV291" s="1206"/>
      <c r="BSW291" s="1206"/>
      <c r="BSX291" s="1206"/>
      <c r="BSY291" s="1206"/>
      <c r="BSZ291" s="1206"/>
      <c r="BTA291" s="1206"/>
      <c r="BTB291" s="1206"/>
      <c r="BTC291" s="1206"/>
      <c r="BTD291" s="1206"/>
      <c r="BTE291" s="1206"/>
      <c r="BTF291" s="1206"/>
      <c r="BTG291" s="1206"/>
      <c r="BTH291" s="1206"/>
      <c r="BTI291" s="1207"/>
      <c r="BTJ291" s="1206"/>
      <c r="BTK291" s="1206"/>
      <c r="BTL291" s="1206"/>
      <c r="BTM291" s="1206"/>
      <c r="BTN291" s="1206"/>
      <c r="BTO291" s="1206"/>
      <c r="BTP291" s="1206"/>
      <c r="BTQ291" s="1206"/>
      <c r="BTR291" s="1206"/>
      <c r="BTS291" s="1206"/>
      <c r="BTT291" s="1206"/>
      <c r="BTU291" s="1206"/>
      <c r="BTV291" s="1206"/>
      <c r="BTW291" s="1206"/>
      <c r="BTX291" s="1206"/>
      <c r="BTY291" s="1206"/>
      <c r="BTZ291" s="1207"/>
      <c r="BUA291" s="1206"/>
      <c r="BUB291" s="1206"/>
      <c r="BUC291" s="1206"/>
      <c r="BUD291" s="1206"/>
      <c r="BUE291" s="1206"/>
      <c r="BUF291" s="1206"/>
      <c r="BUG291" s="1206"/>
      <c r="BUH291" s="1206"/>
      <c r="BUI291" s="1206"/>
      <c r="BUJ291" s="1206"/>
      <c r="BUK291" s="1206"/>
      <c r="BUL291" s="1206"/>
      <c r="BUM291" s="1206"/>
      <c r="BUN291" s="1206"/>
      <c r="BUO291" s="1206"/>
      <c r="BUP291" s="1206"/>
      <c r="BUQ291" s="1207"/>
      <c r="BUR291" s="1206"/>
      <c r="BUS291" s="1206"/>
      <c r="BUT291" s="1206"/>
      <c r="BUU291" s="1206"/>
      <c r="BUV291" s="1206"/>
      <c r="BUW291" s="1206"/>
      <c r="BUX291" s="1206"/>
      <c r="BUY291" s="1206"/>
      <c r="BUZ291" s="1206"/>
      <c r="BVA291" s="1206"/>
      <c r="BVB291" s="1206"/>
      <c r="BVC291" s="1206"/>
      <c r="BVD291" s="1206"/>
      <c r="BVE291" s="1206"/>
      <c r="BVF291" s="1206"/>
      <c r="BVG291" s="1206"/>
      <c r="BVH291" s="1207"/>
      <c r="BVI291" s="1206"/>
      <c r="BVJ291" s="1206"/>
      <c r="BVK291" s="1206"/>
      <c r="BVL291" s="1206"/>
      <c r="BVM291" s="1206"/>
      <c r="BVN291" s="1206"/>
      <c r="BVO291" s="1206"/>
      <c r="BVP291" s="1206"/>
      <c r="BVQ291" s="1206"/>
      <c r="BVR291" s="1206"/>
      <c r="BVS291" s="1206"/>
      <c r="BVT291" s="1206"/>
      <c r="BVU291" s="1206"/>
      <c r="BVV291" s="1206"/>
      <c r="BVW291" s="1206"/>
      <c r="BVX291" s="1206"/>
      <c r="BVY291" s="1207"/>
      <c r="BVZ291" s="1206"/>
      <c r="BWA291" s="1206"/>
      <c r="BWB291" s="1206"/>
      <c r="BWC291" s="1206"/>
      <c r="BWD291" s="1206"/>
      <c r="BWE291" s="1206"/>
      <c r="BWF291" s="1206"/>
      <c r="BWG291" s="1206"/>
      <c r="BWH291" s="1206"/>
      <c r="BWI291" s="1206"/>
      <c r="BWJ291" s="1206"/>
      <c r="BWK291" s="1206"/>
      <c r="BWL291" s="1206"/>
      <c r="BWM291" s="1206"/>
      <c r="BWN291" s="1206"/>
      <c r="BWO291" s="1206"/>
      <c r="BWP291" s="1207"/>
      <c r="BWQ291" s="1206"/>
      <c r="BWR291" s="1206"/>
      <c r="BWS291" s="1206"/>
      <c r="BWT291" s="1206"/>
      <c r="BWU291" s="1206"/>
      <c r="BWV291" s="1206"/>
      <c r="BWW291" s="1206"/>
      <c r="BWX291" s="1206"/>
      <c r="BWY291" s="1206"/>
      <c r="BWZ291" s="1206"/>
      <c r="BXA291" s="1206"/>
      <c r="BXB291" s="1206"/>
      <c r="BXC291" s="1206"/>
      <c r="BXD291" s="1206"/>
      <c r="BXE291" s="1206"/>
      <c r="BXF291" s="1206"/>
      <c r="BXG291" s="1207"/>
      <c r="BXH291" s="1206"/>
      <c r="BXI291" s="1206"/>
      <c r="BXJ291" s="1206"/>
      <c r="BXK291" s="1206"/>
      <c r="BXL291" s="1206"/>
      <c r="BXM291" s="1206"/>
      <c r="BXN291" s="1206"/>
      <c r="BXO291" s="1206"/>
      <c r="BXP291" s="1206"/>
      <c r="BXQ291" s="1206"/>
      <c r="BXR291" s="1206"/>
      <c r="BXS291" s="1206"/>
      <c r="BXT291" s="1206"/>
      <c r="BXU291" s="1206"/>
      <c r="BXV291" s="1206"/>
      <c r="BXW291" s="1206"/>
      <c r="BXX291" s="1207"/>
      <c r="BXY291" s="1206"/>
      <c r="BXZ291" s="1206"/>
      <c r="BYA291" s="1206"/>
      <c r="BYB291" s="1206"/>
      <c r="BYC291" s="1206"/>
      <c r="BYD291" s="1206"/>
      <c r="BYE291" s="1206"/>
      <c r="BYF291" s="1206"/>
      <c r="BYG291" s="1206"/>
      <c r="BYH291" s="1206"/>
      <c r="BYI291" s="1206"/>
      <c r="BYJ291" s="1206"/>
      <c r="BYK291" s="1206"/>
      <c r="BYL291" s="1206"/>
      <c r="BYM291" s="1206"/>
      <c r="BYN291" s="1206"/>
      <c r="BYO291" s="1207"/>
      <c r="BYP291" s="1206"/>
      <c r="BYQ291" s="1206"/>
      <c r="BYR291" s="1206"/>
      <c r="BYS291" s="1206"/>
      <c r="BYT291" s="1206"/>
      <c r="BYU291" s="1206"/>
      <c r="BYV291" s="1206"/>
      <c r="BYW291" s="1206"/>
      <c r="BYX291" s="1206"/>
      <c r="BYY291" s="1206"/>
      <c r="BYZ291" s="1206"/>
      <c r="BZA291" s="1206"/>
      <c r="BZB291" s="1206"/>
      <c r="BZC291" s="1206"/>
      <c r="BZD291" s="1206"/>
      <c r="BZE291" s="1206"/>
      <c r="BZF291" s="1207"/>
      <c r="BZG291" s="1206"/>
      <c r="BZH291" s="1206"/>
      <c r="BZI291" s="1206"/>
      <c r="BZJ291" s="1206"/>
      <c r="BZK291" s="1206"/>
      <c r="BZL291" s="1206"/>
      <c r="BZM291" s="1206"/>
      <c r="BZN291" s="1206"/>
      <c r="BZO291" s="1206"/>
      <c r="BZP291" s="1206"/>
      <c r="BZQ291" s="1206"/>
      <c r="BZR291" s="1206"/>
      <c r="BZS291" s="1206"/>
      <c r="BZT291" s="1206"/>
      <c r="BZU291" s="1206"/>
      <c r="BZV291" s="1206"/>
      <c r="BZW291" s="1207"/>
      <c r="BZX291" s="1206"/>
      <c r="BZY291" s="1206"/>
      <c r="BZZ291" s="1206"/>
      <c r="CAA291" s="1206"/>
      <c r="CAB291" s="1206"/>
      <c r="CAC291" s="1206"/>
      <c r="CAD291" s="1206"/>
      <c r="CAE291" s="1206"/>
      <c r="CAF291" s="1206"/>
      <c r="CAG291" s="1206"/>
      <c r="CAH291" s="1206"/>
      <c r="CAI291" s="1206"/>
      <c r="CAJ291" s="1206"/>
      <c r="CAK291" s="1206"/>
      <c r="CAL291" s="1206"/>
      <c r="CAM291" s="1206"/>
      <c r="CAN291" s="1207"/>
      <c r="CAO291" s="1206"/>
      <c r="CAP291" s="1206"/>
      <c r="CAQ291" s="1206"/>
      <c r="CAR291" s="1206"/>
      <c r="CAS291" s="1206"/>
      <c r="CAT291" s="1206"/>
      <c r="CAU291" s="1206"/>
      <c r="CAV291" s="1206"/>
      <c r="CAW291" s="1206"/>
      <c r="CAX291" s="1206"/>
      <c r="CAY291" s="1206"/>
      <c r="CAZ291" s="1206"/>
      <c r="CBA291" s="1206"/>
      <c r="CBB291" s="1206"/>
      <c r="CBC291" s="1206"/>
      <c r="CBD291" s="1206"/>
      <c r="CBE291" s="1207"/>
      <c r="CBF291" s="1206"/>
      <c r="CBG291" s="1206"/>
      <c r="CBH291" s="1206"/>
      <c r="CBI291" s="1206"/>
      <c r="CBJ291" s="1206"/>
      <c r="CBK291" s="1206"/>
      <c r="CBL291" s="1206"/>
      <c r="CBM291" s="1206"/>
      <c r="CBN291" s="1206"/>
      <c r="CBO291" s="1206"/>
      <c r="CBP291" s="1206"/>
      <c r="CBQ291" s="1206"/>
      <c r="CBR291" s="1206"/>
      <c r="CBS291" s="1206"/>
      <c r="CBT291" s="1206"/>
      <c r="CBU291" s="1206"/>
      <c r="CBV291" s="1207"/>
      <c r="CBW291" s="1206"/>
      <c r="CBX291" s="1206"/>
      <c r="CBY291" s="1206"/>
      <c r="CBZ291" s="1206"/>
      <c r="CCA291" s="1206"/>
      <c r="CCB291" s="1206"/>
      <c r="CCC291" s="1206"/>
      <c r="CCD291" s="1206"/>
      <c r="CCE291" s="1206"/>
      <c r="CCF291" s="1206"/>
      <c r="CCG291" s="1206"/>
      <c r="CCH291" s="1206"/>
      <c r="CCI291" s="1206"/>
      <c r="CCJ291" s="1206"/>
      <c r="CCK291" s="1206"/>
      <c r="CCL291" s="1206"/>
      <c r="CCM291" s="1207"/>
      <c r="CCN291" s="1206"/>
      <c r="CCO291" s="1206"/>
      <c r="CCP291" s="1206"/>
      <c r="CCQ291" s="1206"/>
      <c r="CCR291" s="1206"/>
      <c r="CCS291" s="1206"/>
      <c r="CCT291" s="1206"/>
      <c r="CCU291" s="1206"/>
      <c r="CCV291" s="1206"/>
      <c r="CCW291" s="1206"/>
      <c r="CCX291" s="1206"/>
      <c r="CCY291" s="1206"/>
      <c r="CCZ291" s="1206"/>
      <c r="CDA291" s="1206"/>
      <c r="CDB291" s="1206"/>
      <c r="CDC291" s="1206"/>
      <c r="CDD291" s="1207"/>
      <c r="CDE291" s="1206"/>
      <c r="CDF291" s="1206"/>
      <c r="CDG291" s="1206"/>
      <c r="CDH291" s="1206"/>
      <c r="CDI291" s="1206"/>
      <c r="CDJ291" s="1206"/>
      <c r="CDK291" s="1206"/>
      <c r="CDL291" s="1206"/>
      <c r="CDM291" s="1206"/>
      <c r="CDN291" s="1206"/>
      <c r="CDO291" s="1206"/>
      <c r="CDP291" s="1206"/>
      <c r="CDQ291" s="1206"/>
      <c r="CDR291" s="1206"/>
      <c r="CDS291" s="1206"/>
      <c r="CDT291" s="1206"/>
      <c r="CDU291" s="1207"/>
      <c r="CDV291" s="1206"/>
      <c r="CDW291" s="1206"/>
      <c r="CDX291" s="1206"/>
      <c r="CDY291" s="1206"/>
      <c r="CDZ291" s="1206"/>
      <c r="CEA291" s="1206"/>
      <c r="CEB291" s="1206"/>
      <c r="CEC291" s="1206"/>
      <c r="CED291" s="1206"/>
      <c r="CEE291" s="1206"/>
      <c r="CEF291" s="1206"/>
      <c r="CEG291" s="1206"/>
      <c r="CEH291" s="1206"/>
      <c r="CEI291" s="1206"/>
      <c r="CEJ291" s="1206"/>
      <c r="CEK291" s="1206"/>
      <c r="CEL291" s="1207"/>
      <c r="CEM291" s="1206"/>
      <c r="CEN291" s="1206"/>
      <c r="CEO291" s="1206"/>
      <c r="CEP291" s="1206"/>
      <c r="CEQ291" s="1206"/>
      <c r="CER291" s="1206"/>
      <c r="CES291" s="1206"/>
      <c r="CET291" s="1206"/>
      <c r="CEU291" s="1206"/>
      <c r="CEV291" s="1206"/>
      <c r="CEW291" s="1206"/>
      <c r="CEX291" s="1206"/>
      <c r="CEY291" s="1206"/>
      <c r="CEZ291" s="1206"/>
      <c r="CFA291" s="1206"/>
      <c r="CFB291" s="1206"/>
      <c r="CFC291" s="1207"/>
      <c r="CFD291" s="1206"/>
      <c r="CFE291" s="1206"/>
      <c r="CFF291" s="1206"/>
      <c r="CFG291" s="1206"/>
      <c r="CFH291" s="1206"/>
      <c r="CFI291" s="1206"/>
      <c r="CFJ291" s="1206"/>
      <c r="CFK291" s="1206"/>
      <c r="CFL291" s="1206"/>
      <c r="CFM291" s="1206"/>
      <c r="CFN291" s="1206"/>
      <c r="CFO291" s="1206"/>
      <c r="CFP291" s="1206"/>
      <c r="CFQ291" s="1206"/>
      <c r="CFR291" s="1206"/>
      <c r="CFS291" s="1206"/>
      <c r="CFT291" s="1207"/>
      <c r="CFU291" s="1206"/>
      <c r="CFV291" s="1206"/>
      <c r="CFW291" s="1206"/>
      <c r="CFX291" s="1206"/>
      <c r="CFY291" s="1206"/>
      <c r="CFZ291" s="1206"/>
      <c r="CGA291" s="1206"/>
      <c r="CGB291" s="1206"/>
      <c r="CGC291" s="1206"/>
      <c r="CGD291" s="1206"/>
      <c r="CGE291" s="1206"/>
      <c r="CGF291" s="1206"/>
      <c r="CGG291" s="1206"/>
      <c r="CGH291" s="1206"/>
      <c r="CGI291" s="1206"/>
      <c r="CGJ291" s="1206"/>
      <c r="CGK291" s="1207"/>
      <c r="CGL291" s="1206"/>
      <c r="CGM291" s="1206"/>
      <c r="CGN291" s="1206"/>
      <c r="CGO291" s="1206"/>
      <c r="CGP291" s="1206"/>
      <c r="CGQ291" s="1206"/>
      <c r="CGR291" s="1206"/>
      <c r="CGS291" s="1206"/>
      <c r="CGT291" s="1206"/>
      <c r="CGU291" s="1206"/>
      <c r="CGV291" s="1206"/>
      <c r="CGW291" s="1206"/>
      <c r="CGX291" s="1206"/>
      <c r="CGY291" s="1206"/>
      <c r="CGZ291" s="1206"/>
      <c r="CHA291" s="1206"/>
      <c r="CHB291" s="1207"/>
      <c r="CHC291" s="1206"/>
      <c r="CHD291" s="1206"/>
      <c r="CHE291" s="1206"/>
      <c r="CHF291" s="1206"/>
      <c r="CHG291" s="1206"/>
      <c r="CHH291" s="1206"/>
      <c r="CHI291" s="1206"/>
      <c r="CHJ291" s="1206"/>
      <c r="CHK291" s="1206"/>
      <c r="CHL291" s="1206"/>
      <c r="CHM291" s="1206"/>
      <c r="CHN291" s="1206"/>
      <c r="CHO291" s="1206"/>
      <c r="CHP291" s="1206"/>
      <c r="CHQ291" s="1206"/>
      <c r="CHR291" s="1206"/>
      <c r="CHS291" s="1207"/>
      <c r="CHT291" s="1206"/>
      <c r="CHU291" s="1206"/>
      <c r="CHV291" s="1206"/>
      <c r="CHW291" s="1206"/>
      <c r="CHX291" s="1206"/>
      <c r="CHY291" s="1206"/>
      <c r="CHZ291" s="1206"/>
      <c r="CIA291" s="1206"/>
      <c r="CIB291" s="1206"/>
      <c r="CIC291" s="1206"/>
      <c r="CID291" s="1206"/>
      <c r="CIE291" s="1206"/>
      <c r="CIF291" s="1206"/>
      <c r="CIG291" s="1206"/>
      <c r="CIH291" s="1206"/>
      <c r="CII291" s="1206"/>
      <c r="CIJ291" s="1207"/>
      <c r="CIK291" s="1206"/>
      <c r="CIL291" s="1206"/>
      <c r="CIM291" s="1206"/>
      <c r="CIN291" s="1206"/>
      <c r="CIO291" s="1206"/>
      <c r="CIP291" s="1206"/>
      <c r="CIQ291" s="1206"/>
      <c r="CIR291" s="1206"/>
      <c r="CIS291" s="1206"/>
      <c r="CIT291" s="1206"/>
      <c r="CIU291" s="1206"/>
      <c r="CIV291" s="1206"/>
      <c r="CIW291" s="1206"/>
      <c r="CIX291" s="1206"/>
      <c r="CIY291" s="1206"/>
      <c r="CIZ291" s="1206"/>
      <c r="CJA291" s="1207"/>
      <c r="CJB291" s="1206"/>
      <c r="CJC291" s="1206"/>
      <c r="CJD291" s="1206"/>
      <c r="CJE291" s="1206"/>
      <c r="CJF291" s="1206"/>
      <c r="CJG291" s="1206"/>
      <c r="CJH291" s="1206"/>
      <c r="CJI291" s="1206"/>
      <c r="CJJ291" s="1206"/>
      <c r="CJK291" s="1206"/>
      <c r="CJL291" s="1206"/>
      <c r="CJM291" s="1206"/>
      <c r="CJN291" s="1206"/>
      <c r="CJO291" s="1206"/>
      <c r="CJP291" s="1206"/>
      <c r="CJQ291" s="1206"/>
      <c r="CJR291" s="1207"/>
      <c r="CJS291" s="1206"/>
      <c r="CJT291" s="1206"/>
      <c r="CJU291" s="1206"/>
      <c r="CJV291" s="1206"/>
      <c r="CJW291" s="1206"/>
      <c r="CJX291" s="1206"/>
      <c r="CJY291" s="1206"/>
      <c r="CJZ291" s="1206"/>
      <c r="CKA291" s="1206"/>
      <c r="CKB291" s="1206"/>
      <c r="CKC291" s="1206"/>
      <c r="CKD291" s="1206"/>
      <c r="CKE291" s="1206"/>
      <c r="CKF291" s="1206"/>
      <c r="CKG291" s="1206"/>
      <c r="CKH291" s="1206"/>
      <c r="CKI291" s="1207"/>
      <c r="CKJ291" s="1206"/>
      <c r="CKK291" s="1206"/>
      <c r="CKL291" s="1206"/>
      <c r="CKM291" s="1206"/>
      <c r="CKN291" s="1206"/>
      <c r="CKO291" s="1206"/>
      <c r="CKP291" s="1206"/>
      <c r="CKQ291" s="1206"/>
      <c r="CKR291" s="1206"/>
      <c r="CKS291" s="1206"/>
      <c r="CKT291" s="1206"/>
      <c r="CKU291" s="1206"/>
      <c r="CKV291" s="1206"/>
      <c r="CKW291" s="1206"/>
      <c r="CKX291" s="1206"/>
      <c r="CKY291" s="1206"/>
      <c r="CKZ291" s="1207"/>
      <c r="CLA291" s="1206"/>
      <c r="CLB291" s="1206"/>
      <c r="CLC291" s="1206"/>
      <c r="CLD291" s="1206"/>
      <c r="CLE291" s="1206"/>
      <c r="CLF291" s="1206"/>
      <c r="CLG291" s="1206"/>
      <c r="CLH291" s="1206"/>
      <c r="CLI291" s="1206"/>
      <c r="CLJ291" s="1206"/>
      <c r="CLK291" s="1206"/>
      <c r="CLL291" s="1206"/>
      <c r="CLM291" s="1206"/>
      <c r="CLN291" s="1206"/>
      <c r="CLO291" s="1206"/>
      <c r="CLP291" s="1206"/>
      <c r="CLQ291" s="1207"/>
      <c r="CLR291" s="1206"/>
      <c r="CLS291" s="1206"/>
      <c r="CLT291" s="1206"/>
      <c r="CLU291" s="1206"/>
      <c r="CLV291" s="1206"/>
      <c r="CLW291" s="1206"/>
      <c r="CLX291" s="1206"/>
      <c r="CLY291" s="1206"/>
      <c r="CLZ291" s="1206"/>
      <c r="CMA291" s="1206"/>
      <c r="CMB291" s="1206"/>
      <c r="CMC291" s="1206"/>
      <c r="CMD291" s="1206"/>
      <c r="CME291" s="1206"/>
      <c r="CMF291" s="1206"/>
      <c r="CMG291" s="1206"/>
      <c r="CMH291" s="1207"/>
      <c r="CMI291" s="1206"/>
      <c r="CMJ291" s="1206"/>
      <c r="CMK291" s="1206"/>
      <c r="CML291" s="1206"/>
      <c r="CMM291" s="1206"/>
      <c r="CMN291" s="1206"/>
      <c r="CMO291" s="1206"/>
      <c r="CMP291" s="1206"/>
      <c r="CMQ291" s="1206"/>
      <c r="CMR291" s="1206"/>
      <c r="CMS291" s="1206"/>
      <c r="CMT291" s="1206"/>
      <c r="CMU291" s="1206"/>
      <c r="CMV291" s="1206"/>
      <c r="CMW291" s="1206"/>
      <c r="CMX291" s="1206"/>
      <c r="CMY291" s="1207"/>
      <c r="CMZ291" s="1206"/>
      <c r="CNA291" s="1206"/>
      <c r="CNB291" s="1206"/>
      <c r="CNC291" s="1206"/>
      <c r="CND291" s="1206"/>
      <c r="CNE291" s="1206"/>
      <c r="CNF291" s="1206"/>
      <c r="CNG291" s="1206"/>
      <c r="CNH291" s="1206"/>
      <c r="CNI291" s="1206"/>
      <c r="CNJ291" s="1206"/>
      <c r="CNK291" s="1206"/>
      <c r="CNL291" s="1206"/>
      <c r="CNM291" s="1206"/>
      <c r="CNN291" s="1206"/>
      <c r="CNO291" s="1206"/>
      <c r="CNP291" s="1207"/>
      <c r="CNQ291" s="1206"/>
      <c r="CNR291" s="1206"/>
      <c r="CNS291" s="1206"/>
      <c r="CNT291" s="1206"/>
      <c r="CNU291" s="1206"/>
      <c r="CNV291" s="1206"/>
      <c r="CNW291" s="1206"/>
      <c r="CNX291" s="1206"/>
      <c r="CNY291" s="1206"/>
      <c r="CNZ291" s="1206"/>
      <c r="COA291" s="1206"/>
      <c r="COB291" s="1206"/>
      <c r="COC291" s="1206"/>
      <c r="COD291" s="1206"/>
      <c r="COE291" s="1206"/>
      <c r="COF291" s="1206"/>
      <c r="COG291" s="1207"/>
      <c r="COH291" s="1206"/>
      <c r="COI291" s="1206"/>
      <c r="COJ291" s="1206"/>
      <c r="COK291" s="1206"/>
      <c r="COL291" s="1206"/>
      <c r="COM291" s="1206"/>
      <c r="CON291" s="1206"/>
      <c r="COO291" s="1206"/>
      <c r="COP291" s="1206"/>
      <c r="COQ291" s="1206"/>
      <c r="COR291" s="1206"/>
      <c r="COS291" s="1206"/>
      <c r="COT291" s="1206"/>
      <c r="COU291" s="1206"/>
      <c r="COV291" s="1206"/>
      <c r="COW291" s="1206"/>
      <c r="COX291" s="1207"/>
      <c r="COY291" s="1206"/>
      <c r="COZ291" s="1206"/>
      <c r="CPA291" s="1206"/>
      <c r="CPB291" s="1206"/>
      <c r="CPC291" s="1206"/>
      <c r="CPD291" s="1206"/>
      <c r="CPE291" s="1206"/>
      <c r="CPF291" s="1206"/>
      <c r="CPG291" s="1206"/>
      <c r="CPH291" s="1206"/>
      <c r="CPI291" s="1206"/>
      <c r="CPJ291" s="1206"/>
      <c r="CPK291" s="1206"/>
      <c r="CPL291" s="1206"/>
      <c r="CPM291" s="1206"/>
      <c r="CPN291" s="1206"/>
      <c r="CPO291" s="1207"/>
      <c r="CPP291" s="1206"/>
      <c r="CPQ291" s="1206"/>
      <c r="CPR291" s="1206"/>
      <c r="CPS291" s="1206"/>
      <c r="CPT291" s="1206"/>
      <c r="CPU291" s="1206"/>
      <c r="CPV291" s="1206"/>
      <c r="CPW291" s="1206"/>
      <c r="CPX291" s="1206"/>
      <c r="CPY291" s="1206"/>
      <c r="CPZ291" s="1206"/>
      <c r="CQA291" s="1206"/>
      <c r="CQB291" s="1206"/>
      <c r="CQC291" s="1206"/>
      <c r="CQD291" s="1206"/>
      <c r="CQE291" s="1206"/>
      <c r="CQF291" s="1207"/>
      <c r="CQG291" s="1206"/>
      <c r="CQH291" s="1206"/>
      <c r="CQI291" s="1206"/>
      <c r="CQJ291" s="1206"/>
      <c r="CQK291" s="1206"/>
      <c r="CQL291" s="1206"/>
      <c r="CQM291" s="1206"/>
      <c r="CQN291" s="1206"/>
      <c r="CQO291" s="1206"/>
      <c r="CQP291" s="1206"/>
      <c r="CQQ291" s="1206"/>
      <c r="CQR291" s="1206"/>
      <c r="CQS291" s="1206"/>
      <c r="CQT291" s="1206"/>
      <c r="CQU291" s="1206"/>
      <c r="CQV291" s="1206"/>
      <c r="CQW291" s="1207"/>
      <c r="CQX291" s="1206"/>
      <c r="CQY291" s="1206"/>
      <c r="CQZ291" s="1206"/>
      <c r="CRA291" s="1206"/>
      <c r="CRB291" s="1206"/>
      <c r="CRC291" s="1206"/>
      <c r="CRD291" s="1206"/>
      <c r="CRE291" s="1206"/>
      <c r="CRF291" s="1206"/>
      <c r="CRG291" s="1206"/>
      <c r="CRH291" s="1206"/>
      <c r="CRI291" s="1206"/>
      <c r="CRJ291" s="1206"/>
      <c r="CRK291" s="1206"/>
      <c r="CRL291" s="1206"/>
      <c r="CRM291" s="1206"/>
      <c r="CRN291" s="1207"/>
      <c r="CRO291" s="1206"/>
      <c r="CRP291" s="1206"/>
      <c r="CRQ291" s="1206"/>
      <c r="CRR291" s="1206"/>
      <c r="CRS291" s="1206"/>
      <c r="CRT291" s="1206"/>
      <c r="CRU291" s="1206"/>
      <c r="CRV291" s="1206"/>
      <c r="CRW291" s="1206"/>
      <c r="CRX291" s="1206"/>
      <c r="CRY291" s="1206"/>
      <c r="CRZ291" s="1206"/>
      <c r="CSA291" s="1206"/>
      <c r="CSB291" s="1206"/>
      <c r="CSC291" s="1206"/>
      <c r="CSD291" s="1206"/>
      <c r="CSE291" s="1207"/>
      <c r="CSF291" s="1206"/>
      <c r="CSG291" s="1206"/>
      <c r="CSH291" s="1206"/>
      <c r="CSI291" s="1206"/>
      <c r="CSJ291" s="1206"/>
      <c r="CSK291" s="1206"/>
      <c r="CSL291" s="1206"/>
      <c r="CSM291" s="1206"/>
      <c r="CSN291" s="1206"/>
      <c r="CSO291" s="1206"/>
      <c r="CSP291" s="1206"/>
      <c r="CSQ291" s="1206"/>
      <c r="CSR291" s="1206"/>
      <c r="CSS291" s="1206"/>
      <c r="CST291" s="1206"/>
      <c r="CSU291" s="1206"/>
      <c r="CSV291" s="1207"/>
      <c r="CSW291" s="1206"/>
      <c r="CSX291" s="1206"/>
      <c r="CSY291" s="1206"/>
      <c r="CSZ291" s="1206"/>
      <c r="CTA291" s="1206"/>
      <c r="CTB291" s="1206"/>
      <c r="CTC291" s="1206"/>
      <c r="CTD291" s="1206"/>
      <c r="CTE291" s="1206"/>
      <c r="CTF291" s="1206"/>
      <c r="CTG291" s="1206"/>
      <c r="CTH291" s="1206"/>
      <c r="CTI291" s="1206"/>
      <c r="CTJ291" s="1206"/>
      <c r="CTK291" s="1206"/>
      <c r="CTL291" s="1206"/>
      <c r="CTM291" s="1207"/>
      <c r="CTN291" s="1206"/>
      <c r="CTO291" s="1206"/>
      <c r="CTP291" s="1206"/>
      <c r="CTQ291" s="1206"/>
      <c r="CTR291" s="1206"/>
      <c r="CTS291" s="1206"/>
      <c r="CTT291" s="1206"/>
      <c r="CTU291" s="1206"/>
      <c r="CTV291" s="1206"/>
      <c r="CTW291" s="1206"/>
      <c r="CTX291" s="1206"/>
      <c r="CTY291" s="1206"/>
      <c r="CTZ291" s="1206"/>
      <c r="CUA291" s="1206"/>
      <c r="CUB291" s="1206"/>
      <c r="CUC291" s="1206"/>
      <c r="CUD291" s="1207"/>
      <c r="CUE291" s="1206"/>
      <c r="CUF291" s="1206"/>
      <c r="CUG291" s="1206"/>
      <c r="CUH291" s="1206"/>
      <c r="CUI291" s="1206"/>
      <c r="CUJ291" s="1206"/>
      <c r="CUK291" s="1206"/>
      <c r="CUL291" s="1206"/>
      <c r="CUM291" s="1206"/>
      <c r="CUN291" s="1206"/>
      <c r="CUO291" s="1206"/>
      <c r="CUP291" s="1206"/>
      <c r="CUQ291" s="1206"/>
      <c r="CUR291" s="1206"/>
      <c r="CUS291" s="1206"/>
      <c r="CUT291" s="1206"/>
      <c r="CUU291" s="1207"/>
      <c r="CUV291" s="1206"/>
      <c r="CUW291" s="1206"/>
      <c r="CUX291" s="1206"/>
      <c r="CUY291" s="1206"/>
      <c r="CUZ291" s="1206"/>
      <c r="CVA291" s="1206"/>
      <c r="CVB291" s="1206"/>
      <c r="CVC291" s="1206"/>
      <c r="CVD291" s="1206"/>
      <c r="CVE291" s="1206"/>
      <c r="CVF291" s="1206"/>
      <c r="CVG291" s="1206"/>
      <c r="CVH291" s="1206"/>
      <c r="CVI291" s="1206"/>
      <c r="CVJ291" s="1206"/>
      <c r="CVK291" s="1206"/>
      <c r="CVL291" s="1207"/>
      <c r="CVM291" s="1206"/>
      <c r="CVN291" s="1206"/>
      <c r="CVO291" s="1206"/>
      <c r="CVP291" s="1206"/>
      <c r="CVQ291" s="1206"/>
      <c r="CVR291" s="1206"/>
      <c r="CVS291" s="1206"/>
      <c r="CVT291" s="1206"/>
      <c r="CVU291" s="1206"/>
      <c r="CVV291" s="1206"/>
      <c r="CVW291" s="1206"/>
      <c r="CVX291" s="1206"/>
      <c r="CVY291" s="1206"/>
      <c r="CVZ291" s="1206"/>
      <c r="CWA291" s="1206"/>
      <c r="CWB291" s="1206"/>
      <c r="CWC291" s="1207"/>
      <c r="CWD291" s="1206"/>
      <c r="CWE291" s="1206"/>
      <c r="CWF291" s="1206"/>
      <c r="CWG291" s="1206"/>
      <c r="CWH291" s="1206"/>
      <c r="CWI291" s="1206"/>
      <c r="CWJ291" s="1206"/>
      <c r="CWK291" s="1206"/>
      <c r="CWL291" s="1206"/>
      <c r="CWM291" s="1206"/>
      <c r="CWN291" s="1206"/>
      <c r="CWO291" s="1206"/>
      <c r="CWP291" s="1206"/>
      <c r="CWQ291" s="1206"/>
      <c r="CWR291" s="1206"/>
      <c r="CWS291" s="1206"/>
      <c r="CWT291" s="1207"/>
      <c r="CWU291" s="1206"/>
      <c r="CWV291" s="1206"/>
      <c r="CWW291" s="1206"/>
      <c r="CWX291" s="1206"/>
      <c r="CWY291" s="1206"/>
      <c r="CWZ291" s="1206"/>
      <c r="CXA291" s="1206"/>
      <c r="CXB291" s="1206"/>
      <c r="CXC291" s="1206"/>
      <c r="CXD291" s="1206"/>
      <c r="CXE291" s="1206"/>
      <c r="CXF291" s="1206"/>
      <c r="CXG291" s="1206"/>
      <c r="CXH291" s="1206"/>
      <c r="CXI291" s="1206"/>
      <c r="CXJ291" s="1206"/>
      <c r="CXK291" s="1207"/>
      <c r="CXL291" s="1206"/>
      <c r="CXM291" s="1206"/>
      <c r="CXN291" s="1206"/>
      <c r="CXO291" s="1206"/>
      <c r="CXP291" s="1206"/>
      <c r="CXQ291" s="1206"/>
      <c r="CXR291" s="1206"/>
      <c r="CXS291" s="1206"/>
      <c r="CXT291" s="1206"/>
      <c r="CXU291" s="1206"/>
      <c r="CXV291" s="1206"/>
      <c r="CXW291" s="1206"/>
      <c r="CXX291" s="1206"/>
      <c r="CXY291" s="1206"/>
      <c r="CXZ291" s="1206"/>
      <c r="CYA291" s="1206"/>
      <c r="CYB291" s="1207"/>
      <c r="CYC291" s="1206"/>
      <c r="CYD291" s="1206"/>
      <c r="CYE291" s="1206"/>
      <c r="CYF291" s="1206"/>
      <c r="CYG291" s="1206"/>
      <c r="CYH291" s="1206"/>
      <c r="CYI291" s="1206"/>
      <c r="CYJ291" s="1206"/>
      <c r="CYK291" s="1206"/>
      <c r="CYL291" s="1206"/>
      <c r="CYM291" s="1206"/>
      <c r="CYN291" s="1206"/>
      <c r="CYO291" s="1206"/>
      <c r="CYP291" s="1206"/>
      <c r="CYQ291" s="1206"/>
      <c r="CYR291" s="1206"/>
      <c r="CYS291" s="1207"/>
      <c r="CYT291" s="1206"/>
      <c r="CYU291" s="1206"/>
      <c r="CYV291" s="1206"/>
      <c r="CYW291" s="1206"/>
      <c r="CYX291" s="1206"/>
      <c r="CYY291" s="1206"/>
      <c r="CYZ291" s="1206"/>
      <c r="CZA291" s="1206"/>
      <c r="CZB291" s="1206"/>
      <c r="CZC291" s="1206"/>
      <c r="CZD291" s="1206"/>
      <c r="CZE291" s="1206"/>
      <c r="CZF291" s="1206"/>
      <c r="CZG291" s="1206"/>
      <c r="CZH291" s="1206"/>
      <c r="CZI291" s="1206"/>
      <c r="CZJ291" s="1207"/>
      <c r="CZK291" s="1206"/>
      <c r="CZL291" s="1206"/>
      <c r="CZM291" s="1206"/>
      <c r="CZN291" s="1206"/>
      <c r="CZO291" s="1206"/>
      <c r="CZP291" s="1206"/>
      <c r="CZQ291" s="1206"/>
      <c r="CZR291" s="1206"/>
      <c r="CZS291" s="1206"/>
      <c r="CZT291" s="1206"/>
      <c r="CZU291" s="1206"/>
      <c r="CZV291" s="1206"/>
      <c r="CZW291" s="1206"/>
      <c r="CZX291" s="1206"/>
      <c r="CZY291" s="1206"/>
      <c r="CZZ291" s="1206"/>
      <c r="DAA291" s="1207"/>
      <c r="DAB291" s="1206"/>
      <c r="DAC291" s="1206"/>
      <c r="DAD291" s="1206"/>
      <c r="DAE291" s="1206"/>
      <c r="DAF291" s="1206"/>
      <c r="DAG291" s="1206"/>
      <c r="DAH291" s="1206"/>
      <c r="DAI291" s="1206"/>
      <c r="DAJ291" s="1206"/>
      <c r="DAK291" s="1206"/>
      <c r="DAL291" s="1206"/>
      <c r="DAM291" s="1206"/>
      <c r="DAN291" s="1206"/>
      <c r="DAO291" s="1206"/>
      <c r="DAP291" s="1206"/>
      <c r="DAQ291" s="1206"/>
      <c r="DAR291" s="1207"/>
      <c r="DAS291" s="1206"/>
      <c r="DAT291" s="1206"/>
      <c r="DAU291" s="1206"/>
      <c r="DAV291" s="1206"/>
      <c r="DAW291" s="1206"/>
      <c r="DAX291" s="1206"/>
      <c r="DAY291" s="1206"/>
      <c r="DAZ291" s="1206"/>
      <c r="DBA291" s="1206"/>
      <c r="DBB291" s="1206"/>
      <c r="DBC291" s="1206"/>
      <c r="DBD291" s="1206"/>
      <c r="DBE291" s="1206"/>
      <c r="DBF291" s="1206"/>
      <c r="DBG291" s="1206"/>
      <c r="DBH291" s="1206"/>
      <c r="DBI291" s="1207"/>
      <c r="DBJ291" s="1206"/>
      <c r="DBK291" s="1206"/>
      <c r="DBL291" s="1206"/>
      <c r="DBM291" s="1206"/>
      <c r="DBN291" s="1206"/>
      <c r="DBO291" s="1206"/>
      <c r="DBP291" s="1206"/>
      <c r="DBQ291" s="1206"/>
      <c r="DBR291" s="1206"/>
      <c r="DBS291" s="1206"/>
      <c r="DBT291" s="1206"/>
      <c r="DBU291" s="1206"/>
      <c r="DBV291" s="1206"/>
      <c r="DBW291" s="1206"/>
      <c r="DBX291" s="1206"/>
      <c r="DBY291" s="1206"/>
      <c r="DBZ291" s="1207"/>
      <c r="DCA291" s="1206"/>
      <c r="DCB291" s="1206"/>
      <c r="DCC291" s="1206"/>
      <c r="DCD291" s="1206"/>
      <c r="DCE291" s="1206"/>
      <c r="DCF291" s="1206"/>
      <c r="DCG291" s="1206"/>
      <c r="DCH291" s="1206"/>
      <c r="DCI291" s="1206"/>
      <c r="DCJ291" s="1206"/>
      <c r="DCK291" s="1206"/>
      <c r="DCL291" s="1206"/>
      <c r="DCM291" s="1206"/>
      <c r="DCN291" s="1206"/>
      <c r="DCO291" s="1206"/>
      <c r="DCP291" s="1206"/>
      <c r="DCQ291" s="1207"/>
      <c r="DCR291" s="1206"/>
      <c r="DCS291" s="1206"/>
      <c r="DCT291" s="1206"/>
      <c r="DCU291" s="1206"/>
      <c r="DCV291" s="1206"/>
      <c r="DCW291" s="1206"/>
      <c r="DCX291" s="1206"/>
      <c r="DCY291" s="1206"/>
      <c r="DCZ291" s="1206"/>
      <c r="DDA291" s="1206"/>
      <c r="DDB291" s="1206"/>
      <c r="DDC291" s="1206"/>
      <c r="DDD291" s="1206"/>
      <c r="DDE291" s="1206"/>
      <c r="DDF291" s="1206"/>
      <c r="DDG291" s="1206"/>
      <c r="DDH291" s="1207"/>
      <c r="DDI291" s="1206"/>
      <c r="DDJ291" s="1206"/>
      <c r="DDK291" s="1206"/>
      <c r="DDL291" s="1206"/>
      <c r="DDM291" s="1206"/>
      <c r="DDN291" s="1206"/>
      <c r="DDO291" s="1206"/>
      <c r="DDP291" s="1206"/>
      <c r="DDQ291" s="1206"/>
      <c r="DDR291" s="1206"/>
      <c r="DDS291" s="1206"/>
      <c r="DDT291" s="1206"/>
      <c r="DDU291" s="1206"/>
      <c r="DDV291" s="1206"/>
      <c r="DDW291" s="1206"/>
      <c r="DDX291" s="1206"/>
      <c r="DDY291" s="1207"/>
      <c r="DDZ291" s="1206"/>
      <c r="DEA291" s="1206"/>
      <c r="DEB291" s="1206"/>
      <c r="DEC291" s="1206"/>
      <c r="DED291" s="1206"/>
      <c r="DEE291" s="1206"/>
      <c r="DEF291" s="1206"/>
      <c r="DEG291" s="1206"/>
      <c r="DEH291" s="1206"/>
      <c r="DEI291" s="1206"/>
      <c r="DEJ291" s="1206"/>
      <c r="DEK291" s="1206"/>
      <c r="DEL291" s="1206"/>
      <c r="DEM291" s="1206"/>
      <c r="DEN291" s="1206"/>
      <c r="DEO291" s="1206"/>
      <c r="DEP291" s="1207"/>
      <c r="DEQ291" s="1206"/>
      <c r="DER291" s="1206"/>
      <c r="DES291" s="1206"/>
      <c r="DET291" s="1206"/>
      <c r="DEU291" s="1206"/>
      <c r="DEV291" s="1206"/>
      <c r="DEW291" s="1206"/>
      <c r="DEX291" s="1206"/>
      <c r="DEY291" s="1206"/>
      <c r="DEZ291" s="1206"/>
      <c r="DFA291" s="1206"/>
      <c r="DFB291" s="1206"/>
      <c r="DFC291" s="1206"/>
      <c r="DFD291" s="1206"/>
      <c r="DFE291" s="1206"/>
      <c r="DFF291" s="1206"/>
      <c r="DFG291" s="1207"/>
      <c r="DFH291" s="1206"/>
      <c r="DFI291" s="1206"/>
      <c r="DFJ291" s="1206"/>
      <c r="DFK291" s="1206"/>
      <c r="DFL291" s="1206"/>
      <c r="DFM291" s="1206"/>
      <c r="DFN291" s="1206"/>
      <c r="DFO291" s="1206"/>
      <c r="DFP291" s="1206"/>
      <c r="DFQ291" s="1206"/>
      <c r="DFR291" s="1206"/>
      <c r="DFS291" s="1206"/>
      <c r="DFT291" s="1206"/>
      <c r="DFU291" s="1206"/>
      <c r="DFV291" s="1206"/>
      <c r="DFW291" s="1206"/>
      <c r="DFX291" s="1207"/>
      <c r="DFY291" s="1206"/>
      <c r="DFZ291" s="1206"/>
      <c r="DGA291" s="1206"/>
      <c r="DGB291" s="1206"/>
      <c r="DGC291" s="1206"/>
      <c r="DGD291" s="1206"/>
      <c r="DGE291" s="1206"/>
      <c r="DGF291" s="1206"/>
      <c r="DGG291" s="1206"/>
      <c r="DGH291" s="1206"/>
      <c r="DGI291" s="1206"/>
      <c r="DGJ291" s="1206"/>
      <c r="DGK291" s="1206"/>
      <c r="DGL291" s="1206"/>
      <c r="DGM291" s="1206"/>
      <c r="DGN291" s="1206"/>
      <c r="DGO291" s="1207"/>
      <c r="DGP291" s="1206"/>
      <c r="DGQ291" s="1206"/>
      <c r="DGR291" s="1206"/>
      <c r="DGS291" s="1206"/>
      <c r="DGT291" s="1206"/>
      <c r="DGU291" s="1206"/>
      <c r="DGV291" s="1206"/>
      <c r="DGW291" s="1206"/>
      <c r="DGX291" s="1206"/>
      <c r="DGY291" s="1206"/>
      <c r="DGZ291" s="1206"/>
      <c r="DHA291" s="1206"/>
      <c r="DHB291" s="1206"/>
      <c r="DHC291" s="1206"/>
      <c r="DHD291" s="1206"/>
      <c r="DHE291" s="1206"/>
      <c r="DHF291" s="1207"/>
      <c r="DHG291" s="1206"/>
      <c r="DHH291" s="1206"/>
      <c r="DHI291" s="1206"/>
      <c r="DHJ291" s="1206"/>
      <c r="DHK291" s="1206"/>
      <c r="DHL291" s="1206"/>
      <c r="DHM291" s="1206"/>
      <c r="DHN291" s="1206"/>
      <c r="DHO291" s="1206"/>
      <c r="DHP291" s="1206"/>
      <c r="DHQ291" s="1206"/>
      <c r="DHR291" s="1206"/>
      <c r="DHS291" s="1206"/>
      <c r="DHT291" s="1206"/>
      <c r="DHU291" s="1206"/>
      <c r="DHV291" s="1206"/>
      <c r="DHW291" s="1207"/>
      <c r="DHX291" s="1206"/>
      <c r="DHY291" s="1206"/>
      <c r="DHZ291" s="1206"/>
      <c r="DIA291" s="1206"/>
      <c r="DIB291" s="1206"/>
      <c r="DIC291" s="1206"/>
      <c r="DID291" s="1206"/>
      <c r="DIE291" s="1206"/>
      <c r="DIF291" s="1206"/>
      <c r="DIG291" s="1206"/>
      <c r="DIH291" s="1206"/>
      <c r="DII291" s="1206"/>
      <c r="DIJ291" s="1206"/>
      <c r="DIK291" s="1206"/>
      <c r="DIL291" s="1206"/>
      <c r="DIM291" s="1206"/>
      <c r="DIN291" s="1207"/>
      <c r="DIO291" s="1206"/>
      <c r="DIP291" s="1206"/>
      <c r="DIQ291" s="1206"/>
      <c r="DIR291" s="1206"/>
      <c r="DIS291" s="1206"/>
      <c r="DIT291" s="1206"/>
      <c r="DIU291" s="1206"/>
      <c r="DIV291" s="1206"/>
      <c r="DIW291" s="1206"/>
      <c r="DIX291" s="1206"/>
      <c r="DIY291" s="1206"/>
      <c r="DIZ291" s="1206"/>
      <c r="DJA291" s="1206"/>
      <c r="DJB291" s="1206"/>
      <c r="DJC291" s="1206"/>
      <c r="DJD291" s="1206"/>
      <c r="DJE291" s="1207"/>
      <c r="DJF291" s="1206"/>
      <c r="DJG291" s="1206"/>
      <c r="DJH291" s="1206"/>
      <c r="DJI291" s="1206"/>
      <c r="DJJ291" s="1206"/>
      <c r="DJK291" s="1206"/>
      <c r="DJL291" s="1206"/>
      <c r="DJM291" s="1206"/>
      <c r="DJN291" s="1206"/>
      <c r="DJO291" s="1206"/>
      <c r="DJP291" s="1206"/>
      <c r="DJQ291" s="1206"/>
      <c r="DJR291" s="1206"/>
      <c r="DJS291" s="1206"/>
      <c r="DJT291" s="1206"/>
      <c r="DJU291" s="1206"/>
      <c r="DJV291" s="1207"/>
      <c r="DJW291" s="1206"/>
      <c r="DJX291" s="1206"/>
      <c r="DJY291" s="1206"/>
      <c r="DJZ291" s="1206"/>
      <c r="DKA291" s="1206"/>
      <c r="DKB291" s="1206"/>
      <c r="DKC291" s="1206"/>
      <c r="DKD291" s="1206"/>
      <c r="DKE291" s="1206"/>
      <c r="DKF291" s="1206"/>
      <c r="DKG291" s="1206"/>
      <c r="DKH291" s="1206"/>
      <c r="DKI291" s="1206"/>
      <c r="DKJ291" s="1206"/>
      <c r="DKK291" s="1206"/>
      <c r="DKL291" s="1206"/>
      <c r="DKM291" s="1207"/>
      <c r="DKN291" s="1206"/>
      <c r="DKO291" s="1206"/>
      <c r="DKP291" s="1206"/>
      <c r="DKQ291" s="1206"/>
      <c r="DKR291" s="1206"/>
      <c r="DKS291" s="1206"/>
      <c r="DKT291" s="1206"/>
      <c r="DKU291" s="1206"/>
      <c r="DKV291" s="1206"/>
      <c r="DKW291" s="1206"/>
      <c r="DKX291" s="1206"/>
      <c r="DKY291" s="1206"/>
      <c r="DKZ291" s="1206"/>
      <c r="DLA291" s="1206"/>
      <c r="DLB291" s="1206"/>
      <c r="DLC291" s="1206"/>
      <c r="DLD291" s="1207"/>
      <c r="DLE291" s="1206"/>
      <c r="DLF291" s="1206"/>
      <c r="DLG291" s="1206"/>
      <c r="DLH291" s="1206"/>
      <c r="DLI291" s="1206"/>
      <c r="DLJ291" s="1206"/>
      <c r="DLK291" s="1206"/>
      <c r="DLL291" s="1206"/>
      <c r="DLM291" s="1206"/>
      <c r="DLN291" s="1206"/>
      <c r="DLO291" s="1206"/>
      <c r="DLP291" s="1206"/>
      <c r="DLQ291" s="1206"/>
      <c r="DLR291" s="1206"/>
      <c r="DLS291" s="1206"/>
      <c r="DLT291" s="1206"/>
      <c r="DLU291" s="1207"/>
      <c r="DLV291" s="1206"/>
      <c r="DLW291" s="1206"/>
      <c r="DLX291" s="1206"/>
      <c r="DLY291" s="1206"/>
      <c r="DLZ291" s="1206"/>
      <c r="DMA291" s="1206"/>
      <c r="DMB291" s="1206"/>
      <c r="DMC291" s="1206"/>
      <c r="DMD291" s="1206"/>
      <c r="DME291" s="1206"/>
      <c r="DMF291" s="1206"/>
      <c r="DMG291" s="1206"/>
      <c r="DMH291" s="1206"/>
      <c r="DMI291" s="1206"/>
      <c r="DMJ291" s="1206"/>
      <c r="DMK291" s="1206"/>
      <c r="DML291" s="1207"/>
      <c r="DMM291" s="1206"/>
      <c r="DMN291" s="1206"/>
      <c r="DMO291" s="1206"/>
      <c r="DMP291" s="1206"/>
      <c r="DMQ291" s="1206"/>
      <c r="DMR291" s="1206"/>
      <c r="DMS291" s="1206"/>
      <c r="DMT291" s="1206"/>
      <c r="DMU291" s="1206"/>
      <c r="DMV291" s="1206"/>
      <c r="DMW291" s="1206"/>
      <c r="DMX291" s="1206"/>
      <c r="DMY291" s="1206"/>
      <c r="DMZ291" s="1206"/>
      <c r="DNA291" s="1206"/>
      <c r="DNB291" s="1206"/>
      <c r="DNC291" s="1207"/>
      <c r="DND291" s="1206"/>
      <c r="DNE291" s="1206"/>
      <c r="DNF291" s="1206"/>
      <c r="DNG291" s="1206"/>
      <c r="DNH291" s="1206"/>
      <c r="DNI291" s="1206"/>
      <c r="DNJ291" s="1206"/>
      <c r="DNK291" s="1206"/>
      <c r="DNL291" s="1206"/>
      <c r="DNM291" s="1206"/>
      <c r="DNN291" s="1206"/>
      <c r="DNO291" s="1206"/>
      <c r="DNP291" s="1206"/>
      <c r="DNQ291" s="1206"/>
      <c r="DNR291" s="1206"/>
      <c r="DNS291" s="1206"/>
      <c r="DNT291" s="1207"/>
      <c r="DNU291" s="1206"/>
      <c r="DNV291" s="1206"/>
      <c r="DNW291" s="1206"/>
      <c r="DNX291" s="1206"/>
      <c r="DNY291" s="1206"/>
      <c r="DNZ291" s="1206"/>
      <c r="DOA291" s="1206"/>
      <c r="DOB291" s="1206"/>
      <c r="DOC291" s="1206"/>
      <c r="DOD291" s="1206"/>
      <c r="DOE291" s="1206"/>
      <c r="DOF291" s="1206"/>
      <c r="DOG291" s="1206"/>
      <c r="DOH291" s="1206"/>
      <c r="DOI291" s="1206"/>
      <c r="DOJ291" s="1206"/>
      <c r="DOK291" s="1207"/>
      <c r="DOL291" s="1206"/>
      <c r="DOM291" s="1206"/>
      <c r="DON291" s="1206"/>
      <c r="DOO291" s="1206"/>
      <c r="DOP291" s="1206"/>
      <c r="DOQ291" s="1206"/>
      <c r="DOR291" s="1206"/>
      <c r="DOS291" s="1206"/>
      <c r="DOT291" s="1206"/>
      <c r="DOU291" s="1206"/>
      <c r="DOV291" s="1206"/>
      <c r="DOW291" s="1206"/>
      <c r="DOX291" s="1206"/>
      <c r="DOY291" s="1206"/>
      <c r="DOZ291" s="1206"/>
      <c r="DPA291" s="1206"/>
      <c r="DPB291" s="1207"/>
      <c r="DPC291" s="1206"/>
      <c r="DPD291" s="1206"/>
      <c r="DPE291" s="1206"/>
      <c r="DPF291" s="1206"/>
      <c r="DPG291" s="1206"/>
      <c r="DPH291" s="1206"/>
      <c r="DPI291" s="1206"/>
      <c r="DPJ291" s="1206"/>
      <c r="DPK291" s="1206"/>
      <c r="DPL291" s="1206"/>
      <c r="DPM291" s="1206"/>
      <c r="DPN291" s="1206"/>
      <c r="DPO291" s="1206"/>
      <c r="DPP291" s="1206"/>
      <c r="DPQ291" s="1206"/>
      <c r="DPR291" s="1206"/>
      <c r="DPS291" s="1207"/>
      <c r="DPT291" s="1206"/>
      <c r="DPU291" s="1206"/>
      <c r="DPV291" s="1206"/>
      <c r="DPW291" s="1206"/>
      <c r="DPX291" s="1206"/>
      <c r="DPY291" s="1206"/>
      <c r="DPZ291" s="1206"/>
      <c r="DQA291" s="1206"/>
      <c r="DQB291" s="1206"/>
      <c r="DQC291" s="1206"/>
      <c r="DQD291" s="1206"/>
      <c r="DQE291" s="1206"/>
      <c r="DQF291" s="1206"/>
      <c r="DQG291" s="1206"/>
      <c r="DQH291" s="1206"/>
      <c r="DQI291" s="1206"/>
      <c r="DQJ291" s="1207"/>
      <c r="DQK291" s="1206"/>
      <c r="DQL291" s="1206"/>
      <c r="DQM291" s="1206"/>
      <c r="DQN291" s="1206"/>
      <c r="DQO291" s="1206"/>
      <c r="DQP291" s="1206"/>
      <c r="DQQ291" s="1206"/>
      <c r="DQR291" s="1206"/>
      <c r="DQS291" s="1206"/>
      <c r="DQT291" s="1206"/>
      <c r="DQU291" s="1206"/>
      <c r="DQV291" s="1206"/>
      <c r="DQW291" s="1206"/>
      <c r="DQX291" s="1206"/>
      <c r="DQY291" s="1206"/>
      <c r="DQZ291" s="1206"/>
      <c r="DRA291" s="1207"/>
      <c r="DRB291" s="1206"/>
      <c r="DRC291" s="1206"/>
      <c r="DRD291" s="1206"/>
      <c r="DRE291" s="1206"/>
      <c r="DRF291" s="1206"/>
      <c r="DRG291" s="1206"/>
      <c r="DRH291" s="1206"/>
      <c r="DRI291" s="1206"/>
      <c r="DRJ291" s="1206"/>
      <c r="DRK291" s="1206"/>
      <c r="DRL291" s="1206"/>
      <c r="DRM291" s="1206"/>
      <c r="DRN291" s="1206"/>
      <c r="DRO291" s="1206"/>
      <c r="DRP291" s="1206"/>
      <c r="DRQ291" s="1206"/>
      <c r="DRR291" s="1207"/>
      <c r="DRS291" s="1206"/>
      <c r="DRT291" s="1206"/>
      <c r="DRU291" s="1206"/>
      <c r="DRV291" s="1206"/>
      <c r="DRW291" s="1206"/>
      <c r="DRX291" s="1206"/>
      <c r="DRY291" s="1206"/>
      <c r="DRZ291" s="1206"/>
      <c r="DSA291" s="1206"/>
      <c r="DSB291" s="1206"/>
      <c r="DSC291" s="1206"/>
      <c r="DSD291" s="1206"/>
      <c r="DSE291" s="1206"/>
      <c r="DSF291" s="1206"/>
      <c r="DSG291" s="1206"/>
      <c r="DSH291" s="1206"/>
      <c r="DSI291" s="1207"/>
      <c r="DSJ291" s="1206"/>
      <c r="DSK291" s="1206"/>
      <c r="DSL291" s="1206"/>
      <c r="DSM291" s="1206"/>
      <c r="DSN291" s="1206"/>
      <c r="DSO291" s="1206"/>
      <c r="DSP291" s="1206"/>
      <c r="DSQ291" s="1206"/>
      <c r="DSR291" s="1206"/>
      <c r="DSS291" s="1206"/>
      <c r="DST291" s="1206"/>
      <c r="DSU291" s="1206"/>
      <c r="DSV291" s="1206"/>
      <c r="DSW291" s="1206"/>
      <c r="DSX291" s="1206"/>
      <c r="DSY291" s="1206"/>
      <c r="DSZ291" s="1207"/>
      <c r="DTA291" s="1206"/>
      <c r="DTB291" s="1206"/>
      <c r="DTC291" s="1206"/>
      <c r="DTD291" s="1206"/>
      <c r="DTE291" s="1206"/>
      <c r="DTF291" s="1206"/>
      <c r="DTG291" s="1206"/>
      <c r="DTH291" s="1206"/>
      <c r="DTI291" s="1206"/>
      <c r="DTJ291" s="1206"/>
      <c r="DTK291" s="1206"/>
      <c r="DTL291" s="1206"/>
      <c r="DTM291" s="1206"/>
      <c r="DTN291" s="1206"/>
      <c r="DTO291" s="1206"/>
      <c r="DTP291" s="1206"/>
      <c r="DTQ291" s="1207"/>
      <c r="DTR291" s="1206"/>
      <c r="DTS291" s="1206"/>
      <c r="DTT291" s="1206"/>
      <c r="DTU291" s="1206"/>
      <c r="DTV291" s="1206"/>
      <c r="DTW291" s="1206"/>
      <c r="DTX291" s="1206"/>
      <c r="DTY291" s="1206"/>
      <c r="DTZ291" s="1206"/>
      <c r="DUA291" s="1206"/>
      <c r="DUB291" s="1206"/>
      <c r="DUC291" s="1206"/>
      <c r="DUD291" s="1206"/>
      <c r="DUE291" s="1206"/>
      <c r="DUF291" s="1206"/>
      <c r="DUG291" s="1206"/>
      <c r="DUH291" s="1207"/>
      <c r="DUI291" s="1206"/>
      <c r="DUJ291" s="1206"/>
      <c r="DUK291" s="1206"/>
      <c r="DUL291" s="1206"/>
      <c r="DUM291" s="1206"/>
      <c r="DUN291" s="1206"/>
      <c r="DUO291" s="1206"/>
      <c r="DUP291" s="1206"/>
      <c r="DUQ291" s="1206"/>
      <c r="DUR291" s="1206"/>
      <c r="DUS291" s="1206"/>
      <c r="DUT291" s="1206"/>
      <c r="DUU291" s="1206"/>
      <c r="DUV291" s="1206"/>
      <c r="DUW291" s="1206"/>
      <c r="DUX291" s="1206"/>
      <c r="DUY291" s="1207"/>
      <c r="DUZ291" s="1206"/>
      <c r="DVA291" s="1206"/>
      <c r="DVB291" s="1206"/>
      <c r="DVC291" s="1206"/>
      <c r="DVD291" s="1206"/>
      <c r="DVE291" s="1206"/>
      <c r="DVF291" s="1206"/>
      <c r="DVG291" s="1206"/>
      <c r="DVH291" s="1206"/>
      <c r="DVI291" s="1206"/>
      <c r="DVJ291" s="1206"/>
      <c r="DVK291" s="1206"/>
      <c r="DVL291" s="1206"/>
      <c r="DVM291" s="1206"/>
      <c r="DVN291" s="1206"/>
      <c r="DVO291" s="1206"/>
      <c r="DVP291" s="1207"/>
      <c r="DVQ291" s="1206"/>
      <c r="DVR291" s="1206"/>
      <c r="DVS291" s="1206"/>
      <c r="DVT291" s="1206"/>
      <c r="DVU291" s="1206"/>
      <c r="DVV291" s="1206"/>
      <c r="DVW291" s="1206"/>
      <c r="DVX291" s="1206"/>
      <c r="DVY291" s="1206"/>
      <c r="DVZ291" s="1206"/>
      <c r="DWA291" s="1206"/>
      <c r="DWB291" s="1206"/>
      <c r="DWC291" s="1206"/>
      <c r="DWD291" s="1206"/>
      <c r="DWE291" s="1206"/>
      <c r="DWF291" s="1206"/>
      <c r="DWG291" s="1207"/>
      <c r="DWH291" s="1206"/>
      <c r="DWI291" s="1206"/>
      <c r="DWJ291" s="1206"/>
      <c r="DWK291" s="1206"/>
      <c r="DWL291" s="1206"/>
      <c r="DWM291" s="1206"/>
      <c r="DWN291" s="1206"/>
      <c r="DWO291" s="1206"/>
      <c r="DWP291" s="1206"/>
      <c r="DWQ291" s="1206"/>
      <c r="DWR291" s="1206"/>
      <c r="DWS291" s="1206"/>
      <c r="DWT291" s="1206"/>
      <c r="DWU291" s="1206"/>
      <c r="DWV291" s="1206"/>
      <c r="DWW291" s="1206"/>
      <c r="DWX291" s="1207"/>
      <c r="DWY291" s="1206"/>
      <c r="DWZ291" s="1206"/>
      <c r="DXA291" s="1206"/>
      <c r="DXB291" s="1206"/>
      <c r="DXC291" s="1206"/>
      <c r="DXD291" s="1206"/>
      <c r="DXE291" s="1206"/>
      <c r="DXF291" s="1206"/>
      <c r="DXG291" s="1206"/>
      <c r="DXH291" s="1206"/>
      <c r="DXI291" s="1206"/>
      <c r="DXJ291" s="1206"/>
      <c r="DXK291" s="1206"/>
      <c r="DXL291" s="1206"/>
      <c r="DXM291" s="1206"/>
      <c r="DXN291" s="1206"/>
      <c r="DXO291" s="1207"/>
      <c r="DXP291" s="1206"/>
      <c r="DXQ291" s="1206"/>
      <c r="DXR291" s="1206"/>
      <c r="DXS291" s="1206"/>
      <c r="DXT291" s="1206"/>
      <c r="DXU291" s="1206"/>
      <c r="DXV291" s="1206"/>
      <c r="DXW291" s="1206"/>
      <c r="DXX291" s="1206"/>
      <c r="DXY291" s="1206"/>
      <c r="DXZ291" s="1206"/>
      <c r="DYA291" s="1206"/>
      <c r="DYB291" s="1206"/>
      <c r="DYC291" s="1206"/>
      <c r="DYD291" s="1206"/>
      <c r="DYE291" s="1206"/>
      <c r="DYF291" s="1207"/>
      <c r="DYG291" s="1206"/>
      <c r="DYH291" s="1206"/>
      <c r="DYI291" s="1206"/>
      <c r="DYJ291" s="1206"/>
      <c r="DYK291" s="1206"/>
      <c r="DYL291" s="1206"/>
      <c r="DYM291" s="1206"/>
      <c r="DYN291" s="1206"/>
      <c r="DYO291" s="1206"/>
      <c r="DYP291" s="1206"/>
      <c r="DYQ291" s="1206"/>
      <c r="DYR291" s="1206"/>
      <c r="DYS291" s="1206"/>
      <c r="DYT291" s="1206"/>
      <c r="DYU291" s="1206"/>
      <c r="DYV291" s="1206"/>
      <c r="DYW291" s="1207"/>
      <c r="DYX291" s="1206"/>
      <c r="DYY291" s="1206"/>
      <c r="DYZ291" s="1206"/>
      <c r="DZA291" s="1206"/>
      <c r="DZB291" s="1206"/>
      <c r="DZC291" s="1206"/>
      <c r="DZD291" s="1206"/>
      <c r="DZE291" s="1206"/>
      <c r="DZF291" s="1206"/>
      <c r="DZG291" s="1206"/>
      <c r="DZH291" s="1206"/>
      <c r="DZI291" s="1206"/>
      <c r="DZJ291" s="1206"/>
      <c r="DZK291" s="1206"/>
      <c r="DZL291" s="1206"/>
      <c r="DZM291" s="1206"/>
      <c r="DZN291" s="1207"/>
      <c r="DZO291" s="1206"/>
      <c r="DZP291" s="1206"/>
      <c r="DZQ291" s="1206"/>
      <c r="DZR291" s="1206"/>
      <c r="DZS291" s="1206"/>
      <c r="DZT291" s="1206"/>
      <c r="DZU291" s="1206"/>
      <c r="DZV291" s="1206"/>
      <c r="DZW291" s="1206"/>
      <c r="DZX291" s="1206"/>
      <c r="DZY291" s="1206"/>
      <c r="DZZ291" s="1206"/>
      <c r="EAA291" s="1206"/>
      <c r="EAB291" s="1206"/>
      <c r="EAC291" s="1206"/>
      <c r="EAD291" s="1206"/>
      <c r="EAE291" s="1207"/>
      <c r="EAF291" s="1206"/>
      <c r="EAG291" s="1206"/>
      <c r="EAH291" s="1206"/>
      <c r="EAI291" s="1206"/>
      <c r="EAJ291" s="1206"/>
      <c r="EAK291" s="1206"/>
      <c r="EAL291" s="1206"/>
      <c r="EAM291" s="1206"/>
      <c r="EAN291" s="1206"/>
      <c r="EAO291" s="1206"/>
      <c r="EAP291" s="1206"/>
      <c r="EAQ291" s="1206"/>
      <c r="EAR291" s="1206"/>
      <c r="EAS291" s="1206"/>
      <c r="EAT291" s="1206"/>
      <c r="EAU291" s="1206"/>
      <c r="EAV291" s="1207"/>
      <c r="EAW291" s="1206"/>
      <c r="EAX291" s="1206"/>
      <c r="EAY291" s="1206"/>
      <c r="EAZ291" s="1206"/>
      <c r="EBA291" s="1206"/>
      <c r="EBB291" s="1206"/>
      <c r="EBC291" s="1206"/>
      <c r="EBD291" s="1206"/>
      <c r="EBE291" s="1206"/>
      <c r="EBF291" s="1206"/>
      <c r="EBG291" s="1206"/>
      <c r="EBH291" s="1206"/>
      <c r="EBI291" s="1206"/>
      <c r="EBJ291" s="1206"/>
      <c r="EBK291" s="1206"/>
      <c r="EBL291" s="1206"/>
      <c r="EBM291" s="1207"/>
      <c r="EBN291" s="1206"/>
      <c r="EBO291" s="1206"/>
      <c r="EBP291" s="1206"/>
      <c r="EBQ291" s="1206"/>
      <c r="EBR291" s="1206"/>
      <c r="EBS291" s="1206"/>
      <c r="EBT291" s="1206"/>
      <c r="EBU291" s="1206"/>
      <c r="EBV291" s="1206"/>
      <c r="EBW291" s="1206"/>
      <c r="EBX291" s="1206"/>
      <c r="EBY291" s="1206"/>
      <c r="EBZ291" s="1206"/>
      <c r="ECA291" s="1206"/>
      <c r="ECB291" s="1206"/>
      <c r="ECC291" s="1206"/>
      <c r="ECD291" s="1207"/>
      <c r="ECE291" s="1206"/>
      <c r="ECF291" s="1206"/>
      <c r="ECG291" s="1206"/>
      <c r="ECH291" s="1206"/>
      <c r="ECI291" s="1206"/>
      <c r="ECJ291" s="1206"/>
      <c r="ECK291" s="1206"/>
      <c r="ECL291" s="1206"/>
      <c r="ECM291" s="1206"/>
      <c r="ECN291" s="1206"/>
      <c r="ECO291" s="1206"/>
      <c r="ECP291" s="1206"/>
      <c r="ECQ291" s="1206"/>
      <c r="ECR291" s="1206"/>
      <c r="ECS291" s="1206"/>
      <c r="ECT291" s="1206"/>
      <c r="ECU291" s="1207"/>
      <c r="ECV291" s="1206"/>
      <c r="ECW291" s="1206"/>
      <c r="ECX291" s="1206"/>
      <c r="ECY291" s="1206"/>
      <c r="ECZ291" s="1206"/>
      <c r="EDA291" s="1206"/>
      <c r="EDB291" s="1206"/>
      <c r="EDC291" s="1206"/>
      <c r="EDD291" s="1206"/>
      <c r="EDE291" s="1206"/>
      <c r="EDF291" s="1206"/>
      <c r="EDG291" s="1206"/>
      <c r="EDH291" s="1206"/>
      <c r="EDI291" s="1206"/>
      <c r="EDJ291" s="1206"/>
      <c r="EDK291" s="1206"/>
      <c r="EDL291" s="1207"/>
      <c r="EDM291" s="1206"/>
      <c r="EDN291" s="1206"/>
      <c r="EDO291" s="1206"/>
      <c r="EDP291" s="1206"/>
      <c r="EDQ291" s="1206"/>
      <c r="EDR291" s="1206"/>
      <c r="EDS291" s="1206"/>
      <c r="EDT291" s="1206"/>
      <c r="EDU291" s="1206"/>
      <c r="EDV291" s="1206"/>
      <c r="EDW291" s="1206"/>
      <c r="EDX291" s="1206"/>
      <c r="EDY291" s="1206"/>
      <c r="EDZ291" s="1206"/>
      <c r="EEA291" s="1206"/>
      <c r="EEB291" s="1206"/>
      <c r="EEC291" s="1207"/>
      <c r="EED291" s="1206"/>
      <c r="EEE291" s="1206"/>
      <c r="EEF291" s="1206"/>
      <c r="EEG291" s="1206"/>
      <c r="EEH291" s="1206"/>
      <c r="EEI291" s="1206"/>
      <c r="EEJ291" s="1206"/>
      <c r="EEK291" s="1206"/>
      <c r="EEL291" s="1206"/>
      <c r="EEM291" s="1206"/>
      <c r="EEN291" s="1206"/>
      <c r="EEO291" s="1206"/>
      <c r="EEP291" s="1206"/>
      <c r="EEQ291" s="1206"/>
      <c r="EER291" s="1206"/>
      <c r="EES291" s="1206"/>
      <c r="EET291" s="1207"/>
      <c r="EEU291" s="1206"/>
      <c r="EEV291" s="1206"/>
      <c r="EEW291" s="1206"/>
      <c r="EEX291" s="1206"/>
      <c r="EEY291" s="1206"/>
      <c r="EEZ291" s="1206"/>
      <c r="EFA291" s="1206"/>
      <c r="EFB291" s="1206"/>
      <c r="EFC291" s="1206"/>
      <c r="EFD291" s="1206"/>
      <c r="EFE291" s="1206"/>
      <c r="EFF291" s="1206"/>
      <c r="EFG291" s="1206"/>
      <c r="EFH291" s="1206"/>
      <c r="EFI291" s="1206"/>
      <c r="EFJ291" s="1206"/>
      <c r="EFK291" s="1207"/>
      <c r="EFL291" s="1206"/>
      <c r="EFM291" s="1206"/>
      <c r="EFN291" s="1206"/>
      <c r="EFO291" s="1206"/>
      <c r="EFP291" s="1206"/>
      <c r="EFQ291" s="1206"/>
      <c r="EFR291" s="1206"/>
      <c r="EFS291" s="1206"/>
      <c r="EFT291" s="1206"/>
      <c r="EFU291" s="1206"/>
      <c r="EFV291" s="1206"/>
      <c r="EFW291" s="1206"/>
      <c r="EFX291" s="1206"/>
      <c r="EFY291" s="1206"/>
      <c r="EFZ291" s="1206"/>
      <c r="EGA291" s="1206"/>
      <c r="EGB291" s="1207"/>
      <c r="EGC291" s="1206"/>
      <c r="EGD291" s="1206"/>
      <c r="EGE291" s="1206"/>
      <c r="EGF291" s="1206"/>
      <c r="EGG291" s="1206"/>
      <c r="EGH291" s="1206"/>
      <c r="EGI291" s="1206"/>
      <c r="EGJ291" s="1206"/>
      <c r="EGK291" s="1206"/>
      <c r="EGL291" s="1206"/>
      <c r="EGM291" s="1206"/>
      <c r="EGN291" s="1206"/>
      <c r="EGO291" s="1206"/>
      <c r="EGP291" s="1206"/>
      <c r="EGQ291" s="1206"/>
      <c r="EGR291" s="1206"/>
      <c r="EGS291" s="1207"/>
      <c r="EGT291" s="1206"/>
      <c r="EGU291" s="1206"/>
      <c r="EGV291" s="1206"/>
      <c r="EGW291" s="1206"/>
      <c r="EGX291" s="1206"/>
      <c r="EGY291" s="1206"/>
      <c r="EGZ291" s="1206"/>
      <c r="EHA291" s="1206"/>
      <c r="EHB291" s="1206"/>
      <c r="EHC291" s="1206"/>
      <c r="EHD291" s="1206"/>
      <c r="EHE291" s="1206"/>
      <c r="EHF291" s="1206"/>
      <c r="EHG291" s="1206"/>
      <c r="EHH291" s="1206"/>
      <c r="EHI291" s="1206"/>
      <c r="EHJ291" s="1207"/>
      <c r="EHK291" s="1206"/>
      <c r="EHL291" s="1206"/>
      <c r="EHM291" s="1206"/>
      <c r="EHN291" s="1206"/>
      <c r="EHO291" s="1206"/>
      <c r="EHP291" s="1206"/>
      <c r="EHQ291" s="1206"/>
      <c r="EHR291" s="1206"/>
      <c r="EHS291" s="1206"/>
      <c r="EHT291" s="1206"/>
      <c r="EHU291" s="1206"/>
      <c r="EHV291" s="1206"/>
      <c r="EHW291" s="1206"/>
      <c r="EHX291" s="1206"/>
      <c r="EHY291" s="1206"/>
      <c r="EHZ291" s="1206"/>
      <c r="EIA291" s="1207"/>
      <c r="EIB291" s="1206"/>
      <c r="EIC291" s="1206"/>
      <c r="EID291" s="1206"/>
      <c r="EIE291" s="1206"/>
      <c r="EIF291" s="1206"/>
      <c r="EIG291" s="1206"/>
      <c r="EIH291" s="1206"/>
      <c r="EII291" s="1206"/>
      <c r="EIJ291" s="1206"/>
      <c r="EIK291" s="1206"/>
      <c r="EIL291" s="1206"/>
      <c r="EIM291" s="1206"/>
      <c r="EIN291" s="1206"/>
      <c r="EIO291" s="1206"/>
      <c r="EIP291" s="1206"/>
      <c r="EIQ291" s="1206"/>
      <c r="EIR291" s="1207"/>
      <c r="EIS291" s="1206"/>
      <c r="EIT291" s="1206"/>
      <c r="EIU291" s="1206"/>
      <c r="EIV291" s="1206"/>
      <c r="EIW291" s="1206"/>
      <c r="EIX291" s="1206"/>
      <c r="EIY291" s="1206"/>
      <c r="EIZ291" s="1206"/>
      <c r="EJA291" s="1206"/>
      <c r="EJB291" s="1206"/>
      <c r="EJC291" s="1206"/>
      <c r="EJD291" s="1206"/>
      <c r="EJE291" s="1206"/>
      <c r="EJF291" s="1206"/>
      <c r="EJG291" s="1206"/>
      <c r="EJH291" s="1206"/>
      <c r="EJI291" s="1207"/>
      <c r="EJJ291" s="1206"/>
      <c r="EJK291" s="1206"/>
      <c r="EJL291" s="1206"/>
      <c r="EJM291" s="1206"/>
      <c r="EJN291" s="1206"/>
      <c r="EJO291" s="1206"/>
      <c r="EJP291" s="1206"/>
      <c r="EJQ291" s="1206"/>
      <c r="EJR291" s="1206"/>
      <c r="EJS291" s="1206"/>
      <c r="EJT291" s="1206"/>
      <c r="EJU291" s="1206"/>
      <c r="EJV291" s="1206"/>
      <c r="EJW291" s="1206"/>
      <c r="EJX291" s="1206"/>
      <c r="EJY291" s="1206"/>
      <c r="EJZ291" s="1207"/>
      <c r="EKA291" s="1206"/>
      <c r="EKB291" s="1206"/>
      <c r="EKC291" s="1206"/>
      <c r="EKD291" s="1206"/>
      <c r="EKE291" s="1206"/>
      <c r="EKF291" s="1206"/>
      <c r="EKG291" s="1206"/>
      <c r="EKH291" s="1206"/>
      <c r="EKI291" s="1206"/>
      <c r="EKJ291" s="1206"/>
      <c r="EKK291" s="1206"/>
      <c r="EKL291" s="1206"/>
      <c r="EKM291" s="1206"/>
      <c r="EKN291" s="1206"/>
      <c r="EKO291" s="1206"/>
      <c r="EKP291" s="1206"/>
      <c r="EKQ291" s="1207"/>
      <c r="EKR291" s="1206"/>
      <c r="EKS291" s="1206"/>
      <c r="EKT291" s="1206"/>
      <c r="EKU291" s="1206"/>
      <c r="EKV291" s="1206"/>
      <c r="EKW291" s="1206"/>
      <c r="EKX291" s="1206"/>
      <c r="EKY291" s="1206"/>
      <c r="EKZ291" s="1206"/>
      <c r="ELA291" s="1206"/>
      <c r="ELB291" s="1206"/>
      <c r="ELC291" s="1206"/>
      <c r="ELD291" s="1206"/>
      <c r="ELE291" s="1206"/>
      <c r="ELF291" s="1206"/>
      <c r="ELG291" s="1206"/>
      <c r="ELH291" s="1207"/>
      <c r="ELI291" s="1206"/>
      <c r="ELJ291" s="1206"/>
      <c r="ELK291" s="1206"/>
      <c r="ELL291" s="1206"/>
      <c r="ELM291" s="1206"/>
      <c r="ELN291" s="1206"/>
      <c r="ELO291" s="1206"/>
      <c r="ELP291" s="1206"/>
      <c r="ELQ291" s="1206"/>
      <c r="ELR291" s="1206"/>
      <c r="ELS291" s="1206"/>
      <c r="ELT291" s="1206"/>
      <c r="ELU291" s="1206"/>
      <c r="ELV291" s="1206"/>
      <c r="ELW291" s="1206"/>
      <c r="ELX291" s="1206"/>
      <c r="ELY291" s="1207"/>
      <c r="ELZ291" s="1206"/>
      <c r="EMA291" s="1206"/>
      <c r="EMB291" s="1206"/>
      <c r="EMC291" s="1206"/>
      <c r="EMD291" s="1206"/>
      <c r="EME291" s="1206"/>
      <c r="EMF291" s="1206"/>
      <c r="EMG291" s="1206"/>
      <c r="EMH291" s="1206"/>
      <c r="EMI291" s="1206"/>
      <c r="EMJ291" s="1206"/>
      <c r="EMK291" s="1206"/>
      <c r="EML291" s="1206"/>
      <c r="EMM291" s="1206"/>
      <c r="EMN291" s="1206"/>
      <c r="EMO291" s="1206"/>
      <c r="EMP291" s="1207"/>
      <c r="EMQ291" s="1206"/>
      <c r="EMR291" s="1206"/>
      <c r="EMS291" s="1206"/>
      <c r="EMT291" s="1206"/>
      <c r="EMU291" s="1206"/>
      <c r="EMV291" s="1206"/>
      <c r="EMW291" s="1206"/>
      <c r="EMX291" s="1206"/>
      <c r="EMY291" s="1206"/>
      <c r="EMZ291" s="1206"/>
      <c r="ENA291" s="1206"/>
      <c r="ENB291" s="1206"/>
      <c r="ENC291" s="1206"/>
      <c r="END291" s="1206"/>
      <c r="ENE291" s="1206"/>
      <c r="ENF291" s="1206"/>
      <c r="ENG291" s="1207"/>
      <c r="ENH291" s="1206"/>
      <c r="ENI291" s="1206"/>
      <c r="ENJ291" s="1206"/>
      <c r="ENK291" s="1206"/>
      <c r="ENL291" s="1206"/>
      <c r="ENM291" s="1206"/>
      <c r="ENN291" s="1206"/>
      <c r="ENO291" s="1206"/>
      <c r="ENP291" s="1206"/>
      <c r="ENQ291" s="1206"/>
      <c r="ENR291" s="1206"/>
      <c r="ENS291" s="1206"/>
      <c r="ENT291" s="1206"/>
      <c r="ENU291" s="1206"/>
      <c r="ENV291" s="1206"/>
      <c r="ENW291" s="1206"/>
      <c r="ENX291" s="1207"/>
      <c r="ENY291" s="1206"/>
      <c r="ENZ291" s="1206"/>
      <c r="EOA291" s="1206"/>
      <c r="EOB291" s="1206"/>
      <c r="EOC291" s="1206"/>
      <c r="EOD291" s="1206"/>
      <c r="EOE291" s="1206"/>
      <c r="EOF291" s="1206"/>
      <c r="EOG291" s="1206"/>
      <c r="EOH291" s="1206"/>
      <c r="EOI291" s="1206"/>
      <c r="EOJ291" s="1206"/>
      <c r="EOK291" s="1206"/>
      <c r="EOL291" s="1206"/>
      <c r="EOM291" s="1206"/>
      <c r="EON291" s="1206"/>
      <c r="EOO291" s="1207"/>
      <c r="EOP291" s="1206"/>
      <c r="EOQ291" s="1206"/>
      <c r="EOR291" s="1206"/>
      <c r="EOS291" s="1206"/>
      <c r="EOT291" s="1206"/>
      <c r="EOU291" s="1206"/>
      <c r="EOV291" s="1206"/>
      <c r="EOW291" s="1206"/>
      <c r="EOX291" s="1206"/>
      <c r="EOY291" s="1206"/>
      <c r="EOZ291" s="1206"/>
      <c r="EPA291" s="1206"/>
      <c r="EPB291" s="1206"/>
      <c r="EPC291" s="1206"/>
      <c r="EPD291" s="1206"/>
      <c r="EPE291" s="1206"/>
      <c r="EPF291" s="1207"/>
      <c r="EPG291" s="1206"/>
      <c r="EPH291" s="1206"/>
      <c r="EPI291" s="1206"/>
      <c r="EPJ291" s="1206"/>
      <c r="EPK291" s="1206"/>
      <c r="EPL291" s="1206"/>
      <c r="EPM291" s="1206"/>
      <c r="EPN291" s="1206"/>
      <c r="EPO291" s="1206"/>
      <c r="EPP291" s="1206"/>
      <c r="EPQ291" s="1206"/>
      <c r="EPR291" s="1206"/>
      <c r="EPS291" s="1206"/>
      <c r="EPT291" s="1206"/>
      <c r="EPU291" s="1206"/>
      <c r="EPV291" s="1206"/>
      <c r="EPW291" s="1207"/>
      <c r="EPX291" s="1206"/>
      <c r="EPY291" s="1206"/>
      <c r="EPZ291" s="1206"/>
      <c r="EQA291" s="1206"/>
      <c r="EQB291" s="1206"/>
      <c r="EQC291" s="1206"/>
      <c r="EQD291" s="1206"/>
      <c r="EQE291" s="1206"/>
      <c r="EQF291" s="1206"/>
      <c r="EQG291" s="1206"/>
      <c r="EQH291" s="1206"/>
      <c r="EQI291" s="1206"/>
      <c r="EQJ291" s="1206"/>
      <c r="EQK291" s="1206"/>
      <c r="EQL291" s="1206"/>
      <c r="EQM291" s="1206"/>
      <c r="EQN291" s="1207"/>
      <c r="EQO291" s="1206"/>
      <c r="EQP291" s="1206"/>
      <c r="EQQ291" s="1206"/>
      <c r="EQR291" s="1206"/>
      <c r="EQS291" s="1206"/>
      <c r="EQT291" s="1206"/>
      <c r="EQU291" s="1206"/>
      <c r="EQV291" s="1206"/>
      <c r="EQW291" s="1206"/>
      <c r="EQX291" s="1206"/>
      <c r="EQY291" s="1206"/>
      <c r="EQZ291" s="1206"/>
      <c r="ERA291" s="1206"/>
      <c r="ERB291" s="1206"/>
      <c r="ERC291" s="1206"/>
      <c r="ERD291" s="1206"/>
      <c r="ERE291" s="1207"/>
      <c r="ERF291" s="1206"/>
      <c r="ERG291" s="1206"/>
      <c r="ERH291" s="1206"/>
      <c r="ERI291" s="1206"/>
      <c r="ERJ291" s="1206"/>
      <c r="ERK291" s="1206"/>
      <c r="ERL291" s="1206"/>
      <c r="ERM291" s="1206"/>
      <c r="ERN291" s="1206"/>
      <c r="ERO291" s="1206"/>
      <c r="ERP291" s="1206"/>
      <c r="ERQ291" s="1206"/>
      <c r="ERR291" s="1206"/>
      <c r="ERS291" s="1206"/>
      <c r="ERT291" s="1206"/>
      <c r="ERU291" s="1206"/>
      <c r="ERV291" s="1207"/>
      <c r="ERW291" s="1206"/>
      <c r="ERX291" s="1206"/>
      <c r="ERY291" s="1206"/>
      <c r="ERZ291" s="1206"/>
      <c r="ESA291" s="1206"/>
      <c r="ESB291" s="1206"/>
      <c r="ESC291" s="1206"/>
      <c r="ESD291" s="1206"/>
      <c r="ESE291" s="1206"/>
      <c r="ESF291" s="1206"/>
      <c r="ESG291" s="1206"/>
      <c r="ESH291" s="1206"/>
      <c r="ESI291" s="1206"/>
      <c r="ESJ291" s="1206"/>
      <c r="ESK291" s="1206"/>
      <c r="ESL291" s="1206"/>
      <c r="ESM291" s="1207"/>
      <c r="ESN291" s="1206"/>
      <c r="ESO291" s="1206"/>
      <c r="ESP291" s="1206"/>
      <c r="ESQ291" s="1206"/>
      <c r="ESR291" s="1206"/>
      <c r="ESS291" s="1206"/>
      <c r="EST291" s="1206"/>
      <c r="ESU291" s="1206"/>
      <c r="ESV291" s="1206"/>
      <c r="ESW291" s="1206"/>
      <c r="ESX291" s="1206"/>
      <c r="ESY291" s="1206"/>
      <c r="ESZ291" s="1206"/>
      <c r="ETA291" s="1206"/>
      <c r="ETB291" s="1206"/>
      <c r="ETC291" s="1206"/>
      <c r="ETD291" s="1207"/>
      <c r="ETE291" s="1206"/>
      <c r="ETF291" s="1206"/>
      <c r="ETG291" s="1206"/>
      <c r="ETH291" s="1206"/>
      <c r="ETI291" s="1206"/>
      <c r="ETJ291" s="1206"/>
      <c r="ETK291" s="1206"/>
      <c r="ETL291" s="1206"/>
      <c r="ETM291" s="1206"/>
      <c r="ETN291" s="1206"/>
      <c r="ETO291" s="1206"/>
      <c r="ETP291" s="1206"/>
      <c r="ETQ291" s="1206"/>
      <c r="ETR291" s="1206"/>
      <c r="ETS291" s="1206"/>
      <c r="ETT291" s="1206"/>
      <c r="ETU291" s="1207"/>
      <c r="ETV291" s="1206"/>
      <c r="ETW291" s="1206"/>
      <c r="ETX291" s="1206"/>
      <c r="ETY291" s="1206"/>
      <c r="ETZ291" s="1206"/>
      <c r="EUA291" s="1206"/>
      <c r="EUB291" s="1206"/>
      <c r="EUC291" s="1206"/>
      <c r="EUD291" s="1206"/>
      <c r="EUE291" s="1206"/>
      <c r="EUF291" s="1206"/>
      <c r="EUG291" s="1206"/>
      <c r="EUH291" s="1206"/>
      <c r="EUI291" s="1206"/>
      <c r="EUJ291" s="1206"/>
      <c r="EUK291" s="1206"/>
      <c r="EUL291" s="1207"/>
      <c r="EUM291" s="1206"/>
      <c r="EUN291" s="1206"/>
      <c r="EUO291" s="1206"/>
      <c r="EUP291" s="1206"/>
      <c r="EUQ291" s="1206"/>
      <c r="EUR291" s="1206"/>
      <c r="EUS291" s="1206"/>
      <c r="EUT291" s="1206"/>
      <c r="EUU291" s="1206"/>
      <c r="EUV291" s="1206"/>
      <c r="EUW291" s="1206"/>
      <c r="EUX291" s="1206"/>
      <c r="EUY291" s="1206"/>
      <c r="EUZ291" s="1206"/>
      <c r="EVA291" s="1206"/>
      <c r="EVB291" s="1206"/>
      <c r="EVC291" s="1207"/>
      <c r="EVD291" s="1206"/>
      <c r="EVE291" s="1206"/>
      <c r="EVF291" s="1206"/>
      <c r="EVG291" s="1206"/>
      <c r="EVH291" s="1206"/>
      <c r="EVI291" s="1206"/>
      <c r="EVJ291" s="1206"/>
      <c r="EVK291" s="1206"/>
      <c r="EVL291" s="1206"/>
      <c r="EVM291" s="1206"/>
      <c r="EVN291" s="1206"/>
      <c r="EVO291" s="1206"/>
      <c r="EVP291" s="1206"/>
      <c r="EVQ291" s="1206"/>
      <c r="EVR291" s="1206"/>
      <c r="EVS291" s="1206"/>
      <c r="EVT291" s="1207"/>
      <c r="EVU291" s="1206"/>
      <c r="EVV291" s="1206"/>
      <c r="EVW291" s="1206"/>
      <c r="EVX291" s="1206"/>
      <c r="EVY291" s="1206"/>
      <c r="EVZ291" s="1206"/>
      <c r="EWA291" s="1206"/>
      <c r="EWB291" s="1206"/>
      <c r="EWC291" s="1206"/>
      <c r="EWD291" s="1206"/>
      <c r="EWE291" s="1206"/>
      <c r="EWF291" s="1206"/>
      <c r="EWG291" s="1206"/>
      <c r="EWH291" s="1206"/>
      <c r="EWI291" s="1206"/>
      <c r="EWJ291" s="1206"/>
      <c r="EWK291" s="1207"/>
      <c r="EWL291" s="1206"/>
      <c r="EWM291" s="1206"/>
      <c r="EWN291" s="1206"/>
      <c r="EWO291" s="1206"/>
      <c r="EWP291" s="1206"/>
      <c r="EWQ291" s="1206"/>
      <c r="EWR291" s="1206"/>
      <c r="EWS291" s="1206"/>
      <c r="EWT291" s="1206"/>
      <c r="EWU291" s="1206"/>
      <c r="EWV291" s="1206"/>
      <c r="EWW291" s="1206"/>
      <c r="EWX291" s="1206"/>
      <c r="EWY291" s="1206"/>
      <c r="EWZ291" s="1206"/>
      <c r="EXA291" s="1206"/>
      <c r="EXB291" s="1207"/>
      <c r="EXC291" s="1206"/>
      <c r="EXD291" s="1206"/>
      <c r="EXE291" s="1206"/>
      <c r="EXF291" s="1206"/>
      <c r="EXG291" s="1206"/>
      <c r="EXH291" s="1206"/>
      <c r="EXI291" s="1206"/>
      <c r="EXJ291" s="1206"/>
      <c r="EXK291" s="1206"/>
      <c r="EXL291" s="1206"/>
      <c r="EXM291" s="1206"/>
      <c r="EXN291" s="1206"/>
      <c r="EXO291" s="1206"/>
      <c r="EXP291" s="1206"/>
      <c r="EXQ291" s="1206"/>
      <c r="EXR291" s="1206"/>
      <c r="EXS291" s="1207"/>
      <c r="EXT291" s="1206"/>
      <c r="EXU291" s="1206"/>
      <c r="EXV291" s="1206"/>
      <c r="EXW291" s="1206"/>
      <c r="EXX291" s="1206"/>
      <c r="EXY291" s="1206"/>
      <c r="EXZ291" s="1206"/>
      <c r="EYA291" s="1206"/>
      <c r="EYB291" s="1206"/>
      <c r="EYC291" s="1206"/>
      <c r="EYD291" s="1206"/>
      <c r="EYE291" s="1206"/>
      <c r="EYF291" s="1206"/>
      <c r="EYG291" s="1206"/>
      <c r="EYH291" s="1206"/>
      <c r="EYI291" s="1206"/>
      <c r="EYJ291" s="1207"/>
      <c r="EYK291" s="1206"/>
      <c r="EYL291" s="1206"/>
      <c r="EYM291" s="1206"/>
      <c r="EYN291" s="1206"/>
      <c r="EYO291" s="1206"/>
      <c r="EYP291" s="1206"/>
      <c r="EYQ291" s="1206"/>
      <c r="EYR291" s="1206"/>
      <c r="EYS291" s="1206"/>
      <c r="EYT291" s="1206"/>
      <c r="EYU291" s="1206"/>
      <c r="EYV291" s="1206"/>
      <c r="EYW291" s="1206"/>
      <c r="EYX291" s="1206"/>
      <c r="EYY291" s="1206"/>
      <c r="EYZ291" s="1206"/>
      <c r="EZA291" s="1207"/>
      <c r="EZB291" s="1206"/>
      <c r="EZC291" s="1206"/>
      <c r="EZD291" s="1206"/>
      <c r="EZE291" s="1206"/>
      <c r="EZF291" s="1206"/>
      <c r="EZG291" s="1206"/>
      <c r="EZH291" s="1206"/>
      <c r="EZI291" s="1206"/>
      <c r="EZJ291" s="1206"/>
      <c r="EZK291" s="1206"/>
      <c r="EZL291" s="1206"/>
      <c r="EZM291" s="1206"/>
      <c r="EZN291" s="1206"/>
      <c r="EZO291" s="1206"/>
      <c r="EZP291" s="1206"/>
      <c r="EZQ291" s="1206"/>
      <c r="EZR291" s="1207"/>
      <c r="EZS291" s="1206"/>
      <c r="EZT291" s="1206"/>
      <c r="EZU291" s="1206"/>
      <c r="EZV291" s="1206"/>
      <c r="EZW291" s="1206"/>
      <c r="EZX291" s="1206"/>
      <c r="EZY291" s="1206"/>
      <c r="EZZ291" s="1206"/>
      <c r="FAA291" s="1206"/>
      <c r="FAB291" s="1206"/>
      <c r="FAC291" s="1206"/>
      <c r="FAD291" s="1206"/>
      <c r="FAE291" s="1206"/>
      <c r="FAF291" s="1206"/>
      <c r="FAG291" s="1206"/>
      <c r="FAH291" s="1206"/>
      <c r="FAI291" s="1207"/>
      <c r="FAJ291" s="1206"/>
      <c r="FAK291" s="1206"/>
      <c r="FAL291" s="1206"/>
      <c r="FAM291" s="1206"/>
      <c r="FAN291" s="1206"/>
      <c r="FAO291" s="1206"/>
      <c r="FAP291" s="1206"/>
      <c r="FAQ291" s="1206"/>
      <c r="FAR291" s="1206"/>
      <c r="FAS291" s="1206"/>
      <c r="FAT291" s="1206"/>
      <c r="FAU291" s="1206"/>
      <c r="FAV291" s="1206"/>
      <c r="FAW291" s="1206"/>
      <c r="FAX291" s="1206"/>
      <c r="FAY291" s="1206"/>
      <c r="FAZ291" s="1207"/>
      <c r="FBA291" s="1206"/>
      <c r="FBB291" s="1206"/>
      <c r="FBC291" s="1206"/>
      <c r="FBD291" s="1206"/>
      <c r="FBE291" s="1206"/>
      <c r="FBF291" s="1206"/>
      <c r="FBG291" s="1206"/>
      <c r="FBH291" s="1206"/>
      <c r="FBI291" s="1206"/>
      <c r="FBJ291" s="1206"/>
      <c r="FBK291" s="1206"/>
      <c r="FBL291" s="1206"/>
      <c r="FBM291" s="1206"/>
      <c r="FBN291" s="1206"/>
      <c r="FBO291" s="1206"/>
      <c r="FBP291" s="1206"/>
      <c r="FBQ291" s="1207"/>
      <c r="FBR291" s="1206"/>
      <c r="FBS291" s="1206"/>
      <c r="FBT291" s="1206"/>
      <c r="FBU291" s="1206"/>
      <c r="FBV291" s="1206"/>
      <c r="FBW291" s="1206"/>
      <c r="FBX291" s="1206"/>
      <c r="FBY291" s="1206"/>
      <c r="FBZ291" s="1206"/>
      <c r="FCA291" s="1206"/>
      <c r="FCB291" s="1206"/>
      <c r="FCC291" s="1206"/>
      <c r="FCD291" s="1206"/>
      <c r="FCE291" s="1206"/>
      <c r="FCF291" s="1206"/>
      <c r="FCG291" s="1206"/>
      <c r="FCH291" s="1207"/>
      <c r="FCI291" s="1206"/>
      <c r="FCJ291" s="1206"/>
      <c r="FCK291" s="1206"/>
      <c r="FCL291" s="1206"/>
      <c r="FCM291" s="1206"/>
      <c r="FCN291" s="1206"/>
      <c r="FCO291" s="1206"/>
      <c r="FCP291" s="1206"/>
      <c r="FCQ291" s="1206"/>
      <c r="FCR291" s="1206"/>
      <c r="FCS291" s="1206"/>
      <c r="FCT291" s="1206"/>
      <c r="FCU291" s="1206"/>
      <c r="FCV291" s="1206"/>
      <c r="FCW291" s="1206"/>
      <c r="FCX291" s="1206"/>
      <c r="FCY291" s="1207"/>
      <c r="FCZ291" s="1206"/>
      <c r="FDA291" s="1206"/>
      <c r="FDB291" s="1206"/>
      <c r="FDC291" s="1206"/>
      <c r="FDD291" s="1206"/>
      <c r="FDE291" s="1206"/>
      <c r="FDF291" s="1206"/>
      <c r="FDG291" s="1206"/>
      <c r="FDH291" s="1206"/>
      <c r="FDI291" s="1206"/>
      <c r="FDJ291" s="1206"/>
      <c r="FDK291" s="1206"/>
      <c r="FDL291" s="1206"/>
      <c r="FDM291" s="1206"/>
      <c r="FDN291" s="1206"/>
      <c r="FDO291" s="1206"/>
      <c r="FDP291" s="1207"/>
      <c r="FDQ291" s="1206"/>
      <c r="FDR291" s="1206"/>
      <c r="FDS291" s="1206"/>
      <c r="FDT291" s="1206"/>
      <c r="FDU291" s="1206"/>
      <c r="FDV291" s="1206"/>
      <c r="FDW291" s="1206"/>
      <c r="FDX291" s="1206"/>
      <c r="FDY291" s="1206"/>
      <c r="FDZ291" s="1206"/>
      <c r="FEA291" s="1206"/>
      <c r="FEB291" s="1206"/>
      <c r="FEC291" s="1206"/>
      <c r="FED291" s="1206"/>
      <c r="FEE291" s="1206"/>
      <c r="FEF291" s="1206"/>
      <c r="FEG291" s="1207"/>
      <c r="FEH291" s="1206"/>
      <c r="FEI291" s="1206"/>
      <c r="FEJ291" s="1206"/>
      <c r="FEK291" s="1206"/>
      <c r="FEL291" s="1206"/>
      <c r="FEM291" s="1206"/>
      <c r="FEN291" s="1206"/>
      <c r="FEO291" s="1206"/>
      <c r="FEP291" s="1206"/>
      <c r="FEQ291" s="1206"/>
      <c r="FER291" s="1206"/>
      <c r="FES291" s="1206"/>
      <c r="FET291" s="1206"/>
      <c r="FEU291" s="1206"/>
      <c r="FEV291" s="1206"/>
      <c r="FEW291" s="1206"/>
      <c r="FEX291" s="1207"/>
      <c r="FEY291" s="1206"/>
      <c r="FEZ291" s="1206"/>
      <c r="FFA291" s="1206"/>
      <c r="FFB291" s="1206"/>
      <c r="FFC291" s="1206"/>
      <c r="FFD291" s="1206"/>
      <c r="FFE291" s="1206"/>
      <c r="FFF291" s="1206"/>
      <c r="FFG291" s="1206"/>
      <c r="FFH291" s="1206"/>
      <c r="FFI291" s="1206"/>
      <c r="FFJ291" s="1206"/>
      <c r="FFK291" s="1206"/>
      <c r="FFL291" s="1206"/>
      <c r="FFM291" s="1206"/>
      <c r="FFN291" s="1206"/>
      <c r="FFO291" s="1207"/>
      <c r="FFP291" s="1206"/>
      <c r="FFQ291" s="1206"/>
      <c r="FFR291" s="1206"/>
      <c r="FFS291" s="1206"/>
      <c r="FFT291" s="1206"/>
      <c r="FFU291" s="1206"/>
      <c r="FFV291" s="1206"/>
      <c r="FFW291" s="1206"/>
      <c r="FFX291" s="1206"/>
      <c r="FFY291" s="1206"/>
      <c r="FFZ291" s="1206"/>
      <c r="FGA291" s="1206"/>
      <c r="FGB291" s="1206"/>
      <c r="FGC291" s="1206"/>
      <c r="FGD291" s="1206"/>
      <c r="FGE291" s="1206"/>
      <c r="FGF291" s="1207"/>
      <c r="FGG291" s="1206"/>
      <c r="FGH291" s="1206"/>
      <c r="FGI291" s="1206"/>
      <c r="FGJ291" s="1206"/>
      <c r="FGK291" s="1206"/>
      <c r="FGL291" s="1206"/>
      <c r="FGM291" s="1206"/>
      <c r="FGN291" s="1206"/>
      <c r="FGO291" s="1206"/>
      <c r="FGP291" s="1206"/>
      <c r="FGQ291" s="1206"/>
      <c r="FGR291" s="1206"/>
      <c r="FGS291" s="1206"/>
      <c r="FGT291" s="1206"/>
      <c r="FGU291" s="1206"/>
      <c r="FGV291" s="1206"/>
      <c r="FGW291" s="1207"/>
      <c r="FGX291" s="1206"/>
      <c r="FGY291" s="1206"/>
      <c r="FGZ291" s="1206"/>
      <c r="FHA291" s="1206"/>
      <c r="FHB291" s="1206"/>
      <c r="FHC291" s="1206"/>
      <c r="FHD291" s="1206"/>
      <c r="FHE291" s="1206"/>
      <c r="FHF291" s="1206"/>
      <c r="FHG291" s="1206"/>
      <c r="FHH291" s="1206"/>
      <c r="FHI291" s="1206"/>
      <c r="FHJ291" s="1206"/>
      <c r="FHK291" s="1206"/>
      <c r="FHL291" s="1206"/>
      <c r="FHM291" s="1206"/>
      <c r="FHN291" s="1207"/>
      <c r="FHO291" s="1206"/>
      <c r="FHP291" s="1206"/>
      <c r="FHQ291" s="1206"/>
      <c r="FHR291" s="1206"/>
      <c r="FHS291" s="1206"/>
      <c r="FHT291" s="1206"/>
      <c r="FHU291" s="1206"/>
      <c r="FHV291" s="1206"/>
      <c r="FHW291" s="1206"/>
      <c r="FHX291" s="1206"/>
      <c r="FHY291" s="1206"/>
      <c r="FHZ291" s="1206"/>
      <c r="FIA291" s="1206"/>
      <c r="FIB291" s="1206"/>
      <c r="FIC291" s="1206"/>
      <c r="FID291" s="1206"/>
      <c r="FIE291" s="1207"/>
      <c r="FIF291" s="1206"/>
      <c r="FIG291" s="1206"/>
      <c r="FIH291" s="1206"/>
      <c r="FII291" s="1206"/>
      <c r="FIJ291" s="1206"/>
      <c r="FIK291" s="1206"/>
      <c r="FIL291" s="1206"/>
      <c r="FIM291" s="1206"/>
      <c r="FIN291" s="1206"/>
      <c r="FIO291" s="1206"/>
      <c r="FIP291" s="1206"/>
      <c r="FIQ291" s="1206"/>
      <c r="FIR291" s="1206"/>
      <c r="FIS291" s="1206"/>
      <c r="FIT291" s="1206"/>
      <c r="FIU291" s="1206"/>
      <c r="FIV291" s="1207"/>
      <c r="FIW291" s="1206"/>
      <c r="FIX291" s="1206"/>
      <c r="FIY291" s="1206"/>
      <c r="FIZ291" s="1206"/>
      <c r="FJA291" s="1206"/>
      <c r="FJB291" s="1206"/>
      <c r="FJC291" s="1206"/>
      <c r="FJD291" s="1206"/>
      <c r="FJE291" s="1206"/>
      <c r="FJF291" s="1206"/>
      <c r="FJG291" s="1206"/>
      <c r="FJH291" s="1206"/>
      <c r="FJI291" s="1206"/>
      <c r="FJJ291" s="1206"/>
      <c r="FJK291" s="1206"/>
      <c r="FJL291" s="1206"/>
      <c r="FJM291" s="1207"/>
      <c r="FJN291" s="1206"/>
      <c r="FJO291" s="1206"/>
      <c r="FJP291" s="1206"/>
      <c r="FJQ291" s="1206"/>
      <c r="FJR291" s="1206"/>
      <c r="FJS291" s="1206"/>
      <c r="FJT291" s="1206"/>
      <c r="FJU291" s="1206"/>
      <c r="FJV291" s="1206"/>
      <c r="FJW291" s="1206"/>
      <c r="FJX291" s="1206"/>
      <c r="FJY291" s="1206"/>
      <c r="FJZ291" s="1206"/>
      <c r="FKA291" s="1206"/>
      <c r="FKB291" s="1206"/>
      <c r="FKC291" s="1206"/>
      <c r="FKD291" s="1207"/>
      <c r="FKE291" s="1206"/>
      <c r="FKF291" s="1206"/>
      <c r="FKG291" s="1206"/>
      <c r="FKH291" s="1206"/>
      <c r="FKI291" s="1206"/>
      <c r="FKJ291" s="1206"/>
      <c r="FKK291" s="1206"/>
      <c r="FKL291" s="1206"/>
      <c r="FKM291" s="1206"/>
      <c r="FKN291" s="1206"/>
      <c r="FKO291" s="1206"/>
      <c r="FKP291" s="1206"/>
      <c r="FKQ291" s="1206"/>
      <c r="FKR291" s="1206"/>
      <c r="FKS291" s="1206"/>
      <c r="FKT291" s="1206"/>
      <c r="FKU291" s="1207"/>
      <c r="FKV291" s="1206"/>
      <c r="FKW291" s="1206"/>
      <c r="FKX291" s="1206"/>
      <c r="FKY291" s="1206"/>
      <c r="FKZ291" s="1206"/>
      <c r="FLA291" s="1206"/>
      <c r="FLB291" s="1206"/>
      <c r="FLC291" s="1206"/>
      <c r="FLD291" s="1206"/>
      <c r="FLE291" s="1206"/>
      <c r="FLF291" s="1206"/>
      <c r="FLG291" s="1206"/>
      <c r="FLH291" s="1206"/>
      <c r="FLI291" s="1206"/>
      <c r="FLJ291" s="1206"/>
      <c r="FLK291" s="1206"/>
      <c r="FLL291" s="1207"/>
      <c r="FLM291" s="1206"/>
      <c r="FLN291" s="1206"/>
      <c r="FLO291" s="1206"/>
      <c r="FLP291" s="1206"/>
      <c r="FLQ291" s="1206"/>
      <c r="FLR291" s="1206"/>
      <c r="FLS291" s="1206"/>
      <c r="FLT291" s="1206"/>
      <c r="FLU291" s="1206"/>
      <c r="FLV291" s="1206"/>
      <c r="FLW291" s="1206"/>
      <c r="FLX291" s="1206"/>
      <c r="FLY291" s="1206"/>
      <c r="FLZ291" s="1206"/>
      <c r="FMA291" s="1206"/>
      <c r="FMB291" s="1206"/>
      <c r="FMC291" s="1207"/>
      <c r="FMD291" s="1206"/>
      <c r="FME291" s="1206"/>
      <c r="FMF291" s="1206"/>
      <c r="FMG291" s="1206"/>
      <c r="FMH291" s="1206"/>
      <c r="FMI291" s="1206"/>
      <c r="FMJ291" s="1206"/>
      <c r="FMK291" s="1206"/>
      <c r="FML291" s="1206"/>
      <c r="FMM291" s="1206"/>
      <c r="FMN291" s="1206"/>
      <c r="FMO291" s="1206"/>
      <c r="FMP291" s="1206"/>
      <c r="FMQ291" s="1206"/>
      <c r="FMR291" s="1206"/>
      <c r="FMS291" s="1206"/>
      <c r="FMT291" s="1207"/>
      <c r="FMU291" s="1206"/>
      <c r="FMV291" s="1206"/>
      <c r="FMW291" s="1206"/>
      <c r="FMX291" s="1206"/>
      <c r="FMY291" s="1206"/>
      <c r="FMZ291" s="1206"/>
      <c r="FNA291" s="1206"/>
      <c r="FNB291" s="1206"/>
      <c r="FNC291" s="1206"/>
      <c r="FND291" s="1206"/>
      <c r="FNE291" s="1206"/>
      <c r="FNF291" s="1206"/>
      <c r="FNG291" s="1206"/>
      <c r="FNH291" s="1206"/>
      <c r="FNI291" s="1206"/>
      <c r="FNJ291" s="1206"/>
      <c r="FNK291" s="1207"/>
      <c r="FNL291" s="1206"/>
      <c r="FNM291" s="1206"/>
      <c r="FNN291" s="1206"/>
      <c r="FNO291" s="1206"/>
      <c r="FNP291" s="1206"/>
      <c r="FNQ291" s="1206"/>
      <c r="FNR291" s="1206"/>
      <c r="FNS291" s="1206"/>
      <c r="FNT291" s="1206"/>
      <c r="FNU291" s="1206"/>
      <c r="FNV291" s="1206"/>
      <c r="FNW291" s="1206"/>
      <c r="FNX291" s="1206"/>
      <c r="FNY291" s="1206"/>
      <c r="FNZ291" s="1206"/>
      <c r="FOA291" s="1206"/>
      <c r="FOB291" s="1207"/>
      <c r="FOC291" s="1206"/>
      <c r="FOD291" s="1206"/>
      <c r="FOE291" s="1206"/>
      <c r="FOF291" s="1206"/>
      <c r="FOG291" s="1206"/>
      <c r="FOH291" s="1206"/>
      <c r="FOI291" s="1206"/>
      <c r="FOJ291" s="1206"/>
      <c r="FOK291" s="1206"/>
      <c r="FOL291" s="1206"/>
      <c r="FOM291" s="1206"/>
      <c r="FON291" s="1206"/>
      <c r="FOO291" s="1206"/>
      <c r="FOP291" s="1206"/>
      <c r="FOQ291" s="1206"/>
      <c r="FOR291" s="1206"/>
      <c r="FOS291" s="1207"/>
      <c r="FOT291" s="1206"/>
      <c r="FOU291" s="1206"/>
      <c r="FOV291" s="1206"/>
      <c r="FOW291" s="1206"/>
      <c r="FOX291" s="1206"/>
      <c r="FOY291" s="1206"/>
      <c r="FOZ291" s="1206"/>
      <c r="FPA291" s="1206"/>
      <c r="FPB291" s="1206"/>
      <c r="FPC291" s="1206"/>
      <c r="FPD291" s="1206"/>
      <c r="FPE291" s="1206"/>
      <c r="FPF291" s="1206"/>
      <c r="FPG291" s="1206"/>
      <c r="FPH291" s="1206"/>
      <c r="FPI291" s="1206"/>
      <c r="FPJ291" s="1207"/>
      <c r="FPK291" s="1206"/>
      <c r="FPL291" s="1206"/>
      <c r="FPM291" s="1206"/>
      <c r="FPN291" s="1206"/>
      <c r="FPO291" s="1206"/>
      <c r="FPP291" s="1206"/>
      <c r="FPQ291" s="1206"/>
      <c r="FPR291" s="1206"/>
      <c r="FPS291" s="1206"/>
      <c r="FPT291" s="1206"/>
      <c r="FPU291" s="1206"/>
      <c r="FPV291" s="1206"/>
      <c r="FPW291" s="1206"/>
      <c r="FPX291" s="1206"/>
      <c r="FPY291" s="1206"/>
      <c r="FPZ291" s="1206"/>
      <c r="FQA291" s="1207"/>
      <c r="FQB291" s="1206"/>
      <c r="FQC291" s="1206"/>
      <c r="FQD291" s="1206"/>
      <c r="FQE291" s="1206"/>
      <c r="FQF291" s="1206"/>
      <c r="FQG291" s="1206"/>
      <c r="FQH291" s="1206"/>
      <c r="FQI291" s="1206"/>
      <c r="FQJ291" s="1206"/>
      <c r="FQK291" s="1206"/>
      <c r="FQL291" s="1206"/>
      <c r="FQM291" s="1206"/>
      <c r="FQN291" s="1206"/>
      <c r="FQO291" s="1206"/>
      <c r="FQP291" s="1206"/>
      <c r="FQQ291" s="1206"/>
      <c r="FQR291" s="1207"/>
      <c r="FQS291" s="1206"/>
      <c r="FQT291" s="1206"/>
      <c r="FQU291" s="1206"/>
      <c r="FQV291" s="1206"/>
      <c r="FQW291" s="1206"/>
      <c r="FQX291" s="1206"/>
      <c r="FQY291" s="1206"/>
      <c r="FQZ291" s="1206"/>
      <c r="FRA291" s="1206"/>
      <c r="FRB291" s="1206"/>
      <c r="FRC291" s="1206"/>
      <c r="FRD291" s="1206"/>
      <c r="FRE291" s="1206"/>
      <c r="FRF291" s="1206"/>
      <c r="FRG291" s="1206"/>
      <c r="FRH291" s="1206"/>
      <c r="FRI291" s="1207"/>
      <c r="FRJ291" s="1206"/>
      <c r="FRK291" s="1206"/>
      <c r="FRL291" s="1206"/>
      <c r="FRM291" s="1206"/>
      <c r="FRN291" s="1206"/>
      <c r="FRO291" s="1206"/>
      <c r="FRP291" s="1206"/>
      <c r="FRQ291" s="1206"/>
      <c r="FRR291" s="1206"/>
      <c r="FRS291" s="1206"/>
      <c r="FRT291" s="1206"/>
      <c r="FRU291" s="1206"/>
      <c r="FRV291" s="1206"/>
      <c r="FRW291" s="1206"/>
      <c r="FRX291" s="1206"/>
      <c r="FRY291" s="1206"/>
      <c r="FRZ291" s="1207"/>
      <c r="FSA291" s="1206"/>
      <c r="FSB291" s="1206"/>
      <c r="FSC291" s="1206"/>
      <c r="FSD291" s="1206"/>
      <c r="FSE291" s="1206"/>
      <c r="FSF291" s="1206"/>
      <c r="FSG291" s="1206"/>
      <c r="FSH291" s="1206"/>
      <c r="FSI291" s="1206"/>
      <c r="FSJ291" s="1206"/>
      <c r="FSK291" s="1206"/>
      <c r="FSL291" s="1206"/>
      <c r="FSM291" s="1206"/>
      <c r="FSN291" s="1206"/>
      <c r="FSO291" s="1206"/>
      <c r="FSP291" s="1206"/>
      <c r="FSQ291" s="1207"/>
      <c r="FSR291" s="1206"/>
      <c r="FSS291" s="1206"/>
      <c r="FST291" s="1206"/>
      <c r="FSU291" s="1206"/>
      <c r="FSV291" s="1206"/>
      <c r="FSW291" s="1206"/>
      <c r="FSX291" s="1206"/>
      <c r="FSY291" s="1206"/>
      <c r="FSZ291" s="1206"/>
      <c r="FTA291" s="1206"/>
      <c r="FTB291" s="1206"/>
      <c r="FTC291" s="1206"/>
      <c r="FTD291" s="1206"/>
      <c r="FTE291" s="1206"/>
      <c r="FTF291" s="1206"/>
      <c r="FTG291" s="1206"/>
      <c r="FTH291" s="1207"/>
      <c r="FTI291" s="1206"/>
      <c r="FTJ291" s="1206"/>
      <c r="FTK291" s="1206"/>
      <c r="FTL291" s="1206"/>
      <c r="FTM291" s="1206"/>
      <c r="FTN291" s="1206"/>
      <c r="FTO291" s="1206"/>
      <c r="FTP291" s="1206"/>
      <c r="FTQ291" s="1206"/>
      <c r="FTR291" s="1206"/>
      <c r="FTS291" s="1206"/>
      <c r="FTT291" s="1206"/>
      <c r="FTU291" s="1206"/>
      <c r="FTV291" s="1206"/>
      <c r="FTW291" s="1206"/>
      <c r="FTX291" s="1206"/>
      <c r="FTY291" s="1207"/>
      <c r="FTZ291" s="1206"/>
      <c r="FUA291" s="1206"/>
      <c r="FUB291" s="1206"/>
      <c r="FUC291" s="1206"/>
      <c r="FUD291" s="1206"/>
      <c r="FUE291" s="1206"/>
      <c r="FUF291" s="1206"/>
      <c r="FUG291" s="1206"/>
      <c r="FUH291" s="1206"/>
      <c r="FUI291" s="1206"/>
      <c r="FUJ291" s="1206"/>
      <c r="FUK291" s="1206"/>
      <c r="FUL291" s="1206"/>
      <c r="FUM291" s="1206"/>
      <c r="FUN291" s="1206"/>
      <c r="FUO291" s="1206"/>
      <c r="FUP291" s="1207"/>
      <c r="FUQ291" s="1206"/>
      <c r="FUR291" s="1206"/>
      <c r="FUS291" s="1206"/>
      <c r="FUT291" s="1206"/>
      <c r="FUU291" s="1206"/>
      <c r="FUV291" s="1206"/>
      <c r="FUW291" s="1206"/>
      <c r="FUX291" s="1206"/>
      <c r="FUY291" s="1206"/>
      <c r="FUZ291" s="1206"/>
      <c r="FVA291" s="1206"/>
      <c r="FVB291" s="1206"/>
      <c r="FVC291" s="1206"/>
      <c r="FVD291" s="1206"/>
      <c r="FVE291" s="1206"/>
      <c r="FVF291" s="1206"/>
      <c r="FVG291" s="1207"/>
      <c r="FVH291" s="1206"/>
      <c r="FVI291" s="1206"/>
      <c r="FVJ291" s="1206"/>
      <c r="FVK291" s="1206"/>
      <c r="FVL291" s="1206"/>
      <c r="FVM291" s="1206"/>
      <c r="FVN291" s="1206"/>
      <c r="FVO291" s="1206"/>
      <c r="FVP291" s="1206"/>
      <c r="FVQ291" s="1206"/>
      <c r="FVR291" s="1206"/>
      <c r="FVS291" s="1206"/>
      <c r="FVT291" s="1206"/>
      <c r="FVU291" s="1206"/>
      <c r="FVV291" s="1206"/>
      <c r="FVW291" s="1206"/>
      <c r="FVX291" s="1207"/>
      <c r="FVY291" s="1206"/>
      <c r="FVZ291" s="1206"/>
      <c r="FWA291" s="1206"/>
      <c r="FWB291" s="1206"/>
      <c r="FWC291" s="1206"/>
      <c r="FWD291" s="1206"/>
      <c r="FWE291" s="1206"/>
      <c r="FWF291" s="1206"/>
      <c r="FWG291" s="1206"/>
      <c r="FWH291" s="1206"/>
      <c r="FWI291" s="1206"/>
      <c r="FWJ291" s="1206"/>
      <c r="FWK291" s="1206"/>
      <c r="FWL291" s="1206"/>
      <c r="FWM291" s="1206"/>
      <c r="FWN291" s="1206"/>
      <c r="FWO291" s="1207"/>
      <c r="FWP291" s="1206"/>
      <c r="FWQ291" s="1206"/>
      <c r="FWR291" s="1206"/>
      <c r="FWS291" s="1206"/>
      <c r="FWT291" s="1206"/>
      <c r="FWU291" s="1206"/>
      <c r="FWV291" s="1206"/>
      <c r="FWW291" s="1206"/>
      <c r="FWX291" s="1206"/>
      <c r="FWY291" s="1206"/>
      <c r="FWZ291" s="1206"/>
      <c r="FXA291" s="1206"/>
      <c r="FXB291" s="1206"/>
      <c r="FXC291" s="1206"/>
      <c r="FXD291" s="1206"/>
      <c r="FXE291" s="1206"/>
      <c r="FXF291" s="1207"/>
      <c r="FXG291" s="1206"/>
      <c r="FXH291" s="1206"/>
      <c r="FXI291" s="1206"/>
      <c r="FXJ291" s="1206"/>
      <c r="FXK291" s="1206"/>
      <c r="FXL291" s="1206"/>
      <c r="FXM291" s="1206"/>
      <c r="FXN291" s="1206"/>
      <c r="FXO291" s="1206"/>
      <c r="FXP291" s="1206"/>
      <c r="FXQ291" s="1206"/>
      <c r="FXR291" s="1206"/>
      <c r="FXS291" s="1206"/>
      <c r="FXT291" s="1206"/>
      <c r="FXU291" s="1206"/>
      <c r="FXV291" s="1206"/>
      <c r="FXW291" s="1207"/>
      <c r="FXX291" s="1206"/>
      <c r="FXY291" s="1206"/>
      <c r="FXZ291" s="1206"/>
      <c r="FYA291" s="1206"/>
      <c r="FYB291" s="1206"/>
      <c r="FYC291" s="1206"/>
      <c r="FYD291" s="1206"/>
      <c r="FYE291" s="1206"/>
      <c r="FYF291" s="1206"/>
      <c r="FYG291" s="1206"/>
      <c r="FYH291" s="1206"/>
      <c r="FYI291" s="1206"/>
      <c r="FYJ291" s="1206"/>
      <c r="FYK291" s="1206"/>
      <c r="FYL291" s="1206"/>
      <c r="FYM291" s="1206"/>
      <c r="FYN291" s="1207"/>
      <c r="FYO291" s="1206"/>
      <c r="FYP291" s="1206"/>
      <c r="FYQ291" s="1206"/>
      <c r="FYR291" s="1206"/>
      <c r="FYS291" s="1206"/>
      <c r="FYT291" s="1206"/>
      <c r="FYU291" s="1206"/>
      <c r="FYV291" s="1206"/>
      <c r="FYW291" s="1206"/>
      <c r="FYX291" s="1206"/>
      <c r="FYY291" s="1206"/>
      <c r="FYZ291" s="1206"/>
      <c r="FZA291" s="1206"/>
      <c r="FZB291" s="1206"/>
      <c r="FZC291" s="1206"/>
      <c r="FZD291" s="1206"/>
      <c r="FZE291" s="1207"/>
      <c r="FZF291" s="1206"/>
      <c r="FZG291" s="1206"/>
      <c r="FZH291" s="1206"/>
      <c r="FZI291" s="1206"/>
      <c r="FZJ291" s="1206"/>
      <c r="FZK291" s="1206"/>
      <c r="FZL291" s="1206"/>
      <c r="FZM291" s="1206"/>
      <c r="FZN291" s="1206"/>
      <c r="FZO291" s="1206"/>
      <c r="FZP291" s="1206"/>
      <c r="FZQ291" s="1206"/>
      <c r="FZR291" s="1206"/>
      <c r="FZS291" s="1206"/>
      <c r="FZT291" s="1206"/>
      <c r="FZU291" s="1206"/>
      <c r="FZV291" s="1207"/>
      <c r="FZW291" s="1206"/>
      <c r="FZX291" s="1206"/>
      <c r="FZY291" s="1206"/>
      <c r="FZZ291" s="1206"/>
      <c r="GAA291" s="1206"/>
      <c r="GAB291" s="1206"/>
      <c r="GAC291" s="1206"/>
      <c r="GAD291" s="1206"/>
      <c r="GAE291" s="1206"/>
      <c r="GAF291" s="1206"/>
      <c r="GAG291" s="1206"/>
      <c r="GAH291" s="1206"/>
      <c r="GAI291" s="1206"/>
      <c r="GAJ291" s="1206"/>
      <c r="GAK291" s="1206"/>
      <c r="GAL291" s="1206"/>
      <c r="GAM291" s="1207"/>
      <c r="GAN291" s="1206"/>
      <c r="GAO291" s="1206"/>
      <c r="GAP291" s="1206"/>
      <c r="GAQ291" s="1206"/>
      <c r="GAR291" s="1206"/>
      <c r="GAS291" s="1206"/>
      <c r="GAT291" s="1206"/>
      <c r="GAU291" s="1206"/>
      <c r="GAV291" s="1206"/>
      <c r="GAW291" s="1206"/>
      <c r="GAX291" s="1206"/>
      <c r="GAY291" s="1206"/>
      <c r="GAZ291" s="1206"/>
      <c r="GBA291" s="1206"/>
      <c r="GBB291" s="1206"/>
      <c r="GBC291" s="1206"/>
      <c r="GBD291" s="1207"/>
      <c r="GBE291" s="1206"/>
      <c r="GBF291" s="1206"/>
      <c r="GBG291" s="1206"/>
      <c r="GBH291" s="1206"/>
      <c r="GBI291" s="1206"/>
      <c r="GBJ291" s="1206"/>
      <c r="GBK291" s="1206"/>
      <c r="GBL291" s="1206"/>
      <c r="GBM291" s="1206"/>
      <c r="GBN291" s="1206"/>
      <c r="GBO291" s="1206"/>
      <c r="GBP291" s="1206"/>
      <c r="GBQ291" s="1206"/>
      <c r="GBR291" s="1206"/>
      <c r="GBS291" s="1206"/>
      <c r="GBT291" s="1206"/>
      <c r="GBU291" s="1207"/>
      <c r="GBV291" s="1206"/>
      <c r="GBW291" s="1206"/>
      <c r="GBX291" s="1206"/>
      <c r="GBY291" s="1206"/>
      <c r="GBZ291" s="1206"/>
      <c r="GCA291" s="1206"/>
      <c r="GCB291" s="1206"/>
      <c r="GCC291" s="1206"/>
      <c r="GCD291" s="1206"/>
      <c r="GCE291" s="1206"/>
      <c r="GCF291" s="1206"/>
      <c r="GCG291" s="1206"/>
      <c r="GCH291" s="1206"/>
      <c r="GCI291" s="1206"/>
      <c r="GCJ291" s="1206"/>
      <c r="GCK291" s="1206"/>
      <c r="GCL291" s="1207"/>
      <c r="GCM291" s="1206"/>
      <c r="GCN291" s="1206"/>
      <c r="GCO291" s="1206"/>
      <c r="GCP291" s="1206"/>
      <c r="GCQ291" s="1206"/>
      <c r="GCR291" s="1206"/>
      <c r="GCS291" s="1206"/>
      <c r="GCT291" s="1206"/>
      <c r="GCU291" s="1206"/>
      <c r="GCV291" s="1206"/>
      <c r="GCW291" s="1206"/>
      <c r="GCX291" s="1206"/>
      <c r="GCY291" s="1206"/>
      <c r="GCZ291" s="1206"/>
      <c r="GDA291" s="1206"/>
      <c r="GDB291" s="1206"/>
      <c r="GDC291" s="1207"/>
      <c r="GDD291" s="1206"/>
      <c r="GDE291" s="1206"/>
      <c r="GDF291" s="1206"/>
      <c r="GDG291" s="1206"/>
      <c r="GDH291" s="1206"/>
      <c r="GDI291" s="1206"/>
      <c r="GDJ291" s="1206"/>
      <c r="GDK291" s="1206"/>
      <c r="GDL291" s="1206"/>
      <c r="GDM291" s="1206"/>
      <c r="GDN291" s="1206"/>
      <c r="GDO291" s="1206"/>
      <c r="GDP291" s="1206"/>
      <c r="GDQ291" s="1206"/>
      <c r="GDR291" s="1206"/>
      <c r="GDS291" s="1206"/>
      <c r="GDT291" s="1207"/>
      <c r="GDU291" s="1206"/>
      <c r="GDV291" s="1206"/>
      <c r="GDW291" s="1206"/>
      <c r="GDX291" s="1206"/>
      <c r="GDY291" s="1206"/>
      <c r="GDZ291" s="1206"/>
      <c r="GEA291" s="1206"/>
      <c r="GEB291" s="1206"/>
      <c r="GEC291" s="1206"/>
      <c r="GED291" s="1206"/>
      <c r="GEE291" s="1206"/>
      <c r="GEF291" s="1206"/>
      <c r="GEG291" s="1206"/>
      <c r="GEH291" s="1206"/>
      <c r="GEI291" s="1206"/>
      <c r="GEJ291" s="1206"/>
      <c r="GEK291" s="1207"/>
      <c r="GEL291" s="1206"/>
      <c r="GEM291" s="1206"/>
      <c r="GEN291" s="1206"/>
      <c r="GEO291" s="1206"/>
      <c r="GEP291" s="1206"/>
      <c r="GEQ291" s="1206"/>
      <c r="GER291" s="1206"/>
      <c r="GES291" s="1206"/>
      <c r="GET291" s="1206"/>
      <c r="GEU291" s="1206"/>
      <c r="GEV291" s="1206"/>
      <c r="GEW291" s="1206"/>
      <c r="GEX291" s="1206"/>
      <c r="GEY291" s="1206"/>
      <c r="GEZ291" s="1206"/>
      <c r="GFA291" s="1206"/>
      <c r="GFB291" s="1207"/>
      <c r="GFC291" s="1206"/>
      <c r="GFD291" s="1206"/>
      <c r="GFE291" s="1206"/>
      <c r="GFF291" s="1206"/>
      <c r="GFG291" s="1206"/>
      <c r="GFH291" s="1206"/>
      <c r="GFI291" s="1206"/>
      <c r="GFJ291" s="1206"/>
      <c r="GFK291" s="1206"/>
      <c r="GFL291" s="1206"/>
      <c r="GFM291" s="1206"/>
      <c r="GFN291" s="1206"/>
      <c r="GFO291" s="1206"/>
      <c r="GFP291" s="1206"/>
      <c r="GFQ291" s="1206"/>
      <c r="GFR291" s="1206"/>
      <c r="GFS291" s="1207"/>
      <c r="GFT291" s="1206"/>
      <c r="GFU291" s="1206"/>
      <c r="GFV291" s="1206"/>
      <c r="GFW291" s="1206"/>
      <c r="GFX291" s="1206"/>
      <c r="GFY291" s="1206"/>
      <c r="GFZ291" s="1206"/>
      <c r="GGA291" s="1206"/>
      <c r="GGB291" s="1206"/>
      <c r="GGC291" s="1206"/>
      <c r="GGD291" s="1206"/>
      <c r="GGE291" s="1206"/>
      <c r="GGF291" s="1206"/>
      <c r="GGG291" s="1206"/>
      <c r="GGH291" s="1206"/>
      <c r="GGI291" s="1206"/>
      <c r="GGJ291" s="1207"/>
      <c r="GGK291" s="1206"/>
      <c r="GGL291" s="1206"/>
      <c r="GGM291" s="1206"/>
      <c r="GGN291" s="1206"/>
      <c r="GGO291" s="1206"/>
      <c r="GGP291" s="1206"/>
      <c r="GGQ291" s="1206"/>
      <c r="GGR291" s="1206"/>
      <c r="GGS291" s="1206"/>
      <c r="GGT291" s="1206"/>
      <c r="GGU291" s="1206"/>
      <c r="GGV291" s="1206"/>
      <c r="GGW291" s="1206"/>
      <c r="GGX291" s="1206"/>
      <c r="GGY291" s="1206"/>
      <c r="GGZ291" s="1206"/>
      <c r="GHA291" s="1207"/>
      <c r="GHB291" s="1206"/>
      <c r="GHC291" s="1206"/>
      <c r="GHD291" s="1206"/>
      <c r="GHE291" s="1206"/>
      <c r="GHF291" s="1206"/>
      <c r="GHG291" s="1206"/>
      <c r="GHH291" s="1206"/>
      <c r="GHI291" s="1206"/>
      <c r="GHJ291" s="1206"/>
      <c r="GHK291" s="1206"/>
      <c r="GHL291" s="1206"/>
      <c r="GHM291" s="1206"/>
      <c r="GHN291" s="1206"/>
      <c r="GHO291" s="1206"/>
      <c r="GHP291" s="1206"/>
      <c r="GHQ291" s="1206"/>
      <c r="GHR291" s="1207"/>
      <c r="GHS291" s="1206"/>
      <c r="GHT291" s="1206"/>
      <c r="GHU291" s="1206"/>
      <c r="GHV291" s="1206"/>
      <c r="GHW291" s="1206"/>
      <c r="GHX291" s="1206"/>
      <c r="GHY291" s="1206"/>
      <c r="GHZ291" s="1206"/>
      <c r="GIA291" s="1206"/>
      <c r="GIB291" s="1206"/>
      <c r="GIC291" s="1206"/>
      <c r="GID291" s="1206"/>
      <c r="GIE291" s="1206"/>
      <c r="GIF291" s="1206"/>
      <c r="GIG291" s="1206"/>
      <c r="GIH291" s="1206"/>
      <c r="GII291" s="1207"/>
      <c r="GIJ291" s="1206"/>
      <c r="GIK291" s="1206"/>
      <c r="GIL291" s="1206"/>
      <c r="GIM291" s="1206"/>
      <c r="GIN291" s="1206"/>
      <c r="GIO291" s="1206"/>
      <c r="GIP291" s="1206"/>
      <c r="GIQ291" s="1206"/>
      <c r="GIR291" s="1206"/>
      <c r="GIS291" s="1206"/>
      <c r="GIT291" s="1206"/>
      <c r="GIU291" s="1206"/>
      <c r="GIV291" s="1206"/>
      <c r="GIW291" s="1206"/>
      <c r="GIX291" s="1206"/>
      <c r="GIY291" s="1206"/>
      <c r="GIZ291" s="1207"/>
      <c r="GJA291" s="1206"/>
      <c r="GJB291" s="1206"/>
      <c r="GJC291" s="1206"/>
      <c r="GJD291" s="1206"/>
      <c r="GJE291" s="1206"/>
      <c r="GJF291" s="1206"/>
      <c r="GJG291" s="1206"/>
      <c r="GJH291" s="1206"/>
      <c r="GJI291" s="1206"/>
      <c r="GJJ291" s="1206"/>
      <c r="GJK291" s="1206"/>
      <c r="GJL291" s="1206"/>
      <c r="GJM291" s="1206"/>
      <c r="GJN291" s="1206"/>
      <c r="GJO291" s="1206"/>
      <c r="GJP291" s="1206"/>
      <c r="GJQ291" s="1207"/>
      <c r="GJR291" s="1206"/>
      <c r="GJS291" s="1206"/>
      <c r="GJT291" s="1206"/>
      <c r="GJU291" s="1206"/>
      <c r="GJV291" s="1206"/>
      <c r="GJW291" s="1206"/>
      <c r="GJX291" s="1206"/>
      <c r="GJY291" s="1206"/>
      <c r="GJZ291" s="1206"/>
      <c r="GKA291" s="1206"/>
      <c r="GKB291" s="1206"/>
      <c r="GKC291" s="1206"/>
      <c r="GKD291" s="1206"/>
      <c r="GKE291" s="1206"/>
      <c r="GKF291" s="1206"/>
      <c r="GKG291" s="1206"/>
      <c r="GKH291" s="1207"/>
      <c r="GKI291" s="1206"/>
      <c r="GKJ291" s="1206"/>
      <c r="GKK291" s="1206"/>
      <c r="GKL291" s="1206"/>
      <c r="GKM291" s="1206"/>
      <c r="GKN291" s="1206"/>
      <c r="GKO291" s="1206"/>
      <c r="GKP291" s="1206"/>
      <c r="GKQ291" s="1206"/>
      <c r="GKR291" s="1206"/>
      <c r="GKS291" s="1206"/>
      <c r="GKT291" s="1206"/>
      <c r="GKU291" s="1206"/>
      <c r="GKV291" s="1206"/>
      <c r="GKW291" s="1206"/>
      <c r="GKX291" s="1206"/>
      <c r="GKY291" s="1207"/>
      <c r="GKZ291" s="1206"/>
      <c r="GLA291" s="1206"/>
      <c r="GLB291" s="1206"/>
      <c r="GLC291" s="1206"/>
      <c r="GLD291" s="1206"/>
      <c r="GLE291" s="1206"/>
      <c r="GLF291" s="1206"/>
      <c r="GLG291" s="1206"/>
      <c r="GLH291" s="1206"/>
      <c r="GLI291" s="1206"/>
      <c r="GLJ291" s="1206"/>
      <c r="GLK291" s="1206"/>
      <c r="GLL291" s="1206"/>
      <c r="GLM291" s="1206"/>
      <c r="GLN291" s="1206"/>
      <c r="GLO291" s="1206"/>
      <c r="GLP291" s="1207"/>
      <c r="GLQ291" s="1206"/>
      <c r="GLR291" s="1206"/>
      <c r="GLS291" s="1206"/>
      <c r="GLT291" s="1206"/>
      <c r="GLU291" s="1206"/>
      <c r="GLV291" s="1206"/>
      <c r="GLW291" s="1206"/>
      <c r="GLX291" s="1206"/>
      <c r="GLY291" s="1206"/>
      <c r="GLZ291" s="1206"/>
      <c r="GMA291" s="1206"/>
      <c r="GMB291" s="1206"/>
      <c r="GMC291" s="1206"/>
      <c r="GMD291" s="1206"/>
      <c r="GME291" s="1206"/>
      <c r="GMF291" s="1206"/>
      <c r="GMG291" s="1207"/>
      <c r="GMH291" s="1206"/>
      <c r="GMI291" s="1206"/>
      <c r="GMJ291" s="1206"/>
      <c r="GMK291" s="1206"/>
      <c r="GML291" s="1206"/>
      <c r="GMM291" s="1206"/>
      <c r="GMN291" s="1206"/>
      <c r="GMO291" s="1206"/>
      <c r="GMP291" s="1206"/>
      <c r="GMQ291" s="1206"/>
      <c r="GMR291" s="1206"/>
      <c r="GMS291" s="1206"/>
      <c r="GMT291" s="1206"/>
      <c r="GMU291" s="1206"/>
      <c r="GMV291" s="1206"/>
      <c r="GMW291" s="1206"/>
      <c r="GMX291" s="1207"/>
      <c r="GMY291" s="1206"/>
      <c r="GMZ291" s="1206"/>
      <c r="GNA291" s="1206"/>
      <c r="GNB291" s="1206"/>
      <c r="GNC291" s="1206"/>
      <c r="GND291" s="1206"/>
      <c r="GNE291" s="1206"/>
      <c r="GNF291" s="1206"/>
      <c r="GNG291" s="1206"/>
      <c r="GNH291" s="1206"/>
      <c r="GNI291" s="1206"/>
      <c r="GNJ291" s="1206"/>
      <c r="GNK291" s="1206"/>
      <c r="GNL291" s="1206"/>
      <c r="GNM291" s="1206"/>
      <c r="GNN291" s="1206"/>
      <c r="GNO291" s="1207"/>
      <c r="GNP291" s="1206"/>
      <c r="GNQ291" s="1206"/>
      <c r="GNR291" s="1206"/>
      <c r="GNS291" s="1206"/>
      <c r="GNT291" s="1206"/>
      <c r="GNU291" s="1206"/>
      <c r="GNV291" s="1206"/>
      <c r="GNW291" s="1206"/>
      <c r="GNX291" s="1206"/>
      <c r="GNY291" s="1206"/>
      <c r="GNZ291" s="1206"/>
      <c r="GOA291" s="1206"/>
      <c r="GOB291" s="1206"/>
      <c r="GOC291" s="1206"/>
      <c r="GOD291" s="1206"/>
      <c r="GOE291" s="1206"/>
      <c r="GOF291" s="1207"/>
      <c r="GOG291" s="1206"/>
      <c r="GOH291" s="1206"/>
      <c r="GOI291" s="1206"/>
      <c r="GOJ291" s="1206"/>
      <c r="GOK291" s="1206"/>
      <c r="GOL291" s="1206"/>
      <c r="GOM291" s="1206"/>
      <c r="GON291" s="1206"/>
      <c r="GOO291" s="1206"/>
      <c r="GOP291" s="1206"/>
      <c r="GOQ291" s="1206"/>
      <c r="GOR291" s="1206"/>
      <c r="GOS291" s="1206"/>
      <c r="GOT291" s="1206"/>
      <c r="GOU291" s="1206"/>
      <c r="GOV291" s="1206"/>
      <c r="GOW291" s="1207"/>
      <c r="GOX291" s="1206"/>
      <c r="GOY291" s="1206"/>
      <c r="GOZ291" s="1206"/>
      <c r="GPA291" s="1206"/>
      <c r="GPB291" s="1206"/>
      <c r="GPC291" s="1206"/>
      <c r="GPD291" s="1206"/>
      <c r="GPE291" s="1206"/>
      <c r="GPF291" s="1206"/>
      <c r="GPG291" s="1206"/>
      <c r="GPH291" s="1206"/>
      <c r="GPI291" s="1206"/>
      <c r="GPJ291" s="1206"/>
      <c r="GPK291" s="1206"/>
      <c r="GPL291" s="1206"/>
      <c r="GPM291" s="1206"/>
      <c r="GPN291" s="1207"/>
      <c r="GPO291" s="1206"/>
      <c r="GPP291" s="1206"/>
      <c r="GPQ291" s="1206"/>
      <c r="GPR291" s="1206"/>
      <c r="GPS291" s="1206"/>
      <c r="GPT291" s="1206"/>
      <c r="GPU291" s="1206"/>
      <c r="GPV291" s="1206"/>
      <c r="GPW291" s="1206"/>
      <c r="GPX291" s="1206"/>
      <c r="GPY291" s="1206"/>
      <c r="GPZ291" s="1206"/>
      <c r="GQA291" s="1206"/>
      <c r="GQB291" s="1206"/>
      <c r="GQC291" s="1206"/>
      <c r="GQD291" s="1206"/>
      <c r="GQE291" s="1207"/>
      <c r="GQF291" s="1206"/>
      <c r="GQG291" s="1206"/>
      <c r="GQH291" s="1206"/>
      <c r="GQI291" s="1206"/>
      <c r="GQJ291" s="1206"/>
      <c r="GQK291" s="1206"/>
      <c r="GQL291" s="1206"/>
      <c r="GQM291" s="1206"/>
      <c r="GQN291" s="1206"/>
      <c r="GQO291" s="1206"/>
      <c r="GQP291" s="1206"/>
      <c r="GQQ291" s="1206"/>
      <c r="GQR291" s="1206"/>
      <c r="GQS291" s="1206"/>
      <c r="GQT291" s="1206"/>
      <c r="GQU291" s="1206"/>
      <c r="GQV291" s="1207"/>
      <c r="GQW291" s="1206"/>
      <c r="GQX291" s="1206"/>
      <c r="GQY291" s="1206"/>
      <c r="GQZ291" s="1206"/>
      <c r="GRA291" s="1206"/>
      <c r="GRB291" s="1206"/>
      <c r="GRC291" s="1206"/>
      <c r="GRD291" s="1206"/>
      <c r="GRE291" s="1206"/>
      <c r="GRF291" s="1206"/>
      <c r="GRG291" s="1206"/>
      <c r="GRH291" s="1206"/>
      <c r="GRI291" s="1206"/>
      <c r="GRJ291" s="1206"/>
      <c r="GRK291" s="1206"/>
      <c r="GRL291" s="1206"/>
      <c r="GRM291" s="1207"/>
      <c r="GRN291" s="1206"/>
      <c r="GRO291" s="1206"/>
      <c r="GRP291" s="1206"/>
      <c r="GRQ291" s="1206"/>
      <c r="GRR291" s="1206"/>
      <c r="GRS291" s="1206"/>
      <c r="GRT291" s="1206"/>
      <c r="GRU291" s="1206"/>
      <c r="GRV291" s="1206"/>
      <c r="GRW291" s="1206"/>
      <c r="GRX291" s="1206"/>
      <c r="GRY291" s="1206"/>
      <c r="GRZ291" s="1206"/>
      <c r="GSA291" s="1206"/>
      <c r="GSB291" s="1206"/>
      <c r="GSC291" s="1206"/>
      <c r="GSD291" s="1207"/>
      <c r="GSE291" s="1206"/>
      <c r="GSF291" s="1206"/>
      <c r="GSG291" s="1206"/>
      <c r="GSH291" s="1206"/>
      <c r="GSI291" s="1206"/>
      <c r="GSJ291" s="1206"/>
      <c r="GSK291" s="1206"/>
      <c r="GSL291" s="1206"/>
      <c r="GSM291" s="1206"/>
      <c r="GSN291" s="1206"/>
      <c r="GSO291" s="1206"/>
      <c r="GSP291" s="1206"/>
      <c r="GSQ291" s="1206"/>
      <c r="GSR291" s="1206"/>
      <c r="GSS291" s="1206"/>
      <c r="GST291" s="1206"/>
      <c r="GSU291" s="1207"/>
      <c r="GSV291" s="1206"/>
      <c r="GSW291" s="1206"/>
      <c r="GSX291" s="1206"/>
      <c r="GSY291" s="1206"/>
      <c r="GSZ291" s="1206"/>
      <c r="GTA291" s="1206"/>
      <c r="GTB291" s="1206"/>
      <c r="GTC291" s="1206"/>
      <c r="GTD291" s="1206"/>
      <c r="GTE291" s="1206"/>
      <c r="GTF291" s="1206"/>
      <c r="GTG291" s="1206"/>
      <c r="GTH291" s="1206"/>
      <c r="GTI291" s="1206"/>
      <c r="GTJ291" s="1206"/>
      <c r="GTK291" s="1206"/>
      <c r="GTL291" s="1207"/>
      <c r="GTM291" s="1206"/>
      <c r="GTN291" s="1206"/>
      <c r="GTO291" s="1206"/>
      <c r="GTP291" s="1206"/>
      <c r="GTQ291" s="1206"/>
      <c r="GTR291" s="1206"/>
      <c r="GTS291" s="1206"/>
      <c r="GTT291" s="1206"/>
      <c r="GTU291" s="1206"/>
      <c r="GTV291" s="1206"/>
      <c r="GTW291" s="1206"/>
      <c r="GTX291" s="1206"/>
      <c r="GTY291" s="1206"/>
      <c r="GTZ291" s="1206"/>
      <c r="GUA291" s="1206"/>
      <c r="GUB291" s="1206"/>
      <c r="GUC291" s="1207"/>
      <c r="GUD291" s="1206"/>
      <c r="GUE291" s="1206"/>
      <c r="GUF291" s="1206"/>
      <c r="GUG291" s="1206"/>
      <c r="GUH291" s="1206"/>
      <c r="GUI291" s="1206"/>
      <c r="GUJ291" s="1206"/>
      <c r="GUK291" s="1206"/>
      <c r="GUL291" s="1206"/>
      <c r="GUM291" s="1206"/>
      <c r="GUN291" s="1206"/>
      <c r="GUO291" s="1206"/>
      <c r="GUP291" s="1206"/>
      <c r="GUQ291" s="1206"/>
      <c r="GUR291" s="1206"/>
      <c r="GUS291" s="1206"/>
      <c r="GUT291" s="1207"/>
      <c r="GUU291" s="1206"/>
      <c r="GUV291" s="1206"/>
      <c r="GUW291" s="1206"/>
      <c r="GUX291" s="1206"/>
      <c r="GUY291" s="1206"/>
      <c r="GUZ291" s="1206"/>
      <c r="GVA291" s="1206"/>
      <c r="GVB291" s="1206"/>
      <c r="GVC291" s="1206"/>
      <c r="GVD291" s="1206"/>
      <c r="GVE291" s="1206"/>
      <c r="GVF291" s="1206"/>
      <c r="GVG291" s="1206"/>
      <c r="GVH291" s="1206"/>
      <c r="GVI291" s="1206"/>
      <c r="GVJ291" s="1206"/>
      <c r="GVK291" s="1207"/>
      <c r="GVL291" s="1206"/>
      <c r="GVM291" s="1206"/>
      <c r="GVN291" s="1206"/>
      <c r="GVO291" s="1206"/>
      <c r="GVP291" s="1206"/>
      <c r="GVQ291" s="1206"/>
      <c r="GVR291" s="1206"/>
      <c r="GVS291" s="1206"/>
      <c r="GVT291" s="1206"/>
      <c r="GVU291" s="1206"/>
      <c r="GVV291" s="1206"/>
      <c r="GVW291" s="1206"/>
      <c r="GVX291" s="1206"/>
      <c r="GVY291" s="1206"/>
      <c r="GVZ291" s="1206"/>
      <c r="GWA291" s="1206"/>
      <c r="GWB291" s="1207"/>
      <c r="GWC291" s="1206"/>
      <c r="GWD291" s="1206"/>
      <c r="GWE291" s="1206"/>
      <c r="GWF291" s="1206"/>
      <c r="GWG291" s="1206"/>
      <c r="GWH291" s="1206"/>
      <c r="GWI291" s="1206"/>
      <c r="GWJ291" s="1206"/>
      <c r="GWK291" s="1206"/>
      <c r="GWL291" s="1206"/>
      <c r="GWM291" s="1206"/>
      <c r="GWN291" s="1206"/>
      <c r="GWO291" s="1206"/>
      <c r="GWP291" s="1206"/>
      <c r="GWQ291" s="1206"/>
      <c r="GWR291" s="1206"/>
      <c r="GWS291" s="1207"/>
      <c r="GWT291" s="1206"/>
      <c r="GWU291" s="1206"/>
      <c r="GWV291" s="1206"/>
      <c r="GWW291" s="1206"/>
      <c r="GWX291" s="1206"/>
      <c r="GWY291" s="1206"/>
      <c r="GWZ291" s="1206"/>
      <c r="GXA291" s="1206"/>
      <c r="GXB291" s="1206"/>
      <c r="GXC291" s="1206"/>
      <c r="GXD291" s="1206"/>
      <c r="GXE291" s="1206"/>
      <c r="GXF291" s="1206"/>
      <c r="GXG291" s="1206"/>
      <c r="GXH291" s="1206"/>
      <c r="GXI291" s="1206"/>
      <c r="GXJ291" s="1207"/>
      <c r="GXK291" s="1206"/>
      <c r="GXL291" s="1206"/>
      <c r="GXM291" s="1206"/>
      <c r="GXN291" s="1206"/>
      <c r="GXO291" s="1206"/>
      <c r="GXP291" s="1206"/>
      <c r="GXQ291" s="1206"/>
      <c r="GXR291" s="1206"/>
      <c r="GXS291" s="1206"/>
      <c r="GXT291" s="1206"/>
      <c r="GXU291" s="1206"/>
      <c r="GXV291" s="1206"/>
      <c r="GXW291" s="1206"/>
      <c r="GXX291" s="1206"/>
      <c r="GXY291" s="1206"/>
      <c r="GXZ291" s="1206"/>
      <c r="GYA291" s="1207"/>
      <c r="GYB291" s="1206"/>
      <c r="GYC291" s="1206"/>
      <c r="GYD291" s="1206"/>
      <c r="GYE291" s="1206"/>
      <c r="GYF291" s="1206"/>
      <c r="GYG291" s="1206"/>
      <c r="GYH291" s="1206"/>
      <c r="GYI291" s="1206"/>
      <c r="GYJ291" s="1206"/>
      <c r="GYK291" s="1206"/>
      <c r="GYL291" s="1206"/>
      <c r="GYM291" s="1206"/>
      <c r="GYN291" s="1206"/>
      <c r="GYO291" s="1206"/>
      <c r="GYP291" s="1206"/>
      <c r="GYQ291" s="1206"/>
      <c r="GYR291" s="1207"/>
      <c r="GYS291" s="1206"/>
      <c r="GYT291" s="1206"/>
      <c r="GYU291" s="1206"/>
      <c r="GYV291" s="1206"/>
      <c r="GYW291" s="1206"/>
      <c r="GYX291" s="1206"/>
      <c r="GYY291" s="1206"/>
      <c r="GYZ291" s="1206"/>
      <c r="GZA291" s="1206"/>
      <c r="GZB291" s="1206"/>
      <c r="GZC291" s="1206"/>
      <c r="GZD291" s="1206"/>
      <c r="GZE291" s="1206"/>
      <c r="GZF291" s="1206"/>
      <c r="GZG291" s="1206"/>
      <c r="GZH291" s="1206"/>
      <c r="GZI291" s="1207"/>
      <c r="GZJ291" s="1206"/>
      <c r="GZK291" s="1206"/>
      <c r="GZL291" s="1206"/>
      <c r="GZM291" s="1206"/>
      <c r="GZN291" s="1206"/>
      <c r="GZO291" s="1206"/>
      <c r="GZP291" s="1206"/>
      <c r="GZQ291" s="1206"/>
      <c r="GZR291" s="1206"/>
      <c r="GZS291" s="1206"/>
      <c r="GZT291" s="1206"/>
      <c r="GZU291" s="1206"/>
      <c r="GZV291" s="1206"/>
      <c r="GZW291" s="1206"/>
      <c r="GZX291" s="1206"/>
      <c r="GZY291" s="1206"/>
      <c r="GZZ291" s="1207"/>
      <c r="HAA291" s="1206"/>
      <c r="HAB291" s="1206"/>
      <c r="HAC291" s="1206"/>
      <c r="HAD291" s="1206"/>
      <c r="HAE291" s="1206"/>
      <c r="HAF291" s="1206"/>
      <c r="HAG291" s="1206"/>
      <c r="HAH291" s="1206"/>
      <c r="HAI291" s="1206"/>
      <c r="HAJ291" s="1206"/>
      <c r="HAK291" s="1206"/>
      <c r="HAL291" s="1206"/>
      <c r="HAM291" s="1206"/>
      <c r="HAN291" s="1206"/>
      <c r="HAO291" s="1206"/>
      <c r="HAP291" s="1206"/>
      <c r="HAQ291" s="1207"/>
      <c r="HAR291" s="1206"/>
      <c r="HAS291" s="1206"/>
      <c r="HAT291" s="1206"/>
      <c r="HAU291" s="1206"/>
      <c r="HAV291" s="1206"/>
      <c r="HAW291" s="1206"/>
      <c r="HAX291" s="1206"/>
      <c r="HAY291" s="1206"/>
      <c r="HAZ291" s="1206"/>
      <c r="HBA291" s="1206"/>
      <c r="HBB291" s="1206"/>
      <c r="HBC291" s="1206"/>
      <c r="HBD291" s="1206"/>
      <c r="HBE291" s="1206"/>
      <c r="HBF291" s="1206"/>
      <c r="HBG291" s="1206"/>
      <c r="HBH291" s="1207"/>
      <c r="HBI291" s="1206"/>
      <c r="HBJ291" s="1206"/>
      <c r="HBK291" s="1206"/>
      <c r="HBL291" s="1206"/>
      <c r="HBM291" s="1206"/>
      <c r="HBN291" s="1206"/>
      <c r="HBO291" s="1206"/>
      <c r="HBP291" s="1206"/>
      <c r="HBQ291" s="1206"/>
      <c r="HBR291" s="1206"/>
      <c r="HBS291" s="1206"/>
      <c r="HBT291" s="1206"/>
      <c r="HBU291" s="1206"/>
      <c r="HBV291" s="1206"/>
      <c r="HBW291" s="1206"/>
      <c r="HBX291" s="1206"/>
      <c r="HBY291" s="1207"/>
      <c r="HBZ291" s="1206"/>
      <c r="HCA291" s="1206"/>
      <c r="HCB291" s="1206"/>
      <c r="HCC291" s="1206"/>
      <c r="HCD291" s="1206"/>
      <c r="HCE291" s="1206"/>
      <c r="HCF291" s="1206"/>
      <c r="HCG291" s="1206"/>
      <c r="HCH291" s="1206"/>
      <c r="HCI291" s="1206"/>
      <c r="HCJ291" s="1206"/>
      <c r="HCK291" s="1206"/>
      <c r="HCL291" s="1206"/>
      <c r="HCM291" s="1206"/>
      <c r="HCN291" s="1206"/>
      <c r="HCO291" s="1206"/>
      <c r="HCP291" s="1207"/>
      <c r="HCQ291" s="1206"/>
      <c r="HCR291" s="1206"/>
      <c r="HCS291" s="1206"/>
      <c r="HCT291" s="1206"/>
      <c r="HCU291" s="1206"/>
      <c r="HCV291" s="1206"/>
      <c r="HCW291" s="1206"/>
      <c r="HCX291" s="1206"/>
      <c r="HCY291" s="1206"/>
      <c r="HCZ291" s="1206"/>
      <c r="HDA291" s="1206"/>
      <c r="HDB291" s="1206"/>
      <c r="HDC291" s="1206"/>
      <c r="HDD291" s="1206"/>
      <c r="HDE291" s="1206"/>
      <c r="HDF291" s="1206"/>
      <c r="HDG291" s="1207"/>
      <c r="HDH291" s="1206"/>
      <c r="HDI291" s="1206"/>
      <c r="HDJ291" s="1206"/>
      <c r="HDK291" s="1206"/>
      <c r="HDL291" s="1206"/>
      <c r="HDM291" s="1206"/>
      <c r="HDN291" s="1206"/>
      <c r="HDO291" s="1206"/>
      <c r="HDP291" s="1206"/>
      <c r="HDQ291" s="1206"/>
      <c r="HDR291" s="1206"/>
      <c r="HDS291" s="1206"/>
      <c r="HDT291" s="1206"/>
      <c r="HDU291" s="1206"/>
      <c r="HDV291" s="1206"/>
      <c r="HDW291" s="1206"/>
      <c r="HDX291" s="1207"/>
      <c r="HDY291" s="1206"/>
      <c r="HDZ291" s="1206"/>
      <c r="HEA291" s="1206"/>
      <c r="HEB291" s="1206"/>
      <c r="HEC291" s="1206"/>
      <c r="HED291" s="1206"/>
      <c r="HEE291" s="1206"/>
      <c r="HEF291" s="1206"/>
      <c r="HEG291" s="1206"/>
      <c r="HEH291" s="1206"/>
      <c r="HEI291" s="1206"/>
      <c r="HEJ291" s="1206"/>
      <c r="HEK291" s="1206"/>
      <c r="HEL291" s="1206"/>
      <c r="HEM291" s="1206"/>
      <c r="HEN291" s="1206"/>
      <c r="HEO291" s="1207"/>
      <c r="HEP291" s="1206"/>
      <c r="HEQ291" s="1206"/>
      <c r="HER291" s="1206"/>
      <c r="HES291" s="1206"/>
      <c r="HET291" s="1206"/>
      <c r="HEU291" s="1206"/>
      <c r="HEV291" s="1206"/>
      <c r="HEW291" s="1206"/>
      <c r="HEX291" s="1206"/>
      <c r="HEY291" s="1206"/>
      <c r="HEZ291" s="1206"/>
      <c r="HFA291" s="1206"/>
      <c r="HFB291" s="1206"/>
      <c r="HFC291" s="1206"/>
      <c r="HFD291" s="1206"/>
      <c r="HFE291" s="1206"/>
      <c r="HFF291" s="1207"/>
      <c r="HFG291" s="1206"/>
      <c r="HFH291" s="1206"/>
      <c r="HFI291" s="1206"/>
      <c r="HFJ291" s="1206"/>
      <c r="HFK291" s="1206"/>
      <c r="HFL291" s="1206"/>
      <c r="HFM291" s="1206"/>
      <c r="HFN291" s="1206"/>
      <c r="HFO291" s="1206"/>
      <c r="HFP291" s="1206"/>
      <c r="HFQ291" s="1206"/>
      <c r="HFR291" s="1206"/>
      <c r="HFS291" s="1206"/>
      <c r="HFT291" s="1206"/>
      <c r="HFU291" s="1206"/>
      <c r="HFV291" s="1206"/>
      <c r="HFW291" s="1207"/>
      <c r="HFX291" s="1206"/>
      <c r="HFY291" s="1206"/>
      <c r="HFZ291" s="1206"/>
      <c r="HGA291" s="1206"/>
      <c r="HGB291" s="1206"/>
      <c r="HGC291" s="1206"/>
      <c r="HGD291" s="1206"/>
      <c r="HGE291" s="1206"/>
      <c r="HGF291" s="1206"/>
      <c r="HGG291" s="1206"/>
      <c r="HGH291" s="1206"/>
      <c r="HGI291" s="1206"/>
      <c r="HGJ291" s="1206"/>
      <c r="HGK291" s="1206"/>
      <c r="HGL291" s="1206"/>
      <c r="HGM291" s="1206"/>
      <c r="HGN291" s="1207"/>
      <c r="HGO291" s="1206"/>
      <c r="HGP291" s="1206"/>
      <c r="HGQ291" s="1206"/>
      <c r="HGR291" s="1206"/>
      <c r="HGS291" s="1206"/>
      <c r="HGT291" s="1206"/>
      <c r="HGU291" s="1206"/>
      <c r="HGV291" s="1206"/>
      <c r="HGW291" s="1206"/>
      <c r="HGX291" s="1206"/>
      <c r="HGY291" s="1206"/>
      <c r="HGZ291" s="1206"/>
      <c r="HHA291" s="1206"/>
      <c r="HHB291" s="1206"/>
      <c r="HHC291" s="1206"/>
      <c r="HHD291" s="1206"/>
      <c r="HHE291" s="1207"/>
      <c r="HHF291" s="1206"/>
      <c r="HHG291" s="1206"/>
      <c r="HHH291" s="1206"/>
      <c r="HHI291" s="1206"/>
      <c r="HHJ291" s="1206"/>
      <c r="HHK291" s="1206"/>
      <c r="HHL291" s="1206"/>
      <c r="HHM291" s="1206"/>
      <c r="HHN291" s="1206"/>
      <c r="HHO291" s="1206"/>
      <c r="HHP291" s="1206"/>
      <c r="HHQ291" s="1206"/>
      <c r="HHR291" s="1206"/>
      <c r="HHS291" s="1206"/>
      <c r="HHT291" s="1206"/>
      <c r="HHU291" s="1206"/>
      <c r="HHV291" s="1207"/>
      <c r="HHW291" s="1206"/>
      <c r="HHX291" s="1206"/>
      <c r="HHY291" s="1206"/>
      <c r="HHZ291" s="1206"/>
      <c r="HIA291" s="1206"/>
      <c r="HIB291" s="1206"/>
      <c r="HIC291" s="1206"/>
      <c r="HID291" s="1206"/>
      <c r="HIE291" s="1206"/>
      <c r="HIF291" s="1206"/>
      <c r="HIG291" s="1206"/>
      <c r="HIH291" s="1206"/>
      <c r="HII291" s="1206"/>
      <c r="HIJ291" s="1206"/>
      <c r="HIK291" s="1206"/>
      <c r="HIL291" s="1206"/>
      <c r="HIM291" s="1207"/>
      <c r="HIN291" s="1206"/>
      <c r="HIO291" s="1206"/>
      <c r="HIP291" s="1206"/>
      <c r="HIQ291" s="1206"/>
      <c r="HIR291" s="1206"/>
      <c r="HIS291" s="1206"/>
      <c r="HIT291" s="1206"/>
      <c r="HIU291" s="1206"/>
      <c r="HIV291" s="1206"/>
      <c r="HIW291" s="1206"/>
      <c r="HIX291" s="1206"/>
      <c r="HIY291" s="1206"/>
      <c r="HIZ291" s="1206"/>
      <c r="HJA291" s="1206"/>
      <c r="HJB291" s="1206"/>
      <c r="HJC291" s="1206"/>
      <c r="HJD291" s="1207"/>
      <c r="HJE291" s="1206"/>
      <c r="HJF291" s="1206"/>
      <c r="HJG291" s="1206"/>
      <c r="HJH291" s="1206"/>
      <c r="HJI291" s="1206"/>
      <c r="HJJ291" s="1206"/>
      <c r="HJK291" s="1206"/>
      <c r="HJL291" s="1206"/>
      <c r="HJM291" s="1206"/>
      <c r="HJN291" s="1206"/>
      <c r="HJO291" s="1206"/>
      <c r="HJP291" s="1206"/>
      <c r="HJQ291" s="1206"/>
      <c r="HJR291" s="1206"/>
      <c r="HJS291" s="1206"/>
      <c r="HJT291" s="1206"/>
      <c r="HJU291" s="1207"/>
      <c r="HJV291" s="1206"/>
      <c r="HJW291" s="1206"/>
      <c r="HJX291" s="1206"/>
      <c r="HJY291" s="1206"/>
      <c r="HJZ291" s="1206"/>
      <c r="HKA291" s="1206"/>
      <c r="HKB291" s="1206"/>
      <c r="HKC291" s="1206"/>
      <c r="HKD291" s="1206"/>
      <c r="HKE291" s="1206"/>
      <c r="HKF291" s="1206"/>
      <c r="HKG291" s="1206"/>
      <c r="HKH291" s="1206"/>
      <c r="HKI291" s="1206"/>
      <c r="HKJ291" s="1206"/>
      <c r="HKK291" s="1206"/>
      <c r="HKL291" s="1207"/>
      <c r="HKM291" s="1206"/>
      <c r="HKN291" s="1206"/>
      <c r="HKO291" s="1206"/>
      <c r="HKP291" s="1206"/>
      <c r="HKQ291" s="1206"/>
      <c r="HKR291" s="1206"/>
      <c r="HKS291" s="1206"/>
      <c r="HKT291" s="1206"/>
      <c r="HKU291" s="1206"/>
      <c r="HKV291" s="1206"/>
      <c r="HKW291" s="1206"/>
      <c r="HKX291" s="1206"/>
      <c r="HKY291" s="1206"/>
      <c r="HKZ291" s="1206"/>
      <c r="HLA291" s="1206"/>
      <c r="HLB291" s="1206"/>
      <c r="HLC291" s="1207"/>
      <c r="HLD291" s="1206"/>
      <c r="HLE291" s="1206"/>
      <c r="HLF291" s="1206"/>
      <c r="HLG291" s="1206"/>
      <c r="HLH291" s="1206"/>
      <c r="HLI291" s="1206"/>
      <c r="HLJ291" s="1206"/>
      <c r="HLK291" s="1206"/>
      <c r="HLL291" s="1206"/>
      <c r="HLM291" s="1206"/>
      <c r="HLN291" s="1206"/>
      <c r="HLO291" s="1206"/>
      <c r="HLP291" s="1206"/>
      <c r="HLQ291" s="1206"/>
      <c r="HLR291" s="1206"/>
      <c r="HLS291" s="1206"/>
      <c r="HLT291" s="1207"/>
      <c r="HLU291" s="1206"/>
      <c r="HLV291" s="1206"/>
      <c r="HLW291" s="1206"/>
      <c r="HLX291" s="1206"/>
      <c r="HLY291" s="1206"/>
      <c r="HLZ291" s="1206"/>
      <c r="HMA291" s="1206"/>
      <c r="HMB291" s="1206"/>
      <c r="HMC291" s="1206"/>
      <c r="HMD291" s="1206"/>
      <c r="HME291" s="1206"/>
      <c r="HMF291" s="1206"/>
      <c r="HMG291" s="1206"/>
      <c r="HMH291" s="1206"/>
      <c r="HMI291" s="1206"/>
      <c r="HMJ291" s="1206"/>
      <c r="HMK291" s="1207"/>
      <c r="HML291" s="1206"/>
      <c r="HMM291" s="1206"/>
      <c r="HMN291" s="1206"/>
      <c r="HMO291" s="1206"/>
      <c r="HMP291" s="1206"/>
      <c r="HMQ291" s="1206"/>
      <c r="HMR291" s="1206"/>
      <c r="HMS291" s="1206"/>
      <c r="HMT291" s="1206"/>
      <c r="HMU291" s="1206"/>
      <c r="HMV291" s="1206"/>
      <c r="HMW291" s="1206"/>
      <c r="HMX291" s="1206"/>
      <c r="HMY291" s="1206"/>
      <c r="HMZ291" s="1206"/>
      <c r="HNA291" s="1206"/>
      <c r="HNB291" s="1207"/>
      <c r="HNC291" s="1206"/>
      <c r="HND291" s="1206"/>
      <c r="HNE291" s="1206"/>
      <c r="HNF291" s="1206"/>
      <c r="HNG291" s="1206"/>
      <c r="HNH291" s="1206"/>
      <c r="HNI291" s="1206"/>
      <c r="HNJ291" s="1206"/>
      <c r="HNK291" s="1206"/>
      <c r="HNL291" s="1206"/>
      <c r="HNM291" s="1206"/>
      <c r="HNN291" s="1206"/>
      <c r="HNO291" s="1206"/>
      <c r="HNP291" s="1206"/>
      <c r="HNQ291" s="1206"/>
      <c r="HNR291" s="1206"/>
      <c r="HNS291" s="1207"/>
      <c r="HNT291" s="1206"/>
      <c r="HNU291" s="1206"/>
      <c r="HNV291" s="1206"/>
      <c r="HNW291" s="1206"/>
      <c r="HNX291" s="1206"/>
      <c r="HNY291" s="1206"/>
      <c r="HNZ291" s="1206"/>
      <c r="HOA291" s="1206"/>
      <c r="HOB291" s="1206"/>
      <c r="HOC291" s="1206"/>
      <c r="HOD291" s="1206"/>
      <c r="HOE291" s="1206"/>
      <c r="HOF291" s="1206"/>
      <c r="HOG291" s="1206"/>
      <c r="HOH291" s="1206"/>
      <c r="HOI291" s="1206"/>
      <c r="HOJ291" s="1207"/>
      <c r="HOK291" s="1206"/>
      <c r="HOL291" s="1206"/>
      <c r="HOM291" s="1206"/>
      <c r="HON291" s="1206"/>
      <c r="HOO291" s="1206"/>
      <c r="HOP291" s="1206"/>
      <c r="HOQ291" s="1206"/>
      <c r="HOR291" s="1206"/>
      <c r="HOS291" s="1206"/>
      <c r="HOT291" s="1206"/>
      <c r="HOU291" s="1206"/>
      <c r="HOV291" s="1206"/>
      <c r="HOW291" s="1206"/>
      <c r="HOX291" s="1206"/>
      <c r="HOY291" s="1206"/>
      <c r="HOZ291" s="1206"/>
      <c r="HPA291" s="1207"/>
      <c r="HPB291" s="1206"/>
      <c r="HPC291" s="1206"/>
      <c r="HPD291" s="1206"/>
      <c r="HPE291" s="1206"/>
      <c r="HPF291" s="1206"/>
      <c r="HPG291" s="1206"/>
      <c r="HPH291" s="1206"/>
      <c r="HPI291" s="1206"/>
      <c r="HPJ291" s="1206"/>
      <c r="HPK291" s="1206"/>
      <c r="HPL291" s="1206"/>
      <c r="HPM291" s="1206"/>
      <c r="HPN291" s="1206"/>
      <c r="HPO291" s="1206"/>
      <c r="HPP291" s="1206"/>
      <c r="HPQ291" s="1206"/>
      <c r="HPR291" s="1207"/>
      <c r="HPS291" s="1206"/>
      <c r="HPT291" s="1206"/>
      <c r="HPU291" s="1206"/>
      <c r="HPV291" s="1206"/>
      <c r="HPW291" s="1206"/>
      <c r="HPX291" s="1206"/>
      <c r="HPY291" s="1206"/>
      <c r="HPZ291" s="1206"/>
      <c r="HQA291" s="1206"/>
      <c r="HQB291" s="1206"/>
      <c r="HQC291" s="1206"/>
      <c r="HQD291" s="1206"/>
      <c r="HQE291" s="1206"/>
      <c r="HQF291" s="1206"/>
      <c r="HQG291" s="1206"/>
      <c r="HQH291" s="1206"/>
      <c r="HQI291" s="1207"/>
      <c r="HQJ291" s="1206"/>
      <c r="HQK291" s="1206"/>
      <c r="HQL291" s="1206"/>
      <c r="HQM291" s="1206"/>
      <c r="HQN291" s="1206"/>
      <c r="HQO291" s="1206"/>
      <c r="HQP291" s="1206"/>
      <c r="HQQ291" s="1206"/>
      <c r="HQR291" s="1206"/>
      <c r="HQS291" s="1206"/>
      <c r="HQT291" s="1206"/>
      <c r="HQU291" s="1206"/>
      <c r="HQV291" s="1206"/>
      <c r="HQW291" s="1206"/>
      <c r="HQX291" s="1206"/>
      <c r="HQY291" s="1206"/>
      <c r="HQZ291" s="1207"/>
      <c r="HRA291" s="1206"/>
      <c r="HRB291" s="1206"/>
      <c r="HRC291" s="1206"/>
      <c r="HRD291" s="1206"/>
      <c r="HRE291" s="1206"/>
      <c r="HRF291" s="1206"/>
      <c r="HRG291" s="1206"/>
      <c r="HRH291" s="1206"/>
      <c r="HRI291" s="1206"/>
      <c r="HRJ291" s="1206"/>
      <c r="HRK291" s="1206"/>
      <c r="HRL291" s="1206"/>
      <c r="HRM291" s="1206"/>
      <c r="HRN291" s="1206"/>
      <c r="HRO291" s="1206"/>
      <c r="HRP291" s="1206"/>
      <c r="HRQ291" s="1207"/>
      <c r="HRR291" s="1206"/>
      <c r="HRS291" s="1206"/>
      <c r="HRT291" s="1206"/>
      <c r="HRU291" s="1206"/>
      <c r="HRV291" s="1206"/>
      <c r="HRW291" s="1206"/>
      <c r="HRX291" s="1206"/>
      <c r="HRY291" s="1206"/>
      <c r="HRZ291" s="1206"/>
      <c r="HSA291" s="1206"/>
      <c r="HSB291" s="1206"/>
      <c r="HSC291" s="1206"/>
      <c r="HSD291" s="1206"/>
      <c r="HSE291" s="1206"/>
      <c r="HSF291" s="1206"/>
      <c r="HSG291" s="1206"/>
      <c r="HSH291" s="1207"/>
      <c r="HSI291" s="1206"/>
      <c r="HSJ291" s="1206"/>
      <c r="HSK291" s="1206"/>
      <c r="HSL291" s="1206"/>
      <c r="HSM291" s="1206"/>
      <c r="HSN291" s="1206"/>
      <c r="HSO291" s="1206"/>
      <c r="HSP291" s="1206"/>
      <c r="HSQ291" s="1206"/>
      <c r="HSR291" s="1206"/>
      <c r="HSS291" s="1206"/>
      <c r="HST291" s="1206"/>
      <c r="HSU291" s="1206"/>
      <c r="HSV291" s="1206"/>
      <c r="HSW291" s="1206"/>
      <c r="HSX291" s="1206"/>
      <c r="HSY291" s="1207"/>
      <c r="HSZ291" s="1206"/>
      <c r="HTA291" s="1206"/>
      <c r="HTB291" s="1206"/>
      <c r="HTC291" s="1206"/>
      <c r="HTD291" s="1206"/>
      <c r="HTE291" s="1206"/>
      <c r="HTF291" s="1206"/>
      <c r="HTG291" s="1206"/>
      <c r="HTH291" s="1206"/>
      <c r="HTI291" s="1206"/>
      <c r="HTJ291" s="1206"/>
      <c r="HTK291" s="1206"/>
      <c r="HTL291" s="1206"/>
      <c r="HTM291" s="1206"/>
      <c r="HTN291" s="1206"/>
      <c r="HTO291" s="1206"/>
      <c r="HTP291" s="1207"/>
      <c r="HTQ291" s="1206"/>
      <c r="HTR291" s="1206"/>
      <c r="HTS291" s="1206"/>
      <c r="HTT291" s="1206"/>
      <c r="HTU291" s="1206"/>
      <c r="HTV291" s="1206"/>
      <c r="HTW291" s="1206"/>
      <c r="HTX291" s="1206"/>
      <c r="HTY291" s="1206"/>
      <c r="HTZ291" s="1206"/>
      <c r="HUA291" s="1206"/>
      <c r="HUB291" s="1206"/>
      <c r="HUC291" s="1206"/>
      <c r="HUD291" s="1206"/>
      <c r="HUE291" s="1206"/>
      <c r="HUF291" s="1206"/>
      <c r="HUG291" s="1207"/>
      <c r="HUH291" s="1206"/>
      <c r="HUI291" s="1206"/>
      <c r="HUJ291" s="1206"/>
      <c r="HUK291" s="1206"/>
      <c r="HUL291" s="1206"/>
      <c r="HUM291" s="1206"/>
      <c r="HUN291" s="1206"/>
      <c r="HUO291" s="1206"/>
      <c r="HUP291" s="1206"/>
      <c r="HUQ291" s="1206"/>
      <c r="HUR291" s="1206"/>
      <c r="HUS291" s="1206"/>
      <c r="HUT291" s="1206"/>
      <c r="HUU291" s="1206"/>
      <c r="HUV291" s="1206"/>
      <c r="HUW291" s="1206"/>
      <c r="HUX291" s="1207"/>
      <c r="HUY291" s="1206"/>
      <c r="HUZ291" s="1206"/>
      <c r="HVA291" s="1206"/>
      <c r="HVB291" s="1206"/>
      <c r="HVC291" s="1206"/>
      <c r="HVD291" s="1206"/>
      <c r="HVE291" s="1206"/>
      <c r="HVF291" s="1206"/>
      <c r="HVG291" s="1206"/>
      <c r="HVH291" s="1206"/>
      <c r="HVI291" s="1206"/>
      <c r="HVJ291" s="1206"/>
      <c r="HVK291" s="1206"/>
      <c r="HVL291" s="1206"/>
      <c r="HVM291" s="1206"/>
      <c r="HVN291" s="1206"/>
      <c r="HVO291" s="1207"/>
      <c r="HVP291" s="1206"/>
      <c r="HVQ291" s="1206"/>
      <c r="HVR291" s="1206"/>
      <c r="HVS291" s="1206"/>
      <c r="HVT291" s="1206"/>
      <c r="HVU291" s="1206"/>
      <c r="HVV291" s="1206"/>
      <c r="HVW291" s="1206"/>
      <c r="HVX291" s="1206"/>
      <c r="HVY291" s="1206"/>
      <c r="HVZ291" s="1206"/>
      <c r="HWA291" s="1206"/>
      <c r="HWB291" s="1206"/>
      <c r="HWC291" s="1206"/>
      <c r="HWD291" s="1206"/>
      <c r="HWE291" s="1206"/>
      <c r="HWF291" s="1207"/>
      <c r="HWG291" s="1206"/>
      <c r="HWH291" s="1206"/>
      <c r="HWI291" s="1206"/>
      <c r="HWJ291" s="1206"/>
      <c r="HWK291" s="1206"/>
      <c r="HWL291" s="1206"/>
      <c r="HWM291" s="1206"/>
      <c r="HWN291" s="1206"/>
      <c r="HWO291" s="1206"/>
      <c r="HWP291" s="1206"/>
      <c r="HWQ291" s="1206"/>
      <c r="HWR291" s="1206"/>
      <c r="HWS291" s="1206"/>
      <c r="HWT291" s="1206"/>
      <c r="HWU291" s="1206"/>
      <c r="HWV291" s="1206"/>
      <c r="HWW291" s="1207"/>
      <c r="HWX291" s="1206"/>
      <c r="HWY291" s="1206"/>
      <c r="HWZ291" s="1206"/>
      <c r="HXA291" s="1206"/>
      <c r="HXB291" s="1206"/>
      <c r="HXC291" s="1206"/>
      <c r="HXD291" s="1206"/>
      <c r="HXE291" s="1206"/>
      <c r="HXF291" s="1206"/>
      <c r="HXG291" s="1206"/>
      <c r="HXH291" s="1206"/>
      <c r="HXI291" s="1206"/>
      <c r="HXJ291" s="1206"/>
      <c r="HXK291" s="1206"/>
      <c r="HXL291" s="1206"/>
      <c r="HXM291" s="1206"/>
      <c r="HXN291" s="1207"/>
      <c r="HXO291" s="1206"/>
      <c r="HXP291" s="1206"/>
      <c r="HXQ291" s="1206"/>
      <c r="HXR291" s="1206"/>
      <c r="HXS291" s="1206"/>
      <c r="HXT291" s="1206"/>
      <c r="HXU291" s="1206"/>
      <c r="HXV291" s="1206"/>
      <c r="HXW291" s="1206"/>
      <c r="HXX291" s="1206"/>
      <c r="HXY291" s="1206"/>
      <c r="HXZ291" s="1206"/>
      <c r="HYA291" s="1206"/>
      <c r="HYB291" s="1206"/>
      <c r="HYC291" s="1206"/>
      <c r="HYD291" s="1206"/>
      <c r="HYE291" s="1207"/>
      <c r="HYF291" s="1206"/>
      <c r="HYG291" s="1206"/>
      <c r="HYH291" s="1206"/>
      <c r="HYI291" s="1206"/>
      <c r="HYJ291" s="1206"/>
      <c r="HYK291" s="1206"/>
      <c r="HYL291" s="1206"/>
      <c r="HYM291" s="1206"/>
      <c r="HYN291" s="1206"/>
      <c r="HYO291" s="1206"/>
      <c r="HYP291" s="1206"/>
      <c r="HYQ291" s="1206"/>
      <c r="HYR291" s="1206"/>
      <c r="HYS291" s="1206"/>
      <c r="HYT291" s="1206"/>
      <c r="HYU291" s="1206"/>
      <c r="HYV291" s="1207"/>
      <c r="HYW291" s="1206"/>
      <c r="HYX291" s="1206"/>
      <c r="HYY291" s="1206"/>
      <c r="HYZ291" s="1206"/>
      <c r="HZA291" s="1206"/>
      <c r="HZB291" s="1206"/>
      <c r="HZC291" s="1206"/>
      <c r="HZD291" s="1206"/>
      <c r="HZE291" s="1206"/>
      <c r="HZF291" s="1206"/>
      <c r="HZG291" s="1206"/>
      <c r="HZH291" s="1206"/>
      <c r="HZI291" s="1206"/>
      <c r="HZJ291" s="1206"/>
      <c r="HZK291" s="1206"/>
      <c r="HZL291" s="1206"/>
      <c r="HZM291" s="1207"/>
      <c r="HZN291" s="1206"/>
      <c r="HZO291" s="1206"/>
      <c r="HZP291" s="1206"/>
      <c r="HZQ291" s="1206"/>
      <c r="HZR291" s="1206"/>
      <c r="HZS291" s="1206"/>
      <c r="HZT291" s="1206"/>
      <c r="HZU291" s="1206"/>
      <c r="HZV291" s="1206"/>
      <c r="HZW291" s="1206"/>
      <c r="HZX291" s="1206"/>
      <c r="HZY291" s="1206"/>
      <c r="HZZ291" s="1206"/>
      <c r="IAA291" s="1206"/>
      <c r="IAB291" s="1206"/>
      <c r="IAC291" s="1206"/>
      <c r="IAD291" s="1207"/>
      <c r="IAE291" s="1206"/>
      <c r="IAF291" s="1206"/>
      <c r="IAG291" s="1206"/>
      <c r="IAH291" s="1206"/>
      <c r="IAI291" s="1206"/>
      <c r="IAJ291" s="1206"/>
      <c r="IAK291" s="1206"/>
      <c r="IAL291" s="1206"/>
      <c r="IAM291" s="1206"/>
      <c r="IAN291" s="1206"/>
      <c r="IAO291" s="1206"/>
      <c r="IAP291" s="1206"/>
      <c r="IAQ291" s="1206"/>
      <c r="IAR291" s="1206"/>
      <c r="IAS291" s="1206"/>
      <c r="IAT291" s="1206"/>
      <c r="IAU291" s="1207"/>
      <c r="IAV291" s="1206"/>
      <c r="IAW291" s="1206"/>
      <c r="IAX291" s="1206"/>
      <c r="IAY291" s="1206"/>
      <c r="IAZ291" s="1206"/>
      <c r="IBA291" s="1206"/>
      <c r="IBB291" s="1206"/>
      <c r="IBC291" s="1206"/>
      <c r="IBD291" s="1206"/>
      <c r="IBE291" s="1206"/>
      <c r="IBF291" s="1206"/>
      <c r="IBG291" s="1206"/>
      <c r="IBH291" s="1206"/>
      <c r="IBI291" s="1206"/>
      <c r="IBJ291" s="1206"/>
      <c r="IBK291" s="1206"/>
      <c r="IBL291" s="1207"/>
      <c r="IBM291" s="1206"/>
      <c r="IBN291" s="1206"/>
      <c r="IBO291" s="1206"/>
      <c r="IBP291" s="1206"/>
      <c r="IBQ291" s="1206"/>
      <c r="IBR291" s="1206"/>
      <c r="IBS291" s="1206"/>
      <c r="IBT291" s="1206"/>
      <c r="IBU291" s="1206"/>
      <c r="IBV291" s="1206"/>
      <c r="IBW291" s="1206"/>
      <c r="IBX291" s="1206"/>
      <c r="IBY291" s="1206"/>
      <c r="IBZ291" s="1206"/>
      <c r="ICA291" s="1206"/>
      <c r="ICB291" s="1206"/>
      <c r="ICC291" s="1207"/>
      <c r="ICD291" s="1206"/>
      <c r="ICE291" s="1206"/>
      <c r="ICF291" s="1206"/>
      <c r="ICG291" s="1206"/>
      <c r="ICH291" s="1206"/>
      <c r="ICI291" s="1206"/>
      <c r="ICJ291" s="1206"/>
      <c r="ICK291" s="1206"/>
      <c r="ICL291" s="1206"/>
      <c r="ICM291" s="1206"/>
      <c r="ICN291" s="1206"/>
      <c r="ICO291" s="1206"/>
      <c r="ICP291" s="1206"/>
      <c r="ICQ291" s="1206"/>
      <c r="ICR291" s="1206"/>
      <c r="ICS291" s="1206"/>
      <c r="ICT291" s="1207"/>
      <c r="ICU291" s="1206"/>
      <c r="ICV291" s="1206"/>
      <c r="ICW291" s="1206"/>
      <c r="ICX291" s="1206"/>
      <c r="ICY291" s="1206"/>
      <c r="ICZ291" s="1206"/>
      <c r="IDA291" s="1206"/>
      <c r="IDB291" s="1206"/>
      <c r="IDC291" s="1206"/>
      <c r="IDD291" s="1206"/>
      <c r="IDE291" s="1206"/>
      <c r="IDF291" s="1206"/>
      <c r="IDG291" s="1206"/>
      <c r="IDH291" s="1206"/>
      <c r="IDI291" s="1206"/>
      <c r="IDJ291" s="1206"/>
      <c r="IDK291" s="1207"/>
      <c r="IDL291" s="1206"/>
      <c r="IDM291" s="1206"/>
      <c r="IDN291" s="1206"/>
      <c r="IDO291" s="1206"/>
      <c r="IDP291" s="1206"/>
      <c r="IDQ291" s="1206"/>
      <c r="IDR291" s="1206"/>
      <c r="IDS291" s="1206"/>
      <c r="IDT291" s="1206"/>
      <c r="IDU291" s="1206"/>
      <c r="IDV291" s="1206"/>
      <c r="IDW291" s="1206"/>
      <c r="IDX291" s="1206"/>
      <c r="IDY291" s="1206"/>
      <c r="IDZ291" s="1206"/>
      <c r="IEA291" s="1206"/>
      <c r="IEB291" s="1207"/>
      <c r="IEC291" s="1206"/>
      <c r="IED291" s="1206"/>
      <c r="IEE291" s="1206"/>
      <c r="IEF291" s="1206"/>
      <c r="IEG291" s="1206"/>
      <c r="IEH291" s="1206"/>
      <c r="IEI291" s="1206"/>
      <c r="IEJ291" s="1206"/>
      <c r="IEK291" s="1206"/>
      <c r="IEL291" s="1206"/>
      <c r="IEM291" s="1206"/>
      <c r="IEN291" s="1206"/>
      <c r="IEO291" s="1206"/>
      <c r="IEP291" s="1206"/>
      <c r="IEQ291" s="1206"/>
      <c r="IER291" s="1206"/>
      <c r="IES291" s="1207"/>
      <c r="IET291" s="1206"/>
      <c r="IEU291" s="1206"/>
      <c r="IEV291" s="1206"/>
      <c r="IEW291" s="1206"/>
      <c r="IEX291" s="1206"/>
      <c r="IEY291" s="1206"/>
      <c r="IEZ291" s="1206"/>
      <c r="IFA291" s="1206"/>
      <c r="IFB291" s="1206"/>
      <c r="IFC291" s="1206"/>
      <c r="IFD291" s="1206"/>
      <c r="IFE291" s="1206"/>
      <c r="IFF291" s="1206"/>
      <c r="IFG291" s="1206"/>
      <c r="IFH291" s="1206"/>
      <c r="IFI291" s="1206"/>
      <c r="IFJ291" s="1207"/>
      <c r="IFK291" s="1206"/>
      <c r="IFL291" s="1206"/>
      <c r="IFM291" s="1206"/>
      <c r="IFN291" s="1206"/>
      <c r="IFO291" s="1206"/>
      <c r="IFP291" s="1206"/>
      <c r="IFQ291" s="1206"/>
      <c r="IFR291" s="1206"/>
      <c r="IFS291" s="1206"/>
      <c r="IFT291" s="1206"/>
      <c r="IFU291" s="1206"/>
      <c r="IFV291" s="1206"/>
      <c r="IFW291" s="1206"/>
      <c r="IFX291" s="1206"/>
      <c r="IFY291" s="1206"/>
      <c r="IFZ291" s="1206"/>
      <c r="IGA291" s="1207"/>
      <c r="IGB291" s="1206"/>
      <c r="IGC291" s="1206"/>
      <c r="IGD291" s="1206"/>
      <c r="IGE291" s="1206"/>
      <c r="IGF291" s="1206"/>
      <c r="IGG291" s="1206"/>
      <c r="IGH291" s="1206"/>
      <c r="IGI291" s="1206"/>
      <c r="IGJ291" s="1206"/>
      <c r="IGK291" s="1206"/>
      <c r="IGL291" s="1206"/>
      <c r="IGM291" s="1206"/>
      <c r="IGN291" s="1206"/>
      <c r="IGO291" s="1206"/>
      <c r="IGP291" s="1206"/>
      <c r="IGQ291" s="1206"/>
      <c r="IGR291" s="1207"/>
      <c r="IGS291" s="1206"/>
      <c r="IGT291" s="1206"/>
      <c r="IGU291" s="1206"/>
      <c r="IGV291" s="1206"/>
      <c r="IGW291" s="1206"/>
      <c r="IGX291" s="1206"/>
      <c r="IGY291" s="1206"/>
      <c r="IGZ291" s="1206"/>
      <c r="IHA291" s="1206"/>
      <c r="IHB291" s="1206"/>
      <c r="IHC291" s="1206"/>
      <c r="IHD291" s="1206"/>
      <c r="IHE291" s="1206"/>
      <c r="IHF291" s="1206"/>
      <c r="IHG291" s="1206"/>
      <c r="IHH291" s="1206"/>
      <c r="IHI291" s="1207"/>
      <c r="IHJ291" s="1206"/>
      <c r="IHK291" s="1206"/>
      <c r="IHL291" s="1206"/>
      <c r="IHM291" s="1206"/>
      <c r="IHN291" s="1206"/>
      <c r="IHO291" s="1206"/>
      <c r="IHP291" s="1206"/>
      <c r="IHQ291" s="1206"/>
      <c r="IHR291" s="1206"/>
      <c r="IHS291" s="1206"/>
      <c r="IHT291" s="1206"/>
      <c r="IHU291" s="1206"/>
      <c r="IHV291" s="1206"/>
      <c r="IHW291" s="1206"/>
      <c r="IHX291" s="1206"/>
      <c r="IHY291" s="1206"/>
      <c r="IHZ291" s="1207"/>
      <c r="IIA291" s="1206"/>
      <c r="IIB291" s="1206"/>
      <c r="IIC291" s="1206"/>
      <c r="IID291" s="1206"/>
      <c r="IIE291" s="1206"/>
      <c r="IIF291" s="1206"/>
      <c r="IIG291" s="1206"/>
      <c r="IIH291" s="1206"/>
      <c r="III291" s="1206"/>
      <c r="IIJ291" s="1206"/>
      <c r="IIK291" s="1206"/>
      <c r="IIL291" s="1206"/>
      <c r="IIM291" s="1206"/>
      <c r="IIN291" s="1206"/>
      <c r="IIO291" s="1206"/>
      <c r="IIP291" s="1206"/>
      <c r="IIQ291" s="1207"/>
      <c r="IIR291" s="1206"/>
      <c r="IIS291" s="1206"/>
      <c r="IIT291" s="1206"/>
      <c r="IIU291" s="1206"/>
      <c r="IIV291" s="1206"/>
      <c r="IIW291" s="1206"/>
      <c r="IIX291" s="1206"/>
      <c r="IIY291" s="1206"/>
      <c r="IIZ291" s="1206"/>
      <c r="IJA291" s="1206"/>
      <c r="IJB291" s="1206"/>
      <c r="IJC291" s="1206"/>
      <c r="IJD291" s="1206"/>
      <c r="IJE291" s="1206"/>
      <c r="IJF291" s="1206"/>
      <c r="IJG291" s="1206"/>
      <c r="IJH291" s="1207"/>
      <c r="IJI291" s="1206"/>
      <c r="IJJ291" s="1206"/>
      <c r="IJK291" s="1206"/>
      <c r="IJL291" s="1206"/>
      <c r="IJM291" s="1206"/>
      <c r="IJN291" s="1206"/>
      <c r="IJO291" s="1206"/>
      <c r="IJP291" s="1206"/>
      <c r="IJQ291" s="1206"/>
      <c r="IJR291" s="1206"/>
      <c r="IJS291" s="1206"/>
      <c r="IJT291" s="1206"/>
      <c r="IJU291" s="1206"/>
      <c r="IJV291" s="1206"/>
      <c r="IJW291" s="1206"/>
      <c r="IJX291" s="1206"/>
      <c r="IJY291" s="1207"/>
      <c r="IJZ291" s="1206"/>
      <c r="IKA291" s="1206"/>
      <c r="IKB291" s="1206"/>
      <c r="IKC291" s="1206"/>
      <c r="IKD291" s="1206"/>
      <c r="IKE291" s="1206"/>
      <c r="IKF291" s="1206"/>
      <c r="IKG291" s="1206"/>
      <c r="IKH291" s="1206"/>
      <c r="IKI291" s="1206"/>
      <c r="IKJ291" s="1206"/>
      <c r="IKK291" s="1206"/>
      <c r="IKL291" s="1206"/>
      <c r="IKM291" s="1206"/>
      <c r="IKN291" s="1206"/>
      <c r="IKO291" s="1206"/>
      <c r="IKP291" s="1207"/>
      <c r="IKQ291" s="1206"/>
      <c r="IKR291" s="1206"/>
      <c r="IKS291" s="1206"/>
      <c r="IKT291" s="1206"/>
      <c r="IKU291" s="1206"/>
      <c r="IKV291" s="1206"/>
      <c r="IKW291" s="1206"/>
      <c r="IKX291" s="1206"/>
      <c r="IKY291" s="1206"/>
      <c r="IKZ291" s="1206"/>
      <c r="ILA291" s="1206"/>
      <c r="ILB291" s="1206"/>
      <c r="ILC291" s="1206"/>
      <c r="ILD291" s="1206"/>
      <c r="ILE291" s="1206"/>
      <c r="ILF291" s="1206"/>
      <c r="ILG291" s="1207"/>
      <c r="ILH291" s="1206"/>
      <c r="ILI291" s="1206"/>
      <c r="ILJ291" s="1206"/>
      <c r="ILK291" s="1206"/>
      <c r="ILL291" s="1206"/>
      <c r="ILM291" s="1206"/>
      <c r="ILN291" s="1206"/>
      <c r="ILO291" s="1206"/>
      <c r="ILP291" s="1206"/>
      <c r="ILQ291" s="1206"/>
      <c r="ILR291" s="1206"/>
      <c r="ILS291" s="1206"/>
      <c r="ILT291" s="1206"/>
      <c r="ILU291" s="1206"/>
      <c r="ILV291" s="1206"/>
      <c r="ILW291" s="1206"/>
      <c r="ILX291" s="1207"/>
      <c r="ILY291" s="1206"/>
      <c r="ILZ291" s="1206"/>
      <c r="IMA291" s="1206"/>
      <c r="IMB291" s="1206"/>
      <c r="IMC291" s="1206"/>
      <c r="IMD291" s="1206"/>
      <c r="IME291" s="1206"/>
      <c r="IMF291" s="1206"/>
      <c r="IMG291" s="1206"/>
      <c r="IMH291" s="1206"/>
      <c r="IMI291" s="1206"/>
      <c r="IMJ291" s="1206"/>
      <c r="IMK291" s="1206"/>
      <c r="IML291" s="1206"/>
      <c r="IMM291" s="1206"/>
      <c r="IMN291" s="1206"/>
      <c r="IMO291" s="1207"/>
      <c r="IMP291" s="1206"/>
      <c r="IMQ291" s="1206"/>
      <c r="IMR291" s="1206"/>
      <c r="IMS291" s="1206"/>
      <c r="IMT291" s="1206"/>
      <c r="IMU291" s="1206"/>
      <c r="IMV291" s="1206"/>
      <c r="IMW291" s="1206"/>
      <c r="IMX291" s="1206"/>
      <c r="IMY291" s="1206"/>
      <c r="IMZ291" s="1206"/>
      <c r="INA291" s="1206"/>
      <c r="INB291" s="1206"/>
      <c r="INC291" s="1206"/>
      <c r="IND291" s="1206"/>
      <c r="INE291" s="1206"/>
      <c r="INF291" s="1207"/>
      <c r="ING291" s="1206"/>
      <c r="INH291" s="1206"/>
      <c r="INI291" s="1206"/>
      <c r="INJ291" s="1206"/>
      <c r="INK291" s="1206"/>
      <c r="INL291" s="1206"/>
      <c r="INM291" s="1206"/>
      <c r="INN291" s="1206"/>
      <c r="INO291" s="1206"/>
      <c r="INP291" s="1206"/>
      <c r="INQ291" s="1206"/>
      <c r="INR291" s="1206"/>
      <c r="INS291" s="1206"/>
      <c r="INT291" s="1206"/>
      <c r="INU291" s="1206"/>
      <c r="INV291" s="1206"/>
      <c r="INW291" s="1207"/>
      <c r="INX291" s="1206"/>
      <c r="INY291" s="1206"/>
      <c r="INZ291" s="1206"/>
      <c r="IOA291" s="1206"/>
      <c r="IOB291" s="1206"/>
      <c r="IOC291" s="1206"/>
      <c r="IOD291" s="1206"/>
      <c r="IOE291" s="1206"/>
      <c r="IOF291" s="1206"/>
      <c r="IOG291" s="1206"/>
      <c r="IOH291" s="1206"/>
      <c r="IOI291" s="1206"/>
      <c r="IOJ291" s="1206"/>
      <c r="IOK291" s="1206"/>
      <c r="IOL291" s="1206"/>
      <c r="IOM291" s="1206"/>
      <c r="ION291" s="1207"/>
      <c r="IOO291" s="1206"/>
      <c r="IOP291" s="1206"/>
      <c r="IOQ291" s="1206"/>
      <c r="IOR291" s="1206"/>
      <c r="IOS291" s="1206"/>
      <c r="IOT291" s="1206"/>
      <c r="IOU291" s="1206"/>
      <c r="IOV291" s="1206"/>
      <c r="IOW291" s="1206"/>
      <c r="IOX291" s="1206"/>
      <c r="IOY291" s="1206"/>
      <c r="IOZ291" s="1206"/>
      <c r="IPA291" s="1206"/>
      <c r="IPB291" s="1206"/>
      <c r="IPC291" s="1206"/>
      <c r="IPD291" s="1206"/>
      <c r="IPE291" s="1207"/>
      <c r="IPF291" s="1206"/>
      <c r="IPG291" s="1206"/>
      <c r="IPH291" s="1206"/>
      <c r="IPI291" s="1206"/>
      <c r="IPJ291" s="1206"/>
      <c r="IPK291" s="1206"/>
      <c r="IPL291" s="1206"/>
      <c r="IPM291" s="1206"/>
      <c r="IPN291" s="1206"/>
      <c r="IPO291" s="1206"/>
      <c r="IPP291" s="1206"/>
      <c r="IPQ291" s="1206"/>
      <c r="IPR291" s="1206"/>
      <c r="IPS291" s="1206"/>
      <c r="IPT291" s="1206"/>
      <c r="IPU291" s="1206"/>
      <c r="IPV291" s="1207"/>
      <c r="IPW291" s="1206"/>
      <c r="IPX291" s="1206"/>
      <c r="IPY291" s="1206"/>
      <c r="IPZ291" s="1206"/>
      <c r="IQA291" s="1206"/>
      <c r="IQB291" s="1206"/>
      <c r="IQC291" s="1206"/>
      <c r="IQD291" s="1206"/>
      <c r="IQE291" s="1206"/>
      <c r="IQF291" s="1206"/>
      <c r="IQG291" s="1206"/>
      <c r="IQH291" s="1206"/>
      <c r="IQI291" s="1206"/>
      <c r="IQJ291" s="1206"/>
      <c r="IQK291" s="1206"/>
      <c r="IQL291" s="1206"/>
      <c r="IQM291" s="1207"/>
      <c r="IQN291" s="1206"/>
      <c r="IQO291" s="1206"/>
      <c r="IQP291" s="1206"/>
      <c r="IQQ291" s="1206"/>
      <c r="IQR291" s="1206"/>
      <c r="IQS291" s="1206"/>
      <c r="IQT291" s="1206"/>
      <c r="IQU291" s="1206"/>
      <c r="IQV291" s="1206"/>
      <c r="IQW291" s="1206"/>
      <c r="IQX291" s="1206"/>
      <c r="IQY291" s="1206"/>
      <c r="IQZ291" s="1206"/>
      <c r="IRA291" s="1206"/>
      <c r="IRB291" s="1206"/>
      <c r="IRC291" s="1206"/>
      <c r="IRD291" s="1207"/>
      <c r="IRE291" s="1206"/>
      <c r="IRF291" s="1206"/>
      <c r="IRG291" s="1206"/>
      <c r="IRH291" s="1206"/>
      <c r="IRI291" s="1206"/>
      <c r="IRJ291" s="1206"/>
      <c r="IRK291" s="1206"/>
      <c r="IRL291" s="1206"/>
      <c r="IRM291" s="1206"/>
      <c r="IRN291" s="1206"/>
      <c r="IRO291" s="1206"/>
      <c r="IRP291" s="1206"/>
      <c r="IRQ291" s="1206"/>
      <c r="IRR291" s="1206"/>
      <c r="IRS291" s="1206"/>
      <c r="IRT291" s="1206"/>
      <c r="IRU291" s="1207"/>
      <c r="IRV291" s="1206"/>
      <c r="IRW291" s="1206"/>
      <c r="IRX291" s="1206"/>
      <c r="IRY291" s="1206"/>
      <c r="IRZ291" s="1206"/>
      <c r="ISA291" s="1206"/>
      <c r="ISB291" s="1206"/>
      <c r="ISC291" s="1206"/>
      <c r="ISD291" s="1206"/>
      <c r="ISE291" s="1206"/>
      <c r="ISF291" s="1206"/>
      <c r="ISG291" s="1206"/>
      <c r="ISH291" s="1206"/>
      <c r="ISI291" s="1206"/>
      <c r="ISJ291" s="1206"/>
      <c r="ISK291" s="1206"/>
      <c r="ISL291" s="1207"/>
      <c r="ISM291" s="1206"/>
      <c r="ISN291" s="1206"/>
      <c r="ISO291" s="1206"/>
      <c r="ISP291" s="1206"/>
      <c r="ISQ291" s="1206"/>
      <c r="ISR291" s="1206"/>
      <c r="ISS291" s="1206"/>
      <c r="IST291" s="1206"/>
      <c r="ISU291" s="1206"/>
      <c r="ISV291" s="1206"/>
      <c r="ISW291" s="1206"/>
      <c r="ISX291" s="1206"/>
      <c r="ISY291" s="1206"/>
      <c r="ISZ291" s="1206"/>
      <c r="ITA291" s="1206"/>
      <c r="ITB291" s="1206"/>
      <c r="ITC291" s="1207"/>
      <c r="ITD291" s="1206"/>
      <c r="ITE291" s="1206"/>
      <c r="ITF291" s="1206"/>
      <c r="ITG291" s="1206"/>
      <c r="ITH291" s="1206"/>
      <c r="ITI291" s="1206"/>
      <c r="ITJ291" s="1206"/>
      <c r="ITK291" s="1206"/>
      <c r="ITL291" s="1206"/>
      <c r="ITM291" s="1206"/>
      <c r="ITN291" s="1206"/>
      <c r="ITO291" s="1206"/>
      <c r="ITP291" s="1206"/>
      <c r="ITQ291" s="1206"/>
      <c r="ITR291" s="1206"/>
      <c r="ITS291" s="1206"/>
      <c r="ITT291" s="1207"/>
      <c r="ITU291" s="1206"/>
      <c r="ITV291" s="1206"/>
      <c r="ITW291" s="1206"/>
      <c r="ITX291" s="1206"/>
      <c r="ITY291" s="1206"/>
      <c r="ITZ291" s="1206"/>
      <c r="IUA291" s="1206"/>
      <c r="IUB291" s="1206"/>
      <c r="IUC291" s="1206"/>
      <c r="IUD291" s="1206"/>
      <c r="IUE291" s="1206"/>
      <c r="IUF291" s="1206"/>
      <c r="IUG291" s="1206"/>
      <c r="IUH291" s="1206"/>
      <c r="IUI291" s="1206"/>
      <c r="IUJ291" s="1206"/>
      <c r="IUK291" s="1207"/>
      <c r="IUL291" s="1206"/>
      <c r="IUM291" s="1206"/>
      <c r="IUN291" s="1206"/>
      <c r="IUO291" s="1206"/>
      <c r="IUP291" s="1206"/>
      <c r="IUQ291" s="1206"/>
      <c r="IUR291" s="1206"/>
      <c r="IUS291" s="1206"/>
      <c r="IUT291" s="1206"/>
      <c r="IUU291" s="1206"/>
      <c r="IUV291" s="1206"/>
      <c r="IUW291" s="1206"/>
      <c r="IUX291" s="1206"/>
      <c r="IUY291" s="1206"/>
      <c r="IUZ291" s="1206"/>
      <c r="IVA291" s="1206"/>
      <c r="IVB291" s="1207"/>
      <c r="IVC291" s="1206"/>
      <c r="IVD291" s="1206"/>
      <c r="IVE291" s="1206"/>
      <c r="IVF291" s="1206"/>
      <c r="IVG291" s="1206"/>
      <c r="IVH291" s="1206"/>
      <c r="IVI291" s="1206"/>
      <c r="IVJ291" s="1206"/>
      <c r="IVK291" s="1206"/>
      <c r="IVL291" s="1206"/>
      <c r="IVM291" s="1206"/>
      <c r="IVN291" s="1206"/>
      <c r="IVO291" s="1206"/>
      <c r="IVP291" s="1206"/>
      <c r="IVQ291" s="1206"/>
      <c r="IVR291" s="1206"/>
      <c r="IVS291" s="1207"/>
      <c r="IVT291" s="1206"/>
      <c r="IVU291" s="1206"/>
      <c r="IVV291" s="1206"/>
      <c r="IVW291" s="1206"/>
      <c r="IVX291" s="1206"/>
      <c r="IVY291" s="1206"/>
      <c r="IVZ291" s="1206"/>
      <c r="IWA291" s="1206"/>
      <c r="IWB291" s="1206"/>
      <c r="IWC291" s="1206"/>
      <c r="IWD291" s="1206"/>
      <c r="IWE291" s="1206"/>
      <c r="IWF291" s="1206"/>
      <c r="IWG291" s="1206"/>
      <c r="IWH291" s="1206"/>
      <c r="IWI291" s="1206"/>
      <c r="IWJ291" s="1207"/>
      <c r="IWK291" s="1206"/>
      <c r="IWL291" s="1206"/>
      <c r="IWM291" s="1206"/>
      <c r="IWN291" s="1206"/>
      <c r="IWO291" s="1206"/>
      <c r="IWP291" s="1206"/>
      <c r="IWQ291" s="1206"/>
      <c r="IWR291" s="1206"/>
      <c r="IWS291" s="1206"/>
      <c r="IWT291" s="1206"/>
      <c r="IWU291" s="1206"/>
      <c r="IWV291" s="1206"/>
      <c r="IWW291" s="1206"/>
      <c r="IWX291" s="1206"/>
      <c r="IWY291" s="1206"/>
      <c r="IWZ291" s="1206"/>
      <c r="IXA291" s="1207"/>
      <c r="IXB291" s="1206"/>
      <c r="IXC291" s="1206"/>
      <c r="IXD291" s="1206"/>
      <c r="IXE291" s="1206"/>
      <c r="IXF291" s="1206"/>
      <c r="IXG291" s="1206"/>
      <c r="IXH291" s="1206"/>
      <c r="IXI291" s="1206"/>
      <c r="IXJ291" s="1206"/>
      <c r="IXK291" s="1206"/>
      <c r="IXL291" s="1206"/>
      <c r="IXM291" s="1206"/>
      <c r="IXN291" s="1206"/>
      <c r="IXO291" s="1206"/>
      <c r="IXP291" s="1206"/>
      <c r="IXQ291" s="1206"/>
      <c r="IXR291" s="1207"/>
      <c r="IXS291" s="1206"/>
      <c r="IXT291" s="1206"/>
      <c r="IXU291" s="1206"/>
      <c r="IXV291" s="1206"/>
      <c r="IXW291" s="1206"/>
      <c r="IXX291" s="1206"/>
      <c r="IXY291" s="1206"/>
      <c r="IXZ291" s="1206"/>
      <c r="IYA291" s="1206"/>
      <c r="IYB291" s="1206"/>
      <c r="IYC291" s="1206"/>
      <c r="IYD291" s="1206"/>
      <c r="IYE291" s="1206"/>
      <c r="IYF291" s="1206"/>
      <c r="IYG291" s="1206"/>
      <c r="IYH291" s="1206"/>
      <c r="IYI291" s="1207"/>
      <c r="IYJ291" s="1206"/>
      <c r="IYK291" s="1206"/>
      <c r="IYL291" s="1206"/>
      <c r="IYM291" s="1206"/>
      <c r="IYN291" s="1206"/>
      <c r="IYO291" s="1206"/>
      <c r="IYP291" s="1206"/>
      <c r="IYQ291" s="1206"/>
      <c r="IYR291" s="1206"/>
      <c r="IYS291" s="1206"/>
      <c r="IYT291" s="1206"/>
      <c r="IYU291" s="1206"/>
      <c r="IYV291" s="1206"/>
      <c r="IYW291" s="1206"/>
      <c r="IYX291" s="1206"/>
      <c r="IYY291" s="1206"/>
      <c r="IYZ291" s="1207"/>
      <c r="IZA291" s="1206"/>
      <c r="IZB291" s="1206"/>
      <c r="IZC291" s="1206"/>
      <c r="IZD291" s="1206"/>
      <c r="IZE291" s="1206"/>
      <c r="IZF291" s="1206"/>
      <c r="IZG291" s="1206"/>
      <c r="IZH291" s="1206"/>
      <c r="IZI291" s="1206"/>
      <c r="IZJ291" s="1206"/>
      <c r="IZK291" s="1206"/>
      <c r="IZL291" s="1206"/>
      <c r="IZM291" s="1206"/>
      <c r="IZN291" s="1206"/>
      <c r="IZO291" s="1206"/>
      <c r="IZP291" s="1206"/>
      <c r="IZQ291" s="1207"/>
      <c r="IZR291" s="1206"/>
      <c r="IZS291" s="1206"/>
      <c r="IZT291" s="1206"/>
      <c r="IZU291" s="1206"/>
      <c r="IZV291" s="1206"/>
      <c r="IZW291" s="1206"/>
      <c r="IZX291" s="1206"/>
      <c r="IZY291" s="1206"/>
      <c r="IZZ291" s="1206"/>
      <c r="JAA291" s="1206"/>
      <c r="JAB291" s="1206"/>
      <c r="JAC291" s="1206"/>
      <c r="JAD291" s="1206"/>
      <c r="JAE291" s="1206"/>
      <c r="JAF291" s="1206"/>
      <c r="JAG291" s="1206"/>
      <c r="JAH291" s="1207"/>
      <c r="JAI291" s="1206"/>
      <c r="JAJ291" s="1206"/>
      <c r="JAK291" s="1206"/>
      <c r="JAL291" s="1206"/>
      <c r="JAM291" s="1206"/>
      <c r="JAN291" s="1206"/>
      <c r="JAO291" s="1206"/>
      <c r="JAP291" s="1206"/>
      <c r="JAQ291" s="1206"/>
      <c r="JAR291" s="1206"/>
      <c r="JAS291" s="1206"/>
      <c r="JAT291" s="1206"/>
      <c r="JAU291" s="1206"/>
      <c r="JAV291" s="1206"/>
      <c r="JAW291" s="1206"/>
      <c r="JAX291" s="1206"/>
      <c r="JAY291" s="1207"/>
      <c r="JAZ291" s="1206"/>
      <c r="JBA291" s="1206"/>
      <c r="JBB291" s="1206"/>
      <c r="JBC291" s="1206"/>
      <c r="JBD291" s="1206"/>
      <c r="JBE291" s="1206"/>
      <c r="JBF291" s="1206"/>
      <c r="JBG291" s="1206"/>
      <c r="JBH291" s="1206"/>
      <c r="JBI291" s="1206"/>
      <c r="JBJ291" s="1206"/>
      <c r="JBK291" s="1206"/>
      <c r="JBL291" s="1206"/>
      <c r="JBM291" s="1206"/>
      <c r="JBN291" s="1206"/>
      <c r="JBO291" s="1206"/>
      <c r="JBP291" s="1207"/>
      <c r="JBQ291" s="1206"/>
      <c r="JBR291" s="1206"/>
      <c r="JBS291" s="1206"/>
      <c r="JBT291" s="1206"/>
      <c r="JBU291" s="1206"/>
      <c r="JBV291" s="1206"/>
      <c r="JBW291" s="1206"/>
      <c r="JBX291" s="1206"/>
      <c r="JBY291" s="1206"/>
      <c r="JBZ291" s="1206"/>
      <c r="JCA291" s="1206"/>
      <c r="JCB291" s="1206"/>
      <c r="JCC291" s="1206"/>
      <c r="JCD291" s="1206"/>
      <c r="JCE291" s="1206"/>
      <c r="JCF291" s="1206"/>
      <c r="JCG291" s="1207"/>
      <c r="JCH291" s="1206"/>
      <c r="JCI291" s="1206"/>
      <c r="JCJ291" s="1206"/>
      <c r="JCK291" s="1206"/>
      <c r="JCL291" s="1206"/>
      <c r="JCM291" s="1206"/>
      <c r="JCN291" s="1206"/>
      <c r="JCO291" s="1206"/>
      <c r="JCP291" s="1206"/>
      <c r="JCQ291" s="1206"/>
      <c r="JCR291" s="1206"/>
      <c r="JCS291" s="1206"/>
      <c r="JCT291" s="1206"/>
      <c r="JCU291" s="1206"/>
      <c r="JCV291" s="1206"/>
      <c r="JCW291" s="1206"/>
      <c r="JCX291" s="1207"/>
      <c r="JCY291" s="1206"/>
      <c r="JCZ291" s="1206"/>
      <c r="JDA291" s="1206"/>
      <c r="JDB291" s="1206"/>
      <c r="JDC291" s="1206"/>
      <c r="JDD291" s="1206"/>
      <c r="JDE291" s="1206"/>
      <c r="JDF291" s="1206"/>
      <c r="JDG291" s="1206"/>
      <c r="JDH291" s="1206"/>
      <c r="JDI291" s="1206"/>
      <c r="JDJ291" s="1206"/>
      <c r="JDK291" s="1206"/>
      <c r="JDL291" s="1206"/>
      <c r="JDM291" s="1206"/>
      <c r="JDN291" s="1206"/>
      <c r="JDO291" s="1207"/>
      <c r="JDP291" s="1206"/>
      <c r="JDQ291" s="1206"/>
      <c r="JDR291" s="1206"/>
      <c r="JDS291" s="1206"/>
      <c r="JDT291" s="1206"/>
      <c r="JDU291" s="1206"/>
      <c r="JDV291" s="1206"/>
      <c r="JDW291" s="1206"/>
      <c r="JDX291" s="1206"/>
      <c r="JDY291" s="1206"/>
      <c r="JDZ291" s="1206"/>
      <c r="JEA291" s="1206"/>
      <c r="JEB291" s="1206"/>
      <c r="JEC291" s="1206"/>
      <c r="JED291" s="1206"/>
      <c r="JEE291" s="1206"/>
      <c r="JEF291" s="1207"/>
      <c r="JEG291" s="1206"/>
      <c r="JEH291" s="1206"/>
      <c r="JEI291" s="1206"/>
      <c r="JEJ291" s="1206"/>
      <c r="JEK291" s="1206"/>
      <c r="JEL291" s="1206"/>
      <c r="JEM291" s="1206"/>
      <c r="JEN291" s="1206"/>
      <c r="JEO291" s="1206"/>
      <c r="JEP291" s="1206"/>
      <c r="JEQ291" s="1206"/>
      <c r="JER291" s="1206"/>
      <c r="JES291" s="1206"/>
      <c r="JET291" s="1206"/>
      <c r="JEU291" s="1206"/>
      <c r="JEV291" s="1206"/>
      <c r="JEW291" s="1207"/>
      <c r="JEX291" s="1206"/>
      <c r="JEY291" s="1206"/>
      <c r="JEZ291" s="1206"/>
      <c r="JFA291" s="1206"/>
      <c r="JFB291" s="1206"/>
      <c r="JFC291" s="1206"/>
      <c r="JFD291" s="1206"/>
      <c r="JFE291" s="1206"/>
      <c r="JFF291" s="1206"/>
      <c r="JFG291" s="1206"/>
      <c r="JFH291" s="1206"/>
      <c r="JFI291" s="1206"/>
      <c r="JFJ291" s="1206"/>
      <c r="JFK291" s="1206"/>
      <c r="JFL291" s="1206"/>
      <c r="JFM291" s="1206"/>
      <c r="JFN291" s="1207"/>
      <c r="JFO291" s="1206"/>
      <c r="JFP291" s="1206"/>
      <c r="JFQ291" s="1206"/>
      <c r="JFR291" s="1206"/>
      <c r="JFS291" s="1206"/>
      <c r="JFT291" s="1206"/>
      <c r="JFU291" s="1206"/>
      <c r="JFV291" s="1206"/>
      <c r="JFW291" s="1206"/>
      <c r="JFX291" s="1206"/>
      <c r="JFY291" s="1206"/>
      <c r="JFZ291" s="1206"/>
      <c r="JGA291" s="1206"/>
      <c r="JGB291" s="1206"/>
      <c r="JGC291" s="1206"/>
      <c r="JGD291" s="1206"/>
      <c r="JGE291" s="1207"/>
      <c r="JGF291" s="1206"/>
      <c r="JGG291" s="1206"/>
      <c r="JGH291" s="1206"/>
      <c r="JGI291" s="1206"/>
      <c r="JGJ291" s="1206"/>
      <c r="JGK291" s="1206"/>
      <c r="JGL291" s="1206"/>
      <c r="JGM291" s="1206"/>
      <c r="JGN291" s="1206"/>
      <c r="JGO291" s="1206"/>
      <c r="JGP291" s="1206"/>
      <c r="JGQ291" s="1206"/>
      <c r="JGR291" s="1206"/>
      <c r="JGS291" s="1206"/>
      <c r="JGT291" s="1206"/>
      <c r="JGU291" s="1206"/>
      <c r="JGV291" s="1207"/>
      <c r="JGW291" s="1206"/>
      <c r="JGX291" s="1206"/>
      <c r="JGY291" s="1206"/>
      <c r="JGZ291" s="1206"/>
      <c r="JHA291" s="1206"/>
      <c r="JHB291" s="1206"/>
      <c r="JHC291" s="1206"/>
      <c r="JHD291" s="1206"/>
      <c r="JHE291" s="1206"/>
      <c r="JHF291" s="1206"/>
      <c r="JHG291" s="1206"/>
      <c r="JHH291" s="1206"/>
      <c r="JHI291" s="1206"/>
      <c r="JHJ291" s="1206"/>
      <c r="JHK291" s="1206"/>
      <c r="JHL291" s="1206"/>
      <c r="JHM291" s="1207"/>
      <c r="JHN291" s="1206"/>
      <c r="JHO291" s="1206"/>
      <c r="JHP291" s="1206"/>
      <c r="JHQ291" s="1206"/>
      <c r="JHR291" s="1206"/>
      <c r="JHS291" s="1206"/>
      <c r="JHT291" s="1206"/>
      <c r="JHU291" s="1206"/>
      <c r="JHV291" s="1206"/>
      <c r="JHW291" s="1206"/>
      <c r="JHX291" s="1206"/>
      <c r="JHY291" s="1206"/>
      <c r="JHZ291" s="1206"/>
      <c r="JIA291" s="1206"/>
      <c r="JIB291" s="1206"/>
      <c r="JIC291" s="1206"/>
      <c r="JID291" s="1207"/>
      <c r="JIE291" s="1206"/>
      <c r="JIF291" s="1206"/>
      <c r="JIG291" s="1206"/>
      <c r="JIH291" s="1206"/>
      <c r="JII291" s="1206"/>
      <c r="JIJ291" s="1206"/>
      <c r="JIK291" s="1206"/>
      <c r="JIL291" s="1206"/>
      <c r="JIM291" s="1206"/>
      <c r="JIN291" s="1206"/>
      <c r="JIO291" s="1206"/>
      <c r="JIP291" s="1206"/>
      <c r="JIQ291" s="1206"/>
      <c r="JIR291" s="1206"/>
      <c r="JIS291" s="1206"/>
      <c r="JIT291" s="1206"/>
      <c r="JIU291" s="1207"/>
      <c r="JIV291" s="1206"/>
      <c r="JIW291" s="1206"/>
      <c r="JIX291" s="1206"/>
      <c r="JIY291" s="1206"/>
      <c r="JIZ291" s="1206"/>
      <c r="JJA291" s="1206"/>
      <c r="JJB291" s="1206"/>
      <c r="JJC291" s="1206"/>
      <c r="JJD291" s="1206"/>
      <c r="JJE291" s="1206"/>
      <c r="JJF291" s="1206"/>
      <c r="JJG291" s="1206"/>
      <c r="JJH291" s="1206"/>
      <c r="JJI291" s="1206"/>
      <c r="JJJ291" s="1206"/>
      <c r="JJK291" s="1206"/>
      <c r="JJL291" s="1207"/>
      <c r="JJM291" s="1206"/>
      <c r="JJN291" s="1206"/>
      <c r="JJO291" s="1206"/>
      <c r="JJP291" s="1206"/>
      <c r="JJQ291" s="1206"/>
      <c r="JJR291" s="1206"/>
      <c r="JJS291" s="1206"/>
      <c r="JJT291" s="1206"/>
      <c r="JJU291" s="1206"/>
      <c r="JJV291" s="1206"/>
      <c r="JJW291" s="1206"/>
      <c r="JJX291" s="1206"/>
      <c r="JJY291" s="1206"/>
      <c r="JJZ291" s="1206"/>
      <c r="JKA291" s="1206"/>
      <c r="JKB291" s="1206"/>
      <c r="JKC291" s="1207"/>
      <c r="JKD291" s="1206"/>
      <c r="JKE291" s="1206"/>
      <c r="JKF291" s="1206"/>
      <c r="JKG291" s="1206"/>
      <c r="JKH291" s="1206"/>
      <c r="JKI291" s="1206"/>
      <c r="JKJ291" s="1206"/>
      <c r="JKK291" s="1206"/>
      <c r="JKL291" s="1206"/>
      <c r="JKM291" s="1206"/>
      <c r="JKN291" s="1206"/>
      <c r="JKO291" s="1206"/>
      <c r="JKP291" s="1206"/>
      <c r="JKQ291" s="1206"/>
      <c r="JKR291" s="1206"/>
      <c r="JKS291" s="1206"/>
      <c r="JKT291" s="1207"/>
      <c r="JKU291" s="1206"/>
      <c r="JKV291" s="1206"/>
      <c r="JKW291" s="1206"/>
      <c r="JKX291" s="1206"/>
      <c r="JKY291" s="1206"/>
      <c r="JKZ291" s="1206"/>
      <c r="JLA291" s="1206"/>
      <c r="JLB291" s="1206"/>
      <c r="JLC291" s="1206"/>
      <c r="JLD291" s="1206"/>
      <c r="JLE291" s="1206"/>
      <c r="JLF291" s="1206"/>
      <c r="JLG291" s="1206"/>
      <c r="JLH291" s="1206"/>
      <c r="JLI291" s="1206"/>
      <c r="JLJ291" s="1206"/>
      <c r="JLK291" s="1207"/>
      <c r="JLL291" s="1206"/>
      <c r="JLM291" s="1206"/>
      <c r="JLN291" s="1206"/>
      <c r="JLO291" s="1206"/>
      <c r="JLP291" s="1206"/>
      <c r="JLQ291" s="1206"/>
      <c r="JLR291" s="1206"/>
      <c r="JLS291" s="1206"/>
      <c r="JLT291" s="1206"/>
      <c r="JLU291" s="1206"/>
      <c r="JLV291" s="1206"/>
      <c r="JLW291" s="1206"/>
      <c r="JLX291" s="1206"/>
      <c r="JLY291" s="1206"/>
      <c r="JLZ291" s="1206"/>
      <c r="JMA291" s="1206"/>
      <c r="JMB291" s="1207"/>
      <c r="JMC291" s="1206"/>
      <c r="JMD291" s="1206"/>
      <c r="JME291" s="1206"/>
      <c r="JMF291" s="1206"/>
      <c r="JMG291" s="1206"/>
      <c r="JMH291" s="1206"/>
      <c r="JMI291" s="1206"/>
      <c r="JMJ291" s="1206"/>
      <c r="JMK291" s="1206"/>
      <c r="JML291" s="1206"/>
      <c r="JMM291" s="1206"/>
      <c r="JMN291" s="1206"/>
      <c r="JMO291" s="1206"/>
      <c r="JMP291" s="1206"/>
      <c r="JMQ291" s="1206"/>
      <c r="JMR291" s="1206"/>
      <c r="JMS291" s="1207"/>
      <c r="JMT291" s="1206"/>
      <c r="JMU291" s="1206"/>
      <c r="JMV291" s="1206"/>
      <c r="JMW291" s="1206"/>
      <c r="JMX291" s="1206"/>
      <c r="JMY291" s="1206"/>
      <c r="JMZ291" s="1206"/>
      <c r="JNA291" s="1206"/>
      <c r="JNB291" s="1206"/>
      <c r="JNC291" s="1206"/>
      <c r="JND291" s="1206"/>
      <c r="JNE291" s="1206"/>
      <c r="JNF291" s="1206"/>
      <c r="JNG291" s="1206"/>
      <c r="JNH291" s="1206"/>
      <c r="JNI291" s="1206"/>
      <c r="JNJ291" s="1207"/>
      <c r="JNK291" s="1206"/>
      <c r="JNL291" s="1206"/>
      <c r="JNM291" s="1206"/>
      <c r="JNN291" s="1206"/>
      <c r="JNO291" s="1206"/>
      <c r="JNP291" s="1206"/>
      <c r="JNQ291" s="1206"/>
      <c r="JNR291" s="1206"/>
      <c r="JNS291" s="1206"/>
      <c r="JNT291" s="1206"/>
      <c r="JNU291" s="1206"/>
      <c r="JNV291" s="1206"/>
      <c r="JNW291" s="1206"/>
      <c r="JNX291" s="1206"/>
      <c r="JNY291" s="1206"/>
      <c r="JNZ291" s="1206"/>
      <c r="JOA291" s="1207"/>
      <c r="JOB291" s="1206"/>
      <c r="JOC291" s="1206"/>
      <c r="JOD291" s="1206"/>
      <c r="JOE291" s="1206"/>
      <c r="JOF291" s="1206"/>
      <c r="JOG291" s="1206"/>
      <c r="JOH291" s="1206"/>
      <c r="JOI291" s="1206"/>
      <c r="JOJ291" s="1206"/>
      <c r="JOK291" s="1206"/>
      <c r="JOL291" s="1206"/>
      <c r="JOM291" s="1206"/>
      <c r="JON291" s="1206"/>
      <c r="JOO291" s="1206"/>
      <c r="JOP291" s="1206"/>
      <c r="JOQ291" s="1206"/>
      <c r="JOR291" s="1207"/>
      <c r="JOS291" s="1206"/>
      <c r="JOT291" s="1206"/>
      <c r="JOU291" s="1206"/>
      <c r="JOV291" s="1206"/>
      <c r="JOW291" s="1206"/>
      <c r="JOX291" s="1206"/>
      <c r="JOY291" s="1206"/>
      <c r="JOZ291" s="1206"/>
      <c r="JPA291" s="1206"/>
      <c r="JPB291" s="1206"/>
      <c r="JPC291" s="1206"/>
      <c r="JPD291" s="1206"/>
      <c r="JPE291" s="1206"/>
      <c r="JPF291" s="1206"/>
      <c r="JPG291" s="1206"/>
      <c r="JPH291" s="1206"/>
      <c r="JPI291" s="1207"/>
      <c r="JPJ291" s="1206"/>
      <c r="JPK291" s="1206"/>
      <c r="JPL291" s="1206"/>
      <c r="JPM291" s="1206"/>
      <c r="JPN291" s="1206"/>
      <c r="JPO291" s="1206"/>
      <c r="JPP291" s="1206"/>
      <c r="JPQ291" s="1206"/>
      <c r="JPR291" s="1206"/>
      <c r="JPS291" s="1206"/>
      <c r="JPT291" s="1206"/>
      <c r="JPU291" s="1206"/>
      <c r="JPV291" s="1206"/>
      <c r="JPW291" s="1206"/>
      <c r="JPX291" s="1206"/>
      <c r="JPY291" s="1206"/>
      <c r="JPZ291" s="1207"/>
      <c r="JQA291" s="1206"/>
      <c r="JQB291" s="1206"/>
      <c r="JQC291" s="1206"/>
      <c r="JQD291" s="1206"/>
      <c r="JQE291" s="1206"/>
      <c r="JQF291" s="1206"/>
      <c r="JQG291" s="1206"/>
      <c r="JQH291" s="1206"/>
      <c r="JQI291" s="1206"/>
      <c r="JQJ291" s="1206"/>
      <c r="JQK291" s="1206"/>
      <c r="JQL291" s="1206"/>
      <c r="JQM291" s="1206"/>
      <c r="JQN291" s="1206"/>
      <c r="JQO291" s="1206"/>
      <c r="JQP291" s="1206"/>
      <c r="JQQ291" s="1207"/>
      <c r="JQR291" s="1206"/>
      <c r="JQS291" s="1206"/>
      <c r="JQT291" s="1206"/>
      <c r="JQU291" s="1206"/>
      <c r="JQV291" s="1206"/>
      <c r="JQW291" s="1206"/>
      <c r="JQX291" s="1206"/>
      <c r="JQY291" s="1206"/>
      <c r="JQZ291" s="1206"/>
      <c r="JRA291" s="1206"/>
      <c r="JRB291" s="1206"/>
      <c r="JRC291" s="1206"/>
      <c r="JRD291" s="1206"/>
      <c r="JRE291" s="1206"/>
      <c r="JRF291" s="1206"/>
      <c r="JRG291" s="1206"/>
      <c r="JRH291" s="1207"/>
      <c r="JRI291" s="1206"/>
      <c r="JRJ291" s="1206"/>
      <c r="JRK291" s="1206"/>
      <c r="JRL291" s="1206"/>
      <c r="JRM291" s="1206"/>
      <c r="JRN291" s="1206"/>
      <c r="JRO291" s="1206"/>
      <c r="JRP291" s="1206"/>
      <c r="JRQ291" s="1206"/>
      <c r="JRR291" s="1206"/>
      <c r="JRS291" s="1206"/>
      <c r="JRT291" s="1206"/>
      <c r="JRU291" s="1206"/>
      <c r="JRV291" s="1206"/>
      <c r="JRW291" s="1206"/>
      <c r="JRX291" s="1206"/>
      <c r="JRY291" s="1207"/>
      <c r="JRZ291" s="1206"/>
      <c r="JSA291" s="1206"/>
      <c r="JSB291" s="1206"/>
      <c r="JSC291" s="1206"/>
      <c r="JSD291" s="1206"/>
      <c r="JSE291" s="1206"/>
      <c r="JSF291" s="1206"/>
      <c r="JSG291" s="1206"/>
      <c r="JSH291" s="1206"/>
      <c r="JSI291" s="1206"/>
      <c r="JSJ291" s="1206"/>
      <c r="JSK291" s="1206"/>
      <c r="JSL291" s="1206"/>
      <c r="JSM291" s="1206"/>
      <c r="JSN291" s="1206"/>
      <c r="JSO291" s="1206"/>
      <c r="JSP291" s="1207"/>
      <c r="JSQ291" s="1206"/>
      <c r="JSR291" s="1206"/>
      <c r="JSS291" s="1206"/>
      <c r="JST291" s="1206"/>
      <c r="JSU291" s="1206"/>
      <c r="JSV291" s="1206"/>
      <c r="JSW291" s="1206"/>
      <c r="JSX291" s="1206"/>
      <c r="JSY291" s="1206"/>
      <c r="JSZ291" s="1206"/>
      <c r="JTA291" s="1206"/>
      <c r="JTB291" s="1206"/>
      <c r="JTC291" s="1206"/>
      <c r="JTD291" s="1206"/>
      <c r="JTE291" s="1206"/>
      <c r="JTF291" s="1206"/>
      <c r="JTG291" s="1207"/>
      <c r="JTH291" s="1206"/>
      <c r="JTI291" s="1206"/>
      <c r="JTJ291" s="1206"/>
      <c r="JTK291" s="1206"/>
      <c r="JTL291" s="1206"/>
      <c r="JTM291" s="1206"/>
      <c r="JTN291" s="1206"/>
      <c r="JTO291" s="1206"/>
      <c r="JTP291" s="1206"/>
      <c r="JTQ291" s="1206"/>
      <c r="JTR291" s="1206"/>
      <c r="JTS291" s="1206"/>
      <c r="JTT291" s="1206"/>
      <c r="JTU291" s="1206"/>
      <c r="JTV291" s="1206"/>
      <c r="JTW291" s="1206"/>
      <c r="JTX291" s="1207"/>
      <c r="JTY291" s="1206"/>
      <c r="JTZ291" s="1206"/>
      <c r="JUA291" s="1206"/>
      <c r="JUB291" s="1206"/>
      <c r="JUC291" s="1206"/>
      <c r="JUD291" s="1206"/>
      <c r="JUE291" s="1206"/>
      <c r="JUF291" s="1206"/>
      <c r="JUG291" s="1206"/>
      <c r="JUH291" s="1206"/>
      <c r="JUI291" s="1206"/>
      <c r="JUJ291" s="1206"/>
      <c r="JUK291" s="1206"/>
      <c r="JUL291" s="1206"/>
      <c r="JUM291" s="1206"/>
      <c r="JUN291" s="1206"/>
      <c r="JUO291" s="1207"/>
      <c r="JUP291" s="1206"/>
      <c r="JUQ291" s="1206"/>
      <c r="JUR291" s="1206"/>
      <c r="JUS291" s="1206"/>
      <c r="JUT291" s="1206"/>
      <c r="JUU291" s="1206"/>
      <c r="JUV291" s="1206"/>
      <c r="JUW291" s="1206"/>
      <c r="JUX291" s="1206"/>
      <c r="JUY291" s="1206"/>
      <c r="JUZ291" s="1206"/>
      <c r="JVA291" s="1206"/>
      <c r="JVB291" s="1206"/>
      <c r="JVC291" s="1206"/>
      <c r="JVD291" s="1206"/>
      <c r="JVE291" s="1206"/>
      <c r="JVF291" s="1207"/>
      <c r="JVG291" s="1206"/>
      <c r="JVH291" s="1206"/>
      <c r="JVI291" s="1206"/>
      <c r="JVJ291" s="1206"/>
      <c r="JVK291" s="1206"/>
      <c r="JVL291" s="1206"/>
      <c r="JVM291" s="1206"/>
      <c r="JVN291" s="1206"/>
      <c r="JVO291" s="1206"/>
      <c r="JVP291" s="1206"/>
      <c r="JVQ291" s="1206"/>
      <c r="JVR291" s="1206"/>
      <c r="JVS291" s="1206"/>
      <c r="JVT291" s="1206"/>
      <c r="JVU291" s="1206"/>
      <c r="JVV291" s="1206"/>
      <c r="JVW291" s="1207"/>
      <c r="JVX291" s="1206"/>
      <c r="JVY291" s="1206"/>
      <c r="JVZ291" s="1206"/>
      <c r="JWA291" s="1206"/>
      <c r="JWB291" s="1206"/>
      <c r="JWC291" s="1206"/>
      <c r="JWD291" s="1206"/>
      <c r="JWE291" s="1206"/>
      <c r="JWF291" s="1206"/>
      <c r="JWG291" s="1206"/>
      <c r="JWH291" s="1206"/>
      <c r="JWI291" s="1206"/>
      <c r="JWJ291" s="1206"/>
      <c r="JWK291" s="1206"/>
      <c r="JWL291" s="1206"/>
      <c r="JWM291" s="1206"/>
      <c r="JWN291" s="1207"/>
      <c r="JWO291" s="1206"/>
      <c r="JWP291" s="1206"/>
      <c r="JWQ291" s="1206"/>
      <c r="JWR291" s="1206"/>
      <c r="JWS291" s="1206"/>
      <c r="JWT291" s="1206"/>
      <c r="JWU291" s="1206"/>
      <c r="JWV291" s="1206"/>
      <c r="JWW291" s="1206"/>
      <c r="JWX291" s="1206"/>
      <c r="JWY291" s="1206"/>
      <c r="JWZ291" s="1206"/>
      <c r="JXA291" s="1206"/>
      <c r="JXB291" s="1206"/>
      <c r="JXC291" s="1206"/>
      <c r="JXD291" s="1206"/>
      <c r="JXE291" s="1207"/>
      <c r="JXF291" s="1206"/>
      <c r="JXG291" s="1206"/>
      <c r="JXH291" s="1206"/>
      <c r="JXI291" s="1206"/>
      <c r="JXJ291" s="1206"/>
      <c r="JXK291" s="1206"/>
      <c r="JXL291" s="1206"/>
      <c r="JXM291" s="1206"/>
      <c r="JXN291" s="1206"/>
      <c r="JXO291" s="1206"/>
      <c r="JXP291" s="1206"/>
      <c r="JXQ291" s="1206"/>
      <c r="JXR291" s="1206"/>
      <c r="JXS291" s="1206"/>
      <c r="JXT291" s="1206"/>
      <c r="JXU291" s="1206"/>
      <c r="JXV291" s="1207"/>
      <c r="JXW291" s="1206"/>
      <c r="JXX291" s="1206"/>
      <c r="JXY291" s="1206"/>
      <c r="JXZ291" s="1206"/>
      <c r="JYA291" s="1206"/>
      <c r="JYB291" s="1206"/>
      <c r="JYC291" s="1206"/>
      <c r="JYD291" s="1206"/>
      <c r="JYE291" s="1206"/>
      <c r="JYF291" s="1206"/>
      <c r="JYG291" s="1206"/>
      <c r="JYH291" s="1206"/>
      <c r="JYI291" s="1206"/>
      <c r="JYJ291" s="1206"/>
      <c r="JYK291" s="1206"/>
      <c r="JYL291" s="1206"/>
      <c r="JYM291" s="1207"/>
      <c r="JYN291" s="1206"/>
      <c r="JYO291" s="1206"/>
      <c r="JYP291" s="1206"/>
      <c r="JYQ291" s="1206"/>
      <c r="JYR291" s="1206"/>
      <c r="JYS291" s="1206"/>
      <c r="JYT291" s="1206"/>
      <c r="JYU291" s="1206"/>
      <c r="JYV291" s="1206"/>
      <c r="JYW291" s="1206"/>
      <c r="JYX291" s="1206"/>
      <c r="JYY291" s="1206"/>
      <c r="JYZ291" s="1206"/>
      <c r="JZA291" s="1206"/>
      <c r="JZB291" s="1206"/>
      <c r="JZC291" s="1206"/>
      <c r="JZD291" s="1207"/>
      <c r="JZE291" s="1206"/>
      <c r="JZF291" s="1206"/>
      <c r="JZG291" s="1206"/>
      <c r="JZH291" s="1206"/>
      <c r="JZI291" s="1206"/>
      <c r="JZJ291" s="1206"/>
      <c r="JZK291" s="1206"/>
      <c r="JZL291" s="1206"/>
      <c r="JZM291" s="1206"/>
      <c r="JZN291" s="1206"/>
      <c r="JZO291" s="1206"/>
      <c r="JZP291" s="1206"/>
      <c r="JZQ291" s="1206"/>
      <c r="JZR291" s="1206"/>
      <c r="JZS291" s="1206"/>
      <c r="JZT291" s="1206"/>
      <c r="JZU291" s="1207"/>
      <c r="JZV291" s="1206"/>
      <c r="JZW291" s="1206"/>
      <c r="JZX291" s="1206"/>
      <c r="JZY291" s="1206"/>
      <c r="JZZ291" s="1206"/>
      <c r="KAA291" s="1206"/>
      <c r="KAB291" s="1206"/>
      <c r="KAC291" s="1206"/>
      <c r="KAD291" s="1206"/>
      <c r="KAE291" s="1206"/>
      <c r="KAF291" s="1206"/>
      <c r="KAG291" s="1206"/>
      <c r="KAH291" s="1206"/>
      <c r="KAI291" s="1206"/>
      <c r="KAJ291" s="1206"/>
      <c r="KAK291" s="1206"/>
      <c r="KAL291" s="1207"/>
      <c r="KAM291" s="1206"/>
      <c r="KAN291" s="1206"/>
      <c r="KAO291" s="1206"/>
      <c r="KAP291" s="1206"/>
      <c r="KAQ291" s="1206"/>
      <c r="KAR291" s="1206"/>
      <c r="KAS291" s="1206"/>
      <c r="KAT291" s="1206"/>
      <c r="KAU291" s="1206"/>
      <c r="KAV291" s="1206"/>
      <c r="KAW291" s="1206"/>
      <c r="KAX291" s="1206"/>
      <c r="KAY291" s="1206"/>
      <c r="KAZ291" s="1206"/>
      <c r="KBA291" s="1206"/>
      <c r="KBB291" s="1206"/>
      <c r="KBC291" s="1207"/>
      <c r="KBD291" s="1206"/>
      <c r="KBE291" s="1206"/>
      <c r="KBF291" s="1206"/>
      <c r="KBG291" s="1206"/>
      <c r="KBH291" s="1206"/>
      <c r="KBI291" s="1206"/>
      <c r="KBJ291" s="1206"/>
      <c r="KBK291" s="1206"/>
      <c r="KBL291" s="1206"/>
      <c r="KBM291" s="1206"/>
      <c r="KBN291" s="1206"/>
      <c r="KBO291" s="1206"/>
      <c r="KBP291" s="1206"/>
      <c r="KBQ291" s="1206"/>
      <c r="KBR291" s="1206"/>
      <c r="KBS291" s="1206"/>
      <c r="KBT291" s="1207"/>
      <c r="KBU291" s="1206"/>
      <c r="KBV291" s="1206"/>
      <c r="KBW291" s="1206"/>
      <c r="KBX291" s="1206"/>
      <c r="KBY291" s="1206"/>
      <c r="KBZ291" s="1206"/>
      <c r="KCA291" s="1206"/>
      <c r="KCB291" s="1206"/>
      <c r="KCC291" s="1206"/>
      <c r="KCD291" s="1206"/>
      <c r="KCE291" s="1206"/>
      <c r="KCF291" s="1206"/>
      <c r="KCG291" s="1206"/>
      <c r="KCH291" s="1206"/>
      <c r="KCI291" s="1206"/>
      <c r="KCJ291" s="1206"/>
      <c r="KCK291" s="1207"/>
      <c r="KCL291" s="1206"/>
      <c r="KCM291" s="1206"/>
      <c r="KCN291" s="1206"/>
      <c r="KCO291" s="1206"/>
      <c r="KCP291" s="1206"/>
      <c r="KCQ291" s="1206"/>
      <c r="KCR291" s="1206"/>
      <c r="KCS291" s="1206"/>
      <c r="KCT291" s="1206"/>
      <c r="KCU291" s="1206"/>
      <c r="KCV291" s="1206"/>
      <c r="KCW291" s="1206"/>
      <c r="KCX291" s="1206"/>
      <c r="KCY291" s="1206"/>
      <c r="KCZ291" s="1206"/>
      <c r="KDA291" s="1206"/>
      <c r="KDB291" s="1207"/>
      <c r="KDC291" s="1206"/>
      <c r="KDD291" s="1206"/>
      <c r="KDE291" s="1206"/>
      <c r="KDF291" s="1206"/>
      <c r="KDG291" s="1206"/>
      <c r="KDH291" s="1206"/>
      <c r="KDI291" s="1206"/>
      <c r="KDJ291" s="1206"/>
      <c r="KDK291" s="1206"/>
      <c r="KDL291" s="1206"/>
      <c r="KDM291" s="1206"/>
      <c r="KDN291" s="1206"/>
      <c r="KDO291" s="1206"/>
      <c r="KDP291" s="1206"/>
      <c r="KDQ291" s="1206"/>
      <c r="KDR291" s="1206"/>
      <c r="KDS291" s="1207"/>
      <c r="KDT291" s="1206"/>
      <c r="KDU291" s="1206"/>
      <c r="KDV291" s="1206"/>
      <c r="KDW291" s="1206"/>
      <c r="KDX291" s="1206"/>
      <c r="KDY291" s="1206"/>
      <c r="KDZ291" s="1206"/>
      <c r="KEA291" s="1206"/>
      <c r="KEB291" s="1206"/>
      <c r="KEC291" s="1206"/>
      <c r="KED291" s="1206"/>
      <c r="KEE291" s="1206"/>
      <c r="KEF291" s="1206"/>
      <c r="KEG291" s="1206"/>
      <c r="KEH291" s="1206"/>
      <c r="KEI291" s="1206"/>
      <c r="KEJ291" s="1207"/>
      <c r="KEK291" s="1206"/>
      <c r="KEL291" s="1206"/>
      <c r="KEM291" s="1206"/>
      <c r="KEN291" s="1206"/>
      <c r="KEO291" s="1206"/>
      <c r="KEP291" s="1206"/>
      <c r="KEQ291" s="1206"/>
      <c r="KER291" s="1206"/>
      <c r="KES291" s="1206"/>
      <c r="KET291" s="1206"/>
      <c r="KEU291" s="1206"/>
      <c r="KEV291" s="1206"/>
      <c r="KEW291" s="1206"/>
      <c r="KEX291" s="1206"/>
      <c r="KEY291" s="1206"/>
      <c r="KEZ291" s="1206"/>
      <c r="KFA291" s="1207"/>
      <c r="KFB291" s="1206"/>
      <c r="KFC291" s="1206"/>
      <c r="KFD291" s="1206"/>
      <c r="KFE291" s="1206"/>
      <c r="KFF291" s="1206"/>
      <c r="KFG291" s="1206"/>
      <c r="KFH291" s="1206"/>
      <c r="KFI291" s="1206"/>
      <c r="KFJ291" s="1206"/>
      <c r="KFK291" s="1206"/>
      <c r="KFL291" s="1206"/>
      <c r="KFM291" s="1206"/>
      <c r="KFN291" s="1206"/>
      <c r="KFO291" s="1206"/>
      <c r="KFP291" s="1206"/>
      <c r="KFQ291" s="1206"/>
      <c r="KFR291" s="1207"/>
      <c r="KFS291" s="1206"/>
      <c r="KFT291" s="1206"/>
      <c r="KFU291" s="1206"/>
      <c r="KFV291" s="1206"/>
      <c r="KFW291" s="1206"/>
      <c r="KFX291" s="1206"/>
      <c r="KFY291" s="1206"/>
      <c r="KFZ291" s="1206"/>
      <c r="KGA291" s="1206"/>
      <c r="KGB291" s="1206"/>
      <c r="KGC291" s="1206"/>
      <c r="KGD291" s="1206"/>
      <c r="KGE291" s="1206"/>
      <c r="KGF291" s="1206"/>
      <c r="KGG291" s="1206"/>
      <c r="KGH291" s="1206"/>
      <c r="KGI291" s="1207"/>
      <c r="KGJ291" s="1206"/>
      <c r="KGK291" s="1206"/>
      <c r="KGL291" s="1206"/>
      <c r="KGM291" s="1206"/>
      <c r="KGN291" s="1206"/>
      <c r="KGO291" s="1206"/>
      <c r="KGP291" s="1206"/>
      <c r="KGQ291" s="1206"/>
      <c r="KGR291" s="1206"/>
      <c r="KGS291" s="1206"/>
      <c r="KGT291" s="1206"/>
      <c r="KGU291" s="1206"/>
      <c r="KGV291" s="1206"/>
      <c r="KGW291" s="1206"/>
      <c r="KGX291" s="1206"/>
      <c r="KGY291" s="1206"/>
      <c r="KGZ291" s="1207"/>
      <c r="KHA291" s="1206"/>
      <c r="KHB291" s="1206"/>
      <c r="KHC291" s="1206"/>
      <c r="KHD291" s="1206"/>
      <c r="KHE291" s="1206"/>
      <c r="KHF291" s="1206"/>
      <c r="KHG291" s="1206"/>
      <c r="KHH291" s="1206"/>
      <c r="KHI291" s="1206"/>
      <c r="KHJ291" s="1206"/>
      <c r="KHK291" s="1206"/>
      <c r="KHL291" s="1206"/>
      <c r="KHM291" s="1206"/>
      <c r="KHN291" s="1206"/>
      <c r="KHO291" s="1206"/>
      <c r="KHP291" s="1206"/>
      <c r="KHQ291" s="1207"/>
      <c r="KHR291" s="1206"/>
      <c r="KHS291" s="1206"/>
      <c r="KHT291" s="1206"/>
      <c r="KHU291" s="1206"/>
      <c r="KHV291" s="1206"/>
      <c r="KHW291" s="1206"/>
      <c r="KHX291" s="1206"/>
      <c r="KHY291" s="1206"/>
      <c r="KHZ291" s="1206"/>
      <c r="KIA291" s="1206"/>
      <c r="KIB291" s="1206"/>
      <c r="KIC291" s="1206"/>
      <c r="KID291" s="1206"/>
      <c r="KIE291" s="1206"/>
      <c r="KIF291" s="1206"/>
      <c r="KIG291" s="1206"/>
      <c r="KIH291" s="1207"/>
      <c r="KII291" s="1206"/>
      <c r="KIJ291" s="1206"/>
      <c r="KIK291" s="1206"/>
      <c r="KIL291" s="1206"/>
      <c r="KIM291" s="1206"/>
      <c r="KIN291" s="1206"/>
      <c r="KIO291" s="1206"/>
      <c r="KIP291" s="1206"/>
      <c r="KIQ291" s="1206"/>
      <c r="KIR291" s="1206"/>
      <c r="KIS291" s="1206"/>
      <c r="KIT291" s="1206"/>
      <c r="KIU291" s="1206"/>
      <c r="KIV291" s="1206"/>
      <c r="KIW291" s="1206"/>
      <c r="KIX291" s="1206"/>
      <c r="KIY291" s="1207"/>
      <c r="KIZ291" s="1206"/>
      <c r="KJA291" s="1206"/>
      <c r="KJB291" s="1206"/>
      <c r="KJC291" s="1206"/>
      <c r="KJD291" s="1206"/>
      <c r="KJE291" s="1206"/>
      <c r="KJF291" s="1206"/>
      <c r="KJG291" s="1206"/>
      <c r="KJH291" s="1206"/>
      <c r="KJI291" s="1206"/>
      <c r="KJJ291" s="1206"/>
      <c r="KJK291" s="1206"/>
      <c r="KJL291" s="1206"/>
      <c r="KJM291" s="1206"/>
      <c r="KJN291" s="1206"/>
      <c r="KJO291" s="1206"/>
      <c r="KJP291" s="1207"/>
      <c r="KJQ291" s="1206"/>
      <c r="KJR291" s="1206"/>
      <c r="KJS291" s="1206"/>
      <c r="KJT291" s="1206"/>
      <c r="KJU291" s="1206"/>
      <c r="KJV291" s="1206"/>
      <c r="KJW291" s="1206"/>
      <c r="KJX291" s="1206"/>
      <c r="KJY291" s="1206"/>
      <c r="KJZ291" s="1206"/>
      <c r="KKA291" s="1206"/>
      <c r="KKB291" s="1206"/>
      <c r="KKC291" s="1206"/>
      <c r="KKD291" s="1206"/>
      <c r="KKE291" s="1206"/>
      <c r="KKF291" s="1206"/>
      <c r="KKG291" s="1207"/>
      <c r="KKH291" s="1206"/>
      <c r="KKI291" s="1206"/>
      <c r="KKJ291" s="1206"/>
      <c r="KKK291" s="1206"/>
      <c r="KKL291" s="1206"/>
      <c r="KKM291" s="1206"/>
      <c r="KKN291" s="1206"/>
      <c r="KKO291" s="1206"/>
      <c r="KKP291" s="1206"/>
      <c r="KKQ291" s="1206"/>
      <c r="KKR291" s="1206"/>
      <c r="KKS291" s="1206"/>
      <c r="KKT291" s="1206"/>
      <c r="KKU291" s="1206"/>
      <c r="KKV291" s="1206"/>
      <c r="KKW291" s="1206"/>
      <c r="KKX291" s="1207"/>
      <c r="KKY291" s="1206"/>
      <c r="KKZ291" s="1206"/>
      <c r="KLA291" s="1206"/>
      <c r="KLB291" s="1206"/>
      <c r="KLC291" s="1206"/>
      <c r="KLD291" s="1206"/>
      <c r="KLE291" s="1206"/>
      <c r="KLF291" s="1206"/>
      <c r="KLG291" s="1206"/>
      <c r="KLH291" s="1206"/>
      <c r="KLI291" s="1206"/>
      <c r="KLJ291" s="1206"/>
      <c r="KLK291" s="1206"/>
      <c r="KLL291" s="1206"/>
      <c r="KLM291" s="1206"/>
      <c r="KLN291" s="1206"/>
      <c r="KLO291" s="1207"/>
      <c r="KLP291" s="1206"/>
      <c r="KLQ291" s="1206"/>
      <c r="KLR291" s="1206"/>
      <c r="KLS291" s="1206"/>
      <c r="KLT291" s="1206"/>
      <c r="KLU291" s="1206"/>
      <c r="KLV291" s="1206"/>
      <c r="KLW291" s="1206"/>
      <c r="KLX291" s="1206"/>
      <c r="KLY291" s="1206"/>
      <c r="KLZ291" s="1206"/>
      <c r="KMA291" s="1206"/>
      <c r="KMB291" s="1206"/>
      <c r="KMC291" s="1206"/>
      <c r="KMD291" s="1206"/>
      <c r="KME291" s="1206"/>
      <c r="KMF291" s="1207"/>
      <c r="KMG291" s="1206"/>
      <c r="KMH291" s="1206"/>
      <c r="KMI291" s="1206"/>
      <c r="KMJ291" s="1206"/>
      <c r="KMK291" s="1206"/>
      <c r="KML291" s="1206"/>
      <c r="KMM291" s="1206"/>
      <c r="KMN291" s="1206"/>
      <c r="KMO291" s="1206"/>
      <c r="KMP291" s="1206"/>
      <c r="KMQ291" s="1206"/>
      <c r="KMR291" s="1206"/>
      <c r="KMS291" s="1206"/>
      <c r="KMT291" s="1206"/>
      <c r="KMU291" s="1206"/>
      <c r="KMV291" s="1206"/>
      <c r="KMW291" s="1207"/>
      <c r="KMX291" s="1206"/>
      <c r="KMY291" s="1206"/>
      <c r="KMZ291" s="1206"/>
      <c r="KNA291" s="1206"/>
      <c r="KNB291" s="1206"/>
      <c r="KNC291" s="1206"/>
      <c r="KND291" s="1206"/>
      <c r="KNE291" s="1206"/>
      <c r="KNF291" s="1206"/>
      <c r="KNG291" s="1206"/>
      <c r="KNH291" s="1206"/>
      <c r="KNI291" s="1206"/>
      <c r="KNJ291" s="1206"/>
      <c r="KNK291" s="1206"/>
      <c r="KNL291" s="1206"/>
      <c r="KNM291" s="1206"/>
      <c r="KNN291" s="1207"/>
      <c r="KNO291" s="1206"/>
      <c r="KNP291" s="1206"/>
      <c r="KNQ291" s="1206"/>
      <c r="KNR291" s="1206"/>
      <c r="KNS291" s="1206"/>
      <c r="KNT291" s="1206"/>
      <c r="KNU291" s="1206"/>
      <c r="KNV291" s="1206"/>
      <c r="KNW291" s="1206"/>
      <c r="KNX291" s="1206"/>
      <c r="KNY291" s="1206"/>
      <c r="KNZ291" s="1206"/>
      <c r="KOA291" s="1206"/>
      <c r="KOB291" s="1206"/>
      <c r="KOC291" s="1206"/>
      <c r="KOD291" s="1206"/>
      <c r="KOE291" s="1207"/>
      <c r="KOF291" s="1206"/>
      <c r="KOG291" s="1206"/>
      <c r="KOH291" s="1206"/>
      <c r="KOI291" s="1206"/>
      <c r="KOJ291" s="1206"/>
      <c r="KOK291" s="1206"/>
      <c r="KOL291" s="1206"/>
      <c r="KOM291" s="1206"/>
      <c r="KON291" s="1206"/>
      <c r="KOO291" s="1206"/>
      <c r="KOP291" s="1206"/>
      <c r="KOQ291" s="1206"/>
      <c r="KOR291" s="1206"/>
      <c r="KOS291" s="1206"/>
      <c r="KOT291" s="1206"/>
      <c r="KOU291" s="1206"/>
      <c r="KOV291" s="1207"/>
      <c r="KOW291" s="1206"/>
      <c r="KOX291" s="1206"/>
      <c r="KOY291" s="1206"/>
      <c r="KOZ291" s="1206"/>
      <c r="KPA291" s="1206"/>
      <c r="KPB291" s="1206"/>
      <c r="KPC291" s="1206"/>
      <c r="KPD291" s="1206"/>
      <c r="KPE291" s="1206"/>
      <c r="KPF291" s="1206"/>
      <c r="KPG291" s="1206"/>
      <c r="KPH291" s="1206"/>
      <c r="KPI291" s="1206"/>
      <c r="KPJ291" s="1206"/>
      <c r="KPK291" s="1206"/>
      <c r="KPL291" s="1206"/>
      <c r="KPM291" s="1207"/>
      <c r="KPN291" s="1206"/>
      <c r="KPO291" s="1206"/>
      <c r="KPP291" s="1206"/>
      <c r="KPQ291" s="1206"/>
      <c r="KPR291" s="1206"/>
      <c r="KPS291" s="1206"/>
      <c r="KPT291" s="1206"/>
      <c r="KPU291" s="1206"/>
      <c r="KPV291" s="1206"/>
      <c r="KPW291" s="1206"/>
      <c r="KPX291" s="1206"/>
      <c r="KPY291" s="1206"/>
      <c r="KPZ291" s="1206"/>
      <c r="KQA291" s="1206"/>
      <c r="KQB291" s="1206"/>
      <c r="KQC291" s="1206"/>
      <c r="KQD291" s="1207"/>
      <c r="KQE291" s="1206"/>
      <c r="KQF291" s="1206"/>
      <c r="KQG291" s="1206"/>
      <c r="KQH291" s="1206"/>
      <c r="KQI291" s="1206"/>
      <c r="KQJ291" s="1206"/>
      <c r="KQK291" s="1206"/>
      <c r="KQL291" s="1206"/>
      <c r="KQM291" s="1206"/>
      <c r="KQN291" s="1206"/>
      <c r="KQO291" s="1206"/>
      <c r="KQP291" s="1206"/>
      <c r="KQQ291" s="1206"/>
      <c r="KQR291" s="1206"/>
      <c r="KQS291" s="1206"/>
      <c r="KQT291" s="1206"/>
      <c r="KQU291" s="1207"/>
      <c r="KQV291" s="1206"/>
      <c r="KQW291" s="1206"/>
      <c r="KQX291" s="1206"/>
      <c r="KQY291" s="1206"/>
      <c r="KQZ291" s="1206"/>
      <c r="KRA291" s="1206"/>
      <c r="KRB291" s="1206"/>
      <c r="KRC291" s="1206"/>
      <c r="KRD291" s="1206"/>
      <c r="KRE291" s="1206"/>
      <c r="KRF291" s="1206"/>
      <c r="KRG291" s="1206"/>
      <c r="KRH291" s="1206"/>
      <c r="KRI291" s="1206"/>
      <c r="KRJ291" s="1206"/>
      <c r="KRK291" s="1206"/>
      <c r="KRL291" s="1207"/>
      <c r="KRM291" s="1206"/>
      <c r="KRN291" s="1206"/>
      <c r="KRO291" s="1206"/>
      <c r="KRP291" s="1206"/>
      <c r="KRQ291" s="1206"/>
      <c r="KRR291" s="1206"/>
      <c r="KRS291" s="1206"/>
      <c r="KRT291" s="1206"/>
      <c r="KRU291" s="1206"/>
      <c r="KRV291" s="1206"/>
      <c r="KRW291" s="1206"/>
      <c r="KRX291" s="1206"/>
      <c r="KRY291" s="1206"/>
      <c r="KRZ291" s="1206"/>
      <c r="KSA291" s="1206"/>
      <c r="KSB291" s="1206"/>
      <c r="KSC291" s="1207"/>
      <c r="KSD291" s="1206"/>
      <c r="KSE291" s="1206"/>
      <c r="KSF291" s="1206"/>
      <c r="KSG291" s="1206"/>
      <c r="KSH291" s="1206"/>
      <c r="KSI291" s="1206"/>
      <c r="KSJ291" s="1206"/>
      <c r="KSK291" s="1206"/>
      <c r="KSL291" s="1206"/>
      <c r="KSM291" s="1206"/>
      <c r="KSN291" s="1206"/>
      <c r="KSO291" s="1206"/>
      <c r="KSP291" s="1206"/>
      <c r="KSQ291" s="1206"/>
      <c r="KSR291" s="1206"/>
      <c r="KSS291" s="1206"/>
      <c r="KST291" s="1207"/>
      <c r="KSU291" s="1206"/>
      <c r="KSV291" s="1206"/>
      <c r="KSW291" s="1206"/>
      <c r="KSX291" s="1206"/>
      <c r="KSY291" s="1206"/>
      <c r="KSZ291" s="1206"/>
      <c r="KTA291" s="1206"/>
      <c r="KTB291" s="1206"/>
      <c r="KTC291" s="1206"/>
      <c r="KTD291" s="1206"/>
      <c r="KTE291" s="1206"/>
      <c r="KTF291" s="1206"/>
      <c r="KTG291" s="1206"/>
      <c r="KTH291" s="1206"/>
      <c r="KTI291" s="1206"/>
      <c r="KTJ291" s="1206"/>
      <c r="KTK291" s="1207"/>
      <c r="KTL291" s="1206"/>
      <c r="KTM291" s="1206"/>
      <c r="KTN291" s="1206"/>
      <c r="KTO291" s="1206"/>
      <c r="KTP291" s="1206"/>
      <c r="KTQ291" s="1206"/>
      <c r="KTR291" s="1206"/>
      <c r="KTS291" s="1206"/>
      <c r="KTT291" s="1206"/>
      <c r="KTU291" s="1206"/>
      <c r="KTV291" s="1206"/>
      <c r="KTW291" s="1206"/>
      <c r="KTX291" s="1206"/>
      <c r="KTY291" s="1206"/>
      <c r="KTZ291" s="1206"/>
      <c r="KUA291" s="1206"/>
      <c r="KUB291" s="1207"/>
      <c r="KUC291" s="1206"/>
      <c r="KUD291" s="1206"/>
      <c r="KUE291" s="1206"/>
      <c r="KUF291" s="1206"/>
      <c r="KUG291" s="1206"/>
      <c r="KUH291" s="1206"/>
      <c r="KUI291" s="1206"/>
      <c r="KUJ291" s="1206"/>
      <c r="KUK291" s="1206"/>
      <c r="KUL291" s="1206"/>
      <c r="KUM291" s="1206"/>
      <c r="KUN291" s="1206"/>
      <c r="KUO291" s="1206"/>
      <c r="KUP291" s="1206"/>
      <c r="KUQ291" s="1206"/>
      <c r="KUR291" s="1206"/>
      <c r="KUS291" s="1207"/>
      <c r="KUT291" s="1206"/>
      <c r="KUU291" s="1206"/>
      <c r="KUV291" s="1206"/>
      <c r="KUW291" s="1206"/>
      <c r="KUX291" s="1206"/>
      <c r="KUY291" s="1206"/>
      <c r="KUZ291" s="1206"/>
      <c r="KVA291" s="1206"/>
      <c r="KVB291" s="1206"/>
      <c r="KVC291" s="1206"/>
      <c r="KVD291" s="1206"/>
      <c r="KVE291" s="1206"/>
      <c r="KVF291" s="1206"/>
      <c r="KVG291" s="1206"/>
      <c r="KVH291" s="1206"/>
      <c r="KVI291" s="1206"/>
      <c r="KVJ291" s="1207"/>
      <c r="KVK291" s="1206"/>
      <c r="KVL291" s="1206"/>
      <c r="KVM291" s="1206"/>
      <c r="KVN291" s="1206"/>
      <c r="KVO291" s="1206"/>
      <c r="KVP291" s="1206"/>
      <c r="KVQ291" s="1206"/>
      <c r="KVR291" s="1206"/>
      <c r="KVS291" s="1206"/>
      <c r="KVT291" s="1206"/>
      <c r="KVU291" s="1206"/>
      <c r="KVV291" s="1206"/>
      <c r="KVW291" s="1206"/>
      <c r="KVX291" s="1206"/>
      <c r="KVY291" s="1206"/>
      <c r="KVZ291" s="1206"/>
      <c r="KWA291" s="1207"/>
      <c r="KWB291" s="1206"/>
      <c r="KWC291" s="1206"/>
      <c r="KWD291" s="1206"/>
      <c r="KWE291" s="1206"/>
      <c r="KWF291" s="1206"/>
      <c r="KWG291" s="1206"/>
      <c r="KWH291" s="1206"/>
      <c r="KWI291" s="1206"/>
      <c r="KWJ291" s="1206"/>
      <c r="KWK291" s="1206"/>
      <c r="KWL291" s="1206"/>
      <c r="KWM291" s="1206"/>
      <c r="KWN291" s="1206"/>
      <c r="KWO291" s="1206"/>
      <c r="KWP291" s="1206"/>
      <c r="KWQ291" s="1206"/>
      <c r="KWR291" s="1207"/>
      <c r="KWS291" s="1206"/>
      <c r="KWT291" s="1206"/>
      <c r="KWU291" s="1206"/>
      <c r="KWV291" s="1206"/>
      <c r="KWW291" s="1206"/>
      <c r="KWX291" s="1206"/>
      <c r="KWY291" s="1206"/>
      <c r="KWZ291" s="1206"/>
      <c r="KXA291" s="1206"/>
      <c r="KXB291" s="1206"/>
      <c r="KXC291" s="1206"/>
      <c r="KXD291" s="1206"/>
      <c r="KXE291" s="1206"/>
      <c r="KXF291" s="1206"/>
      <c r="KXG291" s="1206"/>
      <c r="KXH291" s="1206"/>
      <c r="KXI291" s="1207"/>
      <c r="KXJ291" s="1206"/>
      <c r="KXK291" s="1206"/>
      <c r="KXL291" s="1206"/>
      <c r="KXM291" s="1206"/>
      <c r="KXN291" s="1206"/>
      <c r="KXO291" s="1206"/>
      <c r="KXP291" s="1206"/>
      <c r="KXQ291" s="1206"/>
      <c r="KXR291" s="1206"/>
      <c r="KXS291" s="1206"/>
      <c r="KXT291" s="1206"/>
      <c r="KXU291" s="1206"/>
      <c r="KXV291" s="1206"/>
      <c r="KXW291" s="1206"/>
      <c r="KXX291" s="1206"/>
      <c r="KXY291" s="1206"/>
      <c r="KXZ291" s="1207"/>
      <c r="KYA291" s="1206"/>
      <c r="KYB291" s="1206"/>
      <c r="KYC291" s="1206"/>
      <c r="KYD291" s="1206"/>
      <c r="KYE291" s="1206"/>
      <c r="KYF291" s="1206"/>
      <c r="KYG291" s="1206"/>
      <c r="KYH291" s="1206"/>
      <c r="KYI291" s="1206"/>
      <c r="KYJ291" s="1206"/>
      <c r="KYK291" s="1206"/>
      <c r="KYL291" s="1206"/>
      <c r="KYM291" s="1206"/>
      <c r="KYN291" s="1206"/>
      <c r="KYO291" s="1206"/>
      <c r="KYP291" s="1206"/>
      <c r="KYQ291" s="1207"/>
      <c r="KYR291" s="1206"/>
      <c r="KYS291" s="1206"/>
      <c r="KYT291" s="1206"/>
      <c r="KYU291" s="1206"/>
      <c r="KYV291" s="1206"/>
      <c r="KYW291" s="1206"/>
      <c r="KYX291" s="1206"/>
      <c r="KYY291" s="1206"/>
      <c r="KYZ291" s="1206"/>
      <c r="KZA291" s="1206"/>
      <c r="KZB291" s="1206"/>
      <c r="KZC291" s="1206"/>
      <c r="KZD291" s="1206"/>
      <c r="KZE291" s="1206"/>
      <c r="KZF291" s="1206"/>
      <c r="KZG291" s="1206"/>
      <c r="KZH291" s="1207"/>
      <c r="KZI291" s="1206"/>
      <c r="KZJ291" s="1206"/>
      <c r="KZK291" s="1206"/>
      <c r="KZL291" s="1206"/>
      <c r="KZM291" s="1206"/>
      <c r="KZN291" s="1206"/>
      <c r="KZO291" s="1206"/>
      <c r="KZP291" s="1206"/>
      <c r="KZQ291" s="1206"/>
      <c r="KZR291" s="1206"/>
      <c r="KZS291" s="1206"/>
      <c r="KZT291" s="1206"/>
      <c r="KZU291" s="1206"/>
      <c r="KZV291" s="1206"/>
      <c r="KZW291" s="1206"/>
      <c r="KZX291" s="1206"/>
      <c r="KZY291" s="1207"/>
      <c r="KZZ291" s="1206"/>
      <c r="LAA291" s="1206"/>
      <c r="LAB291" s="1206"/>
      <c r="LAC291" s="1206"/>
      <c r="LAD291" s="1206"/>
      <c r="LAE291" s="1206"/>
      <c r="LAF291" s="1206"/>
      <c r="LAG291" s="1206"/>
      <c r="LAH291" s="1206"/>
      <c r="LAI291" s="1206"/>
      <c r="LAJ291" s="1206"/>
      <c r="LAK291" s="1206"/>
      <c r="LAL291" s="1206"/>
      <c r="LAM291" s="1206"/>
      <c r="LAN291" s="1206"/>
      <c r="LAO291" s="1206"/>
      <c r="LAP291" s="1207"/>
      <c r="LAQ291" s="1206"/>
      <c r="LAR291" s="1206"/>
      <c r="LAS291" s="1206"/>
      <c r="LAT291" s="1206"/>
      <c r="LAU291" s="1206"/>
      <c r="LAV291" s="1206"/>
      <c r="LAW291" s="1206"/>
      <c r="LAX291" s="1206"/>
      <c r="LAY291" s="1206"/>
      <c r="LAZ291" s="1206"/>
      <c r="LBA291" s="1206"/>
      <c r="LBB291" s="1206"/>
      <c r="LBC291" s="1206"/>
      <c r="LBD291" s="1206"/>
      <c r="LBE291" s="1206"/>
      <c r="LBF291" s="1206"/>
      <c r="LBG291" s="1207"/>
      <c r="LBH291" s="1206"/>
      <c r="LBI291" s="1206"/>
      <c r="LBJ291" s="1206"/>
      <c r="LBK291" s="1206"/>
      <c r="LBL291" s="1206"/>
      <c r="LBM291" s="1206"/>
      <c r="LBN291" s="1206"/>
      <c r="LBO291" s="1206"/>
      <c r="LBP291" s="1206"/>
      <c r="LBQ291" s="1206"/>
      <c r="LBR291" s="1206"/>
      <c r="LBS291" s="1206"/>
      <c r="LBT291" s="1206"/>
      <c r="LBU291" s="1206"/>
      <c r="LBV291" s="1206"/>
      <c r="LBW291" s="1206"/>
      <c r="LBX291" s="1207"/>
      <c r="LBY291" s="1206"/>
      <c r="LBZ291" s="1206"/>
      <c r="LCA291" s="1206"/>
      <c r="LCB291" s="1206"/>
      <c r="LCC291" s="1206"/>
      <c r="LCD291" s="1206"/>
      <c r="LCE291" s="1206"/>
      <c r="LCF291" s="1206"/>
      <c r="LCG291" s="1206"/>
      <c r="LCH291" s="1206"/>
      <c r="LCI291" s="1206"/>
      <c r="LCJ291" s="1206"/>
      <c r="LCK291" s="1206"/>
      <c r="LCL291" s="1206"/>
      <c r="LCM291" s="1206"/>
      <c r="LCN291" s="1206"/>
      <c r="LCO291" s="1207"/>
      <c r="LCP291" s="1206"/>
      <c r="LCQ291" s="1206"/>
      <c r="LCR291" s="1206"/>
      <c r="LCS291" s="1206"/>
      <c r="LCT291" s="1206"/>
      <c r="LCU291" s="1206"/>
      <c r="LCV291" s="1206"/>
      <c r="LCW291" s="1206"/>
      <c r="LCX291" s="1206"/>
      <c r="LCY291" s="1206"/>
      <c r="LCZ291" s="1206"/>
      <c r="LDA291" s="1206"/>
      <c r="LDB291" s="1206"/>
      <c r="LDC291" s="1206"/>
      <c r="LDD291" s="1206"/>
      <c r="LDE291" s="1206"/>
      <c r="LDF291" s="1207"/>
      <c r="LDG291" s="1206"/>
      <c r="LDH291" s="1206"/>
      <c r="LDI291" s="1206"/>
      <c r="LDJ291" s="1206"/>
      <c r="LDK291" s="1206"/>
      <c r="LDL291" s="1206"/>
      <c r="LDM291" s="1206"/>
      <c r="LDN291" s="1206"/>
      <c r="LDO291" s="1206"/>
      <c r="LDP291" s="1206"/>
      <c r="LDQ291" s="1206"/>
      <c r="LDR291" s="1206"/>
      <c r="LDS291" s="1206"/>
      <c r="LDT291" s="1206"/>
      <c r="LDU291" s="1206"/>
      <c r="LDV291" s="1206"/>
      <c r="LDW291" s="1207"/>
      <c r="LDX291" s="1206"/>
      <c r="LDY291" s="1206"/>
      <c r="LDZ291" s="1206"/>
      <c r="LEA291" s="1206"/>
      <c r="LEB291" s="1206"/>
      <c r="LEC291" s="1206"/>
      <c r="LED291" s="1206"/>
      <c r="LEE291" s="1206"/>
      <c r="LEF291" s="1206"/>
      <c r="LEG291" s="1206"/>
      <c r="LEH291" s="1206"/>
      <c r="LEI291" s="1206"/>
      <c r="LEJ291" s="1206"/>
      <c r="LEK291" s="1206"/>
      <c r="LEL291" s="1206"/>
      <c r="LEM291" s="1206"/>
      <c r="LEN291" s="1207"/>
      <c r="LEO291" s="1206"/>
      <c r="LEP291" s="1206"/>
      <c r="LEQ291" s="1206"/>
      <c r="LER291" s="1206"/>
      <c r="LES291" s="1206"/>
      <c r="LET291" s="1206"/>
      <c r="LEU291" s="1206"/>
      <c r="LEV291" s="1206"/>
      <c r="LEW291" s="1206"/>
      <c r="LEX291" s="1206"/>
      <c r="LEY291" s="1206"/>
      <c r="LEZ291" s="1206"/>
      <c r="LFA291" s="1206"/>
      <c r="LFB291" s="1206"/>
      <c r="LFC291" s="1206"/>
      <c r="LFD291" s="1206"/>
      <c r="LFE291" s="1207"/>
      <c r="LFF291" s="1206"/>
      <c r="LFG291" s="1206"/>
      <c r="LFH291" s="1206"/>
      <c r="LFI291" s="1206"/>
      <c r="LFJ291" s="1206"/>
      <c r="LFK291" s="1206"/>
      <c r="LFL291" s="1206"/>
      <c r="LFM291" s="1206"/>
      <c r="LFN291" s="1206"/>
      <c r="LFO291" s="1206"/>
      <c r="LFP291" s="1206"/>
      <c r="LFQ291" s="1206"/>
      <c r="LFR291" s="1206"/>
      <c r="LFS291" s="1206"/>
      <c r="LFT291" s="1206"/>
      <c r="LFU291" s="1206"/>
      <c r="LFV291" s="1207"/>
      <c r="LFW291" s="1206"/>
      <c r="LFX291" s="1206"/>
      <c r="LFY291" s="1206"/>
      <c r="LFZ291" s="1206"/>
      <c r="LGA291" s="1206"/>
      <c r="LGB291" s="1206"/>
      <c r="LGC291" s="1206"/>
      <c r="LGD291" s="1206"/>
      <c r="LGE291" s="1206"/>
      <c r="LGF291" s="1206"/>
      <c r="LGG291" s="1206"/>
      <c r="LGH291" s="1206"/>
      <c r="LGI291" s="1206"/>
      <c r="LGJ291" s="1206"/>
      <c r="LGK291" s="1206"/>
      <c r="LGL291" s="1206"/>
      <c r="LGM291" s="1207"/>
      <c r="LGN291" s="1206"/>
      <c r="LGO291" s="1206"/>
      <c r="LGP291" s="1206"/>
      <c r="LGQ291" s="1206"/>
      <c r="LGR291" s="1206"/>
      <c r="LGS291" s="1206"/>
      <c r="LGT291" s="1206"/>
      <c r="LGU291" s="1206"/>
      <c r="LGV291" s="1206"/>
      <c r="LGW291" s="1206"/>
      <c r="LGX291" s="1206"/>
      <c r="LGY291" s="1206"/>
      <c r="LGZ291" s="1206"/>
      <c r="LHA291" s="1206"/>
      <c r="LHB291" s="1206"/>
      <c r="LHC291" s="1206"/>
      <c r="LHD291" s="1207"/>
      <c r="LHE291" s="1206"/>
      <c r="LHF291" s="1206"/>
      <c r="LHG291" s="1206"/>
      <c r="LHH291" s="1206"/>
      <c r="LHI291" s="1206"/>
      <c r="LHJ291" s="1206"/>
      <c r="LHK291" s="1206"/>
      <c r="LHL291" s="1206"/>
      <c r="LHM291" s="1206"/>
      <c r="LHN291" s="1206"/>
      <c r="LHO291" s="1206"/>
      <c r="LHP291" s="1206"/>
      <c r="LHQ291" s="1206"/>
      <c r="LHR291" s="1206"/>
      <c r="LHS291" s="1206"/>
      <c r="LHT291" s="1206"/>
      <c r="LHU291" s="1207"/>
      <c r="LHV291" s="1206"/>
      <c r="LHW291" s="1206"/>
      <c r="LHX291" s="1206"/>
      <c r="LHY291" s="1206"/>
      <c r="LHZ291" s="1206"/>
      <c r="LIA291" s="1206"/>
      <c r="LIB291" s="1206"/>
      <c r="LIC291" s="1206"/>
      <c r="LID291" s="1206"/>
      <c r="LIE291" s="1206"/>
      <c r="LIF291" s="1206"/>
      <c r="LIG291" s="1206"/>
      <c r="LIH291" s="1206"/>
      <c r="LII291" s="1206"/>
      <c r="LIJ291" s="1206"/>
      <c r="LIK291" s="1206"/>
      <c r="LIL291" s="1207"/>
      <c r="LIM291" s="1206"/>
      <c r="LIN291" s="1206"/>
      <c r="LIO291" s="1206"/>
      <c r="LIP291" s="1206"/>
      <c r="LIQ291" s="1206"/>
      <c r="LIR291" s="1206"/>
      <c r="LIS291" s="1206"/>
      <c r="LIT291" s="1206"/>
      <c r="LIU291" s="1206"/>
      <c r="LIV291" s="1206"/>
      <c r="LIW291" s="1206"/>
      <c r="LIX291" s="1206"/>
      <c r="LIY291" s="1206"/>
      <c r="LIZ291" s="1206"/>
      <c r="LJA291" s="1206"/>
      <c r="LJB291" s="1206"/>
      <c r="LJC291" s="1207"/>
      <c r="LJD291" s="1206"/>
      <c r="LJE291" s="1206"/>
      <c r="LJF291" s="1206"/>
      <c r="LJG291" s="1206"/>
      <c r="LJH291" s="1206"/>
      <c r="LJI291" s="1206"/>
      <c r="LJJ291" s="1206"/>
      <c r="LJK291" s="1206"/>
      <c r="LJL291" s="1206"/>
      <c r="LJM291" s="1206"/>
      <c r="LJN291" s="1206"/>
      <c r="LJO291" s="1206"/>
      <c r="LJP291" s="1206"/>
      <c r="LJQ291" s="1206"/>
      <c r="LJR291" s="1206"/>
      <c r="LJS291" s="1206"/>
      <c r="LJT291" s="1207"/>
      <c r="LJU291" s="1206"/>
      <c r="LJV291" s="1206"/>
      <c r="LJW291" s="1206"/>
      <c r="LJX291" s="1206"/>
      <c r="LJY291" s="1206"/>
      <c r="LJZ291" s="1206"/>
      <c r="LKA291" s="1206"/>
      <c r="LKB291" s="1206"/>
      <c r="LKC291" s="1206"/>
      <c r="LKD291" s="1206"/>
      <c r="LKE291" s="1206"/>
      <c r="LKF291" s="1206"/>
      <c r="LKG291" s="1206"/>
      <c r="LKH291" s="1206"/>
      <c r="LKI291" s="1206"/>
      <c r="LKJ291" s="1206"/>
      <c r="LKK291" s="1207"/>
      <c r="LKL291" s="1206"/>
      <c r="LKM291" s="1206"/>
      <c r="LKN291" s="1206"/>
      <c r="LKO291" s="1206"/>
      <c r="LKP291" s="1206"/>
      <c r="LKQ291" s="1206"/>
      <c r="LKR291" s="1206"/>
      <c r="LKS291" s="1206"/>
      <c r="LKT291" s="1206"/>
      <c r="LKU291" s="1206"/>
      <c r="LKV291" s="1206"/>
      <c r="LKW291" s="1206"/>
      <c r="LKX291" s="1206"/>
      <c r="LKY291" s="1206"/>
      <c r="LKZ291" s="1206"/>
      <c r="LLA291" s="1206"/>
      <c r="LLB291" s="1207"/>
      <c r="LLC291" s="1206"/>
      <c r="LLD291" s="1206"/>
      <c r="LLE291" s="1206"/>
      <c r="LLF291" s="1206"/>
      <c r="LLG291" s="1206"/>
      <c r="LLH291" s="1206"/>
      <c r="LLI291" s="1206"/>
      <c r="LLJ291" s="1206"/>
      <c r="LLK291" s="1206"/>
      <c r="LLL291" s="1206"/>
      <c r="LLM291" s="1206"/>
      <c r="LLN291" s="1206"/>
      <c r="LLO291" s="1206"/>
      <c r="LLP291" s="1206"/>
      <c r="LLQ291" s="1206"/>
      <c r="LLR291" s="1206"/>
      <c r="LLS291" s="1207"/>
      <c r="LLT291" s="1206"/>
      <c r="LLU291" s="1206"/>
      <c r="LLV291" s="1206"/>
      <c r="LLW291" s="1206"/>
      <c r="LLX291" s="1206"/>
      <c r="LLY291" s="1206"/>
      <c r="LLZ291" s="1206"/>
      <c r="LMA291" s="1206"/>
      <c r="LMB291" s="1206"/>
      <c r="LMC291" s="1206"/>
      <c r="LMD291" s="1206"/>
      <c r="LME291" s="1206"/>
      <c r="LMF291" s="1206"/>
      <c r="LMG291" s="1206"/>
      <c r="LMH291" s="1206"/>
      <c r="LMI291" s="1206"/>
      <c r="LMJ291" s="1207"/>
      <c r="LMK291" s="1206"/>
      <c r="LML291" s="1206"/>
      <c r="LMM291" s="1206"/>
      <c r="LMN291" s="1206"/>
      <c r="LMO291" s="1206"/>
      <c r="LMP291" s="1206"/>
      <c r="LMQ291" s="1206"/>
      <c r="LMR291" s="1206"/>
      <c r="LMS291" s="1206"/>
      <c r="LMT291" s="1206"/>
      <c r="LMU291" s="1206"/>
      <c r="LMV291" s="1206"/>
      <c r="LMW291" s="1206"/>
      <c r="LMX291" s="1206"/>
      <c r="LMY291" s="1206"/>
      <c r="LMZ291" s="1206"/>
      <c r="LNA291" s="1207"/>
      <c r="LNB291" s="1206"/>
      <c r="LNC291" s="1206"/>
      <c r="LND291" s="1206"/>
      <c r="LNE291" s="1206"/>
      <c r="LNF291" s="1206"/>
      <c r="LNG291" s="1206"/>
      <c r="LNH291" s="1206"/>
      <c r="LNI291" s="1206"/>
      <c r="LNJ291" s="1206"/>
      <c r="LNK291" s="1206"/>
      <c r="LNL291" s="1206"/>
      <c r="LNM291" s="1206"/>
      <c r="LNN291" s="1206"/>
      <c r="LNO291" s="1206"/>
      <c r="LNP291" s="1206"/>
      <c r="LNQ291" s="1206"/>
      <c r="LNR291" s="1207"/>
      <c r="LNS291" s="1206"/>
      <c r="LNT291" s="1206"/>
      <c r="LNU291" s="1206"/>
      <c r="LNV291" s="1206"/>
      <c r="LNW291" s="1206"/>
      <c r="LNX291" s="1206"/>
      <c r="LNY291" s="1206"/>
      <c r="LNZ291" s="1206"/>
      <c r="LOA291" s="1206"/>
      <c r="LOB291" s="1206"/>
      <c r="LOC291" s="1206"/>
      <c r="LOD291" s="1206"/>
      <c r="LOE291" s="1206"/>
      <c r="LOF291" s="1206"/>
      <c r="LOG291" s="1206"/>
      <c r="LOH291" s="1206"/>
      <c r="LOI291" s="1207"/>
      <c r="LOJ291" s="1206"/>
      <c r="LOK291" s="1206"/>
      <c r="LOL291" s="1206"/>
      <c r="LOM291" s="1206"/>
      <c r="LON291" s="1206"/>
      <c r="LOO291" s="1206"/>
      <c r="LOP291" s="1206"/>
      <c r="LOQ291" s="1206"/>
      <c r="LOR291" s="1206"/>
      <c r="LOS291" s="1206"/>
      <c r="LOT291" s="1206"/>
      <c r="LOU291" s="1206"/>
      <c r="LOV291" s="1206"/>
      <c r="LOW291" s="1206"/>
      <c r="LOX291" s="1206"/>
      <c r="LOY291" s="1206"/>
      <c r="LOZ291" s="1207"/>
      <c r="LPA291" s="1206"/>
      <c r="LPB291" s="1206"/>
      <c r="LPC291" s="1206"/>
      <c r="LPD291" s="1206"/>
      <c r="LPE291" s="1206"/>
      <c r="LPF291" s="1206"/>
      <c r="LPG291" s="1206"/>
      <c r="LPH291" s="1206"/>
      <c r="LPI291" s="1206"/>
      <c r="LPJ291" s="1206"/>
      <c r="LPK291" s="1206"/>
      <c r="LPL291" s="1206"/>
      <c r="LPM291" s="1206"/>
      <c r="LPN291" s="1206"/>
      <c r="LPO291" s="1206"/>
      <c r="LPP291" s="1206"/>
      <c r="LPQ291" s="1207"/>
      <c r="LPR291" s="1206"/>
      <c r="LPS291" s="1206"/>
      <c r="LPT291" s="1206"/>
      <c r="LPU291" s="1206"/>
      <c r="LPV291" s="1206"/>
      <c r="LPW291" s="1206"/>
      <c r="LPX291" s="1206"/>
      <c r="LPY291" s="1206"/>
      <c r="LPZ291" s="1206"/>
      <c r="LQA291" s="1206"/>
      <c r="LQB291" s="1206"/>
      <c r="LQC291" s="1206"/>
      <c r="LQD291" s="1206"/>
      <c r="LQE291" s="1206"/>
      <c r="LQF291" s="1206"/>
      <c r="LQG291" s="1206"/>
      <c r="LQH291" s="1207"/>
      <c r="LQI291" s="1206"/>
      <c r="LQJ291" s="1206"/>
      <c r="LQK291" s="1206"/>
      <c r="LQL291" s="1206"/>
      <c r="LQM291" s="1206"/>
      <c r="LQN291" s="1206"/>
      <c r="LQO291" s="1206"/>
      <c r="LQP291" s="1206"/>
      <c r="LQQ291" s="1206"/>
      <c r="LQR291" s="1206"/>
      <c r="LQS291" s="1206"/>
      <c r="LQT291" s="1206"/>
      <c r="LQU291" s="1206"/>
      <c r="LQV291" s="1206"/>
      <c r="LQW291" s="1206"/>
      <c r="LQX291" s="1206"/>
      <c r="LQY291" s="1207"/>
      <c r="LQZ291" s="1206"/>
      <c r="LRA291" s="1206"/>
      <c r="LRB291" s="1206"/>
      <c r="LRC291" s="1206"/>
      <c r="LRD291" s="1206"/>
      <c r="LRE291" s="1206"/>
      <c r="LRF291" s="1206"/>
      <c r="LRG291" s="1206"/>
      <c r="LRH291" s="1206"/>
      <c r="LRI291" s="1206"/>
      <c r="LRJ291" s="1206"/>
      <c r="LRK291" s="1206"/>
      <c r="LRL291" s="1206"/>
      <c r="LRM291" s="1206"/>
      <c r="LRN291" s="1206"/>
      <c r="LRO291" s="1206"/>
      <c r="LRP291" s="1207"/>
      <c r="LRQ291" s="1206"/>
      <c r="LRR291" s="1206"/>
      <c r="LRS291" s="1206"/>
      <c r="LRT291" s="1206"/>
      <c r="LRU291" s="1206"/>
      <c r="LRV291" s="1206"/>
      <c r="LRW291" s="1206"/>
      <c r="LRX291" s="1206"/>
      <c r="LRY291" s="1206"/>
      <c r="LRZ291" s="1206"/>
      <c r="LSA291" s="1206"/>
      <c r="LSB291" s="1206"/>
      <c r="LSC291" s="1206"/>
      <c r="LSD291" s="1206"/>
      <c r="LSE291" s="1206"/>
      <c r="LSF291" s="1206"/>
      <c r="LSG291" s="1207"/>
      <c r="LSH291" s="1206"/>
      <c r="LSI291" s="1206"/>
      <c r="LSJ291" s="1206"/>
      <c r="LSK291" s="1206"/>
      <c r="LSL291" s="1206"/>
      <c r="LSM291" s="1206"/>
      <c r="LSN291" s="1206"/>
      <c r="LSO291" s="1206"/>
      <c r="LSP291" s="1206"/>
      <c r="LSQ291" s="1206"/>
      <c r="LSR291" s="1206"/>
      <c r="LSS291" s="1206"/>
      <c r="LST291" s="1206"/>
      <c r="LSU291" s="1206"/>
      <c r="LSV291" s="1206"/>
      <c r="LSW291" s="1206"/>
      <c r="LSX291" s="1207"/>
      <c r="LSY291" s="1206"/>
      <c r="LSZ291" s="1206"/>
      <c r="LTA291" s="1206"/>
      <c r="LTB291" s="1206"/>
      <c r="LTC291" s="1206"/>
      <c r="LTD291" s="1206"/>
      <c r="LTE291" s="1206"/>
      <c r="LTF291" s="1206"/>
      <c r="LTG291" s="1206"/>
      <c r="LTH291" s="1206"/>
      <c r="LTI291" s="1206"/>
      <c r="LTJ291" s="1206"/>
      <c r="LTK291" s="1206"/>
      <c r="LTL291" s="1206"/>
      <c r="LTM291" s="1206"/>
      <c r="LTN291" s="1206"/>
      <c r="LTO291" s="1207"/>
      <c r="LTP291" s="1206"/>
      <c r="LTQ291" s="1206"/>
      <c r="LTR291" s="1206"/>
      <c r="LTS291" s="1206"/>
      <c r="LTT291" s="1206"/>
      <c r="LTU291" s="1206"/>
      <c r="LTV291" s="1206"/>
      <c r="LTW291" s="1206"/>
      <c r="LTX291" s="1206"/>
      <c r="LTY291" s="1206"/>
      <c r="LTZ291" s="1206"/>
      <c r="LUA291" s="1206"/>
      <c r="LUB291" s="1206"/>
      <c r="LUC291" s="1206"/>
      <c r="LUD291" s="1206"/>
      <c r="LUE291" s="1206"/>
      <c r="LUF291" s="1207"/>
      <c r="LUG291" s="1206"/>
      <c r="LUH291" s="1206"/>
      <c r="LUI291" s="1206"/>
      <c r="LUJ291" s="1206"/>
      <c r="LUK291" s="1206"/>
      <c r="LUL291" s="1206"/>
      <c r="LUM291" s="1206"/>
      <c r="LUN291" s="1206"/>
      <c r="LUO291" s="1206"/>
      <c r="LUP291" s="1206"/>
      <c r="LUQ291" s="1206"/>
      <c r="LUR291" s="1206"/>
      <c r="LUS291" s="1206"/>
      <c r="LUT291" s="1206"/>
      <c r="LUU291" s="1206"/>
      <c r="LUV291" s="1206"/>
      <c r="LUW291" s="1207"/>
      <c r="LUX291" s="1206"/>
      <c r="LUY291" s="1206"/>
      <c r="LUZ291" s="1206"/>
      <c r="LVA291" s="1206"/>
      <c r="LVB291" s="1206"/>
      <c r="LVC291" s="1206"/>
      <c r="LVD291" s="1206"/>
      <c r="LVE291" s="1206"/>
      <c r="LVF291" s="1206"/>
      <c r="LVG291" s="1206"/>
      <c r="LVH291" s="1206"/>
      <c r="LVI291" s="1206"/>
      <c r="LVJ291" s="1206"/>
      <c r="LVK291" s="1206"/>
      <c r="LVL291" s="1206"/>
      <c r="LVM291" s="1206"/>
      <c r="LVN291" s="1207"/>
      <c r="LVO291" s="1206"/>
      <c r="LVP291" s="1206"/>
      <c r="LVQ291" s="1206"/>
      <c r="LVR291" s="1206"/>
      <c r="LVS291" s="1206"/>
      <c r="LVT291" s="1206"/>
      <c r="LVU291" s="1206"/>
      <c r="LVV291" s="1206"/>
      <c r="LVW291" s="1206"/>
      <c r="LVX291" s="1206"/>
      <c r="LVY291" s="1206"/>
      <c r="LVZ291" s="1206"/>
      <c r="LWA291" s="1206"/>
      <c r="LWB291" s="1206"/>
      <c r="LWC291" s="1206"/>
      <c r="LWD291" s="1206"/>
      <c r="LWE291" s="1207"/>
      <c r="LWF291" s="1206"/>
      <c r="LWG291" s="1206"/>
      <c r="LWH291" s="1206"/>
      <c r="LWI291" s="1206"/>
      <c r="LWJ291" s="1206"/>
      <c r="LWK291" s="1206"/>
      <c r="LWL291" s="1206"/>
      <c r="LWM291" s="1206"/>
      <c r="LWN291" s="1206"/>
      <c r="LWO291" s="1206"/>
      <c r="LWP291" s="1206"/>
      <c r="LWQ291" s="1206"/>
      <c r="LWR291" s="1206"/>
      <c r="LWS291" s="1206"/>
      <c r="LWT291" s="1206"/>
      <c r="LWU291" s="1206"/>
      <c r="LWV291" s="1207"/>
      <c r="LWW291" s="1206"/>
      <c r="LWX291" s="1206"/>
      <c r="LWY291" s="1206"/>
      <c r="LWZ291" s="1206"/>
      <c r="LXA291" s="1206"/>
      <c r="LXB291" s="1206"/>
      <c r="LXC291" s="1206"/>
      <c r="LXD291" s="1206"/>
      <c r="LXE291" s="1206"/>
      <c r="LXF291" s="1206"/>
      <c r="LXG291" s="1206"/>
      <c r="LXH291" s="1206"/>
      <c r="LXI291" s="1206"/>
      <c r="LXJ291" s="1206"/>
      <c r="LXK291" s="1206"/>
      <c r="LXL291" s="1206"/>
      <c r="LXM291" s="1207"/>
      <c r="LXN291" s="1206"/>
      <c r="LXO291" s="1206"/>
      <c r="LXP291" s="1206"/>
      <c r="LXQ291" s="1206"/>
      <c r="LXR291" s="1206"/>
      <c r="LXS291" s="1206"/>
      <c r="LXT291" s="1206"/>
      <c r="LXU291" s="1206"/>
      <c r="LXV291" s="1206"/>
      <c r="LXW291" s="1206"/>
      <c r="LXX291" s="1206"/>
      <c r="LXY291" s="1206"/>
      <c r="LXZ291" s="1206"/>
      <c r="LYA291" s="1206"/>
      <c r="LYB291" s="1206"/>
      <c r="LYC291" s="1206"/>
      <c r="LYD291" s="1207"/>
      <c r="LYE291" s="1206"/>
      <c r="LYF291" s="1206"/>
      <c r="LYG291" s="1206"/>
      <c r="LYH291" s="1206"/>
      <c r="LYI291" s="1206"/>
      <c r="LYJ291" s="1206"/>
      <c r="LYK291" s="1206"/>
      <c r="LYL291" s="1206"/>
      <c r="LYM291" s="1206"/>
      <c r="LYN291" s="1206"/>
      <c r="LYO291" s="1206"/>
      <c r="LYP291" s="1206"/>
      <c r="LYQ291" s="1206"/>
      <c r="LYR291" s="1206"/>
      <c r="LYS291" s="1206"/>
      <c r="LYT291" s="1206"/>
      <c r="LYU291" s="1207"/>
      <c r="LYV291" s="1206"/>
      <c r="LYW291" s="1206"/>
      <c r="LYX291" s="1206"/>
      <c r="LYY291" s="1206"/>
      <c r="LYZ291" s="1206"/>
      <c r="LZA291" s="1206"/>
      <c r="LZB291" s="1206"/>
      <c r="LZC291" s="1206"/>
      <c r="LZD291" s="1206"/>
      <c r="LZE291" s="1206"/>
      <c r="LZF291" s="1206"/>
      <c r="LZG291" s="1206"/>
      <c r="LZH291" s="1206"/>
      <c r="LZI291" s="1206"/>
      <c r="LZJ291" s="1206"/>
      <c r="LZK291" s="1206"/>
      <c r="LZL291" s="1207"/>
      <c r="LZM291" s="1206"/>
      <c r="LZN291" s="1206"/>
      <c r="LZO291" s="1206"/>
      <c r="LZP291" s="1206"/>
      <c r="LZQ291" s="1206"/>
      <c r="LZR291" s="1206"/>
      <c r="LZS291" s="1206"/>
      <c r="LZT291" s="1206"/>
      <c r="LZU291" s="1206"/>
      <c r="LZV291" s="1206"/>
      <c r="LZW291" s="1206"/>
      <c r="LZX291" s="1206"/>
      <c r="LZY291" s="1206"/>
      <c r="LZZ291" s="1206"/>
      <c r="MAA291" s="1206"/>
      <c r="MAB291" s="1206"/>
      <c r="MAC291" s="1207"/>
      <c r="MAD291" s="1206"/>
      <c r="MAE291" s="1206"/>
      <c r="MAF291" s="1206"/>
      <c r="MAG291" s="1206"/>
      <c r="MAH291" s="1206"/>
      <c r="MAI291" s="1206"/>
      <c r="MAJ291" s="1206"/>
      <c r="MAK291" s="1206"/>
      <c r="MAL291" s="1206"/>
      <c r="MAM291" s="1206"/>
      <c r="MAN291" s="1206"/>
      <c r="MAO291" s="1206"/>
      <c r="MAP291" s="1206"/>
      <c r="MAQ291" s="1206"/>
      <c r="MAR291" s="1206"/>
      <c r="MAS291" s="1206"/>
      <c r="MAT291" s="1207"/>
      <c r="MAU291" s="1206"/>
      <c r="MAV291" s="1206"/>
      <c r="MAW291" s="1206"/>
      <c r="MAX291" s="1206"/>
      <c r="MAY291" s="1206"/>
      <c r="MAZ291" s="1206"/>
      <c r="MBA291" s="1206"/>
      <c r="MBB291" s="1206"/>
      <c r="MBC291" s="1206"/>
      <c r="MBD291" s="1206"/>
      <c r="MBE291" s="1206"/>
      <c r="MBF291" s="1206"/>
      <c r="MBG291" s="1206"/>
      <c r="MBH291" s="1206"/>
      <c r="MBI291" s="1206"/>
      <c r="MBJ291" s="1206"/>
      <c r="MBK291" s="1207"/>
      <c r="MBL291" s="1206"/>
      <c r="MBM291" s="1206"/>
      <c r="MBN291" s="1206"/>
      <c r="MBO291" s="1206"/>
      <c r="MBP291" s="1206"/>
      <c r="MBQ291" s="1206"/>
      <c r="MBR291" s="1206"/>
      <c r="MBS291" s="1206"/>
      <c r="MBT291" s="1206"/>
      <c r="MBU291" s="1206"/>
      <c r="MBV291" s="1206"/>
      <c r="MBW291" s="1206"/>
      <c r="MBX291" s="1206"/>
      <c r="MBY291" s="1206"/>
      <c r="MBZ291" s="1206"/>
      <c r="MCA291" s="1206"/>
      <c r="MCB291" s="1207"/>
      <c r="MCC291" s="1206"/>
      <c r="MCD291" s="1206"/>
      <c r="MCE291" s="1206"/>
      <c r="MCF291" s="1206"/>
      <c r="MCG291" s="1206"/>
      <c r="MCH291" s="1206"/>
      <c r="MCI291" s="1206"/>
      <c r="MCJ291" s="1206"/>
      <c r="MCK291" s="1206"/>
      <c r="MCL291" s="1206"/>
      <c r="MCM291" s="1206"/>
      <c r="MCN291" s="1206"/>
      <c r="MCO291" s="1206"/>
      <c r="MCP291" s="1206"/>
      <c r="MCQ291" s="1206"/>
      <c r="MCR291" s="1206"/>
      <c r="MCS291" s="1207"/>
      <c r="MCT291" s="1206"/>
      <c r="MCU291" s="1206"/>
      <c r="MCV291" s="1206"/>
      <c r="MCW291" s="1206"/>
      <c r="MCX291" s="1206"/>
      <c r="MCY291" s="1206"/>
      <c r="MCZ291" s="1206"/>
      <c r="MDA291" s="1206"/>
      <c r="MDB291" s="1206"/>
      <c r="MDC291" s="1206"/>
      <c r="MDD291" s="1206"/>
      <c r="MDE291" s="1206"/>
      <c r="MDF291" s="1206"/>
      <c r="MDG291" s="1206"/>
      <c r="MDH291" s="1206"/>
      <c r="MDI291" s="1206"/>
      <c r="MDJ291" s="1207"/>
      <c r="MDK291" s="1206"/>
      <c r="MDL291" s="1206"/>
      <c r="MDM291" s="1206"/>
      <c r="MDN291" s="1206"/>
      <c r="MDO291" s="1206"/>
      <c r="MDP291" s="1206"/>
      <c r="MDQ291" s="1206"/>
      <c r="MDR291" s="1206"/>
      <c r="MDS291" s="1206"/>
      <c r="MDT291" s="1206"/>
      <c r="MDU291" s="1206"/>
      <c r="MDV291" s="1206"/>
      <c r="MDW291" s="1206"/>
      <c r="MDX291" s="1206"/>
      <c r="MDY291" s="1206"/>
      <c r="MDZ291" s="1206"/>
      <c r="MEA291" s="1207"/>
      <c r="MEB291" s="1206"/>
      <c r="MEC291" s="1206"/>
      <c r="MED291" s="1206"/>
      <c r="MEE291" s="1206"/>
      <c r="MEF291" s="1206"/>
      <c r="MEG291" s="1206"/>
      <c r="MEH291" s="1206"/>
      <c r="MEI291" s="1206"/>
      <c r="MEJ291" s="1206"/>
      <c r="MEK291" s="1206"/>
      <c r="MEL291" s="1206"/>
      <c r="MEM291" s="1206"/>
      <c r="MEN291" s="1206"/>
      <c r="MEO291" s="1206"/>
      <c r="MEP291" s="1206"/>
      <c r="MEQ291" s="1206"/>
      <c r="MER291" s="1207"/>
      <c r="MES291" s="1206"/>
      <c r="MET291" s="1206"/>
      <c r="MEU291" s="1206"/>
      <c r="MEV291" s="1206"/>
      <c r="MEW291" s="1206"/>
      <c r="MEX291" s="1206"/>
      <c r="MEY291" s="1206"/>
      <c r="MEZ291" s="1206"/>
      <c r="MFA291" s="1206"/>
      <c r="MFB291" s="1206"/>
      <c r="MFC291" s="1206"/>
      <c r="MFD291" s="1206"/>
      <c r="MFE291" s="1206"/>
      <c r="MFF291" s="1206"/>
      <c r="MFG291" s="1206"/>
      <c r="MFH291" s="1206"/>
      <c r="MFI291" s="1207"/>
      <c r="MFJ291" s="1206"/>
      <c r="MFK291" s="1206"/>
      <c r="MFL291" s="1206"/>
      <c r="MFM291" s="1206"/>
      <c r="MFN291" s="1206"/>
      <c r="MFO291" s="1206"/>
      <c r="MFP291" s="1206"/>
      <c r="MFQ291" s="1206"/>
      <c r="MFR291" s="1206"/>
      <c r="MFS291" s="1206"/>
      <c r="MFT291" s="1206"/>
      <c r="MFU291" s="1206"/>
      <c r="MFV291" s="1206"/>
      <c r="MFW291" s="1206"/>
      <c r="MFX291" s="1206"/>
      <c r="MFY291" s="1206"/>
      <c r="MFZ291" s="1207"/>
      <c r="MGA291" s="1206"/>
      <c r="MGB291" s="1206"/>
      <c r="MGC291" s="1206"/>
      <c r="MGD291" s="1206"/>
      <c r="MGE291" s="1206"/>
      <c r="MGF291" s="1206"/>
      <c r="MGG291" s="1206"/>
      <c r="MGH291" s="1206"/>
      <c r="MGI291" s="1206"/>
      <c r="MGJ291" s="1206"/>
      <c r="MGK291" s="1206"/>
      <c r="MGL291" s="1206"/>
      <c r="MGM291" s="1206"/>
      <c r="MGN291" s="1206"/>
      <c r="MGO291" s="1206"/>
      <c r="MGP291" s="1206"/>
      <c r="MGQ291" s="1207"/>
      <c r="MGR291" s="1206"/>
      <c r="MGS291" s="1206"/>
      <c r="MGT291" s="1206"/>
      <c r="MGU291" s="1206"/>
      <c r="MGV291" s="1206"/>
      <c r="MGW291" s="1206"/>
      <c r="MGX291" s="1206"/>
      <c r="MGY291" s="1206"/>
      <c r="MGZ291" s="1206"/>
      <c r="MHA291" s="1206"/>
      <c r="MHB291" s="1206"/>
      <c r="MHC291" s="1206"/>
      <c r="MHD291" s="1206"/>
      <c r="MHE291" s="1206"/>
      <c r="MHF291" s="1206"/>
      <c r="MHG291" s="1206"/>
      <c r="MHH291" s="1207"/>
      <c r="MHI291" s="1206"/>
      <c r="MHJ291" s="1206"/>
      <c r="MHK291" s="1206"/>
      <c r="MHL291" s="1206"/>
      <c r="MHM291" s="1206"/>
      <c r="MHN291" s="1206"/>
      <c r="MHO291" s="1206"/>
      <c r="MHP291" s="1206"/>
      <c r="MHQ291" s="1206"/>
      <c r="MHR291" s="1206"/>
      <c r="MHS291" s="1206"/>
      <c r="MHT291" s="1206"/>
      <c r="MHU291" s="1206"/>
      <c r="MHV291" s="1206"/>
      <c r="MHW291" s="1206"/>
      <c r="MHX291" s="1206"/>
      <c r="MHY291" s="1207"/>
      <c r="MHZ291" s="1206"/>
      <c r="MIA291" s="1206"/>
      <c r="MIB291" s="1206"/>
      <c r="MIC291" s="1206"/>
      <c r="MID291" s="1206"/>
      <c r="MIE291" s="1206"/>
      <c r="MIF291" s="1206"/>
      <c r="MIG291" s="1206"/>
      <c r="MIH291" s="1206"/>
      <c r="MII291" s="1206"/>
      <c r="MIJ291" s="1206"/>
      <c r="MIK291" s="1206"/>
      <c r="MIL291" s="1206"/>
      <c r="MIM291" s="1206"/>
      <c r="MIN291" s="1206"/>
      <c r="MIO291" s="1206"/>
      <c r="MIP291" s="1207"/>
      <c r="MIQ291" s="1206"/>
      <c r="MIR291" s="1206"/>
      <c r="MIS291" s="1206"/>
      <c r="MIT291" s="1206"/>
      <c r="MIU291" s="1206"/>
      <c r="MIV291" s="1206"/>
      <c r="MIW291" s="1206"/>
      <c r="MIX291" s="1206"/>
      <c r="MIY291" s="1206"/>
      <c r="MIZ291" s="1206"/>
      <c r="MJA291" s="1206"/>
      <c r="MJB291" s="1206"/>
      <c r="MJC291" s="1206"/>
      <c r="MJD291" s="1206"/>
      <c r="MJE291" s="1206"/>
      <c r="MJF291" s="1206"/>
      <c r="MJG291" s="1207"/>
      <c r="MJH291" s="1206"/>
      <c r="MJI291" s="1206"/>
      <c r="MJJ291" s="1206"/>
      <c r="MJK291" s="1206"/>
      <c r="MJL291" s="1206"/>
      <c r="MJM291" s="1206"/>
      <c r="MJN291" s="1206"/>
      <c r="MJO291" s="1206"/>
      <c r="MJP291" s="1206"/>
      <c r="MJQ291" s="1206"/>
      <c r="MJR291" s="1206"/>
      <c r="MJS291" s="1206"/>
      <c r="MJT291" s="1206"/>
      <c r="MJU291" s="1206"/>
      <c r="MJV291" s="1206"/>
      <c r="MJW291" s="1206"/>
      <c r="MJX291" s="1207"/>
      <c r="MJY291" s="1206"/>
      <c r="MJZ291" s="1206"/>
      <c r="MKA291" s="1206"/>
      <c r="MKB291" s="1206"/>
      <c r="MKC291" s="1206"/>
      <c r="MKD291" s="1206"/>
      <c r="MKE291" s="1206"/>
      <c r="MKF291" s="1206"/>
      <c r="MKG291" s="1206"/>
      <c r="MKH291" s="1206"/>
      <c r="MKI291" s="1206"/>
      <c r="MKJ291" s="1206"/>
      <c r="MKK291" s="1206"/>
      <c r="MKL291" s="1206"/>
      <c r="MKM291" s="1206"/>
      <c r="MKN291" s="1206"/>
      <c r="MKO291" s="1207"/>
      <c r="MKP291" s="1206"/>
      <c r="MKQ291" s="1206"/>
      <c r="MKR291" s="1206"/>
      <c r="MKS291" s="1206"/>
      <c r="MKT291" s="1206"/>
      <c r="MKU291" s="1206"/>
      <c r="MKV291" s="1206"/>
      <c r="MKW291" s="1206"/>
      <c r="MKX291" s="1206"/>
      <c r="MKY291" s="1206"/>
      <c r="MKZ291" s="1206"/>
      <c r="MLA291" s="1206"/>
      <c r="MLB291" s="1206"/>
      <c r="MLC291" s="1206"/>
      <c r="MLD291" s="1206"/>
      <c r="MLE291" s="1206"/>
      <c r="MLF291" s="1207"/>
      <c r="MLG291" s="1206"/>
      <c r="MLH291" s="1206"/>
      <c r="MLI291" s="1206"/>
      <c r="MLJ291" s="1206"/>
      <c r="MLK291" s="1206"/>
      <c r="MLL291" s="1206"/>
      <c r="MLM291" s="1206"/>
      <c r="MLN291" s="1206"/>
      <c r="MLO291" s="1206"/>
      <c r="MLP291" s="1206"/>
      <c r="MLQ291" s="1206"/>
      <c r="MLR291" s="1206"/>
      <c r="MLS291" s="1206"/>
      <c r="MLT291" s="1206"/>
      <c r="MLU291" s="1206"/>
      <c r="MLV291" s="1206"/>
      <c r="MLW291" s="1207"/>
      <c r="MLX291" s="1206"/>
      <c r="MLY291" s="1206"/>
      <c r="MLZ291" s="1206"/>
      <c r="MMA291" s="1206"/>
      <c r="MMB291" s="1206"/>
      <c r="MMC291" s="1206"/>
      <c r="MMD291" s="1206"/>
      <c r="MME291" s="1206"/>
      <c r="MMF291" s="1206"/>
      <c r="MMG291" s="1206"/>
      <c r="MMH291" s="1206"/>
      <c r="MMI291" s="1206"/>
      <c r="MMJ291" s="1206"/>
      <c r="MMK291" s="1206"/>
      <c r="MML291" s="1206"/>
      <c r="MMM291" s="1206"/>
      <c r="MMN291" s="1207"/>
      <c r="MMO291" s="1206"/>
      <c r="MMP291" s="1206"/>
      <c r="MMQ291" s="1206"/>
      <c r="MMR291" s="1206"/>
      <c r="MMS291" s="1206"/>
      <c r="MMT291" s="1206"/>
      <c r="MMU291" s="1206"/>
      <c r="MMV291" s="1206"/>
      <c r="MMW291" s="1206"/>
      <c r="MMX291" s="1206"/>
      <c r="MMY291" s="1206"/>
      <c r="MMZ291" s="1206"/>
      <c r="MNA291" s="1206"/>
      <c r="MNB291" s="1206"/>
      <c r="MNC291" s="1206"/>
      <c r="MND291" s="1206"/>
      <c r="MNE291" s="1207"/>
      <c r="MNF291" s="1206"/>
      <c r="MNG291" s="1206"/>
      <c r="MNH291" s="1206"/>
      <c r="MNI291" s="1206"/>
      <c r="MNJ291" s="1206"/>
      <c r="MNK291" s="1206"/>
      <c r="MNL291" s="1206"/>
      <c r="MNM291" s="1206"/>
      <c r="MNN291" s="1206"/>
      <c r="MNO291" s="1206"/>
      <c r="MNP291" s="1206"/>
      <c r="MNQ291" s="1206"/>
      <c r="MNR291" s="1206"/>
      <c r="MNS291" s="1206"/>
      <c r="MNT291" s="1206"/>
      <c r="MNU291" s="1206"/>
      <c r="MNV291" s="1207"/>
      <c r="MNW291" s="1206"/>
      <c r="MNX291" s="1206"/>
      <c r="MNY291" s="1206"/>
      <c r="MNZ291" s="1206"/>
      <c r="MOA291" s="1206"/>
      <c r="MOB291" s="1206"/>
      <c r="MOC291" s="1206"/>
      <c r="MOD291" s="1206"/>
      <c r="MOE291" s="1206"/>
      <c r="MOF291" s="1206"/>
      <c r="MOG291" s="1206"/>
      <c r="MOH291" s="1206"/>
      <c r="MOI291" s="1206"/>
      <c r="MOJ291" s="1206"/>
      <c r="MOK291" s="1206"/>
      <c r="MOL291" s="1206"/>
      <c r="MOM291" s="1207"/>
      <c r="MON291" s="1206"/>
      <c r="MOO291" s="1206"/>
      <c r="MOP291" s="1206"/>
      <c r="MOQ291" s="1206"/>
      <c r="MOR291" s="1206"/>
      <c r="MOS291" s="1206"/>
      <c r="MOT291" s="1206"/>
      <c r="MOU291" s="1206"/>
      <c r="MOV291" s="1206"/>
      <c r="MOW291" s="1206"/>
      <c r="MOX291" s="1206"/>
      <c r="MOY291" s="1206"/>
      <c r="MOZ291" s="1206"/>
      <c r="MPA291" s="1206"/>
      <c r="MPB291" s="1206"/>
      <c r="MPC291" s="1206"/>
      <c r="MPD291" s="1207"/>
      <c r="MPE291" s="1206"/>
      <c r="MPF291" s="1206"/>
      <c r="MPG291" s="1206"/>
      <c r="MPH291" s="1206"/>
      <c r="MPI291" s="1206"/>
      <c r="MPJ291" s="1206"/>
      <c r="MPK291" s="1206"/>
      <c r="MPL291" s="1206"/>
      <c r="MPM291" s="1206"/>
      <c r="MPN291" s="1206"/>
      <c r="MPO291" s="1206"/>
      <c r="MPP291" s="1206"/>
      <c r="MPQ291" s="1206"/>
      <c r="MPR291" s="1206"/>
      <c r="MPS291" s="1206"/>
      <c r="MPT291" s="1206"/>
      <c r="MPU291" s="1207"/>
      <c r="MPV291" s="1206"/>
      <c r="MPW291" s="1206"/>
      <c r="MPX291" s="1206"/>
      <c r="MPY291" s="1206"/>
      <c r="MPZ291" s="1206"/>
      <c r="MQA291" s="1206"/>
      <c r="MQB291" s="1206"/>
      <c r="MQC291" s="1206"/>
      <c r="MQD291" s="1206"/>
      <c r="MQE291" s="1206"/>
      <c r="MQF291" s="1206"/>
      <c r="MQG291" s="1206"/>
      <c r="MQH291" s="1206"/>
      <c r="MQI291" s="1206"/>
      <c r="MQJ291" s="1206"/>
      <c r="MQK291" s="1206"/>
      <c r="MQL291" s="1207"/>
      <c r="MQM291" s="1206"/>
      <c r="MQN291" s="1206"/>
      <c r="MQO291" s="1206"/>
      <c r="MQP291" s="1206"/>
      <c r="MQQ291" s="1206"/>
      <c r="MQR291" s="1206"/>
      <c r="MQS291" s="1206"/>
      <c r="MQT291" s="1206"/>
      <c r="MQU291" s="1206"/>
      <c r="MQV291" s="1206"/>
      <c r="MQW291" s="1206"/>
      <c r="MQX291" s="1206"/>
      <c r="MQY291" s="1206"/>
      <c r="MQZ291" s="1206"/>
      <c r="MRA291" s="1206"/>
      <c r="MRB291" s="1206"/>
      <c r="MRC291" s="1207"/>
      <c r="MRD291" s="1206"/>
      <c r="MRE291" s="1206"/>
      <c r="MRF291" s="1206"/>
      <c r="MRG291" s="1206"/>
      <c r="MRH291" s="1206"/>
      <c r="MRI291" s="1206"/>
      <c r="MRJ291" s="1206"/>
      <c r="MRK291" s="1206"/>
      <c r="MRL291" s="1206"/>
      <c r="MRM291" s="1206"/>
      <c r="MRN291" s="1206"/>
      <c r="MRO291" s="1206"/>
      <c r="MRP291" s="1206"/>
      <c r="MRQ291" s="1206"/>
      <c r="MRR291" s="1206"/>
      <c r="MRS291" s="1206"/>
      <c r="MRT291" s="1207"/>
      <c r="MRU291" s="1206"/>
      <c r="MRV291" s="1206"/>
      <c r="MRW291" s="1206"/>
      <c r="MRX291" s="1206"/>
      <c r="MRY291" s="1206"/>
      <c r="MRZ291" s="1206"/>
      <c r="MSA291" s="1206"/>
      <c r="MSB291" s="1206"/>
      <c r="MSC291" s="1206"/>
      <c r="MSD291" s="1206"/>
      <c r="MSE291" s="1206"/>
      <c r="MSF291" s="1206"/>
      <c r="MSG291" s="1206"/>
      <c r="MSH291" s="1206"/>
      <c r="MSI291" s="1206"/>
      <c r="MSJ291" s="1206"/>
      <c r="MSK291" s="1207"/>
      <c r="MSL291" s="1206"/>
      <c r="MSM291" s="1206"/>
      <c r="MSN291" s="1206"/>
      <c r="MSO291" s="1206"/>
      <c r="MSP291" s="1206"/>
      <c r="MSQ291" s="1206"/>
      <c r="MSR291" s="1206"/>
      <c r="MSS291" s="1206"/>
      <c r="MST291" s="1206"/>
      <c r="MSU291" s="1206"/>
      <c r="MSV291" s="1206"/>
      <c r="MSW291" s="1206"/>
      <c r="MSX291" s="1206"/>
      <c r="MSY291" s="1206"/>
      <c r="MSZ291" s="1206"/>
      <c r="MTA291" s="1206"/>
      <c r="MTB291" s="1207"/>
      <c r="MTC291" s="1206"/>
      <c r="MTD291" s="1206"/>
      <c r="MTE291" s="1206"/>
      <c r="MTF291" s="1206"/>
      <c r="MTG291" s="1206"/>
      <c r="MTH291" s="1206"/>
      <c r="MTI291" s="1206"/>
      <c r="MTJ291" s="1206"/>
      <c r="MTK291" s="1206"/>
      <c r="MTL291" s="1206"/>
      <c r="MTM291" s="1206"/>
      <c r="MTN291" s="1206"/>
      <c r="MTO291" s="1206"/>
      <c r="MTP291" s="1206"/>
      <c r="MTQ291" s="1206"/>
      <c r="MTR291" s="1206"/>
      <c r="MTS291" s="1207"/>
      <c r="MTT291" s="1206"/>
      <c r="MTU291" s="1206"/>
      <c r="MTV291" s="1206"/>
      <c r="MTW291" s="1206"/>
      <c r="MTX291" s="1206"/>
      <c r="MTY291" s="1206"/>
      <c r="MTZ291" s="1206"/>
      <c r="MUA291" s="1206"/>
      <c r="MUB291" s="1206"/>
      <c r="MUC291" s="1206"/>
      <c r="MUD291" s="1206"/>
      <c r="MUE291" s="1206"/>
      <c r="MUF291" s="1206"/>
      <c r="MUG291" s="1206"/>
      <c r="MUH291" s="1206"/>
      <c r="MUI291" s="1206"/>
      <c r="MUJ291" s="1207"/>
      <c r="MUK291" s="1206"/>
      <c r="MUL291" s="1206"/>
      <c r="MUM291" s="1206"/>
      <c r="MUN291" s="1206"/>
      <c r="MUO291" s="1206"/>
      <c r="MUP291" s="1206"/>
      <c r="MUQ291" s="1206"/>
      <c r="MUR291" s="1206"/>
      <c r="MUS291" s="1206"/>
      <c r="MUT291" s="1206"/>
      <c r="MUU291" s="1206"/>
      <c r="MUV291" s="1206"/>
      <c r="MUW291" s="1206"/>
      <c r="MUX291" s="1206"/>
      <c r="MUY291" s="1206"/>
      <c r="MUZ291" s="1206"/>
      <c r="MVA291" s="1207"/>
      <c r="MVB291" s="1206"/>
      <c r="MVC291" s="1206"/>
      <c r="MVD291" s="1206"/>
      <c r="MVE291" s="1206"/>
      <c r="MVF291" s="1206"/>
      <c r="MVG291" s="1206"/>
      <c r="MVH291" s="1206"/>
      <c r="MVI291" s="1206"/>
      <c r="MVJ291" s="1206"/>
      <c r="MVK291" s="1206"/>
      <c r="MVL291" s="1206"/>
      <c r="MVM291" s="1206"/>
      <c r="MVN291" s="1206"/>
      <c r="MVO291" s="1206"/>
      <c r="MVP291" s="1206"/>
      <c r="MVQ291" s="1206"/>
      <c r="MVR291" s="1207"/>
      <c r="MVS291" s="1206"/>
      <c r="MVT291" s="1206"/>
      <c r="MVU291" s="1206"/>
      <c r="MVV291" s="1206"/>
      <c r="MVW291" s="1206"/>
      <c r="MVX291" s="1206"/>
      <c r="MVY291" s="1206"/>
      <c r="MVZ291" s="1206"/>
      <c r="MWA291" s="1206"/>
      <c r="MWB291" s="1206"/>
      <c r="MWC291" s="1206"/>
      <c r="MWD291" s="1206"/>
      <c r="MWE291" s="1206"/>
      <c r="MWF291" s="1206"/>
      <c r="MWG291" s="1206"/>
      <c r="MWH291" s="1206"/>
      <c r="MWI291" s="1207"/>
      <c r="MWJ291" s="1206"/>
      <c r="MWK291" s="1206"/>
      <c r="MWL291" s="1206"/>
      <c r="MWM291" s="1206"/>
      <c r="MWN291" s="1206"/>
      <c r="MWO291" s="1206"/>
      <c r="MWP291" s="1206"/>
      <c r="MWQ291" s="1206"/>
      <c r="MWR291" s="1206"/>
      <c r="MWS291" s="1206"/>
      <c r="MWT291" s="1206"/>
      <c r="MWU291" s="1206"/>
      <c r="MWV291" s="1206"/>
      <c r="MWW291" s="1206"/>
      <c r="MWX291" s="1206"/>
      <c r="MWY291" s="1206"/>
      <c r="MWZ291" s="1207"/>
      <c r="MXA291" s="1206"/>
      <c r="MXB291" s="1206"/>
      <c r="MXC291" s="1206"/>
      <c r="MXD291" s="1206"/>
      <c r="MXE291" s="1206"/>
      <c r="MXF291" s="1206"/>
      <c r="MXG291" s="1206"/>
      <c r="MXH291" s="1206"/>
      <c r="MXI291" s="1206"/>
      <c r="MXJ291" s="1206"/>
      <c r="MXK291" s="1206"/>
      <c r="MXL291" s="1206"/>
      <c r="MXM291" s="1206"/>
      <c r="MXN291" s="1206"/>
      <c r="MXO291" s="1206"/>
      <c r="MXP291" s="1206"/>
      <c r="MXQ291" s="1207"/>
      <c r="MXR291" s="1206"/>
      <c r="MXS291" s="1206"/>
      <c r="MXT291" s="1206"/>
      <c r="MXU291" s="1206"/>
      <c r="MXV291" s="1206"/>
      <c r="MXW291" s="1206"/>
      <c r="MXX291" s="1206"/>
      <c r="MXY291" s="1206"/>
      <c r="MXZ291" s="1206"/>
      <c r="MYA291" s="1206"/>
      <c r="MYB291" s="1206"/>
      <c r="MYC291" s="1206"/>
      <c r="MYD291" s="1206"/>
      <c r="MYE291" s="1206"/>
      <c r="MYF291" s="1206"/>
      <c r="MYG291" s="1206"/>
      <c r="MYH291" s="1207"/>
      <c r="MYI291" s="1206"/>
      <c r="MYJ291" s="1206"/>
      <c r="MYK291" s="1206"/>
      <c r="MYL291" s="1206"/>
      <c r="MYM291" s="1206"/>
      <c r="MYN291" s="1206"/>
      <c r="MYO291" s="1206"/>
      <c r="MYP291" s="1206"/>
      <c r="MYQ291" s="1206"/>
      <c r="MYR291" s="1206"/>
      <c r="MYS291" s="1206"/>
      <c r="MYT291" s="1206"/>
      <c r="MYU291" s="1206"/>
      <c r="MYV291" s="1206"/>
      <c r="MYW291" s="1206"/>
      <c r="MYX291" s="1206"/>
      <c r="MYY291" s="1207"/>
      <c r="MYZ291" s="1206"/>
      <c r="MZA291" s="1206"/>
      <c r="MZB291" s="1206"/>
      <c r="MZC291" s="1206"/>
      <c r="MZD291" s="1206"/>
      <c r="MZE291" s="1206"/>
      <c r="MZF291" s="1206"/>
      <c r="MZG291" s="1206"/>
      <c r="MZH291" s="1206"/>
      <c r="MZI291" s="1206"/>
      <c r="MZJ291" s="1206"/>
      <c r="MZK291" s="1206"/>
      <c r="MZL291" s="1206"/>
      <c r="MZM291" s="1206"/>
      <c r="MZN291" s="1206"/>
      <c r="MZO291" s="1206"/>
      <c r="MZP291" s="1207"/>
      <c r="MZQ291" s="1206"/>
      <c r="MZR291" s="1206"/>
      <c r="MZS291" s="1206"/>
      <c r="MZT291" s="1206"/>
      <c r="MZU291" s="1206"/>
      <c r="MZV291" s="1206"/>
      <c r="MZW291" s="1206"/>
      <c r="MZX291" s="1206"/>
      <c r="MZY291" s="1206"/>
      <c r="MZZ291" s="1206"/>
      <c r="NAA291" s="1206"/>
      <c r="NAB291" s="1206"/>
      <c r="NAC291" s="1206"/>
      <c r="NAD291" s="1206"/>
      <c r="NAE291" s="1206"/>
      <c r="NAF291" s="1206"/>
      <c r="NAG291" s="1207"/>
      <c r="NAH291" s="1206"/>
      <c r="NAI291" s="1206"/>
      <c r="NAJ291" s="1206"/>
      <c r="NAK291" s="1206"/>
      <c r="NAL291" s="1206"/>
      <c r="NAM291" s="1206"/>
      <c r="NAN291" s="1206"/>
      <c r="NAO291" s="1206"/>
      <c r="NAP291" s="1206"/>
      <c r="NAQ291" s="1206"/>
      <c r="NAR291" s="1206"/>
      <c r="NAS291" s="1206"/>
      <c r="NAT291" s="1206"/>
      <c r="NAU291" s="1206"/>
      <c r="NAV291" s="1206"/>
      <c r="NAW291" s="1206"/>
      <c r="NAX291" s="1207"/>
      <c r="NAY291" s="1206"/>
      <c r="NAZ291" s="1206"/>
      <c r="NBA291" s="1206"/>
      <c r="NBB291" s="1206"/>
      <c r="NBC291" s="1206"/>
      <c r="NBD291" s="1206"/>
      <c r="NBE291" s="1206"/>
      <c r="NBF291" s="1206"/>
      <c r="NBG291" s="1206"/>
      <c r="NBH291" s="1206"/>
      <c r="NBI291" s="1206"/>
      <c r="NBJ291" s="1206"/>
      <c r="NBK291" s="1206"/>
      <c r="NBL291" s="1206"/>
      <c r="NBM291" s="1206"/>
      <c r="NBN291" s="1206"/>
      <c r="NBO291" s="1207"/>
      <c r="NBP291" s="1206"/>
      <c r="NBQ291" s="1206"/>
      <c r="NBR291" s="1206"/>
      <c r="NBS291" s="1206"/>
      <c r="NBT291" s="1206"/>
      <c r="NBU291" s="1206"/>
      <c r="NBV291" s="1206"/>
      <c r="NBW291" s="1206"/>
      <c r="NBX291" s="1206"/>
      <c r="NBY291" s="1206"/>
      <c r="NBZ291" s="1206"/>
      <c r="NCA291" s="1206"/>
      <c r="NCB291" s="1206"/>
      <c r="NCC291" s="1206"/>
      <c r="NCD291" s="1206"/>
      <c r="NCE291" s="1206"/>
      <c r="NCF291" s="1207"/>
      <c r="NCG291" s="1206"/>
      <c r="NCH291" s="1206"/>
      <c r="NCI291" s="1206"/>
      <c r="NCJ291" s="1206"/>
      <c r="NCK291" s="1206"/>
      <c r="NCL291" s="1206"/>
      <c r="NCM291" s="1206"/>
      <c r="NCN291" s="1206"/>
      <c r="NCO291" s="1206"/>
      <c r="NCP291" s="1206"/>
      <c r="NCQ291" s="1206"/>
      <c r="NCR291" s="1206"/>
      <c r="NCS291" s="1206"/>
      <c r="NCT291" s="1206"/>
      <c r="NCU291" s="1206"/>
      <c r="NCV291" s="1206"/>
      <c r="NCW291" s="1207"/>
      <c r="NCX291" s="1206"/>
      <c r="NCY291" s="1206"/>
      <c r="NCZ291" s="1206"/>
      <c r="NDA291" s="1206"/>
      <c r="NDB291" s="1206"/>
      <c r="NDC291" s="1206"/>
      <c r="NDD291" s="1206"/>
      <c r="NDE291" s="1206"/>
      <c r="NDF291" s="1206"/>
      <c r="NDG291" s="1206"/>
      <c r="NDH291" s="1206"/>
      <c r="NDI291" s="1206"/>
      <c r="NDJ291" s="1206"/>
      <c r="NDK291" s="1206"/>
      <c r="NDL291" s="1206"/>
      <c r="NDM291" s="1206"/>
      <c r="NDN291" s="1207"/>
      <c r="NDO291" s="1206"/>
      <c r="NDP291" s="1206"/>
      <c r="NDQ291" s="1206"/>
      <c r="NDR291" s="1206"/>
      <c r="NDS291" s="1206"/>
      <c r="NDT291" s="1206"/>
      <c r="NDU291" s="1206"/>
      <c r="NDV291" s="1206"/>
      <c r="NDW291" s="1206"/>
      <c r="NDX291" s="1206"/>
      <c r="NDY291" s="1206"/>
      <c r="NDZ291" s="1206"/>
      <c r="NEA291" s="1206"/>
      <c r="NEB291" s="1206"/>
      <c r="NEC291" s="1206"/>
      <c r="NED291" s="1206"/>
      <c r="NEE291" s="1207"/>
      <c r="NEF291" s="1206"/>
      <c r="NEG291" s="1206"/>
      <c r="NEH291" s="1206"/>
      <c r="NEI291" s="1206"/>
      <c r="NEJ291" s="1206"/>
      <c r="NEK291" s="1206"/>
      <c r="NEL291" s="1206"/>
      <c r="NEM291" s="1206"/>
      <c r="NEN291" s="1206"/>
      <c r="NEO291" s="1206"/>
      <c r="NEP291" s="1206"/>
      <c r="NEQ291" s="1206"/>
      <c r="NER291" s="1206"/>
      <c r="NES291" s="1206"/>
      <c r="NET291" s="1206"/>
      <c r="NEU291" s="1206"/>
      <c r="NEV291" s="1207"/>
      <c r="NEW291" s="1206"/>
      <c r="NEX291" s="1206"/>
      <c r="NEY291" s="1206"/>
      <c r="NEZ291" s="1206"/>
      <c r="NFA291" s="1206"/>
      <c r="NFB291" s="1206"/>
      <c r="NFC291" s="1206"/>
      <c r="NFD291" s="1206"/>
      <c r="NFE291" s="1206"/>
      <c r="NFF291" s="1206"/>
      <c r="NFG291" s="1206"/>
      <c r="NFH291" s="1206"/>
      <c r="NFI291" s="1206"/>
      <c r="NFJ291" s="1206"/>
      <c r="NFK291" s="1206"/>
      <c r="NFL291" s="1206"/>
      <c r="NFM291" s="1207"/>
      <c r="NFN291" s="1206"/>
      <c r="NFO291" s="1206"/>
      <c r="NFP291" s="1206"/>
      <c r="NFQ291" s="1206"/>
      <c r="NFR291" s="1206"/>
      <c r="NFS291" s="1206"/>
      <c r="NFT291" s="1206"/>
      <c r="NFU291" s="1206"/>
      <c r="NFV291" s="1206"/>
      <c r="NFW291" s="1206"/>
      <c r="NFX291" s="1206"/>
      <c r="NFY291" s="1206"/>
      <c r="NFZ291" s="1206"/>
      <c r="NGA291" s="1206"/>
      <c r="NGB291" s="1206"/>
      <c r="NGC291" s="1206"/>
      <c r="NGD291" s="1207"/>
      <c r="NGE291" s="1206"/>
      <c r="NGF291" s="1206"/>
      <c r="NGG291" s="1206"/>
      <c r="NGH291" s="1206"/>
      <c r="NGI291" s="1206"/>
      <c r="NGJ291" s="1206"/>
      <c r="NGK291" s="1206"/>
      <c r="NGL291" s="1206"/>
      <c r="NGM291" s="1206"/>
      <c r="NGN291" s="1206"/>
      <c r="NGO291" s="1206"/>
      <c r="NGP291" s="1206"/>
      <c r="NGQ291" s="1206"/>
      <c r="NGR291" s="1206"/>
      <c r="NGS291" s="1206"/>
      <c r="NGT291" s="1206"/>
      <c r="NGU291" s="1207"/>
      <c r="NGV291" s="1206"/>
      <c r="NGW291" s="1206"/>
      <c r="NGX291" s="1206"/>
      <c r="NGY291" s="1206"/>
      <c r="NGZ291" s="1206"/>
      <c r="NHA291" s="1206"/>
      <c r="NHB291" s="1206"/>
      <c r="NHC291" s="1206"/>
      <c r="NHD291" s="1206"/>
      <c r="NHE291" s="1206"/>
      <c r="NHF291" s="1206"/>
      <c r="NHG291" s="1206"/>
      <c r="NHH291" s="1206"/>
      <c r="NHI291" s="1206"/>
      <c r="NHJ291" s="1206"/>
      <c r="NHK291" s="1206"/>
      <c r="NHL291" s="1207"/>
      <c r="NHM291" s="1206"/>
      <c r="NHN291" s="1206"/>
      <c r="NHO291" s="1206"/>
      <c r="NHP291" s="1206"/>
      <c r="NHQ291" s="1206"/>
      <c r="NHR291" s="1206"/>
      <c r="NHS291" s="1206"/>
      <c r="NHT291" s="1206"/>
      <c r="NHU291" s="1206"/>
      <c r="NHV291" s="1206"/>
      <c r="NHW291" s="1206"/>
      <c r="NHX291" s="1206"/>
      <c r="NHY291" s="1206"/>
      <c r="NHZ291" s="1206"/>
      <c r="NIA291" s="1206"/>
      <c r="NIB291" s="1206"/>
      <c r="NIC291" s="1207"/>
      <c r="NID291" s="1206"/>
      <c r="NIE291" s="1206"/>
      <c r="NIF291" s="1206"/>
      <c r="NIG291" s="1206"/>
      <c r="NIH291" s="1206"/>
      <c r="NII291" s="1206"/>
      <c r="NIJ291" s="1206"/>
      <c r="NIK291" s="1206"/>
      <c r="NIL291" s="1206"/>
      <c r="NIM291" s="1206"/>
      <c r="NIN291" s="1206"/>
      <c r="NIO291" s="1206"/>
      <c r="NIP291" s="1206"/>
      <c r="NIQ291" s="1206"/>
      <c r="NIR291" s="1206"/>
      <c r="NIS291" s="1206"/>
      <c r="NIT291" s="1207"/>
      <c r="NIU291" s="1206"/>
      <c r="NIV291" s="1206"/>
      <c r="NIW291" s="1206"/>
      <c r="NIX291" s="1206"/>
      <c r="NIY291" s="1206"/>
      <c r="NIZ291" s="1206"/>
      <c r="NJA291" s="1206"/>
      <c r="NJB291" s="1206"/>
      <c r="NJC291" s="1206"/>
      <c r="NJD291" s="1206"/>
      <c r="NJE291" s="1206"/>
      <c r="NJF291" s="1206"/>
      <c r="NJG291" s="1206"/>
      <c r="NJH291" s="1206"/>
      <c r="NJI291" s="1206"/>
      <c r="NJJ291" s="1206"/>
      <c r="NJK291" s="1207"/>
      <c r="NJL291" s="1206"/>
      <c r="NJM291" s="1206"/>
      <c r="NJN291" s="1206"/>
      <c r="NJO291" s="1206"/>
      <c r="NJP291" s="1206"/>
      <c r="NJQ291" s="1206"/>
      <c r="NJR291" s="1206"/>
      <c r="NJS291" s="1206"/>
      <c r="NJT291" s="1206"/>
      <c r="NJU291" s="1206"/>
      <c r="NJV291" s="1206"/>
      <c r="NJW291" s="1206"/>
      <c r="NJX291" s="1206"/>
      <c r="NJY291" s="1206"/>
      <c r="NJZ291" s="1206"/>
      <c r="NKA291" s="1206"/>
      <c r="NKB291" s="1207"/>
      <c r="NKC291" s="1206"/>
      <c r="NKD291" s="1206"/>
      <c r="NKE291" s="1206"/>
      <c r="NKF291" s="1206"/>
      <c r="NKG291" s="1206"/>
      <c r="NKH291" s="1206"/>
      <c r="NKI291" s="1206"/>
      <c r="NKJ291" s="1206"/>
      <c r="NKK291" s="1206"/>
      <c r="NKL291" s="1206"/>
      <c r="NKM291" s="1206"/>
      <c r="NKN291" s="1206"/>
      <c r="NKO291" s="1206"/>
      <c r="NKP291" s="1206"/>
      <c r="NKQ291" s="1206"/>
      <c r="NKR291" s="1206"/>
      <c r="NKS291" s="1207"/>
      <c r="NKT291" s="1206"/>
      <c r="NKU291" s="1206"/>
      <c r="NKV291" s="1206"/>
      <c r="NKW291" s="1206"/>
      <c r="NKX291" s="1206"/>
      <c r="NKY291" s="1206"/>
      <c r="NKZ291" s="1206"/>
      <c r="NLA291" s="1206"/>
      <c r="NLB291" s="1206"/>
      <c r="NLC291" s="1206"/>
      <c r="NLD291" s="1206"/>
      <c r="NLE291" s="1206"/>
      <c r="NLF291" s="1206"/>
      <c r="NLG291" s="1206"/>
      <c r="NLH291" s="1206"/>
      <c r="NLI291" s="1206"/>
      <c r="NLJ291" s="1207"/>
      <c r="NLK291" s="1206"/>
      <c r="NLL291" s="1206"/>
      <c r="NLM291" s="1206"/>
      <c r="NLN291" s="1206"/>
      <c r="NLO291" s="1206"/>
      <c r="NLP291" s="1206"/>
      <c r="NLQ291" s="1206"/>
      <c r="NLR291" s="1206"/>
      <c r="NLS291" s="1206"/>
      <c r="NLT291" s="1206"/>
      <c r="NLU291" s="1206"/>
      <c r="NLV291" s="1206"/>
      <c r="NLW291" s="1206"/>
      <c r="NLX291" s="1206"/>
      <c r="NLY291" s="1206"/>
      <c r="NLZ291" s="1206"/>
      <c r="NMA291" s="1207"/>
      <c r="NMB291" s="1206"/>
      <c r="NMC291" s="1206"/>
      <c r="NMD291" s="1206"/>
      <c r="NME291" s="1206"/>
      <c r="NMF291" s="1206"/>
      <c r="NMG291" s="1206"/>
      <c r="NMH291" s="1206"/>
      <c r="NMI291" s="1206"/>
      <c r="NMJ291" s="1206"/>
      <c r="NMK291" s="1206"/>
      <c r="NML291" s="1206"/>
      <c r="NMM291" s="1206"/>
      <c r="NMN291" s="1206"/>
      <c r="NMO291" s="1206"/>
      <c r="NMP291" s="1206"/>
      <c r="NMQ291" s="1206"/>
      <c r="NMR291" s="1207"/>
      <c r="NMS291" s="1206"/>
      <c r="NMT291" s="1206"/>
      <c r="NMU291" s="1206"/>
      <c r="NMV291" s="1206"/>
      <c r="NMW291" s="1206"/>
      <c r="NMX291" s="1206"/>
      <c r="NMY291" s="1206"/>
      <c r="NMZ291" s="1206"/>
      <c r="NNA291" s="1206"/>
      <c r="NNB291" s="1206"/>
      <c r="NNC291" s="1206"/>
      <c r="NND291" s="1206"/>
      <c r="NNE291" s="1206"/>
      <c r="NNF291" s="1206"/>
      <c r="NNG291" s="1206"/>
      <c r="NNH291" s="1206"/>
      <c r="NNI291" s="1207"/>
      <c r="NNJ291" s="1206"/>
      <c r="NNK291" s="1206"/>
      <c r="NNL291" s="1206"/>
      <c r="NNM291" s="1206"/>
      <c r="NNN291" s="1206"/>
      <c r="NNO291" s="1206"/>
      <c r="NNP291" s="1206"/>
      <c r="NNQ291" s="1206"/>
      <c r="NNR291" s="1206"/>
      <c r="NNS291" s="1206"/>
      <c r="NNT291" s="1206"/>
      <c r="NNU291" s="1206"/>
      <c r="NNV291" s="1206"/>
      <c r="NNW291" s="1206"/>
      <c r="NNX291" s="1206"/>
      <c r="NNY291" s="1206"/>
      <c r="NNZ291" s="1207"/>
      <c r="NOA291" s="1206"/>
      <c r="NOB291" s="1206"/>
      <c r="NOC291" s="1206"/>
      <c r="NOD291" s="1206"/>
      <c r="NOE291" s="1206"/>
      <c r="NOF291" s="1206"/>
      <c r="NOG291" s="1206"/>
      <c r="NOH291" s="1206"/>
      <c r="NOI291" s="1206"/>
      <c r="NOJ291" s="1206"/>
      <c r="NOK291" s="1206"/>
      <c r="NOL291" s="1206"/>
      <c r="NOM291" s="1206"/>
      <c r="NON291" s="1206"/>
      <c r="NOO291" s="1206"/>
      <c r="NOP291" s="1206"/>
      <c r="NOQ291" s="1207"/>
      <c r="NOR291" s="1206"/>
      <c r="NOS291" s="1206"/>
      <c r="NOT291" s="1206"/>
      <c r="NOU291" s="1206"/>
      <c r="NOV291" s="1206"/>
      <c r="NOW291" s="1206"/>
      <c r="NOX291" s="1206"/>
      <c r="NOY291" s="1206"/>
      <c r="NOZ291" s="1206"/>
      <c r="NPA291" s="1206"/>
      <c r="NPB291" s="1206"/>
      <c r="NPC291" s="1206"/>
      <c r="NPD291" s="1206"/>
      <c r="NPE291" s="1206"/>
      <c r="NPF291" s="1206"/>
      <c r="NPG291" s="1206"/>
      <c r="NPH291" s="1207"/>
      <c r="NPI291" s="1206"/>
      <c r="NPJ291" s="1206"/>
      <c r="NPK291" s="1206"/>
      <c r="NPL291" s="1206"/>
      <c r="NPM291" s="1206"/>
      <c r="NPN291" s="1206"/>
      <c r="NPO291" s="1206"/>
      <c r="NPP291" s="1206"/>
      <c r="NPQ291" s="1206"/>
      <c r="NPR291" s="1206"/>
      <c r="NPS291" s="1206"/>
      <c r="NPT291" s="1206"/>
      <c r="NPU291" s="1206"/>
      <c r="NPV291" s="1206"/>
      <c r="NPW291" s="1206"/>
      <c r="NPX291" s="1206"/>
      <c r="NPY291" s="1207"/>
      <c r="NPZ291" s="1206"/>
      <c r="NQA291" s="1206"/>
      <c r="NQB291" s="1206"/>
      <c r="NQC291" s="1206"/>
      <c r="NQD291" s="1206"/>
      <c r="NQE291" s="1206"/>
      <c r="NQF291" s="1206"/>
      <c r="NQG291" s="1206"/>
      <c r="NQH291" s="1206"/>
      <c r="NQI291" s="1206"/>
      <c r="NQJ291" s="1206"/>
      <c r="NQK291" s="1206"/>
      <c r="NQL291" s="1206"/>
      <c r="NQM291" s="1206"/>
      <c r="NQN291" s="1206"/>
      <c r="NQO291" s="1206"/>
      <c r="NQP291" s="1207"/>
      <c r="NQQ291" s="1206"/>
      <c r="NQR291" s="1206"/>
      <c r="NQS291" s="1206"/>
      <c r="NQT291" s="1206"/>
      <c r="NQU291" s="1206"/>
      <c r="NQV291" s="1206"/>
      <c r="NQW291" s="1206"/>
      <c r="NQX291" s="1206"/>
      <c r="NQY291" s="1206"/>
      <c r="NQZ291" s="1206"/>
      <c r="NRA291" s="1206"/>
      <c r="NRB291" s="1206"/>
      <c r="NRC291" s="1206"/>
      <c r="NRD291" s="1206"/>
      <c r="NRE291" s="1206"/>
      <c r="NRF291" s="1206"/>
      <c r="NRG291" s="1207"/>
      <c r="NRH291" s="1206"/>
      <c r="NRI291" s="1206"/>
      <c r="NRJ291" s="1206"/>
      <c r="NRK291" s="1206"/>
      <c r="NRL291" s="1206"/>
      <c r="NRM291" s="1206"/>
      <c r="NRN291" s="1206"/>
      <c r="NRO291" s="1206"/>
      <c r="NRP291" s="1206"/>
      <c r="NRQ291" s="1206"/>
      <c r="NRR291" s="1206"/>
      <c r="NRS291" s="1206"/>
      <c r="NRT291" s="1206"/>
      <c r="NRU291" s="1206"/>
      <c r="NRV291" s="1206"/>
      <c r="NRW291" s="1206"/>
      <c r="NRX291" s="1207"/>
      <c r="NRY291" s="1206"/>
      <c r="NRZ291" s="1206"/>
      <c r="NSA291" s="1206"/>
      <c r="NSB291" s="1206"/>
      <c r="NSC291" s="1206"/>
      <c r="NSD291" s="1206"/>
      <c r="NSE291" s="1206"/>
      <c r="NSF291" s="1206"/>
      <c r="NSG291" s="1206"/>
      <c r="NSH291" s="1206"/>
      <c r="NSI291" s="1206"/>
      <c r="NSJ291" s="1206"/>
      <c r="NSK291" s="1206"/>
      <c r="NSL291" s="1206"/>
      <c r="NSM291" s="1206"/>
      <c r="NSN291" s="1206"/>
      <c r="NSO291" s="1207"/>
      <c r="NSP291" s="1206"/>
      <c r="NSQ291" s="1206"/>
      <c r="NSR291" s="1206"/>
      <c r="NSS291" s="1206"/>
      <c r="NST291" s="1206"/>
      <c r="NSU291" s="1206"/>
      <c r="NSV291" s="1206"/>
      <c r="NSW291" s="1206"/>
      <c r="NSX291" s="1206"/>
      <c r="NSY291" s="1206"/>
      <c r="NSZ291" s="1206"/>
      <c r="NTA291" s="1206"/>
      <c r="NTB291" s="1206"/>
      <c r="NTC291" s="1206"/>
      <c r="NTD291" s="1206"/>
      <c r="NTE291" s="1206"/>
      <c r="NTF291" s="1207"/>
      <c r="NTG291" s="1206"/>
      <c r="NTH291" s="1206"/>
      <c r="NTI291" s="1206"/>
      <c r="NTJ291" s="1206"/>
      <c r="NTK291" s="1206"/>
      <c r="NTL291" s="1206"/>
      <c r="NTM291" s="1206"/>
      <c r="NTN291" s="1206"/>
      <c r="NTO291" s="1206"/>
      <c r="NTP291" s="1206"/>
      <c r="NTQ291" s="1206"/>
      <c r="NTR291" s="1206"/>
      <c r="NTS291" s="1206"/>
      <c r="NTT291" s="1206"/>
      <c r="NTU291" s="1206"/>
      <c r="NTV291" s="1206"/>
      <c r="NTW291" s="1207"/>
      <c r="NTX291" s="1206"/>
      <c r="NTY291" s="1206"/>
      <c r="NTZ291" s="1206"/>
      <c r="NUA291" s="1206"/>
      <c r="NUB291" s="1206"/>
      <c r="NUC291" s="1206"/>
      <c r="NUD291" s="1206"/>
      <c r="NUE291" s="1206"/>
      <c r="NUF291" s="1206"/>
      <c r="NUG291" s="1206"/>
      <c r="NUH291" s="1206"/>
      <c r="NUI291" s="1206"/>
      <c r="NUJ291" s="1206"/>
      <c r="NUK291" s="1206"/>
      <c r="NUL291" s="1206"/>
      <c r="NUM291" s="1206"/>
      <c r="NUN291" s="1207"/>
      <c r="NUO291" s="1206"/>
      <c r="NUP291" s="1206"/>
      <c r="NUQ291" s="1206"/>
      <c r="NUR291" s="1206"/>
      <c r="NUS291" s="1206"/>
      <c r="NUT291" s="1206"/>
      <c r="NUU291" s="1206"/>
      <c r="NUV291" s="1206"/>
      <c r="NUW291" s="1206"/>
      <c r="NUX291" s="1206"/>
      <c r="NUY291" s="1206"/>
      <c r="NUZ291" s="1206"/>
      <c r="NVA291" s="1206"/>
      <c r="NVB291" s="1206"/>
      <c r="NVC291" s="1206"/>
      <c r="NVD291" s="1206"/>
      <c r="NVE291" s="1207"/>
      <c r="NVF291" s="1206"/>
      <c r="NVG291" s="1206"/>
      <c r="NVH291" s="1206"/>
      <c r="NVI291" s="1206"/>
      <c r="NVJ291" s="1206"/>
      <c r="NVK291" s="1206"/>
      <c r="NVL291" s="1206"/>
      <c r="NVM291" s="1206"/>
      <c r="NVN291" s="1206"/>
      <c r="NVO291" s="1206"/>
      <c r="NVP291" s="1206"/>
      <c r="NVQ291" s="1206"/>
      <c r="NVR291" s="1206"/>
      <c r="NVS291" s="1206"/>
      <c r="NVT291" s="1206"/>
      <c r="NVU291" s="1206"/>
      <c r="NVV291" s="1207"/>
      <c r="NVW291" s="1206"/>
      <c r="NVX291" s="1206"/>
      <c r="NVY291" s="1206"/>
      <c r="NVZ291" s="1206"/>
      <c r="NWA291" s="1206"/>
      <c r="NWB291" s="1206"/>
      <c r="NWC291" s="1206"/>
      <c r="NWD291" s="1206"/>
      <c r="NWE291" s="1206"/>
      <c r="NWF291" s="1206"/>
      <c r="NWG291" s="1206"/>
      <c r="NWH291" s="1206"/>
      <c r="NWI291" s="1206"/>
      <c r="NWJ291" s="1206"/>
      <c r="NWK291" s="1206"/>
      <c r="NWL291" s="1206"/>
      <c r="NWM291" s="1207"/>
      <c r="NWN291" s="1206"/>
      <c r="NWO291" s="1206"/>
      <c r="NWP291" s="1206"/>
      <c r="NWQ291" s="1206"/>
      <c r="NWR291" s="1206"/>
      <c r="NWS291" s="1206"/>
      <c r="NWT291" s="1206"/>
      <c r="NWU291" s="1206"/>
      <c r="NWV291" s="1206"/>
      <c r="NWW291" s="1206"/>
      <c r="NWX291" s="1206"/>
      <c r="NWY291" s="1206"/>
      <c r="NWZ291" s="1206"/>
      <c r="NXA291" s="1206"/>
      <c r="NXB291" s="1206"/>
      <c r="NXC291" s="1206"/>
      <c r="NXD291" s="1207"/>
      <c r="NXE291" s="1206"/>
      <c r="NXF291" s="1206"/>
      <c r="NXG291" s="1206"/>
      <c r="NXH291" s="1206"/>
      <c r="NXI291" s="1206"/>
      <c r="NXJ291" s="1206"/>
      <c r="NXK291" s="1206"/>
      <c r="NXL291" s="1206"/>
      <c r="NXM291" s="1206"/>
      <c r="NXN291" s="1206"/>
      <c r="NXO291" s="1206"/>
      <c r="NXP291" s="1206"/>
      <c r="NXQ291" s="1206"/>
      <c r="NXR291" s="1206"/>
      <c r="NXS291" s="1206"/>
      <c r="NXT291" s="1206"/>
      <c r="NXU291" s="1207"/>
      <c r="NXV291" s="1206"/>
      <c r="NXW291" s="1206"/>
      <c r="NXX291" s="1206"/>
      <c r="NXY291" s="1206"/>
      <c r="NXZ291" s="1206"/>
      <c r="NYA291" s="1206"/>
      <c r="NYB291" s="1206"/>
      <c r="NYC291" s="1206"/>
      <c r="NYD291" s="1206"/>
      <c r="NYE291" s="1206"/>
      <c r="NYF291" s="1206"/>
      <c r="NYG291" s="1206"/>
      <c r="NYH291" s="1206"/>
      <c r="NYI291" s="1206"/>
      <c r="NYJ291" s="1206"/>
      <c r="NYK291" s="1206"/>
      <c r="NYL291" s="1207"/>
      <c r="NYM291" s="1206"/>
      <c r="NYN291" s="1206"/>
      <c r="NYO291" s="1206"/>
      <c r="NYP291" s="1206"/>
      <c r="NYQ291" s="1206"/>
      <c r="NYR291" s="1206"/>
      <c r="NYS291" s="1206"/>
      <c r="NYT291" s="1206"/>
      <c r="NYU291" s="1206"/>
      <c r="NYV291" s="1206"/>
      <c r="NYW291" s="1206"/>
      <c r="NYX291" s="1206"/>
      <c r="NYY291" s="1206"/>
      <c r="NYZ291" s="1206"/>
      <c r="NZA291" s="1206"/>
      <c r="NZB291" s="1206"/>
      <c r="NZC291" s="1207"/>
      <c r="NZD291" s="1206"/>
      <c r="NZE291" s="1206"/>
      <c r="NZF291" s="1206"/>
      <c r="NZG291" s="1206"/>
      <c r="NZH291" s="1206"/>
      <c r="NZI291" s="1206"/>
      <c r="NZJ291" s="1206"/>
      <c r="NZK291" s="1206"/>
      <c r="NZL291" s="1206"/>
      <c r="NZM291" s="1206"/>
      <c r="NZN291" s="1206"/>
      <c r="NZO291" s="1206"/>
      <c r="NZP291" s="1206"/>
      <c r="NZQ291" s="1206"/>
      <c r="NZR291" s="1206"/>
      <c r="NZS291" s="1206"/>
      <c r="NZT291" s="1207"/>
      <c r="NZU291" s="1206"/>
      <c r="NZV291" s="1206"/>
      <c r="NZW291" s="1206"/>
      <c r="NZX291" s="1206"/>
      <c r="NZY291" s="1206"/>
      <c r="NZZ291" s="1206"/>
      <c r="OAA291" s="1206"/>
      <c r="OAB291" s="1206"/>
      <c r="OAC291" s="1206"/>
      <c r="OAD291" s="1206"/>
      <c r="OAE291" s="1206"/>
      <c r="OAF291" s="1206"/>
      <c r="OAG291" s="1206"/>
      <c r="OAH291" s="1206"/>
      <c r="OAI291" s="1206"/>
      <c r="OAJ291" s="1206"/>
      <c r="OAK291" s="1207"/>
      <c r="OAL291" s="1206"/>
      <c r="OAM291" s="1206"/>
      <c r="OAN291" s="1206"/>
      <c r="OAO291" s="1206"/>
      <c r="OAP291" s="1206"/>
      <c r="OAQ291" s="1206"/>
      <c r="OAR291" s="1206"/>
      <c r="OAS291" s="1206"/>
      <c r="OAT291" s="1206"/>
      <c r="OAU291" s="1206"/>
      <c r="OAV291" s="1206"/>
      <c r="OAW291" s="1206"/>
      <c r="OAX291" s="1206"/>
      <c r="OAY291" s="1206"/>
      <c r="OAZ291" s="1206"/>
      <c r="OBA291" s="1206"/>
      <c r="OBB291" s="1207"/>
      <c r="OBC291" s="1206"/>
      <c r="OBD291" s="1206"/>
      <c r="OBE291" s="1206"/>
      <c r="OBF291" s="1206"/>
      <c r="OBG291" s="1206"/>
      <c r="OBH291" s="1206"/>
      <c r="OBI291" s="1206"/>
      <c r="OBJ291" s="1206"/>
      <c r="OBK291" s="1206"/>
      <c r="OBL291" s="1206"/>
      <c r="OBM291" s="1206"/>
      <c r="OBN291" s="1206"/>
      <c r="OBO291" s="1206"/>
      <c r="OBP291" s="1206"/>
      <c r="OBQ291" s="1206"/>
      <c r="OBR291" s="1206"/>
      <c r="OBS291" s="1207"/>
      <c r="OBT291" s="1206"/>
      <c r="OBU291" s="1206"/>
      <c r="OBV291" s="1206"/>
      <c r="OBW291" s="1206"/>
      <c r="OBX291" s="1206"/>
      <c r="OBY291" s="1206"/>
      <c r="OBZ291" s="1206"/>
      <c r="OCA291" s="1206"/>
      <c r="OCB291" s="1206"/>
      <c r="OCC291" s="1206"/>
      <c r="OCD291" s="1206"/>
      <c r="OCE291" s="1206"/>
      <c r="OCF291" s="1206"/>
      <c r="OCG291" s="1206"/>
      <c r="OCH291" s="1206"/>
      <c r="OCI291" s="1206"/>
      <c r="OCJ291" s="1207"/>
      <c r="OCK291" s="1206"/>
      <c r="OCL291" s="1206"/>
      <c r="OCM291" s="1206"/>
      <c r="OCN291" s="1206"/>
      <c r="OCO291" s="1206"/>
      <c r="OCP291" s="1206"/>
      <c r="OCQ291" s="1206"/>
      <c r="OCR291" s="1206"/>
      <c r="OCS291" s="1206"/>
      <c r="OCT291" s="1206"/>
      <c r="OCU291" s="1206"/>
      <c r="OCV291" s="1206"/>
      <c r="OCW291" s="1206"/>
      <c r="OCX291" s="1206"/>
      <c r="OCY291" s="1206"/>
      <c r="OCZ291" s="1206"/>
      <c r="ODA291" s="1207"/>
      <c r="ODB291" s="1206"/>
      <c r="ODC291" s="1206"/>
      <c r="ODD291" s="1206"/>
      <c r="ODE291" s="1206"/>
      <c r="ODF291" s="1206"/>
      <c r="ODG291" s="1206"/>
      <c r="ODH291" s="1206"/>
      <c r="ODI291" s="1206"/>
      <c r="ODJ291" s="1206"/>
      <c r="ODK291" s="1206"/>
      <c r="ODL291" s="1206"/>
      <c r="ODM291" s="1206"/>
      <c r="ODN291" s="1206"/>
      <c r="ODO291" s="1206"/>
      <c r="ODP291" s="1206"/>
      <c r="ODQ291" s="1206"/>
      <c r="ODR291" s="1207"/>
      <c r="ODS291" s="1206"/>
      <c r="ODT291" s="1206"/>
      <c r="ODU291" s="1206"/>
      <c r="ODV291" s="1206"/>
      <c r="ODW291" s="1206"/>
      <c r="ODX291" s="1206"/>
      <c r="ODY291" s="1206"/>
      <c r="ODZ291" s="1206"/>
      <c r="OEA291" s="1206"/>
      <c r="OEB291" s="1206"/>
      <c r="OEC291" s="1206"/>
      <c r="OED291" s="1206"/>
      <c r="OEE291" s="1206"/>
      <c r="OEF291" s="1206"/>
      <c r="OEG291" s="1206"/>
      <c r="OEH291" s="1206"/>
      <c r="OEI291" s="1207"/>
      <c r="OEJ291" s="1206"/>
      <c r="OEK291" s="1206"/>
      <c r="OEL291" s="1206"/>
      <c r="OEM291" s="1206"/>
      <c r="OEN291" s="1206"/>
      <c r="OEO291" s="1206"/>
      <c r="OEP291" s="1206"/>
      <c r="OEQ291" s="1206"/>
      <c r="OER291" s="1206"/>
      <c r="OES291" s="1206"/>
      <c r="OET291" s="1206"/>
      <c r="OEU291" s="1206"/>
      <c r="OEV291" s="1206"/>
      <c r="OEW291" s="1206"/>
      <c r="OEX291" s="1206"/>
      <c r="OEY291" s="1206"/>
      <c r="OEZ291" s="1207"/>
      <c r="OFA291" s="1206"/>
      <c r="OFB291" s="1206"/>
      <c r="OFC291" s="1206"/>
      <c r="OFD291" s="1206"/>
      <c r="OFE291" s="1206"/>
      <c r="OFF291" s="1206"/>
      <c r="OFG291" s="1206"/>
      <c r="OFH291" s="1206"/>
      <c r="OFI291" s="1206"/>
      <c r="OFJ291" s="1206"/>
      <c r="OFK291" s="1206"/>
      <c r="OFL291" s="1206"/>
      <c r="OFM291" s="1206"/>
      <c r="OFN291" s="1206"/>
      <c r="OFO291" s="1206"/>
      <c r="OFP291" s="1206"/>
      <c r="OFQ291" s="1207"/>
      <c r="OFR291" s="1206"/>
      <c r="OFS291" s="1206"/>
      <c r="OFT291" s="1206"/>
      <c r="OFU291" s="1206"/>
      <c r="OFV291" s="1206"/>
      <c r="OFW291" s="1206"/>
      <c r="OFX291" s="1206"/>
      <c r="OFY291" s="1206"/>
      <c r="OFZ291" s="1206"/>
      <c r="OGA291" s="1206"/>
      <c r="OGB291" s="1206"/>
      <c r="OGC291" s="1206"/>
      <c r="OGD291" s="1206"/>
      <c r="OGE291" s="1206"/>
      <c r="OGF291" s="1206"/>
      <c r="OGG291" s="1206"/>
      <c r="OGH291" s="1207"/>
      <c r="OGI291" s="1206"/>
      <c r="OGJ291" s="1206"/>
      <c r="OGK291" s="1206"/>
      <c r="OGL291" s="1206"/>
      <c r="OGM291" s="1206"/>
      <c r="OGN291" s="1206"/>
      <c r="OGO291" s="1206"/>
      <c r="OGP291" s="1206"/>
      <c r="OGQ291" s="1206"/>
      <c r="OGR291" s="1206"/>
      <c r="OGS291" s="1206"/>
      <c r="OGT291" s="1206"/>
      <c r="OGU291" s="1206"/>
      <c r="OGV291" s="1206"/>
      <c r="OGW291" s="1206"/>
      <c r="OGX291" s="1206"/>
      <c r="OGY291" s="1207"/>
      <c r="OGZ291" s="1206"/>
      <c r="OHA291" s="1206"/>
      <c r="OHB291" s="1206"/>
      <c r="OHC291" s="1206"/>
      <c r="OHD291" s="1206"/>
      <c r="OHE291" s="1206"/>
      <c r="OHF291" s="1206"/>
      <c r="OHG291" s="1206"/>
      <c r="OHH291" s="1206"/>
      <c r="OHI291" s="1206"/>
      <c r="OHJ291" s="1206"/>
      <c r="OHK291" s="1206"/>
      <c r="OHL291" s="1206"/>
      <c r="OHM291" s="1206"/>
      <c r="OHN291" s="1206"/>
      <c r="OHO291" s="1206"/>
      <c r="OHP291" s="1207"/>
      <c r="OHQ291" s="1206"/>
      <c r="OHR291" s="1206"/>
      <c r="OHS291" s="1206"/>
      <c r="OHT291" s="1206"/>
      <c r="OHU291" s="1206"/>
      <c r="OHV291" s="1206"/>
      <c r="OHW291" s="1206"/>
      <c r="OHX291" s="1206"/>
      <c r="OHY291" s="1206"/>
      <c r="OHZ291" s="1206"/>
      <c r="OIA291" s="1206"/>
      <c r="OIB291" s="1206"/>
      <c r="OIC291" s="1206"/>
      <c r="OID291" s="1206"/>
      <c r="OIE291" s="1206"/>
      <c r="OIF291" s="1206"/>
      <c r="OIG291" s="1207"/>
      <c r="OIH291" s="1206"/>
      <c r="OII291" s="1206"/>
      <c r="OIJ291" s="1206"/>
      <c r="OIK291" s="1206"/>
      <c r="OIL291" s="1206"/>
      <c r="OIM291" s="1206"/>
      <c r="OIN291" s="1206"/>
      <c r="OIO291" s="1206"/>
      <c r="OIP291" s="1206"/>
      <c r="OIQ291" s="1206"/>
      <c r="OIR291" s="1206"/>
      <c r="OIS291" s="1206"/>
      <c r="OIT291" s="1206"/>
      <c r="OIU291" s="1206"/>
      <c r="OIV291" s="1206"/>
      <c r="OIW291" s="1206"/>
      <c r="OIX291" s="1207"/>
      <c r="OIY291" s="1206"/>
      <c r="OIZ291" s="1206"/>
      <c r="OJA291" s="1206"/>
      <c r="OJB291" s="1206"/>
      <c r="OJC291" s="1206"/>
      <c r="OJD291" s="1206"/>
      <c r="OJE291" s="1206"/>
      <c r="OJF291" s="1206"/>
      <c r="OJG291" s="1206"/>
      <c r="OJH291" s="1206"/>
      <c r="OJI291" s="1206"/>
      <c r="OJJ291" s="1206"/>
      <c r="OJK291" s="1206"/>
      <c r="OJL291" s="1206"/>
      <c r="OJM291" s="1206"/>
      <c r="OJN291" s="1206"/>
      <c r="OJO291" s="1207"/>
      <c r="OJP291" s="1206"/>
      <c r="OJQ291" s="1206"/>
      <c r="OJR291" s="1206"/>
      <c r="OJS291" s="1206"/>
      <c r="OJT291" s="1206"/>
      <c r="OJU291" s="1206"/>
      <c r="OJV291" s="1206"/>
      <c r="OJW291" s="1206"/>
      <c r="OJX291" s="1206"/>
      <c r="OJY291" s="1206"/>
      <c r="OJZ291" s="1206"/>
      <c r="OKA291" s="1206"/>
      <c r="OKB291" s="1206"/>
      <c r="OKC291" s="1206"/>
      <c r="OKD291" s="1206"/>
      <c r="OKE291" s="1206"/>
      <c r="OKF291" s="1207"/>
      <c r="OKG291" s="1206"/>
      <c r="OKH291" s="1206"/>
      <c r="OKI291" s="1206"/>
      <c r="OKJ291" s="1206"/>
      <c r="OKK291" s="1206"/>
      <c r="OKL291" s="1206"/>
      <c r="OKM291" s="1206"/>
      <c r="OKN291" s="1206"/>
      <c r="OKO291" s="1206"/>
      <c r="OKP291" s="1206"/>
      <c r="OKQ291" s="1206"/>
      <c r="OKR291" s="1206"/>
      <c r="OKS291" s="1206"/>
      <c r="OKT291" s="1206"/>
      <c r="OKU291" s="1206"/>
      <c r="OKV291" s="1206"/>
      <c r="OKW291" s="1207"/>
      <c r="OKX291" s="1206"/>
      <c r="OKY291" s="1206"/>
      <c r="OKZ291" s="1206"/>
      <c r="OLA291" s="1206"/>
      <c r="OLB291" s="1206"/>
      <c r="OLC291" s="1206"/>
      <c r="OLD291" s="1206"/>
      <c r="OLE291" s="1206"/>
      <c r="OLF291" s="1206"/>
      <c r="OLG291" s="1206"/>
      <c r="OLH291" s="1206"/>
      <c r="OLI291" s="1206"/>
      <c r="OLJ291" s="1206"/>
      <c r="OLK291" s="1206"/>
      <c r="OLL291" s="1206"/>
      <c r="OLM291" s="1206"/>
      <c r="OLN291" s="1207"/>
      <c r="OLO291" s="1206"/>
      <c r="OLP291" s="1206"/>
      <c r="OLQ291" s="1206"/>
      <c r="OLR291" s="1206"/>
      <c r="OLS291" s="1206"/>
      <c r="OLT291" s="1206"/>
      <c r="OLU291" s="1206"/>
      <c r="OLV291" s="1206"/>
      <c r="OLW291" s="1206"/>
      <c r="OLX291" s="1206"/>
      <c r="OLY291" s="1206"/>
      <c r="OLZ291" s="1206"/>
      <c r="OMA291" s="1206"/>
      <c r="OMB291" s="1206"/>
      <c r="OMC291" s="1206"/>
      <c r="OMD291" s="1206"/>
      <c r="OME291" s="1207"/>
      <c r="OMF291" s="1206"/>
      <c r="OMG291" s="1206"/>
      <c r="OMH291" s="1206"/>
      <c r="OMI291" s="1206"/>
      <c r="OMJ291" s="1206"/>
      <c r="OMK291" s="1206"/>
      <c r="OML291" s="1206"/>
      <c r="OMM291" s="1206"/>
      <c r="OMN291" s="1206"/>
      <c r="OMO291" s="1206"/>
      <c r="OMP291" s="1206"/>
      <c r="OMQ291" s="1206"/>
      <c r="OMR291" s="1206"/>
      <c r="OMS291" s="1206"/>
      <c r="OMT291" s="1206"/>
      <c r="OMU291" s="1206"/>
      <c r="OMV291" s="1207"/>
      <c r="OMW291" s="1206"/>
      <c r="OMX291" s="1206"/>
      <c r="OMY291" s="1206"/>
      <c r="OMZ291" s="1206"/>
      <c r="ONA291" s="1206"/>
      <c r="ONB291" s="1206"/>
      <c r="ONC291" s="1206"/>
      <c r="OND291" s="1206"/>
      <c r="ONE291" s="1206"/>
      <c r="ONF291" s="1206"/>
      <c r="ONG291" s="1206"/>
      <c r="ONH291" s="1206"/>
      <c r="ONI291" s="1206"/>
      <c r="ONJ291" s="1206"/>
      <c r="ONK291" s="1206"/>
      <c r="ONL291" s="1206"/>
      <c r="ONM291" s="1207"/>
      <c r="ONN291" s="1206"/>
      <c r="ONO291" s="1206"/>
      <c r="ONP291" s="1206"/>
      <c r="ONQ291" s="1206"/>
      <c r="ONR291" s="1206"/>
      <c r="ONS291" s="1206"/>
      <c r="ONT291" s="1206"/>
      <c r="ONU291" s="1206"/>
      <c r="ONV291" s="1206"/>
      <c r="ONW291" s="1206"/>
      <c r="ONX291" s="1206"/>
      <c r="ONY291" s="1206"/>
      <c r="ONZ291" s="1206"/>
      <c r="OOA291" s="1206"/>
      <c r="OOB291" s="1206"/>
      <c r="OOC291" s="1206"/>
      <c r="OOD291" s="1207"/>
      <c r="OOE291" s="1206"/>
      <c r="OOF291" s="1206"/>
      <c r="OOG291" s="1206"/>
      <c r="OOH291" s="1206"/>
      <c r="OOI291" s="1206"/>
      <c r="OOJ291" s="1206"/>
      <c r="OOK291" s="1206"/>
      <c r="OOL291" s="1206"/>
      <c r="OOM291" s="1206"/>
      <c r="OON291" s="1206"/>
      <c r="OOO291" s="1206"/>
      <c r="OOP291" s="1206"/>
      <c r="OOQ291" s="1206"/>
      <c r="OOR291" s="1206"/>
      <c r="OOS291" s="1206"/>
      <c r="OOT291" s="1206"/>
      <c r="OOU291" s="1207"/>
      <c r="OOV291" s="1206"/>
      <c r="OOW291" s="1206"/>
      <c r="OOX291" s="1206"/>
      <c r="OOY291" s="1206"/>
      <c r="OOZ291" s="1206"/>
      <c r="OPA291" s="1206"/>
      <c r="OPB291" s="1206"/>
      <c r="OPC291" s="1206"/>
      <c r="OPD291" s="1206"/>
      <c r="OPE291" s="1206"/>
      <c r="OPF291" s="1206"/>
      <c r="OPG291" s="1206"/>
      <c r="OPH291" s="1206"/>
      <c r="OPI291" s="1206"/>
      <c r="OPJ291" s="1206"/>
      <c r="OPK291" s="1206"/>
      <c r="OPL291" s="1207"/>
      <c r="OPM291" s="1206"/>
      <c r="OPN291" s="1206"/>
      <c r="OPO291" s="1206"/>
      <c r="OPP291" s="1206"/>
      <c r="OPQ291" s="1206"/>
      <c r="OPR291" s="1206"/>
      <c r="OPS291" s="1206"/>
      <c r="OPT291" s="1206"/>
      <c r="OPU291" s="1206"/>
      <c r="OPV291" s="1206"/>
      <c r="OPW291" s="1206"/>
      <c r="OPX291" s="1206"/>
      <c r="OPY291" s="1206"/>
      <c r="OPZ291" s="1206"/>
      <c r="OQA291" s="1206"/>
      <c r="OQB291" s="1206"/>
      <c r="OQC291" s="1207"/>
      <c r="OQD291" s="1206"/>
      <c r="OQE291" s="1206"/>
      <c r="OQF291" s="1206"/>
      <c r="OQG291" s="1206"/>
      <c r="OQH291" s="1206"/>
      <c r="OQI291" s="1206"/>
      <c r="OQJ291" s="1206"/>
      <c r="OQK291" s="1206"/>
      <c r="OQL291" s="1206"/>
      <c r="OQM291" s="1206"/>
      <c r="OQN291" s="1206"/>
      <c r="OQO291" s="1206"/>
      <c r="OQP291" s="1206"/>
      <c r="OQQ291" s="1206"/>
      <c r="OQR291" s="1206"/>
      <c r="OQS291" s="1206"/>
      <c r="OQT291" s="1207"/>
      <c r="OQU291" s="1206"/>
      <c r="OQV291" s="1206"/>
      <c r="OQW291" s="1206"/>
      <c r="OQX291" s="1206"/>
      <c r="OQY291" s="1206"/>
      <c r="OQZ291" s="1206"/>
      <c r="ORA291" s="1206"/>
      <c r="ORB291" s="1206"/>
      <c r="ORC291" s="1206"/>
      <c r="ORD291" s="1206"/>
      <c r="ORE291" s="1206"/>
      <c r="ORF291" s="1206"/>
      <c r="ORG291" s="1206"/>
      <c r="ORH291" s="1206"/>
      <c r="ORI291" s="1206"/>
      <c r="ORJ291" s="1206"/>
      <c r="ORK291" s="1207"/>
      <c r="ORL291" s="1206"/>
      <c r="ORM291" s="1206"/>
      <c r="ORN291" s="1206"/>
      <c r="ORO291" s="1206"/>
      <c r="ORP291" s="1206"/>
      <c r="ORQ291" s="1206"/>
      <c r="ORR291" s="1206"/>
      <c r="ORS291" s="1206"/>
      <c r="ORT291" s="1206"/>
      <c r="ORU291" s="1206"/>
      <c r="ORV291" s="1206"/>
      <c r="ORW291" s="1206"/>
      <c r="ORX291" s="1206"/>
      <c r="ORY291" s="1206"/>
      <c r="ORZ291" s="1206"/>
      <c r="OSA291" s="1206"/>
      <c r="OSB291" s="1207"/>
      <c r="OSC291" s="1206"/>
      <c r="OSD291" s="1206"/>
      <c r="OSE291" s="1206"/>
      <c r="OSF291" s="1206"/>
      <c r="OSG291" s="1206"/>
      <c r="OSH291" s="1206"/>
      <c r="OSI291" s="1206"/>
      <c r="OSJ291" s="1206"/>
      <c r="OSK291" s="1206"/>
      <c r="OSL291" s="1206"/>
      <c r="OSM291" s="1206"/>
      <c r="OSN291" s="1206"/>
      <c r="OSO291" s="1206"/>
      <c r="OSP291" s="1206"/>
      <c r="OSQ291" s="1206"/>
      <c r="OSR291" s="1206"/>
      <c r="OSS291" s="1207"/>
      <c r="OST291" s="1206"/>
      <c r="OSU291" s="1206"/>
      <c r="OSV291" s="1206"/>
      <c r="OSW291" s="1206"/>
      <c r="OSX291" s="1206"/>
      <c r="OSY291" s="1206"/>
      <c r="OSZ291" s="1206"/>
      <c r="OTA291" s="1206"/>
      <c r="OTB291" s="1206"/>
      <c r="OTC291" s="1206"/>
      <c r="OTD291" s="1206"/>
      <c r="OTE291" s="1206"/>
      <c r="OTF291" s="1206"/>
      <c r="OTG291" s="1206"/>
      <c r="OTH291" s="1206"/>
      <c r="OTI291" s="1206"/>
      <c r="OTJ291" s="1207"/>
      <c r="OTK291" s="1206"/>
      <c r="OTL291" s="1206"/>
      <c r="OTM291" s="1206"/>
      <c r="OTN291" s="1206"/>
      <c r="OTO291" s="1206"/>
      <c r="OTP291" s="1206"/>
      <c r="OTQ291" s="1206"/>
      <c r="OTR291" s="1206"/>
      <c r="OTS291" s="1206"/>
      <c r="OTT291" s="1206"/>
      <c r="OTU291" s="1206"/>
      <c r="OTV291" s="1206"/>
      <c r="OTW291" s="1206"/>
      <c r="OTX291" s="1206"/>
      <c r="OTY291" s="1206"/>
      <c r="OTZ291" s="1206"/>
      <c r="OUA291" s="1207"/>
      <c r="OUB291" s="1206"/>
      <c r="OUC291" s="1206"/>
      <c r="OUD291" s="1206"/>
      <c r="OUE291" s="1206"/>
      <c r="OUF291" s="1206"/>
      <c r="OUG291" s="1206"/>
      <c r="OUH291" s="1206"/>
      <c r="OUI291" s="1206"/>
      <c r="OUJ291" s="1206"/>
      <c r="OUK291" s="1206"/>
      <c r="OUL291" s="1206"/>
      <c r="OUM291" s="1206"/>
      <c r="OUN291" s="1206"/>
      <c r="OUO291" s="1206"/>
      <c r="OUP291" s="1206"/>
      <c r="OUQ291" s="1206"/>
      <c r="OUR291" s="1207"/>
      <c r="OUS291" s="1206"/>
      <c r="OUT291" s="1206"/>
      <c r="OUU291" s="1206"/>
      <c r="OUV291" s="1206"/>
      <c r="OUW291" s="1206"/>
      <c r="OUX291" s="1206"/>
      <c r="OUY291" s="1206"/>
      <c r="OUZ291" s="1206"/>
      <c r="OVA291" s="1206"/>
      <c r="OVB291" s="1206"/>
      <c r="OVC291" s="1206"/>
      <c r="OVD291" s="1206"/>
      <c r="OVE291" s="1206"/>
      <c r="OVF291" s="1206"/>
      <c r="OVG291" s="1206"/>
      <c r="OVH291" s="1206"/>
      <c r="OVI291" s="1207"/>
      <c r="OVJ291" s="1206"/>
      <c r="OVK291" s="1206"/>
      <c r="OVL291" s="1206"/>
      <c r="OVM291" s="1206"/>
      <c r="OVN291" s="1206"/>
      <c r="OVO291" s="1206"/>
      <c r="OVP291" s="1206"/>
      <c r="OVQ291" s="1206"/>
      <c r="OVR291" s="1206"/>
      <c r="OVS291" s="1206"/>
      <c r="OVT291" s="1206"/>
      <c r="OVU291" s="1206"/>
      <c r="OVV291" s="1206"/>
      <c r="OVW291" s="1206"/>
      <c r="OVX291" s="1206"/>
      <c r="OVY291" s="1206"/>
      <c r="OVZ291" s="1207"/>
      <c r="OWA291" s="1206"/>
      <c r="OWB291" s="1206"/>
      <c r="OWC291" s="1206"/>
      <c r="OWD291" s="1206"/>
      <c r="OWE291" s="1206"/>
      <c r="OWF291" s="1206"/>
      <c r="OWG291" s="1206"/>
      <c r="OWH291" s="1206"/>
      <c r="OWI291" s="1206"/>
      <c r="OWJ291" s="1206"/>
      <c r="OWK291" s="1206"/>
      <c r="OWL291" s="1206"/>
      <c r="OWM291" s="1206"/>
      <c r="OWN291" s="1206"/>
      <c r="OWO291" s="1206"/>
      <c r="OWP291" s="1206"/>
      <c r="OWQ291" s="1207"/>
      <c r="OWR291" s="1206"/>
      <c r="OWS291" s="1206"/>
      <c r="OWT291" s="1206"/>
      <c r="OWU291" s="1206"/>
      <c r="OWV291" s="1206"/>
      <c r="OWW291" s="1206"/>
      <c r="OWX291" s="1206"/>
      <c r="OWY291" s="1206"/>
      <c r="OWZ291" s="1206"/>
      <c r="OXA291" s="1206"/>
      <c r="OXB291" s="1206"/>
      <c r="OXC291" s="1206"/>
      <c r="OXD291" s="1206"/>
      <c r="OXE291" s="1206"/>
      <c r="OXF291" s="1206"/>
      <c r="OXG291" s="1206"/>
      <c r="OXH291" s="1207"/>
      <c r="OXI291" s="1206"/>
      <c r="OXJ291" s="1206"/>
      <c r="OXK291" s="1206"/>
      <c r="OXL291" s="1206"/>
      <c r="OXM291" s="1206"/>
      <c r="OXN291" s="1206"/>
      <c r="OXO291" s="1206"/>
      <c r="OXP291" s="1206"/>
      <c r="OXQ291" s="1206"/>
      <c r="OXR291" s="1206"/>
      <c r="OXS291" s="1206"/>
      <c r="OXT291" s="1206"/>
      <c r="OXU291" s="1206"/>
      <c r="OXV291" s="1206"/>
      <c r="OXW291" s="1206"/>
      <c r="OXX291" s="1206"/>
      <c r="OXY291" s="1207"/>
      <c r="OXZ291" s="1206"/>
      <c r="OYA291" s="1206"/>
      <c r="OYB291" s="1206"/>
      <c r="OYC291" s="1206"/>
      <c r="OYD291" s="1206"/>
      <c r="OYE291" s="1206"/>
      <c r="OYF291" s="1206"/>
      <c r="OYG291" s="1206"/>
      <c r="OYH291" s="1206"/>
      <c r="OYI291" s="1206"/>
      <c r="OYJ291" s="1206"/>
      <c r="OYK291" s="1206"/>
      <c r="OYL291" s="1206"/>
      <c r="OYM291" s="1206"/>
      <c r="OYN291" s="1206"/>
      <c r="OYO291" s="1206"/>
      <c r="OYP291" s="1207"/>
      <c r="OYQ291" s="1206"/>
      <c r="OYR291" s="1206"/>
      <c r="OYS291" s="1206"/>
      <c r="OYT291" s="1206"/>
      <c r="OYU291" s="1206"/>
      <c r="OYV291" s="1206"/>
      <c r="OYW291" s="1206"/>
      <c r="OYX291" s="1206"/>
      <c r="OYY291" s="1206"/>
      <c r="OYZ291" s="1206"/>
      <c r="OZA291" s="1206"/>
      <c r="OZB291" s="1206"/>
      <c r="OZC291" s="1206"/>
      <c r="OZD291" s="1206"/>
      <c r="OZE291" s="1206"/>
      <c r="OZF291" s="1206"/>
      <c r="OZG291" s="1207"/>
      <c r="OZH291" s="1206"/>
      <c r="OZI291" s="1206"/>
      <c r="OZJ291" s="1206"/>
      <c r="OZK291" s="1206"/>
      <c r="OZL291" s="1206"/>
      <c r="OZM291" s="1206"/>
      <c r="OZN291" s="1206"/>
      <c r="OZO291" s="1206"/>
      <c r="OZP291" s="1206"/>
      <c r="OZQ291" s="1206"/>
      <c r="OZR291" s="1206"/>
      <c r="OZS291" s="1206"/>
      <c r="OZT291" s="1206"/>
      <c r="OZU291" s="1206"/>
      <c r="OZV291" s="1206"/>
      <c r="OZW291" s="1206"/>
      <c r="OZX291" s="1207"/>
      <c r="OZY291" s="1206"/>
      <c r="OZZ291" s="1206"/>
      <c r="PAA291" s="1206"/>
      <c r="PAB291" s="1206"/>
      <c r="PAC291" s="1206"/>
      <c r="PAD291" s="1206"/>
      <c r="PAE291" s="1206"/>
      <c r="PAF291" s="1206"/>
      <c r="PAG291" s="1206"/>
      <c r="PAH291" s="1206"/>
      <c r="PAI291" s="1206"/>
      <c r="PAJ291" s="1206"/>
      <c r="PAK291" s="1206"/>
      <c r="PAL291" s="1206"/>
      <c r="PAM291" s="1206"/>
      <c r="PAN291" s="1206"/>
      <c r="PAO291" s="1207"/>
      <c r="PAP291" s="1206"/>
      <c r="PAQ291" s="1206"/>
      <c r="PAR291" s="1206"/>
      <c r="PAS291" s="1206"/>
      <c r="PAT291" s="1206"/>
      <c r="PAU291" s="1206"/>
      <c r="PAV291" s="1206"/>
      <c r="PAW291" s="1206"/>
      <c r="PAX291" s="1206"/>
      <c r="PAY291" s="1206"/>
      <c r="PAZ291" s="1206"/>
      <c r="PBA291" s="1206"/>
      <c r="PBB291" s="1206"/>
      <c r="PBC291" s="1206"/>
      <c r="PBD291" s="1206"/>
      <c r="PBE291" s="1206"/>
      <c r="PBF291" s="1207"/>
      <c r="PBG291" s="1206"/>
      <c r="PBH291" s="1206"/>
      <c r="PBI291" s="1206"/>
      <c r="PBJ291" s="1206"/>
      <c r="PBK291" s="1206"/>
      <c r="PBL291" s="1206"/>
      <c r="PBM291" s="1206"/>
      <c r="PBN291" s="1206"/>
      <c r="PBO291" s="1206"/>
      <c r="PBP291" s="1206"/>
      <c r="PBQ291" s="1206"/>
      <c r="PBR291" s="1206"/>
      <c r="PBS291" s="1206"/>
      <c r="PBT291" s="1206"/>
      <c r="PBU291" s="1206"/>
      <c r="PBV291" s="1206"/>
      <c r="PBW291" s="1207"/>
      <c r="PBX291" s="1206"/>
      <c r="PBY291" s="1206"/>
      <c r="PBZ291" s="1206"/>
      <c r="PCA291" s="1206"/>
      <c r="PCB291" s="1206"/>
      <c r="PCC291" s="1206"/>
      <c r="PCD291" s="1206"/>
      <c r="PCE291" s="1206"/>
      <c r="PCF291" s="1206"/>
      <c r="PCG291" s="1206"/>
      <c r="PCH291" s="1206"/>
      <c r="PCI291" s="1206"/>
      <c r="PCJ291" s="1206"/>
      <c r="PCK291" s="1206"/>
      <c r="PCL291" s="1206"/>
      <c r="PCM291" s="1206"/>
      <c r="PCN291" s="1207"/>
      <c r="PCO291" s="1206"/>
      <c r="PCP291" s="1206"/>
      <c r="PCQ291" s="1206"/>
      <c r="PCR291" s="1206"/>
      <c r="PCS291" s="1206"/>
      <c r="PCT291" s="1206"/>
      <c r="PCU291" s="1206"/>
      <c r="PCV291" s="1206"/>
      <c r="PCW291" s="1206"/>
      <c r="PCX291" s="1206"/>
      <c r="PCY291" s="1206"/>
      <c r="PCZ291" s="1206"/>
      <c r="PDA291" s="1206"/>
      <c r="PDB291" s="1206"/>
      <c r="PDC291" s="1206"/>
      <c r="PDD291" s="1206"/>
      <c r="PDE291" s="1207"/>
      <c r="PDF291" s="1206"/>
      <c r="PDG291" s="1206"/>
      <c r="PDH291" s="1206"/>
      <c r="PDI291" s="1206"/>
      <c r="PDJ291" s="1206"/>
      <c r="PDK291" s="1206"/>
      <c r="PDL291" s="1206"/>
      <c r="PDM291" s="1206"/>
      <c r="PDN291" s="1206"/>
      <c r="PDO291" s="1206"/>
      <c r="PDP291" s="1206"/>
      <c r="PDQ291" s="1206"/>
      <c r="PDR291" s="1206"/>
      <c r="PDS291" s="1206"/>
      <c r="PDT291" s="1206"/>
      <c r="PDU291" s="1206"/>
      <c r="PDV291" s="1207"/>
      <c r="PDW291" s="1206"/>
      <c r="PDX291" s="1206"/>
      <c r="PDY291" s="1206"/>
      <c r="PDZ291" s="1206"/>
      <c r="PEA291" s="1206"/>
      <c r="PEB291" s="1206"/>
      <c r="PEC291" s="1206"/>
      <c r="PED291" s="1206"/>
      <c r="PEE291" s="1206"/>
      <c r="PEF291" s="1206"/>
      <c r="PEG291" s="1206"/>
      <c r="PEH291" s="1206"/>
      <c r="PEI291" s="1206"/>
      <c r="PEJ291" s="1206"/>
      <c r="PEK291" s="1206"/>
      <c r="PEL291" s="1206"/>
      <c r="PEM291" s="1207"/>
      <c r="PEN291" s="1206"/>
      <c r="PEO291" s="1206"/>
      <c r="PEP291" s="1206"/>
      <c r="PEQ291" s="1206"/>
      <c r="PER291" s="1206"/>
      <c r="PES291" s="1206"/>
      <c r="PET291" s="1206"/>
      <c r="PEU291" s="1206"/>
      <c r="PEV291" s="1206"/>
      <c r="PEW291" s="1206"/>
      <c r="PEX291" s="1206"/>
      <c r="PEY291" s="1206"/>
      <c r="PEZ291" s="1206"/>
      <c r="PFA291" s="1206"/>
      <c r="PFB291" s="1206"/>
      <c r="PFC291" s="1206"/>
      <c r="PFD291" s="1207"/>
      <c r="PFE291" s="1206"/>
      <c r="PFF291" s="1206"/>
      <c r="PFG291" s="1206"/>
      <c r="PFH291" s="1206"/>
      <c r="PFI291" s="1206"/>
      <c r="PFJ291" s="1206"/>
      <c r="PFK291" s="1206"/>
      <c r="PFL291" s="1206"/>
      <c r="PFM291" s="1206"/>
      <c r="PFN291" s="1206"/>
      <c r="PFO291" s="1206"/>
      <c r="PFP291" s="1206"/>
      <c r="PFQ291" s="1206"/>
      <c r="PFR291" s="1206"/>
      <c r="PFS291" s="1206"/>
      <c r="PFT291" s="1206"/>
      <c r="PFU291" s="1207"/>
      <c r="PFV291" s="1206"/>
      <c r="PFW291" s="1206"/>
      <c r="PFX291" s="1206"/>
      <c r="PFY291" s="1206"/>
      <c r="PFZ291" s="1206"/>
      <c r="PGA291" s="1206"/>
      <c r="PGB291" s="1206"/>
      <c r="PGC291" s="1206"/>
      <c r="PGD291" s="1206"/>
      <c r="PGE291" s="1206"/>
      <c r="PGF291" s="1206"/>
      <c r="PGG291" s="1206"/>
      <c r="PGH291" s="1206"/>
      <c r="PGI291" s="1206"/>
      <c r="PGJ291" s="1206"/>
      <c r="PGK291" s="1206"/>
      <c r="PGL291" s="1207"/>
      <c r="PGM291" s="1206"/>
      <c r="PGN291" s="1206"/>
      <c r="PGO291" s="1206"/>
      <c r="PGP291" s="1206"/>
      <c r="PGQ291" s="1206"/>
      <c r="PGR291" s="1206"/>
      <c r="PGS291" s="1206"/>
      <c r="PGT291" s="1206"/>
      <c r="PGU291" s="1206"/>
      <c r="PGV291" s="1206"/>
      <c r="PGW291" s="1206"/>
      <c r="PGX291" s="1206"/>
      <c r="PGY291" s="1206"/>
      <c r="PGZ291" s="1206"/>
      <c r="PHA291" s="1206"/>
      <c r="PHB291" s="1206"/>
      <c r="PHC291" s="1207"/>
      <c r="PHD291" s="1206"/>
      <c r="PHE291" s="1206"/>
      <c r="PHF291" s="1206"/>
      <c r="PHG291" s="1206"/>
      <c r="PHH291" s="1206"/>
      <c r="PHI291" s="1206"/>
      <c r="PHJ291" s="1206"/>
      <c r="PHK291" s="1206"/>
      <c r="PHL291" s="1206"/>
      <c r="PHM291" s="1206"/>
      <c r="PHN291" s="1206"/>
      <c r="PHO291" s="1206"/>
      <c r="PHP291" s="1206"/>
      <c r="PHQ291" s="1206"/>
      <c r="PHR291" s="1206"/>
      <c r="PHS291" s="1206"/>
      <c r="PHT291" s="1207"/>
      <c r="PHU291" s="1206"/>
      <c r="PHV291" s="1206"/>
      <c r="PHW291" s="1206"/>
      <c r="PHX291" s="1206"/>
      <c r="PHY291" s="1206"/>
      <c r="PHZ291" s="1206"/>
      <c r="PIA291" s="1206"/>
      <c r="PIB291" s="1206"/>
      <c r="PIC291" s="1206"/>
      <c r="PID291" s="1206"/>
      <c r="PIE291" s="1206"/>
      <c r="PIF291" s="1206"/>
      <c r="PIG291" s="1206"/>
      <c r="PIH291" s="1206"/>
      <c r="PII291" s="1206"/>
      <c r="PIJ291" s="1206"/>
      <c r="PIK291" s="1207"/>
      <c r="PIL291" s="1206"/>
      <c r="PIM291" s="1206"/>
      <c r="PIN291" s="1206"/>
      <c r="PIO291" s="1206"/>
      <c r="PIP291" s="1206"/>
      <c r="PIQ291" s="1206"/>
      <c r="PIR291" s="1206"/>
      <c r="PIS291" s="1206"/>
      <c r="PIT291" s="1206"/>
      <c r="PIU291" s="1206"/>
      <c r="PIV291" s="1206"/>
      <c r="PIW291" s="1206"/>
      <c r="PIX291" s="1206"/>
      <c r="PIY291" s="1206"/>
      <c r="PIZ291" s="1206"/>
      <c r="PJA291" s="1206"/>
      <c r="PJB291" s="1207"/>
      <c r="PJC291" s="1206"/>
      <c r="PJD291" s="1206"/>
      <c r="PJE291" s="1206"/>
      <c r="PJF291" s="1206"/>
      <c r="PJG291" s="1206"/>
      <c r="PJH291" s="1206"/>
      <c r="PJI291" s="1206"/>
      <c r="PJJ291" s="1206"/>
      <c r="PJK291" s="1206"/>
      <c r="PJL291" s="1206"/>
      <c r="PJM291" s="1206"/>
      <c r="PJN291" s="1206"/>
      <c r="PJO291" s="1206"/>
      <c r="PJP291" s="1206"/>
      <c r="PJQ291" s="1206"/>
      <c r="PJR291" s="1206"/>
      <c r="PJS291" s="1207"/>
      <c r="PJT291" s="1206"/>
      <c r="PJU291" s="1206"/>
      <c r="PJV291" s="1206"/>
      <c r="PJW291" s="1206"/>
      <c r="PJX291" s="1206"/>
      <c r="PJY291" s="1206"/>
      <c r="PJZ291" s="1206"/>
      <c r="PKA291" s="1206"/>
      <c r="PKB291" s="1206"/>
      <c r="PKC291" s="1206"/>
      <c r="PKD291" s="1206"/>
      <c r="PKE291" s="1206"/>
      <c r="PKF291" s="1206"/>
      <c r="PKG291" s="1206"/>
      <c r="PKH291" s="1206"/>
      <c r="PKI291" s="1206"/>
      <c r="PKJ291" s="1207"/>
      <c r="PKK291" s="1206"/>
      <c r="PKL291" s="1206"/>
      <c r="PKM291" s="1206"/>
      <c r="PKN291" s="1206"/>
      <c r="PKO291" s="1206"/>
      <c r="PKP291" s="1206"/>
      <c r="PKQ291" s="1206"/>
      <c r="PKR291" s="1206"/>
      <c r="PKS291" s="1206"/>
      <c r="PKT291" s="1206"/>
      <c r="PKU291" s="1206"/>
      <c r="PKV291" s="1206"/>
      <c r="PKW291" s="1206"/>
      <c r="PKX291" s="1206"/>
      <c r="PKY291" s="1206"/>
      <c r="PKZ291" s="1206"/>
      <c r="PLA291" s="1207"/>
      <c r="PLB291" s="1206"/>
      <c r="PLC291" s="1206"/>
      <c r="PLD291" s="1206"/>
      <c r="PLE291" s="1206"/>
      <c r="PLF291" s="1206"/>
      <c r="PLG291" s="1206"/>
      <c r="PLH291" s="1206"/>
      <c r="PLI291" s="1206"/>
      <c r="PLJ291" s="1206"/>
      <c r="PLK291" s="1206"/>
      <c r="PLL291" s="1206"/>
      <c r="PLM291" s="1206"/>
      <c r="PLN291" s="1206"/>
      <c r="PLO291" s="1206"/>
      <c r="PLP291" s="1206"/>
      <c r="PLQ291" s="1206"/>
      <c r="PLR291" s="1207"/>
      <c r="PLS291" s="1206"/>
      <c r="PLT291" s="1206"/>
      <c r="PLU291" s="1206"/>
      <c r="PLV291" s="1206"/>
      <c r="PLW291" s="1206"/>
      <c r="PLX291" s="1206"/>
      <c r="PLY291" s="1206"/>
      <c r="PLZ291" s="1206"/>
      <c r="PMA291" s="1206"/>
      <c r="PMB291" s="1206"/>
      <c r="PMC291" s="1206"/>
      <c r="PMD291" s="1206"/>
      <c r="PME291" s="1206"/>
      <c r="PMF291" s="1206"/>
      <c r="PMG291" s="1206"/>
      <c r="PMH291" s="1206"/>
      <c r="PMI291" s="1207"/>
      <c r="PMJ291" s="1206"/>
      <c r="PMK291" s="1206"/>
      <c r="PML291" s="1206"/>
      <c r="PMM291" s="1206"/>
      <c r="PMN291" s="1206"/>
      <c r="PMO291" s="1206"/>
      <c r="PMP291" s="1206"/>
      <c r="PMQ291" s="1206"/>
      <c r="PMR291" s="1206"/>
      <c r="PMS291" s="1206"/>
      <c r="PMT291" s="1206"/>
      <c r="PMU291" s="1206"/>
      <c r="PMV291" s="1206"/>
      <c r="PMW291" s="1206"/>
      <c r="PMX291" s="1206"/>
      <c r="PMY291" s="1206"/>
      <c r="PMZ291" s="1207"/>
      <c r="PNA291" s="1206"/>
      <c r="PNB291" s="1206"/>
      <c r="PNC291" s="1206"/>
      <c r="PND291" s="1206"/>
      <c r="PNE291" s="1206"/>
      <c r="PNF291" s="1206"/>
      <c r="PNG291" s="1206"/>
      <c r="PNH291" s="1206"/>
      <c r="PNI291" s="1206"/>
      <c r="PNJ291" s="1206"/>
      <c r="PNK291" s="1206"/>
      <c r="PNL291" s="1206"/>
      <c r="PNM291" s="1206"/>
      <c r="PNN291" s="1206"/>
      <c r="PNO291" s="1206"/>
      <c r="PNP291" s="1206"/>
      <c r="PNQ291" s="1207"/>
      <c r="PNR291" s="1206"/>
      <c r="PNS291" s="1206"/>
      <c r="PNT291" s="1206"/>
      <c r="PNU291" s="1206"/>
      <c r="PNV291" s="1206"/>
      <c r="PNW291" s="1206"/>
      <c r="PNX291" s="1206"/>
      <c r="PNY291" s="1206"/>
      <c r="PNZ291" s="1206"/>
      <c r="POA291" s="1206"/>
      <c r="POB291" s="1206"/>
      <c r="POC291" s="1206"/>
      <c r="POD291" s="1206"/>
      <c r="POE291" s="1206"/>
      <c r="POF291" s="1206"/>
      <c r="POG291" s="1206"/>
      <c r="POH291" s="1207"/>
      <c r="POI291" s="1206"/>
      <c r="POJ291" s="1206"/>
      <c r="POK291" s="1206"/>
      <c r="POL291" s="1206"/>
      <c r="POM291" s="1206"/>
      <c r="PON291" s="1206"/>
      <c r="POO291" s="1206"/>
      <c r="POP291" s="1206"/>
      <c r="POQ291" s="1206"/>
      <c r="POR291" s="1206"/>
      <c r="POS291" s="1206"/>
      <c r="POT291" s="1206"/>
      <c r="POU291" s="1206"/>
      <c r="POV291" s="1206"/>
      <c r="POW291" s="1206"/>
      <c r="POX291" s="1206"/>
      <c r="POY291" s="1207"/>
      <c r="POZ291" s="1206"/>
      <c r="PPA291" s="1206"/>
      <c r="PPB291" s="1206"/>
      <c r="PPC291" s="1206"/>
      <c r="PPD291" s="1206"/>
      <c r="PPE291" s="1206"/>
      <c r="PPF291" s="1206"/>
      <c r="PPG291" s="1206"/>
      <c r="PPH291" s="1206"/>
      <c r="PPI291" s="1206"/>
      <c r="PPJ291" s="1206"/>
      <c r="PPK291" s="1206"/>
      <c r="PPL291" s="1206"/>
      <c r="PPM291" s="1206"/>
      <c r="PPN291" s="1206"/>
      <c r="PPO291" s="1206"/>
      <c r="PPP291" s="1207"/>
      <c r="PPQ291" s="1206"/>
      <c r="PPR291" s="1206"/>
      <c r="PPS291" s="1206"/>
      <c r="PPT291" s="1206"/>
      <c r="PPU291" s="1206"/>
      <c r="PPV291" s="1206"/>
      <c r="PPW291" s="1206"/>
      <c r="PPX291" s="1206"/>
      <c r="PPY291" s="1206"/>
      <c r="PPZ291" s="1206"/>
      <c r="PQA291" s="1206"/>
      <c r="PQB291" s="1206"/>
      <c r="PQC291" s="1206"/>
      <c r="PQD291" s="1206"/>
      <c r="PQE291" s="1206"/>
      <c r="PQF291" s="1206"/>
      <c r="PQG291" s="1207"/>
      <c r="PQH291" s="1206"/>
      <c r="PQI291" s="1206"/>
      <c r="PQJ291" s="1206"/>
      <c r="PQK291" s="1206"/>
      <c r="PQL291" s="1206"/>
      <c r="PQM291" s="1206"/>
      <c r="PQN291" s="1206"/>
      <c r="PQO291" s="1206"/>
      <c r="PQP291" s="1206"/>
      <c r="PQQ291" s="1206"/>
      <c r="PQR291" s="1206"/>
      <c r="PQS291" s="1206"/>
      <c r="PQT291" s="1206"/>
      <c r="PQU291" s="1206"/>
      <c r="PQV291" s="1206"/>
      <c r="PQW291" s="1206"/>
      <c r="PQX291" s="1207"/>
      <c r="PQY291" s="1206"/>
      <c r="PQZ291" s="1206"/>
      <c r="PRA291" s="1206"/>
      <c r="PRB291" s="1206"/>
      <c r="PRC291" s="1206"/>
      <c r="PRD291" s="1206"/>
      <c r="PRE291" s="1206"/>
      <c r="PRF291" s="1206"/>
      <c r="PRG291" s="1206"/>
      <c r="PRH291" s="1206"/>
      <c r="PRI291" s="1206"/>
      <c r="PRJ291" s="1206"/>
      <c r="PRK291" s="1206"/>
      <c r="PRL291" s="1206"/>
      <c r="PRM291" s="1206"/>
      <c r="PRN291" s="1206"/>
      <c r="PRO291" s="1207"/>
      <c r="PRP291" s="1206"/>
      <c r="PRQ291" s="1206"/>
      <c r="PRR291" s="1206"/>
      <c r="PRS291" s="1206"/>
      <c r="PRT291" s="1206"/>
      <c r="PRU291" s="1206"/>
      <c r="PRV291" s="1206"/>
      <c r="PRW291" s="1206"/>
      <c r="PRX291" s="1206"/>
      <c r="PRY291" s="1206"/>
      <c r="PRZ291" s="1206"/>
      <c r="PSA291" s="1206"/>
      <c r="PSB291" s="1206"/>
      <c r="PSC291" s="1206"/>
      <c r="PSD291" s="1206"/>
      <c r="PSE291" s="1206"/>
      <c r="PSF291" s="1207"/>
      <c r="PSG291" s="1206"/>
      <c r="PSH291" s="1206"/>
      <c r="PSI291" s="1206"/>
      <c r="PSJ291" s="1206"/>
      <c r="PSK291" s="1206"/>
      <c r="PSL291" s="1206"/>
      <c r="PSM291" s="1206"/>
      <c r="PSN291" s="1206"/>
      <c r="PSO291" s="1206"/>
      <c r="PSP291" s="1206"/>
      <c r="PSQ291" s="1206"/>
      <c r="PSR291" s="1206"/>
      <c r="PSS291" s="1206"/>
      <c r="PST291" s="1206"/>
      <c r="PSU291" s="1206"/>
      <c r="PSV291" s="1206"/>
      <c r="PSW291" s="1207"/>
      <c r="PSX291" s="1206"/>
      <c r="PSY291" s="1206"/>
      <c r="PSZ291" s="1206"/>
      <c r="PTA291" s="1206"/>
      <c r="PTB291" s="1206"/>
      <c r="PTC291" s="1206"/>
      <c r="PTD291" s="1206"/>
      <c r="PTE291" s="1206"/>
      <c r="PTF291" s="1206"/>
      <c r="PTG291" s="1206"/>
      <c r="PTH291" s="1206"/>
      <c r="PTI291" s="1206"/>
      <c r="PTJ291" s="1206"/>
      <c r="PTK291" s="1206"/>
      <c r="PTL291" s="1206"/>
      <c r="PTM291" s="1206"/>
      <c r="PTN291" s="1207"/>
      <c r="PTO291" s="1206"/>
      <c r="PTP291" s="1206"/>
      <c r="PTQ291" s="1206"/>
      <c r="PTR291" s="1206"/>
      <c r="PTS291" s="1206"/>
      <c r="PTT291" s="1206"/>
      <c r="PTU291" s="1206"/>
      <c r="PTV291" s="1206"/>
      <c r="PTW291" s="1206"/>
      <c r="PTX291" s="1206"/>
      <c r="PTY291" s="1206"/>
      <c r="PTZ291" s="1206"/>
      <c r="PUA291" s="1206"/>
      <c r="PUB291" s="1206"/>
      <c r="PUC291" s="1206"/>
      <c r="PUD291" s="1206"/>
      <c r="PUE291" s="1207"/>
      <c r="PUF291" s="1206"/>
      <c r="PUG291" s="1206"/>
      <c r="PUH291" s="1206"/>
      <c r="PUI291" s="1206"/>
      <c r="PUJ291" s="1206"/>
      <c r="PUK291" s="1206"/>
      <c r="PUL291" s="1206"/>
      <c r="PUM291" s="1206"/>
      <c r="PUN291" s="1206"/>
      <c r="PUO291" s="1206"/>
      <c r="PUP291" s="1206"/>
      <c r="PUQ291" s="1206"/>
      <c r="PUR291" s="1206"/>
      <c r="PUS291" s="1206"/>
      <c r="PUT291" s="1206"/>
      <c r="PUU291" s="1206"/>
      <c r="PUV291" s="1207"/>
      <c r="PUW291" s="1206"/>
      <c r="PUX291" s="1206"/>
      <c r="PUY291" s="1206"/>
      <c r="PUZ291" s="1206"/>
      <c r="PVA291" s="1206"/>
      <c r="PVB291" s="1206"/>
      <c r="PVC291" s="1206"/>
      <c r="PVD291" s="1206"/>
      <c r="PVE291" s="1206"/>
      <c r="PVF291" s="1206"/>
      <c r="PVG291" s="1206"/>
      <c r="PVH291" s="1206"/>
      <c r="PVI291" s="1206"/>
      <c r="PVJ291" s="1206"/>
      <c r="PVK291" s="1206"/>
      <c r="PVL291" s="1206"/>
      <c r="PVM291" s="1207"/>
      <c r="PVN291" s="1206"/>
      <c r="PVO291" s="1206"/>
      <c r="PVP291" s="1206"/>
      <c r="PVQ291" s="1206"/>
      <c r="PVR291" s="1206"/>
      <c r="PVS291" s="1206"/>
      <c r="PVT291" s="1206"/>
      <c r="PVU291" s="1206"/>
      <c r="PVV291" s="1206"/>
      <c r="PVW291" s="1206"/>
      <c r="PVX291" s="1206"/>
      <c r="PVY291" s="1206"/>
      <c r="PVZ291" s="1206"/>
      <c r="PWA291" s="1206"/>
      <c r="PWB291" s="1206"/>
      <c r="PWC291" s="1206"/>
      <c r="PWD291" s="1207"/>
      <c r="PWE291" s="1206"/>
      <c r="PWF291" s="1206"/>
      <c r="PWG291" s="1206"/>
      <c r="PWH291" s="1206"/>
      <c r="PWI291" s="1206"/>
      <c r="PWJ291" s="1206"/>
      <c r="PWK291" s="1206"/>
      <c r="PWL291" s="1206"/>
      <c r="PWM291" s="1206"/>
      <c r="PWN291" s="1206"/>
      <c r="PWO291" s="1206"/>
      <c r="PWP291" s="1206"/>
      <c r="PWQ291" s="1206"/>
      <c r="PWR291" s="1206"/>
      <c r="PWS291" s="1206"/>
      <c r="PWT291" s="1206"/>
      <c r="PWU291" s="1207"/>
      <c r="PWV291" s="1206"/>
      <c r="PWW291" s="1206"/>
      <c r="PWX291" s="1206"/>
      <c r="PWY291" s="1206"/>
      <c r="PWZ291" s="1206"/>
      <c r="PXA291" s="1206"/>
      <c r="PXB291" s="1206"/>
      <c r="PXC291" s="1206"/>
      <c r="PXD291" s="1206"/>
      <c r="PXE291" s="1206"/>
      <c r="PXF291" s="1206"/>
      <c r="PXG291" s="1206"/>
      <c r="PXH291" s="1206"/>
      <c r="PXI291" s="1206"/>
      <c r="PXJ291" s="1206"/>
      <c r="PXK291" s="1206"/>
      <c r="PXL291" s="1207"/>
      <c r="PXM291" s="1206"/>
      <c r="PXN291" s="1206"/>
      <c r="PXO291" s="1206"/>
      <c r="PXP291" s="1206"/>
      <c r="PXQ291" s="1206"/>
      <c r="PXR291" s="1206"/>
      <c r="PXS291" s="1206"/>
      <c r="PXT291" s="1206"/>
      <c r="PXU291" s="1206"/>
      <c r="PXV291" s="1206"/>
      <c r="PXW291" s="1206"/>
      <c r="PXX291" s="1206"/>
      <c r="PXY291" s="1206"/>
      <c r="PXZ291" s="1206"/>
      <c r="PYA291" s="1206"/>
      <c r="PYB291" s="1206"/>
      <c r="PYC291" s="1207"/>
      <c r="PYD291" s="1206"/>
      <c r="PYE291" s="1206"/>
      <c r="PYF291" s="1206"/>
      <c r="PYG291" s="1206"/>
      <c r="PYH291" s="1206"/>
      <c r="PYI291" s="1206"/>
      <c r="PYJ291" s="1206"/>
      <c r="PYK291" s="1206"/>
      <c r="PYL291" s="1206"/>
      <c r="PYM291" s="1206"/>
      <c r="PYN291" s="1206"/>
      <c r="PYO291" s="1206"/>
      <c r="PYP291" s="1206"/>
      <c r="PYQ291" s="1206"/>
      <c r="PYR291" s="1206"/>
      <c r="PYS291" s="1206"/>
      <c r="PYT291" s="1207"/>
      <c r="PYU291" s="1206"/>
      <c r="PYV291" s="1206"/>
      <c r="PYW291" s="1206"/>
      <c r="PYX291" s="1206"/>
      <c r="PYY291" s="1206"/>
      <c r="PYZ291" s="1206"/>
      <c r="PZA291" s="1206"/>
      <c r="PZB291" s="1206"/>
      <c r="PZC291" s="1206"/>
      <c r="PZD291" s="1206"/>
      <c r="PZE291" s="1206"/>
      <c r="PZF291" s="1206"/>
      <c r="PZG291" s="1206"/>
      <c r="PZH291" s="1206"/>
      <c r="PZI291" s="1206"/>
      <c r="PZJ291" s="1206"/>
      <c r="PZK291" s="1207"/>
      <c r="PZL291" s="1206"/>
      <c r="PZM291" s="1206"/>
      <c r="PZN291" s="1206"/>
      <c r="PZO291" s="1206"/>
      <c r="PZP291" s="1206"/>
      <c r="PZQ291" s="1206"/>
      <c r="PZR291" s="1206"/>
      <c r="PZS291" s="1206"/>
      <c r="PZT291" s="1206"/>
      <c r="PZU291" s="1206"/>
      <c r="PZV291" s="1206"/>
      <c r="PZW291" s="1206"/>
      <c r="PZX291" s="1206"/>
      <c r="PZY291" s="1206"/>
      <c r="PZZ291" s="1206"/>
      <c r="QAA291" s="1206"/>
      <c r="QAB291" s="1207"/>
      <c r="QAC291" s="1206"/>
      <c r="QAD291" s="1206"/>
      <c r="QAE291" s="1206"/>
      <c r="QAF291" s="1206"/>
      <c r="QAG291" s="1206"/>
      <c r="QAH291" s="1206"/>
      <c r="QAI291" s="1206"/>
      <c r="QAJ291" s="1206"/>
      <c r="QAK291" s="1206"/>
      <c r="QAL291" s="1206"/>
      <c r="QAM291" s="1206"/>
      <c r="QAN291" s="1206"/>
      <c r="QAO291" s="1206"/>
      <c r="QAP291" s="1206"/>
      <c r="QAQ291" s="1206"/>
      <c r="QAR291" s="1206"/>
      <c r="QAS291" s="1207"/>
      <c r="QAT291" s="1206"/>
      <c r="QAU291" s="1206"/>
      <c r="QAV291" s="1206"/>
      <c r="QAW291" s="1206"/>
      <c r="QAX291" s="1206"/>
      <c r="QAY291" s="1206"/>
      <c r="QAZ291" s="1206"/>
      <c r="QBA291" s="1206"/>
      <c r="QBB291" s="1206"/>
      <c r="QBC291" s="1206"/>
      <c r="QBD291" s="1206"/>
      <c r="QBE291" s="1206"/>
      <c r="QBF291" s="1206"/>
      <c r="QBG291" s="1206"/>
      <c r="QBH291" s="1206"/>
      <c r="QBI291" s="1206"/>
      <c r="QBJ291" s="1207"/>
      <c r="QBK291" s="1206"/>
      <c r="QBL291" s="1206"/>
      <c r="QBM291" s="1206"/>
      <c r="QBN291" s="1206"/>
      <c r="QBO291" s="1206"/>
      <c r="QBP291" s="1206"/>
      <c r="QBQ291" s="1206"/>
      <c r="QBR291" s="1206"/>
      <c r="QBS291" s="1206"/>
      <c r="QBT291" s="1206"/>
      <c r="QBU291" s="1206"/>
      <c r="QBV291" s="1206"/>
      <c r="QBW291" s="1206"/>
      <c r="QBX291" s="1206"/>
      <c r="QBY291" s="1206"/>
      <c r="QBZ291" s="1206"/>
      <c r="QCA291" s="1207"/>
      <c r="QCB291" s="1206"/>
      <c r="QCC291" s="1206"/>
      <c r="QCD291" s="1206"/>
      <c r="QCE291" s="1206"/>
      <c r="QCF291" s="1206"/>
      <c r="QCG291" s="1206"/>
      <c r="QCH291" s="1206"/>
      <c r="QCI291" s="1206"/>
      <c r="QCJ291" s="1206"/>
      <c r="QCK291" s="1206"/>
      <c r="QCL291" s="1206"/>
      <c r="QCM291" s="1206"/>
      <c r="QCN291" s="1206"/>
      <c r="QCO291" s="1206"/>
      <c r="QCP291" s="1206"/>
      <c r="QCQ291" s="1206"/>
      <c r="QCR291" s="1207"/>
      <c r="QCS291" s="1206"/>
      <c r="QCT291" s="1206"/>
      <c r="QCU291" s="1206"/>
      <c r="QCV291" s="1206"/>
      <c r="QCW291" s="1206"/>
      <c r="QCX291" s="1206"/>
      <c r="QCY291" s="1206"/>
      <c r="QCZ291" s="1206"/>
      <c r="QDA291" s="1206"/>
      <c r="QDB291" s="1206"/>
      <c r="QDC291" s="1206"/>
      <c r="QDD291" s="1206"/>
      <c r="QDE291" s="1206"/>
      <c r="QDF291" s="1206"/>
      <c r="QDG291" s="1206"/>
      <c r="QDH291" s="1206"/>
      <c r="QDI291" s="1207"/>
      <c r="QDJ291" s="1206"/>
      <c r="QDK291" s="1206"/>
      <c r="QDL291" s="1206"/>
      <c r="QDM291" s="1206"/>
      <c r="QDN291" s="1206"/>
      <c r="QDO291" s="1206"/>
      <c r="QDP291" s="1206"/>
      <c r="QDQ291" s="1206"/>
      <c r="QDR291" s="1206"/>
      <c r="QDS291" s="1206"/>
      <c r="QDT291" s="1206"/>
      <c r="QDU291" s="1206"/>
      <c r="QDV291" s="1206"/>
      <c r="QDW291" s="1206"/>
      <c r="QDX291" s="1206"/>
      <c r="QDY291" s="1206"/>
      <c r="QDZ291" s="1207"/>
      <c r="QEA291" s="1206"/>
      <c r="QEB291" s="1206"/>
      <c r="QEC291" s="1206"/>
      <c r="QED291" s="1206"/>
      <c r="QEE291" s="1206"/>
      <c r="QEF291" s="1206"/>
      <c r="QEG291" s="1206"/>
      <c r="QEH291" s="1206"/>
      <c r="QEI291" s="1206"/>
      <c r="QEJ291" s="1206"/>
      <c r="QEK291" s="1206"/>
      <c r="QEL291" s="1206"/>
      <c r="QEM291" s="1206"/>
      <c r="QEN291" s="1206"/>
      <c r="QEO291" s="1206"/>
      <c r="QEP291" s="1206"/>
      <c r="QEQ291" s="1207"/>
      <c r="QER291" s="1206"/>
      <c r="QES291" s="1206"/>
      <c r="QET291" s="1206"/>
      <c r="QEU291" s="1206"/>
      <c r="QEV291" s="1206"/>
      <c r="QEW291" s="1206"/>
      <c r="QEX291" s="1206"/>
      <c r="QEY291" s="1206"/>
      <c r="QEZ291" s="1206"/>
      <c r="QFA291" s="1206"/>
      <c r="QFB291" s="1206"/>
      <c r="QFC291" s="1206"/>
      <c r="QFD291" s="1206"/>
      <c r="QFE291" s="1206"/>
      <c r="QFF291" s="1206"/>
      <c r="QFG291" s="1206"/>
      <c r="QFH291" s="1207"/>
      <c r="QFI291" s="1206"/>
      <c r="QFJ291" s="1206"/>
      <c r="QFK291" s="1206"/>
      <c r="QFL291" s="1206"/>
      <c r="QFM291" s="1206"/>
      <c r="QFN291" s="1206"/>
      <c r="QFO291" s="1206"/>
      <c r="QFP291" s="1206"/>
      <c r="QFQ291" s="1206"/>
      <c r="QFR291" s="1206"/>
      <c r="QFS291" s="1206"/>
      <c r="QFT291" s="1206"/>
      <c r="QFU291" s="1206"/>
      <c r="QFV291" s="1206"/>
      <c r="QFW291" s="1206"/>
      <c r="QFX291" s="1206"/>
      <c r="QFY291" s="1207"/>
      <c r="QFZ291" s="1206"/>
      <c r="QGA291" s="1206"/>
      <c r="QGB291" s="1206"/>
      <c r="QGC291" s="1206"/>
      <c r="QGD291" s="1206"/>
      <c r="QGE291" s="1206"/>
      <c r="QGF291" s="1206"/>
      <c r="QGG291" s="1206"/>
      <c r="QGH291" s="1206"/>
      <c r="QGI291" s="1206"/>
      <c r="QGJ291" s="1206"/>
      <c r="QGK291" s="1206"/>
      <c r="QGL291" s="1206"/>
      <c r="QGM291" s="1206"/>
      <c r="QGN291" s="1206"/>
      <c r="QGO291" s="1206"/>
      <c r="QGP291" s="1207"/>
      <c r="QGQ291" s="1206"/>
      <c r="QGR291" s="1206"/>
      <c r="QGS291" s="1206"/>
      <c r="QGT291" s="1206"/>
      <c r="QGU291" s="1206"/>
      <c r="QGV291" s="1206"/>
      <c r="QGW291" s="1206"/>
      <c r="QGX291" s="1206"/>
      <c r="QGY291" s="1206"/>
      <c r="QGZ291" s="1206"/>
      <c r="QHA291" s="1206"/>
      <c r="QHB291" s="1206"/>
      <c r="QHC291" s="1206"/>
      <c r="QHD291" s="1206"/>
      <c r="QHE291" s="1206"/>
      <c r="QHF291" s="1206"/>
      <c r="QHG291" s="1207"/>
      <c r="QHH291" s="1206"/>
      <c r="QHI291" s="1206"/>
      <c r="QHJ291" s="1206"/>
      <c r="QHK291" s="1206"/>
      <c r="QHL291" s="1206"/>
      <c r="QHM291" s="1206"/>
      <c r="QHN291" s="1206"/>
      <c r="QHO291" s="1206"/>
      <c r="QHP291" s="1206"/>
      <c r="QHQ291" s="1206"/>
      <c r="QHR291" s="1206"/>
      <c r="QHS291" s="1206"/>
      <c r="QHT291" s="1206"/>
      <c r="QHU291" s="1206"/>
      <c r="QHV291" s="1206"/>
      <c r="QHW291" s="1206"/>
      <c r="QHX291" s="1207"/>
      <c r="QHY291" s="1206"/>
      <c r="QHZ291" s="1206"/>
      <c r="QIA291" s="1206"/>
      <c r="QIB291" s="1206"/>
      <c r="QIC291" s="1206"/>
      <c r="QID291" s="1206"/>
      <c r="QIE291" s="1206"/>
      <c r="QIF291" s="1206"/>
      <c r="QIG291" s="1206"/>
      <c r="QIH291" s="1206"/>
      <c r="QII291" s="1206"/>
      <c r="QIJ291" s="1206"/>
      <c r="QIK291" s="1206"/>
      <c r="QIL291" s="1206"/>
      <c r="QIM291" s="1206"/>
      <c r="QIN291" s="1206"/>
      <c r="QIO291" s="1207"/>
      <c r="QIP291" s="1206"/>
      <c r="QIQ291" s="1206"/>
      <c r="QIR291" s="1206"/>
      <c r="QIS291" s="1206"/>
      <c r="QIT291" s="1206"/>
      <c r="QIU291" s="1206"/>
      <c r="QIV291" s="1206"/>
      <c r="QIW291" s="1206"/>
      <c r="QIX291" s="1206"/>
      <c r="QIY291" s="1206"/>
      <c r="QIZ291" s="1206"/>
      <c r="QJA291" s="1206"/>
      <c r="QJB291" s="1206"/>
      <c r="QJC291" s="1206"/>
      <c r="QJD291" s="1206"/>
      <c r="QJE291" s="1206"/>
      <c r="QJF291" s="1207"/>
      <c r="QJG291" s="1206"/>
      <c r="QJH291" s="1206"/>
      <c r="QJI291" s="1206"/>
      <c r="QJJ291" s="1206"/>
      <c r="QJK291" s="1206"/>
      <c r="QJL291" s="1206"/>
      <c r="QJM291" s="1206"/>
      <c r="QJN291" s="1206"/>
      <c r="QJO291" s="1206"/>
      <c r="QJP291" s="1206"/>
      <c r="QJQ291" s="1206"/>
      <c r="QJR291" s="1206"/>
      <c r="QJS291" s="1206"/>
      <c r="QJT291" s="1206"/>
      <c r="QJU291" s="1206"/>
      <c r="QJV291" s="1206"/>
      <c r="QJW291" s="1207"/>
      <c r="QJX291" s="1206"/>
      <c r="QJY291" s="1206"/>
      <c r="QJZ291" s="1206"/>
      <c r="QKA291" s="1206"/>
      <c r="QKB291" s="1206"/>
      <c r="QKC291" s="1206"/>
      <c r="QKD291" s="1206"/>
      <c r="QKE291" s="1206"/>
      <c r="QKF291" s="1206"/>
      <c r="QKG291" s="1206"/>
      <c r="QKH291" s="1206"/>
      <c r="QKI291" s="1206"/>
      <c r="QKJ291" s="1206"/>
      <c r="QKK291" s="1206"/>
      <c r="QKL291" s="1206"/>
      <c r="QKM291" s="1206"/>
      <c r="QKN291" s="1207"/>
      <c r="QKO291" s="1206"/>
      <c r="QKP291" s="1206"/>
      <c r="QKQ291" s="1206"/>
      <c r="QKR291" s="1206"/>
      <c r="QKS291" s="1206"/>
      <c r="QKT291" s="1206"/>
      <c r="QKU291" s="1206"/>
      <c r="QKV291" s="1206"/>
      <c r="QKW291" s="1206"/>
      <c r="QKX291" s="1206"/>
      <c r="QKY291" s="1206"/>
      <c r="QKZ291" s="1206"/>
      <c r="QLA291" s="1206"/>
      <c r="QLB291" s="1206"/>
      <c r="QLC291" s="1206"/>
      <c r="QLD291" s="1206"/>
      <c r="QLE291" s="1207"/>
      <c r="QLF291" s="1206"/>
      <c r="QLG291" s="1206"/>
      <c r="QLH291" s="1206"/>
      <c r="QLI291" s="1206"/>
      <c r="QLJ291" s="1206"/>
      <c r="QLK291" s="1206"/>
      <c r="QLL291" s="1206"/>
      <c r="QLM291" s="1206"/>
      <c r="QLN291" s="1206"/>
      <c r="QLO291" s="1206"/>
      <c r="QLP291" s="1206"/>
      <c r="QLQ291" s="1206"/>
      <c r="QLR291" s="1206"/>
      <c r="QLS291" s="1206"/>
      <c r="QLT291" s="1206"/>
      <c r="QLU291" s="1206"/>
      <c r="QLV291" s="1207"/>
      <c r="QLW291" s="1206"/>
      <c r="QLX291" s="1206"/>
      <c r="QLY291" s="1206"/>
      <c r="QLZ291" s="1206"/>
      <c r="QMA291" s="1206"/>
      <c r="QMB291" s="1206"/>
      <c r="QMC291" s="1206"/>
      <c r="QMD291" s="1206"/>
      <c r="QME291" s="1206"/>
      <c r="QMF291" s="1206"/>
      <c r="QMG291" s="1206"/>
      <c r="QMH291" s="1206"/>
      <c r="QMI291" s="1206"/>
      <c r="QMJ291" s="1206"/>
      <c r="QMK291" s="1206"/>
      <c r="QML291" s="1206"/>
      <c r="QMM291" s="1207"/>
      <c r="QMN291" s="1206"/>
      <c r="QMO291" s="1206"/>
      <c r="QMP291" s="1206"/>
      <c r="QMQ291" s="1206"/>
      <c r="QMR291" s="1206"/>
      <c r="QMS291" s="1206"/>
      <c r="QMT291" s="1206"/>
      <c r="QMU291" s="1206"/>
      <c r="QMV291" s="1206"/>
      <c r="QMW291" s="1206"/>
      <c r="QMX291" s="1206"/>
      <c r="QMY291" s="1206"/>
      <c r="QMZ291" s="1206"/>
      <c r="QNA291" s="1206"/>
      <c r="QNB291" s="1206"/>
      <c r="QNC291" s="1206"/>
      <c r="QND291" s="1207"/>
      <c r="QNE291" s="1206"/>
      <c r="QNF291" s="1206"/>
      <c r="QNG291" s="1206"/>
      <c r="QNH291" s="1206"/>
      <c r="QNI291" s="1206"/>
      <c r="QNJ291" s="1206"/>
      <c r="QNK291" s="1206"/>
      <c r="QNL291" s="1206"/>
      <c r="QNM291" s="1206"/>
      <c r="QNN291" s="1206"/>
      <c r="QNO291" s="1206"/>
      <c r="QNP291" s="1206"/>
      <c r="QNQ291" s="1206"/>
      <c r="QNR291" s="1206"/>
      <c r="QNS291" s="1206"/>
      <c r="QNT291" s="1206"/>
      <c r="QNU291" s="1207"/>
      <c r="QNV291" s="1206"/>
      <c r="QNW291" s="1206"/>
      <c r="QNX291" s="1206"/>
      <c r="QNY291" s="1206"/>
      <c r="QNZ291" s="1206"/>
      <c r="QOA291" s="1206"/>
      <c r="QOB291" s="1206"/>
      <c r="QOC291" s="1206"/>
      <c r="QOD291" s="1206"/>
      <c r="QOE291" s="1206"/>
      <c r="QOF291" s="1206"/>
      <c r="QOG291" s="1206"/>
      <c r="QOH291" s="1206"/>
      <c r="QOI291" s="1206"/>
      <c r="QOJ291" s="1206"/>
      <c r="QOK291" s="1206"/>
      <c r="QOL291" s="1207"/>
      <c r="QOM291" s="1206"/>
      <c r="QON291" s="1206"/>
      <c r="QOO291" s="1206"/>
      <c r="QOP291" s="1206"/>
      <c r="QOQ291" s="1206"/>
      <c r="QOR291" s="1206"/>
      <c r="QOS291" s="1206"/>
      <c r="QOT291" s="1206"/>
      <c r="QOU291" s="1206"/>
      <c r="QOV291" s="1206"/>
      <c r="QOW291" s="1206"/>
      <c r="QOX291" s="1206"/>
      <c r="QOY291" s="1206"/>
      <c r="QOZ291" s="1206"/>
      <c r="QPA291" s="1206"/>
      <c r="QPB291" s="1206"/>
      <c r="QPC291" s="1207"/>
      <c r="QPD291" s="1206"/>
      <c r="QPE291" s="1206"/>
      <c r="QPF291" s="1206"/>
      <c r="QPG291" s="1206"/>
      <c r="QPH291" s="1206"/>
      <c r="QPI291" s="1206"/>
      <c r="QPJ291" s="1206"/>
      <c r="QPK291" s="1206"/>
      <c r="QPL291" s="1206"/>
      <c r="QPM291" s="1206"/>
      <c r="QPN291" s="1206"/>
      <c r="QPO291" s="1206"/>
      <c r="QPP291" s="1206"/>
      <c r="QPQ291" s="1206"/>
      <c r="QPR291" s="1206"/>
      <c r="QPS291" s="1206"/>
      <c r="QPT291" s="1207"/>
      <c r="QPU291" s="1206"/>
      <c r="QPV291" s="1206"/>
      <c r="QPW291" s="1206"/>
      <c r="QPX291" s="1206"/>
      <c r="QPY291" s="1206"/>
      <c r="QPZ291" s="1206"/>
      <c r="QQA291" s="1206"/>
      <c r="QQB291" s="1206"/>
      <c r="QQC291" s="1206"/>
      <c r="QQD291" s="1206"/>
      <c r="QQE291" s="1206"/>
      <c r="QQF291" s="1206"/>
      <c r="QQG291" s="1206"/>
      <c r="QQH291" s="1206"/>
      <c r="QQI291" s="1206"/>
      <c r="QQJ291" s="1206"/>
      <c r="QQK291" s="1207"/>
      <c r="QQL291" s="1206"/>
      <c r="QQM291" s="1206"/>
      <c r="QQN291" s="1206"/>
      <c r="QQO291" s="1206"/>
      <c r="QQP291" s="1206"/>
      <c r="QQQ291" s="1206"/>
      <c r="QQR291" s="1206"/>
      <c r="QQS291" s="1206"/>
      <c r="QQT291" s="1206"/>
      <c r="QQU291" s="1206"/>
      <c r="QQV291" s="1206"/>
      <c r="QQW291" s="1206"/>
      <c r="QQX291" s="1206"/>
      <c r="QQY291" s="1206"/>
      <c r="QQZ291" s="1206"/>
      <c r="QRA291" s="1206"/>
      <c r="QRB291" s="1207"/>
      <c r="QRC291" s="1206"/>
      <c r="QRD291" s="1206"/>
      <c r="QRE291" s="1206"/>
      <c r="QRF291" s="1206"/>
      <c r="QRG291" s="1206"/>
      <c r="QRH291" s="1206"/>
      <c r="QRI291" s="1206"/>
      <c r="QRJ291" s="1206"/>
      <c r="QRK291" s="1206"/>
      <c r="QRL291" s="1206"/>
      <c r="QRM291" s="1206"/>
      <c r="QRN291" s="1206"/>
      <c r="QRO291" s="1206"/>
      <c r="QRP291" s="1206"/>
      <c r="QRQ291" s="1206"/>
      <c r="QRR291" s="1206"/>
      <c r="QRS291" s="1207"/>
      <c r="QRT291" s="1206"/>
      <c r="QRU291" s="1206"/>
      <c r="QRV291" s="1206"/>
      <c r="QRW291" s="1206"/>
      <c r="QRX291" s="1206"/>
      <c r="QRY291" s="1206"/>
      <c r="QRZ291" s="1206"/>
      <c r="QSA291" s="1206"/>
      <c r="QSB291" s="1206"/>
      <c r="QSC291" s="1206"/>
      <c r="QSD291" s="1206"/>
      <c r="QSE291" s="1206"/>
      <c r="QSF291" s="1206"/>
      <c r="QSG291" s="1206"/>
      <c r="QSH291" s="1206"/>
      <c r="QSI291" s="1206"/>
      <c r="QSJ291" s="1207"/>
      <c r="QSK291" s="1206"/>
      <c r="QSL291" s="1206"/>
      <c r="QSM291" s="1206"/>
      <c r="QSN291" s="1206"/>
      <c r="QSO291" s="1206"/>
      <c r="QSP291" s="1206"/>
      <c r="QSQ291" s="1206"/>
      <c r="QSR291" s="1206"/>
      <c r="QSS291" s="1206"/>
      <c r="QST291" s="1206"/>
      <c r="QSU291" s="1206"/>
      <c r="QSV291" s="1206"/>
      <c r="QSW291" s="1206"/>
      <c r="QSX291" s="1206"/>
      <c r="QSY291" s="1206"/>
      <c r="QSZ291" s="1206"/>
      <c r="QTA291" s="1207"/>
      <c r="QTB291" s="1206"/>
      <c r="QTC291" s="1206"/>
      <c r="QTD291" s="1206"/>
      <c r="QTE291" s="1206"/>
      <c r="QTF291" s="1206"/>
      <c r="QTG291" s="1206"/>
      <c r="QTH291" s="1206"/>
      <c r="QTI291" s="1206"/>
      <c r="QTJ291" s="1206"/>
      <c r="QTK291" s="1206"/>
      <c r="QTL291" s="1206"/>
      <c r="QTM291" s="1206"/>
      <c r="QTN291" s="1206"/>
      <c r="QTO291" s="1206"/>
      <c r="QTP291" s="1206"/>
      <c r="QTQ291" s="1206"/>
      <c r="QTR291" s="1207"/>
      <c r="QTS291" s="1206"/>
      <c r="QTT291" s="1206"/>
      <c r="QTU291" s="1206"/>
      <c r="QTV291" s="1206"/>
      <c r="QTW291" s="1206"/>
      <c r="QTX291" s="1206"/>
      <c r="QTY291" s="1206"/>
      <c r="QTZ291" s="1206"/>
      <c r="QUA291" s="1206"/>
      <c r="QUB291" s="1206"/>
      <c r="QUC291" s="1206"/>
      <c r="QUD291" s="1206"/>
      <c r="QUE291" s="1206"/>
      <c r="QUF291" s="1206"/>
      <c r="QUG291" s="1206"/>
      <c r="QUH291" s="1206"/>
      <c r="QUI291" s="1207"/>
      <c r="QUJ291" s="1206"/>
      <c r="QUK291" s="1206"/>
      <c r="QUL291" s="1206"/>
      <c r="QUM291" s="1206"/>
      <c r="QUN291" s="1206"/>
      <c r="QUO291" s="1206"/>
      <c r="QUP291" s="1206"/>
      <c r="QUQ291" s="1206"/>
      <c r="QUR291" s="1206"/>
      <c r="QUS291" s="1206"/>
      <c r="QUT291" s="1206"/>
      <c r="QUU291" s="1206"/>
      <c r="QUV291" s="1206"/>
      <c r="QUW291" s="1206"/>
      <c r="QUX291" s="1206"/>
      <c r="QUY291" s="1206"/>
      <c r="QUZ291" s="1207"/>
      <c r="QVA291" s="1206"/>
      <c r="QVB291" s="1206"/>
      <c r="QVC291" s="1206"/>
      <c r="QVD291" s="1206"/>
      <c r="QVE291" s="1206"/>
      <c r="QVF291" s="1206"/>
      <c r="QVG291" s="1206"/>
      <c r="QVH291" s="1206"/>
      <c r="QVI291" s="1206"/>
      <c r="QVJ291" s="1206"/>
      <c r="QVK291" s="1206"/>
      <c r="QVL291" s="1206"/>
      <c r="QVM291" s="1206"/>
      <c r="QVN291" s="1206"/>
      <c r="QVO291" s="1206"/>
      <c r="QVP291" s="1206"/>
      <c r="QVQ291" s="1207"/>
      <c r="QVR291" s="1206"/>
      <c r="QVS291" s="1206"/>
      <c r="QVT291" s="1206"/>
      <c r="QVU291" s="1206"/>
      <c r="QVV291" s="1206"/>
      <c r="QVW291" s="1206"/>
      <c r="QVX291" s="1206"/>
      <c r="QVY291" s="1206"/>
      <c r="QVZ291" s="1206"/>
      <c r="QWA291" s="1206"/>
      <c r="QWB291" s="1206"/>
      <c r="QWC291" s="1206"/>
      <c r="QWD291" s="1206"/>
      <c r="QWE291" s="1206"/>
      <c r="QWF291" s="1206"/>
      <c r="QWG291" s="1206"/>
      <c r="QWH291" s="1207"/>
      <c r="QWI291" s="1206"/>
      <c r="QWJ291" s="1206"/>
      <c r="QWK291" s="1206"/>
      <c r="QWL291" s="1206"/>
      <c r="QWM291" s="1206"/>
      <c r="QWN291" s="1206"/>
      <c r="QWO291" s="1206"/>
      <c r="QWP291" s="1206"/>
      <c r="QWQ291" s="1206"/>
      <c r="QWR291" s="1206"/>
      <c r="QWS291" s="1206"/>
      <c r="QWT291" s="1206"/>
      <c r="QWU291" s="1206"/>
      <c r="QWV291" s="1206"/>
      <c r="QWW291" s="1206"/>
      <c r="QWX291" s="1206"/>
      <c r="QWY291" s="1207"/>
      <c r="QWZ291" s="1206"/>
      <c r="QXA291" s="1206"/>
      <c r="QXB291" s="1206"/>
      <c r="QXC291" s="1206"/>
      <c r="QXD291" s="1206"/>
      <c r="QXE291" s="1206"/>
      <c r="QXF291" s="1206"/>
      <c r="QXG291" s="1206"/>
      <c r="QXH291" s="1206"/>
      <c r="QXI291" s="1206"/>
      <c r="QXJ291" s="1206"/>
      <c r="QXK291" s="1206"/>
      <c r="QXL291" s="1206"/>
      <c r="QXM291" s="1206"/>
      <c r="QXN291" s="1206"/>
      <c r="QXO291" s="1206"/>
      <c r="QXP291" s="1207"/>
      <c r="QXQ291" s="1206"/>
      <c r="QXR291" s="1206"/>
      <c r="QXS291" s="1206"/>
      <c r="QXT291" s="1206"/>
      <c r="QXU291" s="1206"/>
      <c r="QXV291" s="1206"/>
      <c r="QXW291" s="1206"/>
      <c r="QXX291" s="1206"/>
      <c r="QXY291" s="1206"/>
      <c r="QXZ291" s="1206"/>
      <c r="QYA291" s="1206"/>
      <c r="QYB291" s="1206"/>
      <c r="QYC291" s="1206"/>
      <c r="QYD291" s="1206"/>
      <c r="QYE291" s="1206"/>
      <c r="QYF291" s="1206"/>
      <c r="QYG291" s="1207"/>
      <c r="QYH291" s="1206"/>
      <c r="QYI291" s="1206"/>
      <c r="QYJ291" s="1206"/>
      <c r="QYK291" s="1206"/>
      <c r="QYL291" s="1206"/>
      <c r="QYM291" s="1206"/>
      <c r="QYN291" s="1206"/>
      <c r="QYO291" s="1206"/>
      <c r="QYP291" s="1206"/>
      <c r="QYQ291" s="1206"/>
      <c r="QYR291" s="1206"/>
      <c r="QYS291" s="1206"/>
      <c r="QYT291" s="1206"/>
      <c r="QYU291" s="1206"/>
      <c r="QYV291" s="1206"/>
      <c r="QYW291" s="1206"/>
      <c r="QYX291" s="1207"/>
      <c r="QYY291" s="1206"/>
      <c r="QYZ291" s="1206"/>
      <c r="QZA291" s="1206"/>
      <c r="QZB291" s="1206"/>
      <c r="QZC291" s="1206"/>
      <c r="QZD291" s="1206"/>
      <c r="QZE291" s="1206"/>
      <c r="QZF291" s="1206"/>
      <c r="QZG291" s="1206"/>
      <c r="QZH291" s="1206"/>
      <c r="QZI291" s="1206"/>
      <c r="QZJ291" s="1206"/>
      <c r="QZK291" s="1206"/>
      <c r="QZL291" s="1206"/>
      <c r="QZM291" s="1206"/>
      <c r="QZN291" s="1206"/>
      <c r="QZO291" s="1207"/>
      <c r="QZP291" s="1206"/>
      <c r="QZQ291" s="1206"/>
      <c r="QZR291" s="1206"/>
      <c r="QZS291" s="1206"/>
      <c r="QZT291" s="1206"/>
      <c r="QZU291" s="1206"/>
      <c r="QZV291" s="1206"/>
      <c r="QZW291" s="1206"/>
      <c r="QZX291" s="1206"/>
      <c r="QZY291" s="1206"/>
      <c r="QZZ291" s="1206"/>
      <c r="RAA291" s="1206"/>
      <c r="RAB291" s="1206"/>
      <c r="RAC291" s="1206"/>
      <c r="RAD291" s="1206"/>
      <c r="RAE291" s="1206"/>
      <c r="RAF291" s="1207"/>
      <c r="RAG291" s="1206"/>
      <c r="RAH291" s="1206"/>
      <c r="RAI291" s="1206"/>
      <c r="RAJ291" s="1206"/>
      <c r="RAK291" s="1206"/>
      <c r="RAL291" s="1206"/>
      <c r="RAM291" s="1206"/>
      <c r="RAN291" s="1206"/>
      <c r="RAO291" s="1206"/>
      <c r="RAP291" s="1206"/>
      <c r="RAQ291" s="1206"/>
      <c r="RAR291" s="1206"/>
      <c r="RAS291" s="1206"/>
      <c r="RAT291" s="1206"/>
      <c r="RAU291" s="1206"/>
      <c r="RAV291" s="1206"/>
      <c r="RAW291" s="1207"/>
      <c r="RAX291" s="1206"/>
      <c r="RAY291" s="1206"/>
      <c r="RAZ291" s="1206"/>
      <c r="RBA291" s="1206"/>
      <c r="RBB291" s="1206"/>
      <c r="RBC291" s="1206"/>
      <c r="RBD291" s="1206"/>
      <c r="RBE291" s="1206"/>
      <c r="RBF291" s="1206"/>
      <c r="RBG291" s="1206"/>
      <c r="RBH291" s="1206"/>
      <c r="RBI291" s="1206"/>
      <c r="RBJ291" s="1206"/>
      <c r="RBK291" s="1206"/>
      <c r="RBL291" s="1206"/>
      <c r="RBM291" s="1206"/>
      <c r="RBN291" s="1207"/>
      <c r="RBO291" s="1206"/>
      <c r="RBP291" s="1206"/>
      <c r="RBQ291" s="1206"/>
      <c r="RBR291" s="1206"/>
      <c r="RBS291" s="1206"/>
      <c r="RBT291" s="1206"/>
      <c r="RBU291" s="1206"/>
      <c r="RBV291" s="1206"/>
      <c r="RBW291" s="1206"/>
      <c r="RBX291" s="1206"/>
      <c r="RBY291" s="1206"/>
      <c r="RBZ291" s="1206"/>
      <c r="RCA291" s="1206"/>
      <c r="RCB291" s="1206"/>
      <c r="RCC291" s="1206"/>
      <c r="RCD291" s="1206"/>
      <c r="RCE291" s="1207"/>
      <c r="RCF291" s="1206"/>
      <c r="RCG291" s="1206"/>
      <c r="RCH291" s="1206"/>
      <c r="RCI291" s="1206"/>
      <c r="RCJ291" s="1206"/>
      <c r="RCK291" s="1206"/>
      <c r="RCL291" s="1206"/>
      <c r="RCM291" s="1206"/>
      <c r="RCN291" s="1206"/>
      <c r="RCO291" s="1206"/>
      <c r="RCP291" s="1206"/>
      <c r="RCQ291" s="1206"/>
      <c r="RCR291" s="1206"/>
      <c r="RCS291" s="1206"/>
      <c r="RCT291" s="1206"/>
      <c r="RCU291" s="1206"/>
      <c r="RCV291" s="1207"/>
      <c r="RCW291" s="1206"/>
      <c r="RCX291" s="1206"/>
      <c r="RCY291" s="1206"/>
      <c r="RCZ291" s="1206"/>
      <c r="RDA291" s="1206"/>
      <c r="RDB291" s="1206"/>
      <c r="RDC291" s="1206"/>
      <c r="RDD291" s="1206"/>
      <c r="RDE291" s="1206"/>
      <c r="RDF291" s="1206"/>
      <c r="RDG291" s="1206"/>
      <c r="RDH291" s="1206"/>
      <c r="RDI291" s="1206"/>
      <c r="RDJ291" s="1206"/>
      <c r="RDK291" s="1206"/>
      <c r="RDL291" s="1206"/>
      <c r="RDM291" s="1207"/>
      <c r="RDN291" s="1206"/>
      <c r="RDO291" s="1206"/>
      <c r="RDP291" s="1206"/>
      <c r="RDQ291" s="1206"/>
      <c r="RDR291" s="1206"/>
      <c r="RDS291" s="1206"/>
      <c r="RDT291" s="1206"/>
      <c r="RDU291" s="1206"/>
      <c r="RDV291" s="1206"/>
      <c r="RDW291" s="1206"/>
      <c r="RDX291" s="1206"/>
      <c r="RDY291" s="1206"/>
      <c r="RDZ291" s="1206"/>
      <c r="REA291" s="1206"/>
      <c r="REB291" s="1206"/>
      <c r="REC291" s="1206"/>
      <c r="RED291" s="1207"/>
    </row>
    <row r="292" spans="1:12302" x14ac:dyDescent="0.25">
      <c r="A292" s="1287" t="s">
        <v>361</v>
      </c>
      <c r="B292" s="1044" t="s">
        <v>353</v>
      </c>
      <c r="C292" s="1045"/>
      <c r="D292" s="1046"/>
      <c r="E292" s="1142" t="s">
        <v>1349</v>
      </c>
      <c r="F292" s="1213">
        <f>F294+F296+F297</f>
        <v>209748.6</v>
      </c>
      <c r="G292" s="1021">
        <f>G294+G296+G297</f>
        <v>184491.2</v>
      </c>
      <c r="H292" s="1021">
        <f>H294+H296+H297</f>
        <v>354719.8</v>
      </c>
      <c r="I292" s="1021">
        <f>I294+I296+I297</f>
        <v>314610.2</v>
      </c>
      <c r="J292" s="1021">
        <f>J294+J296+J297</f>
        <v>322303.69999999995</v>
      </c>
      <c r="K292" s="1093" t="s">
        <v>1350</v>
      </c>
      <c r="L292" s="1058" t="s">
        <v>14</v>
      </c>
      <c r="M292" s="1058">
        <v>2</v>
      </c>
      <c r="N292" s="1059">
        <v>2</v>
      </c>
      <c r="O292" s="1059">
        <v>0</v>
      </c>
      <c r="P292" s="1059">
        <v>0</v>
      </c>
      <c r="Q292" s="1060">
        <v>0</v>
      </c>
    </row>
    <row r="293" spans="1:12302" ht="47.25" customHeight="1" x14ac:dyDescent="0.25">
      <c r="A293" s="1288"/>
      <c r="B293" s="1044"/>
      <c r="C293" s="1045"/>
      <c r="D293" s="1046"/>
      <c r="E293" s="1142"/>
      <c r="F293" s="1213"/>
      <c r="G293" s="1021"/>
      <c r="H293" s="1021"/>
      <c r="I293" s="1021"/>
      <c r="J293" s="1021"/>
      <c r="K293" s="1093"/>
      <c r="L293" s="1058"/>
      <c r="M293" s="1058"/>
      <c r="N293" s="1059"/>
      <c r="O293" s="1059"/>
      <c r="P293" s="1059"/>
      <c r="Q293" s="1060"/>
    </row>
    <row r="294" spans="1:12302" x14ac:dyDescent="0.25">
      <c r="A294" s="1288"/>
      <c r="B294" s="1045"/>
      <c r="C294" s="1045" t="s">
        <v>43</v>
      </c>
      <c r="D294" s="1045"/>
      <c r="E294" s="1025" t="s">
        <v>354</v>
      </c>
      <c r="F294" s="1294">
        <v>107652.6</v>
      </c>
      <c r="G294" s="1050">
        <v>61498.2</v>
      </c>
      <c r="H294" s="1050">
        <f>131149.1+28710.8</f>
        <v>159859.9</v>
      </c>
      <c r="I294" s="1050">
        <f>128594.3+28710.8</f>
        <v>157305.1</v>
      </c>
      <c r="J294" s="1050">
        <f>132441.05+28710.8</f>
        <v>161151.84999999998</v>
      </c>
      <c r="K294" s="109" t="s">
        <v>1280</v>
      </c>
      <c r="L294" s="677" t="s">
        <v>14</v>
      </c>
      <c r="M294" s="677">
        <v>5</v>
      </c>
      <c r="N294" s="677">
        <v>3</v>
      </c>
      <c r="O294" s="677">
        <v>0</v>
      </c>
      <c r="P294" s="677">
        <v>0</v>
      </c>
      <c r="Q294" s="680">
        <v>0</v>
      </c>
    </row>
    <row r="295" spans="1:12302" ht="33" customHeight="1" x14ac:dyDescent="0.25">
      <c r="A295" s="1288"/>
      <c r="B295" s="1045"/>
      <c r="C295" s="1045"/>
      <c r="D295" s="1045"/>
      <c r="E295" s="1025"/>
      <c r="F295" s="1294"/>
      <c r="G295" s="1050"/>
      <c r="H295" s="1050"/>
      <c r="I295" s="1050"/>
      <c r="J295" s="1050"/>
      <c r="K295" s="648" t="s">
        <v>1281</v>
      </c>
      <c r="L295" s="677" t="s">
        <v>14</v>
      </c>
      <c r="M295" s="677">
        <v>1</v>
      </c>
      <c r="N295" s="677">
        <v>1</v>
      </c>
      <c r="O295" s="677">
        <v>0</v>
      </c>
      <c r="P295" s="677">
        <v>0</v>
      </c>
      <c r="Q295" s="680">
        <v>0</v>
      </c>
    </row>
    <row r="296" spans="1:12302" ht="42" customHeight="1" x14ac:dyDescent="0.25">
      <c r="A296" s="1288"/>
      <c r="B296" s="620"/>
      <c r="C296" s="620" t="s">
        <v>48</v>
      </c>
      <c r="D296" s="639"/>
      <c r="E296" s="673" t="s">
        <v>355</v>
      </c>
      <c r="F296" s="618">
        <v>59036</v>
      </c>
      <c r="G296" s="618">
        <v>61497</v>
      </c>
      <c r="H296" s="184">
        <f>166149.1+28710.8</f>
        <v>194859.9</v>
      </c>
      <c r="I296" s="184">
        <f>128594.3+28710.8</f>
        <v>157305.1</v>
      </c>
      <c r="J296" s="184">
        <f>132441.05+28710.8</f>
        <v>161151.84999999998</v>
      </c>
      <c r="K296" s="673" t="s">
        <v>1282</v>
      </c>
      <c r="L296" s="677" t="s">
        <v>123</v>
      </c>
      <c r="M296" s="677">
        <v>17475</v>
      </c>
      <c r="N296" s="677">
        <v>12916</v>
      </c>
      <c r="O296" s="677">
        <v>12000</v>
      </c>
      <c r="P296" s="677">
        <v>12000</v>
      </c>
      <c r="Q296" s="680">
        <v>12000</v>
      </c>
    </row>
    <row r="297" spans="1:12302" ht="75" x14ac:dyDescent="0.25">
      <c r="A297" s="1289"/>
      <c r="B297" s="620"/>
      <c r="C297" s="620" t="s">
        <v>37</v>
      </c>
      <c r="D297" s="639"/>
      <c r="E297" s="673" t="s">
        <v>432</v>
      </c>
      <c r="F297" s="112">
        <v>43060</v>
      </c>
      <c r="G297" s="112">
        <v>61496</v>
      </c>
      <c r="H297" s="110"/>
      <c r="I297" s="110"/>
      <c r="J297" s="110"/>
      <c r="K297" s="673" t="s">
        <v>1351</v>
      </c>
      <c r="L297" s="677" t="s">
        <v>14</v>
      </c>
      <c r="M297" s="677">
        <v>17908</v>
      </c>
      <c r="N297" s="677">
        <v>13454</v>
      </c>
      <c r="O297" s="677">
        <v>0</v>
      </c>
      <c r="P297" s="677">
        <v>0</v>
      </c>
      <c r="Q297" s="680">
        <v>0</v>
      </c>
    </row>
    <row r="298" spans="1:12302" s="23" customFormat="1" x14ac:dyDescent="0.25">
      <c r="A298" s="1004" t="s">
        <v>219</v>
      </c>
      <c r="B298" s="1005"/>
      <c r="C298" s="1005"/>
      <c r="D298" s="1005"/>
      <c r="E298" s="1005"/>
      <c r="F298" s="28">
        <f>F292</f>
        <v>209748.6</v>
      </c>
      <c r="G298" s="28">
        <f>G292</f>
        <v>184491.2</v>
      </c>
      <c r="H298" s="28">
        <f>H292</f>
        <v>354719.8</v>
      </c>
      <c r="I298" s="28">
        <f>I292</f>
        <v>314610.2</v>
      </c>
      <c r="J298" s="28">
        <f>J292</f>
        <v>322303.69999999995</v>
      </c>
      <c r="K298" s="43"/>
      <c r="L298" s="161"/>
      <c r="M298" s="161"/>
      <c r="N298" s="161"/>
      <c r="O298" s="161"/>
      <c r="P298" s="161"/>
      <c r="Q298" s="493"/>
    </row>
    <row r="299" spans="1:12302" s="23" customFormat="1" x14ac:dyDescent="0.25">
      <c r="A299" s="1004" t="s">
        <v>23</v>
      </c>
      <c r="B299" s="1005"/>
      <c r="C299" s="1005"/>
      <c r="D299" s="1005"/>
      <c r="E299" s="1005"/>
      <c r="F299" s="28">
        <f>F298+F290+F250+F243</f>
        <v>1829151.9</v>
      </c>
      <c r="G299" s="28">
        <f>G298+G290+G250+G243</f>
        <v>1905523.101</v>
      </c>
      <c r="H299" s="28">
        <f>H298+H290+H250+H243</f>
        <v>2350191.4</v>
      </c>
      <c r="I299" s="28">
        <f>I298+I290+I250+I243</f>
        <v>2278574.4</v>
      </c>
      <c r="J299" s="28">
        <f>J298+J290+J250+J243</f>
        <v>2342622.0999999996</v>
      </c>
      <c r="K299" s="43"/>
      <c r="L299" s="161"/>
      <c r="M299" s="161"/>
      <c r="N299" s="161"/>
      <c r="O299" s="161"/>
      <c r="P299" s="161"/>
      <c r="Q299" s="493"/>
    </row>
    <row r="300" spans="1:12302" s="23" customFormat="1" ht="30" customHeight="1" x14ac:dyDescent="0.25">
      <c r="A300" s="1211" t="s">
        <v>701</v>
      </c>
      <c r="B300" s="1212" t="s">
        <v>22</v>
      </c>
      <c r="C300" s="1212"/>
      <c r="D300" s="1212"/>
      <c r="E300" s="1212"/>
      <c r="F300" s="1212"/>
      <c r="G300" s="1212"/>
      <c r="H300" s="1212"/>
      <c r="I300" s="1212"/>
      <c r="J300" s="1212"/>
      <c r="K300" s="1212"/>
      <c r="L300" s="1212"/>
      <c r="M300" s="1212"/>
      <c r="N300" s="1212"/>
      <c r="O300" s="1212"/>
      <c r="P300" s="412"/>
      <c r="Q300" s="477"/>
    </row>
    <row r="301" spans="1:12302" s="78" customFormat="1" ht="17.649999999999999" customHeight="1" x14ac:dyDescent="0.25">
      <c r="A301" s="1210" t="s">
        <v>827</v>
      </c>
      <c r="B301" s="1044" t="s">
        <v>8</v>
      </c>
      <c r="C301" s="1045"/>
      <c r="D301" s="1046"/>
      <c r="E301" s="1020" t="s">
        <v>748</v>
      </c>
      <c r="F301" s="1021">
        <f>F303+F304</f>
        <v>276427.09999999998</v>
      </c>
      <c r="G301" s="1021">
        <f>G303+G304</f>
        <v>521755.10000000003</v>
      </c>
      <c r="H301" s="1021">
        <f>H303+H304</f>
        <v>508067.19999999995</v>
      </c>
      <c r="I301" s="1021">
        <f>I303+I304</f>
        <v>517820.6</v>
      </c>
      <c r="J301" s="1021">
        <f>J303+J304</f>
        <v>520079.2</v>
      </c>
      <c r="K301" s="1095" t="s">
        <v>9</v>
      </c>
      <c r="L301" s="1058" t="s">
        <v>10</v>
      </c>
      <c r="M301" s="1095">
        <v>28.5</v>
      </c>
      <c r="N301" s="1147">
        <v>28.8</v>
      </c>
      <c r="O301" s="1147">
        <v>30</v>
      </c>
      <c r="P301" s="1147">
        <v>30</v>
      </c>
      <c r="Q301" s="1148">
        <v>30</v>
      </c>
    </row>
    <row r="302" spans="1:12302" s="78" customFormat="1" ht="69.75" customHeight="1" x14ac:dyDescent="0.25">
      <c r="A302" s="1210"/>
      <c r="B302" s="1044"/>
      <c r="C302" s="1045"/>
      <c r="D302" s="1046"/>
      <c r="E302" s="1020"/>
      <c r="F302" s="1021"/>
      <c r="G302" s="1021"/>
      <c r="H302" s="1021"/>
      <c r="I302" s="1021"/>
      <c r="J302" s="1021"/>
      <c r="K302" s="1095"/>
      <c r="L302" s="1058"/>
      <c r="M302" s="1095"/>
      <c r="N302" s="1147"/>
      <c r="O302" s="1147"/>
      <c r="P302" s="1147"/>
      <c r="Q302" s="1148"/>
    </row>
    <row r="303" spans="1:12302" s="78" customFormat="1" ht="30" x14ac:dyDescent="0.25">
      <c r="A303" s="1210"/>
      <c r="B303" s="620"/>
      <c r="C303" s="620" t="s">
        <v>43</v>
      </c>
      <c r="D303" s="639"/>
      <c r="E303" s="621" t="s">
        <v>11</v>
      </c>
      <c r="F303" s="618">
        <f>170514.5+97041.5</f>
        <v>267556</v>
      </c>
      <c r="G303" s="618">
        <f>171859.4+300000</f>
        <v>471859.4</v>
      </c>
      <c r="H303" s="618">
        <f>170911.6+300000</f>
        <v>470911.6</v>
      </c>
      <c r="I303" s="618">
        <f>174158.8+300000</f>
        <v>474158.8</v>
      </c>
      <c r="J303" s="618">
        <f>179383.7+300000</f>
        <v>479383.7</v>
      </c>
      <c r="K303" s="648"/>
      <c r="L303" s="677"/>
      <c r="M303" s="648"/>
      <c r="N303" s="648"/>
      <c r="O303" s="648"/>
      <c r="P303" s="648"/>
      <c r="Q303" s="649"/>
    </row>
    <row r="304" spans="1:12302" s="78" customFormat="1" x14ac:dyDescent="0.25">
      <c r="A304" s="1210"/>
      <c r="B304" s="620"/>
      <c r="C304" s="620" t="s">
        <v>48</v>
      </c>
      <c r="D304" s="639"/>
      <c r="E304" s="621" t="s">
        <v>12</v>
      </c>
      <c r="F304" s="618">
        <f>4563.6+4307.5</f>
        <v>8871.1</v>
      </c>
      <c r="G304" s="618">
        <f>7155.6+42740.1</f>
        <v>49895.7</v>
      </c>
      <c r="H304" s="618">
        <f>7155.6+30000</f>
        <v>37155.599999999999</v>
      </c>
      <c r="I304" s="618">
        <f>7291.7+36370.1</f>
        <v>43661.799999999996</v>
      </c>
      <c r="J304" s="618">
        <f>7510.5+33185</f>
        <v>40695.5</v>
      </c>
      <c r="K304" s="648"/>
      <c r="L304" s="677"/>
      <c r="M304" s="648"/>
      <c r="N304" s="648"/>
      <c r="O304" s="648"/>
      <c r="P304" s="648"/>
      <c r="Q304" s="649"/>
    </row>
    <row r="305" spans="1:17" s="78" customFormat="1" ht="111" customHeight="1" x14ac:dyDescent="0.25">
      <c r="A305" s="1210"/>
      <c r="B305" s="650" t="s">
        <v>104</v>
      </c>
      <c r="C305" s="620"/>
      <c r="D305" s="639"/>
      <c r="E305" s="651" t="s">
        <v>1352</v>
      </c>
      <c r="F305" s="652">
        <f>F306</f>
        <v>1390126</v>
      </c>
      <c r="G305" s="652">
        <f>G306</f>
        <v>1324577.8999999999</v>
      </c>
      <c r="H305" s="652">
        <f>H306</f>
        <v>1909740.6</v>
      </c>
      <c r="I305" s="652">
        <f>I306</f>
        <v>1941168.656</v>
      </c>
      <c r="J305" s="652">
        <f>J306</f>
        <v>1987704.5559999999</v>
      </c>
      <c r="K305" s="641" t="s">
        <v>13</v>
      </c>
      <c r="L305" s="640" t="s">
        <v>14</v>
      </c>
      <c r="M305" s="185">
        <v>26</v>
      </c>
      <c r="N305" s="689">
        <v>26</v>
      </c>
      <c r="O305" s="689">
        <v>28</v>
      </c>
      <c r="P305" s="689">
        <v>28</v>
      </c>
      <c r="Q305" s="690">
        <v>28</v>
      </c>
    </row>
    <row r="306" spans="1:17" s="78" customFormat="1" ht="51.75" customHeight="1" x14ac:dyDescent="0.25">
      <c r="A306" s="1210"/>
      <c r="B306" s="620"/>
      <c r="C306" s="620" t="s">
        <v>43</v>
      </c>
      <c r="D306" s="639"/>
      <c r="E306" s="621" t="s">
        <v>15</v>
      </c>
      <c r="F306" s="618">
        <f>1192593.2+197532.8</f>
        <v>1390126</v>
      </c>
      <c r="G306" s="618">
        <f>1176292.9+148285</f>
        <v>1324577.8999999999</v>
      </c>
      <c r="H306" s="618">
        <v>1909740.6</v>
      </c>
      <c r="I306" s="618">
        <f>1900638.3+7799.4+32730.956</f>
        <v>1941168.656</v>
      </c>
      <c r="J306" s="618">
        <f>1947174.2+7799.4+32730.956</f>
        <v>1987704.5559999999</v>
      </c>
      <c r="K306" s="641" t="s">
        <v>16</v>
      </c>
      <c r="L306" s="640" t="s">
        <v>17</v>
      </c>
      <c r="M306" s="641">
        <v>792</v>
      </c>
      <c r="N306" s="642">
        <v>1029</v>
      </c>
      <c r="O306" s="642">
        <v>1140</v>
      </c>
      <c r="P306" s="642">
        <v>1134</v>
      </c>
      <c r="Q306" s="643">
        <v>1140</v>
      </c>
    </row>
    <row r="307" spans="1:17" s="78" customFormat="1" ht="156" customHeight="1" x14ac:dyDescent="0.25">
      <c r="A307" s="1210"/>
      <c r="B307" s="650" t="s">
        <v>105</v>
      </c>
      <c r="C307" s="620"/>
      <c r="D307" s="639"/>
      <c r="E307" s="651" t="s">
        <v>1353</v>
      </c>
      <c r="F307" s="652">
        <f>F308</f>
        <v>26110.6</v>
      </c>
      <c r="G307" s="652">
        <f>G308</f>
        <v>28893.599999999999</v>
      </c>
      <c r="H307" s="652">
        <f>H308</f>
        <v>29763</v>
      </c>
      <c r="I307" s="652">
        <f>I308</f>
        <v>30675.4</v>
      </c>
      <c r="J307" s="652">
        <f>J308</f>
        <v>31211</v>
      </c>
      <c r="K307" s="641" t="s">
        <v>18</v>
      </c>
      <c r="L307" s="640" t="s">
        <v>19</v>
      </c>
      <c r="M307" s="641">
        <v>98</v>
      </c>
      <c r="N307" s="642">
        <v>90</v>
      </c>
      <c r="O307" s="642">
        <v>90</v>
      </c>
      <c r="P307" s="642">
        <v>90</v>
      </c>
      <c r="Q307" s="643">
        <v>90</v>
      </c>
    </row>
    <row r="308" spans="1:17" s="78" customFormat="1" ht="80.25" customHeight="1" x14ac:dyDescent="0.25">
      <c r="A308" s="1210"/>
      <c r="B308" s="620"/>
      <c r="C308" s="620" t="s">
        <v>43</v>
      </c>
      <c r="D308" s="639"/>
      <c r="E308" s="621" t="s">
        <v>20</v>
      </c>
      <c r="F308" s="618">
        <f>4349.5+21761.1</f>
        <v>26110.6</v>
      </c>
      <c r="G308" s="618">
        <f>3193.6+25700</f>
        <v>28893.599999999999</v>
      </c>
      <c r="H308" s="618">
        <v>29763</v>
      </c>
      <c r="I308" s="618">
        <f>4375.4+26300</f>
        <v>30675.4</v>
      </c>
      <c r="J308" s="618">
        <v>31211</v>
      </c>
      <c r="K308" s="641" t="s">
        <v>21</v>
      </c>
      <c r="L308" s="640" t="s">
        <v>19</v>
      </c>
      <c r="M308" s="641">
        <v>6</v>
      </c>
      <c r="N308" s="642">
        <v>7.7</v>
      </c>
      <c r="O308" s="642">
        <v>7.7</v>
      </c>
      <c r="P308" s="642">
        <v>7.7</v>
      </c>
      <c r="Q308" s="643">
        <v>7.7</v>
      </c>
    </row>
    <row r="309" spans="1:17" s="78" customFormat="1" ht="146.25" customHeight="1" x14ac:dyDescent="0.25">
      <c r="A309" s="1210"/>
      <c r="B309" s="650" t="s">
        <v>106</v>
      </c>
      <c r="C309" s="620"/>
      <c r="D309" s="639"/>
      <c r="E309" s="813" t="s">
        <v>1705</v>
      </c>
      <c r="F309" s="652">
        <f>F310+F312</f>
        <v>68156</v>
      </c>
      <c r="G309" s="652">
        <f>G310+G312</f>
        <v>62692.600000000006</v>
      </c>
      <c r="H309" s="652">
        <f>H310+H312</f>
        <v>92215.7</v>
      </c>
      <c r="I309" s="652">
        <f>I310+I312</f>
        <v>94091.6</v>
      </c>
      <c r="J309" s="652">
        <f>J310+J312</f>
        <v>96923.1</v>
      </c>
      <c r="K309" s="641" t="s">
        <v>1706</v>
      </c>
      <c r="L309" s="640" t="s">
        <v>14</v>
      </c>
      <c r="M309" s="186">
        <v>724</v>
      </c>
      <c r="N309" s="186">
        <v>3000</v>
      </c>
      <c r="O309" s="186">
        <v>3000</v>
      </c>
      <c r="P309" s="186">
        <v>3000</v>
      </c>
      <c r="Q309" s="520">
        <v>3000</v>
      </c>
    </row>
    <row r="310" spans="1:17" s="78" customFormat="1" ht="61.5" customHeight="1" x14ac:dyDescent="0.25">
      <c r="A310" s="1210"/>
      <c r="B310" s="1044"/>
      <c r="C310" s="1045" t="s">
        <v>43</v>
      </c>
      <c r="D310" s="1045"/>
      <c r="E310" s="1057" t="s">
        <v>1354</v>
      </c>
      <c r="F310" s="1050">
        <v>44967.9</v>
      </c>
      <c r="G310" s="1050">
        <v>42384.5</v>
      </c>
      <c r="H310" s="1050">
        <f>42384.5+42683.95</f>
        <v>85068.45</v>
      </c>
      <c r="I310" s="1050">
        <v>43189.8</v>
      </c>
      <c r="J310" s="1050">
        <v>44485.599999999999</v>
      </c>
      <c r="K310" s="641" t="s">
        <v>1707</v>
      </c>
      <c r="L310" s="640" t="s">
        <v>14</v>
      </c>
      <c r="M310" s="187">
        <v>17410</v>
      </c>
      <c r="N310" s="187">
        <v>17410</v>
      </c>
      <c r="O310" s="187">
        <v>17410</v>
      </c>
      <c r="P310" s="187">
        <v>17410</v>
      </c>
      <c r="Q310" s="521">
        <v>17410</v>
      </c>
    </row>
    <row r="311" spans="1:17" s="78" customFormat="1" ht="29.25" customHeight="1" x14ac:dyDescent="0.25">
      <c r="A311" s="1210"/>
      <c r="B311" s="1044"/>
      <c r="C311" s="1045"/>
      <c r="D311" s="1045"/>
      <c r="E311" s="1057"/>
      <c r="F311" s="1050"/>
      <c r="G311" s="1050"/>
      <c r="H311" s="1050"/>
      <c r="I311" s="1050"/>
      <c r="J311" s="1050"/>
      <c r="K311" s="641" t="s">
        <v>1355</v>
      </c>
      <c r="L311" s="640" t="s">
        <v>14</v>
      </c>
      <c r="M311" s="640">
        <v>600</v>
      </c>
      <c r="N311" s="640">
        <v>600</v>
      </c>
      <c r="O311" s="640">
        <v>600</v>
      </c>
      <c r="P311" s="640">
        <v>600</v>
      </c>
      <c r="Q311" s="653">
        <v>600</v>
      </c>
    </row>
    <row r="312" spans="1:17" s="78" customFormat="1" ht="75" x14ac:dyDescent="0.25">
      <c r="A312" s="1210"/>
      <c r="B312" s="620"/>
      <c r="C312" s="620" t="s">
        <v>48</v>
      </c>
      <c r="D312" s="639"/>
      <c r="E312" s="621" t="s">
        <v>747</v>
      </c>
      <c r="F312" s="618">
        <f>21730.1+1458</f>
        <v>23188.1</v>
      </c>
      <c r="G312" s="618">
        <f>18781.7+1526.4</f>
        <v>20308.100000000002</v>
      </c>
      <c r="H312" s="618">
        <f>48781.7+1049.5-42683.95</f>
        <v>7147.25</v>
      </c>
      <c r="I312" s="618">
        <v>50901.8</v>
      </c>
      <c r="J312" s="618">
        <v>52437.5</v>
      </c>
      <c r="K312" s="811" t="s">
        <v>1708</v>
      </c>
      <c r="L312" s="640" t="s">
        <v>14</v>
      </c>
      <c r="M312" s="186">
        <v>724</v>
      </c>
      <c r="N312" s="186">
        <v>3000</v>
      </c>
      <c r="O312" s="186">
        <v>3000</v>
      </c>
      <c r="P312" s="186">
        <v>3000</v>
      </c>
      <c r="Q312" s="520">
        <v>3000</v>
      </c>
    </row>
    <row r="313" spans="1:17" s="23" customFormat="1" ht="21.75" customHeight="1" x14ac:dyDescent="0.25">
      <c r="A313" s="1004" t="s">
        <v>23</v>
      </c>
      <c r="B313" s="1005"/>
      <c r="C313" s="1005"/>
      <c r="D313" s="1005"/>
      <c r="E313" s="1005"/>
      <c r="F313" s="28">
        <f>F301+F305+F307+F309</f>
        <v>1760819.7000000002</v>
      </c>
      <c r="G313" s="28">
        <f>G301+G305+G307+G309</f>
        <v>1937919.2000000002</v>
      </c>
      <c r="H313" s="28">
        <f>H301+H305+H307+H309</f>
        <v>2539786.5</v>
      </c>
      <c r="I313" s="28">
        <f>I301+I305+I307+I309</f>
        <v>2583756.2560000001</v>
      </c>
      <c r="J313" s="28">
        <f>J301+J305+J307+J309</f>
        <v>2635917.8560000001</v>
      </c>
      <c r="K313" s="43"/>
      <c r="L313" s="161"/>
      <c r="M313" s="161"/>
      <c r="N313" s="161"/>
      <c r="O313" s="161"/>
      <c r="P313" s="161"/>
      <c r="Q313" s="493"/>
    </row>
    <row r="314" spans="1:17" s="23" customFormat="1" ht="23.25" customHeight="1" x14ac:dyDescent="0.25">
      <c r="A314" s="1208" t="s">
        <v>702</v>
      </c>
      <c r="B314" s="1209"/>
      <c r="C314" s="1209"/>
      <c r="D314" s="1209"/>
      <c r="E314" s="1209"/>
      <c r="F314" s="1209"/>
      <c r="G314" s="1209"/>
      <c r="H314" s="1209"/>
      <c r="I314" s="1209"/>
      <c r="J314" s="1209"/>
      <c r="K314" s="1209"/>
      <c r="L314" s="1209"/>
      <c r="M314" s="1209"/>
      <c r="N314" s="1209"/>
      <c r="O314" s="1209"/>
      <c r="P314" s="183"/>
      <c r="Q314" s="522"/>
    </row>
    <row r="315" spans="1:17" x14ac:dyDescent="0.25">
      <c r="A315" s="523"/>
      <c r="B315" s="177">
        <v>242</v>
      </c>
      <c r="C315" s="736"/>
      <c r="D315" s="160"/>
      <c r="E315" s="760" t="s">
        <v>716</v>
      </c>
      <c r="F315" s="178">
        <f>SUM(F316:F320)</f>
        <v>1559883.4</v>
      </c>
      <c r="G315" s="178">
        <f>SUM(G316:G320)</f>
        <v>1245467.2</v>
      </c>
      <c r="H315" s="178">
        <f>SUM(H316:H321)</f>
        <v>2910267.2</v>
      </c>
      <c r="I315" s="178">
        <f>SUM(I316:I321)</f>
        <v>2929299.1209999998</v>
      </c>
      <c r="J315" s="178">
        <f>SUM(J316:J321)</f>
        <v>2959239.7129999995</v>
      </c>
      <c r="K315" s="179"/>
      <c r="L315" s="179"/>
      <c r="M315" s="179"/>
      <c r="N315" s="179"/>
      <c r="O315" s="179"/>
      <c r="P315" s="179"/>
      <c r="Q315" s="524"/>
    </row>
    <row r="316" spans="1:17" x14ac:dyDescent="0.25">
      <c r="A316" s="523"/>
      <c r="B316" s="177"/>
      <c r="C316" s="620" t="s">
        <v>43</v>
      </c>
      <c r="D316" s="160"/>
      <c r="E316" s="160" t="s">
        <v>717</v>
      </c>
      <c r="F316" s="180">
        <v>781565.5</v>
      </c>
      <c r="G316" s="180">
        <v>500000</v>
      </c>
      <c r="H316" s="181">
        <v>500000</v>
      </c>
      <c r="I316" s="181">
        <v>500000</v>
      </c>
      <c r="J316" s="181">
        <v>500000</v>
      </c>
      <c r="K316" s="853" t="s">
        <v>1455</v>
      </c>
      <c r="L316" s="854" t="s">
        <v>19</v>
      </c>
      <c r="M316" s="854">
        <v>90</v>
      </c>
      <c r="N316" s="854">
        <v>92</v>
      </c>
      <c r="O316" s="854">
        <v>100</v>
      </c>
      <c r="P316" s="854">
        <v>100</v>
      </c>
      <c r="Q316" s="854">
        <v>100</v>
      </c>
    </row>
    <row r="317" spans="1:17" x14ac:dyDescent="0.25">
      <c r="A317" s="523"/>
      <c r="B317" s="177"/>
      <c r="C317" s="620" t="s">
        <v>48</v>
      </c>
      <c r="D317" s="160"/>
      <c r="E317" s="160" t="s">
        <v>718</v>
      </c>
      <c r="F317" s="180">
        <v>447905.7</v>
      </c>
      <c r="G317" s="180">
        <v>510066</v>
      </c>
      <c r="H317" s="181">
        <f>770086.8+5000+819400</f>
        <v>1594486.8</v>
      </c>
      <c r="I317" s="181">
        <f>784973.6+819400</f>
        <v>1604373.6</v>
      </c>
      <c r="J317" s="181">
        <f>800527.3+819400</f>
        <v>1619927.3</v>
      </c>
      <c r="K317" s="853" t="s">
        <v>1456</v>
      </c>
      <c r="L317" s="854" t="s">
        <v>19</v>
      </c>
      <c r="M317" s="854">
        <v>85</v>
      </c>
      <c r="N317" s="854">
        <v>90</v>
      </c>
      <c r="O317" s="854">
        <v>95</v>
      </c>
      <c r="P317" s="854">
        <v>95</v>
      </c>
      <c r="Q317" s="854">
        <v>95</v>
      </c>
    </row>
    <row r="318" spans="1:17" x14ac:dyDescent="0.25">
      <c r="A318" s="523"/>
      <c r="B318" s="177"/>
      <c r="C318" s="620" t="s">
        <v>37</v>
      </c>
      <c r="D318" s="160"/>
      <c r="E318" s="160" t="s">
        <v>719</v>
      </c>
      <c r="F318" s="180">
        <v>267875</v>
      </c>
      <c r="G318" s="180">
        <v>175401.2</v>
      </c>
      <c r="H318" s="181">
        <f>415380.4+4000+100000</f>
        <v>519380.4</v>
      </c>
      <c r="I318" s="181">
        <f>422780.3+100000</f>
        <v>522780.3</v>
      </c>
      <c r="J318" s="181">
        <f>428128.9+100000</f>
        <v>528128.9</v>
      </c>
      <c r="K318" s="853" t="s">
        <v>1457</v>
      </c>
      <c r="L318" s="854" t="s">
        <v>19</v>
      </c>
      <c r="M318" s="854">
        <v>85</v>
      </c>
      <c r="N318" s="854">
        <v>90</v>
      </c>
      <c r="O318" s="854">
        <v>95</v>
      </c>
      <c r="P318" s="854">
        <v>95</v>
      </c>
      <c r="Q318" s="854">
        <v>95</v>
      </c>
    </row>
    <row r="319" spans="1:17" ht="45" customHeight="1" x14ac:dyDescent="0.25">
      <c r="A319" s="523"/>
      <c r="B319" s="177"/>
      <c r="C319" s="620" t="s">
        <v>73</v>
      </c>
      <c r="D319" s="160"/>
      <c r="E319" s="160" t="s">
        <v>720</v>
      </c>
      <c r="F319" s="180">
        <v>32600</v>
      </c>
      <c r="G319" s="180">
        <v>30000</v>
      </c>
      <c r="H319" s="181">
        <v>30000</v>
      </c>
      <c r="I319" s="181">
        <v>30581.5</v>
      </c>
      <c r="J319" s="181">
        <v>31496.3</v>
      </c>
      <c r="K319" s="853" t="s">
        <v>1458</v>
      </c>
      <c r="L319" s="854" t="s">
        <v>19</v>
      </c>
      <c r="M319" s="854">
        <v>85</v>
      </c>
      <c r="N319" s="854">
        <v>90</v>
      </c>
      <c r="O319" s="854">
        <v>95</v>
      </c>
      <c r="P319" s="854">
        <v>95</v>
      </c>
      <c r="Q319" s="854">
        <v>95</v>
      </c>
    </row>
    <row r="320" spans="1:17" x14ac:dyDescent="0.25">
      <c r="A320" s="523"/>
      <c r="B320" s="736"/>
      <c r="C320" s="620" t="s">
        <v>76</v>
      </c>
      <c r="D320" s="160"/>
      <c r="E320" s="160" t="s">
        <v>721</v>
      </c>
      <c r="F320" s="180">
        <v>29937.200000000001</v>
      </c>
      <c r="G320" s="180">
        <v>30000</v>
      </c>
      <c r="H320" s="181">
        <v>30000</v>
      </c>
      <c r="I320" s="181">
        <v>30581.5</v>
      </c>
      <c r="J320" s="181">
        <v>31496.3</v>
      </c>
      <c r="K320" s="853" t="s">
        <v>1456</v>
      </c>
      <c r="L320" s="854" t="s">
        <v>19</v>
      </c>
      <c r="M320" s="854">
        <v>90</v>
      </c>
      <c r="N320" s="854">
        <v>90</v>
      </c>
      <c r="O320" s="854">
        <v>90</v>
      </c>
      <c r="P320" s="854">
        <v>90</v>
      </c>
      <c r="Q320" s="854">
        <v>90</v>
      </c>
    </row>
    <row r="321" spans="1:17" x14ac:dyDescent="0.25">
      <c r="A321" s="523"/>
      <c r="B321" s="736"/>
      <c r="C321" s="620" t="s">
        <v>79</v>
      </c>
      <c r="D321" s="160"/>
      <c r="E321" s="160" t="s">
        <v>751</v>
      </c>
      <c r="F321" s="180"/>
      <c r="G321" s="180">
        <v>236400</v>
      </c>
      <c r="H321" s="181">
        <v>236400</v>
      </c>
      <c r="I321" s="181">
        <v>240982.22099999999</v>
      </c>
      <c r="J321" s="181">
        <v>248190.913</v>
      </c>
      <c r="K321" s="179"/>
      <c r="L321" s="179"/>
      <c r="M321" s="179"/>
      <c r="N321" s="179"/>
      <c r="O321" s="179"/>
      <c r="P321" s="179"/>
      <c r="Q321" s="524"/>
    </row>
    <row r="322" spans="1:17" s="23" customFormat="1" ht="21.75" customHeight="1" x14ac:dyDescent="0.25">
      <c r="A322" s="1004" t="s">
        <v>23</v>
      </c>
      <c r="B322" s="1005"/>
      <c r="C322" s="1005"/>
      <c r="D322" s="1005"/>
      <c r="E322" s="1005"/>
      <c r="F322" s="28">
        <f>SUM(F316:F320)</f>
        <v>1559883.4</v>
      </c>
      <c r="G322" s="28">
        <f>SUM(G316:G321)</f>
        <v>1481867.2</v>
      </c>
      <c r="H322" s="28">
        <f>SUM(H316:H321)</f>
        <v>2910267.2</v>
      </c>
      <c r="I322" s="28">
        <f>SUM(I316:I321)</f>
        <v>2929299.1209999998</v>
      </c>
      <c r="J322" s="28">
        <f>SUM(J316:J321)</f>
        <v>2959239.7129999995</v>
      </c>
      <c r="K322" s="43"/>
      <c r="L322" s="161"/>
      <c r="M322" s="161"/>
      <c r="N322" s="161"/>
      <c r="O322" s="161"/>
      <c r="P322" s="161"/>
      <c r="Q322" s="493"/>
    </row>
    <row r="323" spans="1:17" s="23" customFormat="1" ht="25.5" customHeight="1" x14ac:dyDescent="0.25">
      <c r="A323" s="1208" t="s">
        <v>1486</v>
      </c>
      <c r="B323" s="1209"/>
      <c r="C323" s="1209"/>
      <c r="D323" s="1209"/>
      <c r="E323" s="1209"/>
      <c r="F323" s="1209"/>
      <c r="G323" s="1209"/>
      <c r="H323" s="1209"/>
      <c r="I323" s="1209"/>
      <c r="J323" s="1209"/>
      <c r="K323" s="1209"/>
      <c r="L323" s="1209"/>
      <c r="M323" s="1209"/>
      <c r="N323" s="1209"/>
      <c r="O323" s="1209"/>
      <c r="P323" s="183"/>
      <c r="Q323" s="522"/>
    </row>
    <row r="324" spans="1:17" s="23" customFormat="1" ht="18.75" customHeight="1" x14ac:dyDescent="0.25">
      <c r="A324" s="1208" t="s">
        <v>1710</v>
      </c>
      <c r="B324" s="1209"/>
      <c r="C324" s="1209"/>
      <c r="D324" s="1209"/>
      <c r="E324" s="1209"/>
      <c r="F324" s="1209"/>
      <c r="G324" s="1209"/>
      <c r="H324" s="1209"/>
      <c r="I324" s="1209"/>
      <c r="J324" s="1209"/>
      <c r="K324" s="1209"/>
      <c r="L324" s="1209"/>
      <c r="M324" s="1209"/>
      <c r="N324" s="1209"/>
      <c r="O324" s="1209"/>
      <c r="P324" s="183"/>
      <c r="Q324" s="522"/>
    </row>
    <row r="325" spans="1:17" s="128" customFormat="1" ht="40.5" customHeight="1" x14ac:dyDescent="0.25">
      <c r="A325" s="1297">
        <v>26</v>
      </c>
      <c r="B325" s="1298" t="s">
        <v>823</v>
      </c>
      <c r="C325" s="1301"/>
      <c r="D325" s="1301"/>
      <c r="E325" s="1292" t="s">
        <v>822</v>
      </c>
      <c r="F325" s="1291">
        <f>SUM(F329:F337,F338,F339,F340,F341:F347)</f>
        <v>5075900</v>
      </c>
      <c r="G325" s="1291">
        <f>SUM(G329:G337,G338,G339,G340,G341:G347)</f>
        <v>4782403.8999999994</v>
      </c>
      <c r="H325" s="1291">
        <f>SUM(H329:H337,H338,H339,H340,H341:H347)</f>
        <v>7803739.4000000004</v>
      </c>
      <c r="I325" s="1291">
        <f>SUM(I329:I337,I338,I339,I340,I341:I347)</f>
        <v>8048306</v>
      </c>
      <c r="J325" s="1291">
        <f>SUM(J329:J337,J338,J339,J340,J341:J347)</f>
        <v>8092276.9000000004</v>
      </c>
      <c r="K325" s="754" t="s">
        <v>761</v>
      </c>
      <c r="L325" s="123" t="s">
        <v>19</v>
      </c>
      <c r="M325" s="230">
        <f>G348/G366</f>
        <v>0.42733070155475639</v>
      </c>
      <c r="N325" s="230">
        <f>H348/H366</f>
        <v>0.4997672360755821</v>
      </c>
      <c r="O325" s="230">
        <f>I348/I366</f>
        <v>0.50762273656202839</v>
      </c>
      <c r="P325" s="230">
        <f>J348/J366</f>
        <v>0.50390093278012238</v>
      </c>
      <c r="Q325" s="525"/>
    </row>
    <row r="326" spans="1:17" s="128" customFormat="1" ht="30" x14ac:dyDescent="0.25">
      <c r="A326" s="1297"/>
      <c r="B326" s="1299"/>
      <c r="C326" s="1302"/>
      <c r="D326" s="1302"/>
      <c r="E326" s="1292"/>
      <c r="F326" s="1291"/>
      <c r="G326" s="1291"/>
      <c r="H326" s="1291"/>
      <c r="I326" s="1291"/>
      <c r="J326" s="1291"/>
      <c r="K326" s="754" t="s">
        <v>762</v>
      </c>
      <c r="L326" s="123" t="s">
        <v>14</v>
      </c>
      <c r="M326" s="231">
        <v>2.5</v>
      </c>
      <c r="N326" s="231">
        <v>2.5</v>
      </c>
      <c r="O326" s="231">
        <v>2.6</v>
      </c>
      <c r="P326" s="231">
        <v>2.7</v>
      </c>
      <c r="Q326" s="525"/>
    </row>
    <row r="327" spans="1:17" s="128" customFormat="1" ht="30" x14ac:dyDescent="0.25">
      <c r="A327" s="1297"/>
      <c r="B327" s="1299"/>
      <c r="C327" s="1302"/>
      <c r="D327" s="1302"/>
      <c r="E327" s="1292"/>
      <c r="F327" s="1291"/>
      <c r="G327" s="1291"/>
      <c r="H327" s="1291"/>
      <c r="I327" s="1291"/>
      <c r="J327" s="1291"/>
      <c r="K327" s="754" t="s">
        <v>1417</v>
      </c>
      <c r="L327" s="123" t="s">
        <v>19</v>
      </c>
      <c r="M327" s="230">
        <v>1</v>
      </c>
      <c r="N327" s="230">
        <v>1</v>
      </c>
      <c r="O327" s="230">
        <v>1</v>
      </c>
      <c r="P327" s="230">
        <v>1</v>
      </c>
      <c r="Q327" s="525"/>
    </row>
    <row r="328" spans="1:17" s="128" customFormat="1" ht="30" x14ac:dyDescent="0.25">
      <c r="A328" s="1297"/>
      <c r="B328" s="1300"/>
      <c r="C328" s="1303"/>
      <c r="D328" s="1303"/>
      <c r="E328" s="1292"/>
      <c r="F328" s="1291"/>
      <c r="G328" s="1291"/>
      <c r="H328" s="1291"/>
      <c r="I328" s="1291"/>
      <c r="J328" s="1291"/>
      <c r="K328" s="754" t="s">
        <v>763</v>
      </c>
      <c r="L328" s="123" t="s">
        <v>19</v>
      </c>
      <c r="M328" s="230">
        <v>0.7</v>
      </c>
      <c r="N328" s="230">
        <v>0.72</v>
      </c>
      <c r="O328" s="230">
        <v>0.73</v>
      </c>
      <c r="P328" s="230">
        <v>0.75</v>
      </c>
      <c r="Q328" s="525"/>
    </row>
    <row r="329" spans="1:17" s="128" customFormat="1" ht="45" x14ac:dyDescent="0.25">
      <c r="A329" s="1297"/>
      <c r="B329" s="1006"/>
      <c r="C329" s="1006" t="s">
        <v>43</v>
      </c>
      <c r="D329" s="1006"/>
      <c r="E329" s="1272" t="s">
        <v>764</v>
      </c>
      <c r="F329" s="1290">
        <v>593367.9</v>
      </c>
      <c r="G329" s="1290">
        <v>447802.4</v>
      </c>
      <c r="H329" s="1290">
        <f>503442.9-386750+150000+197244.7</f>
        <v>463937.60000000003</v>
      </c>
      <c r="I329" s="1290">
        <v>447802.4</v>
      </c>
      <c r="J329" s="1290">
        <v>532999.9</v>
      </c>
      <c r="K329" s="754" t="s">
        <v>765</v>
      </c>
      <c r="L329" s="123" t="s">
        <v>19</v>
      </c>
      <c r="M329" s="230">
        <v>0.96</v>
      </c>
      <c r="N329" s="230">
        <v>0.96</v>
      </c>
      <c r="O329" s="230">
        <v>1</v>
      </c>
      <c r="P329" s="230">
        <v>1</v>
      </c>
      <c r="Q329" s="525"/>
    </row>
    <row r="330" spans="1:17" s="128" customFormat="1" ht="30" x14ac:dyDescent="0.25">
      <c r="A330" s="1297"/>
      <c r="B330" s="1006"/>
      <c r="C330" s="1006"/>
      <c r="D330" s="1006"/>
      <c r="E330" s="1272"/>
      <c r="F330" s="1290"/>
      <c r="G330" s="1290"/>
      <c r="H330" s="1290"/>
      <c r="I330" s="1290"/>
      <c r="J330" s="1290"/>
      <c r="K330" s="754" t="s">
        <v>766</v>
      </c>
      <c r="L330" s="123" t="s">
        <v>767</v>
      </c>
      <c r="M330" s="231">
        <v>100.7</v>
      </c>
      <c r="N330" s="232">
        <v>100.7</v>
      </c>
      <c r="O330" s="232">
        <v>100.7</v>
      </c>
      <c r="P330" s="231">
        <v>100.7</v>
      </c>
      <c r="Q330" s="525"/>
    </row>
    <row r="331" spans="1:17" s="128" customFormat="1" ht="45" x14ac:dyDescent="0.25">
      <c r="A331" s="1297"/>
      <c r="B331" s="1006"/>
      <c r="C331" s="1006" t="s">
        <v>48</v>
      </c>
      <c r="D331" s="1006"/>
      <c r="E331" s="1272" t="s">
        <v>768</v>
      </c>
      <c r="F331" s="1290">
        <v>4036376.8</v>
      </c>
      <c r="G331" s="1290">
        <v>3875108.9</v>
      </c>
      <c r="H331" s="1290">
        <v>3875108.9</v>
      </c>
      <c r="I331" s="1290">
        <v>3983070.7</v>
      </c>
      <c r="J331" s="1290">
        <v>4094651.2</v>
      </c>
      <c r="K331" s="754" t="s">
        <v>1356</v>
      </c>
      <c r="L331" s="123" t="s">
        <v>19</v>
      </c>
      <c r="M331" s="229">
        <v>0.83</v>
      </c>
      <c r="N331" s="229">
        <v>0.84</v>
      </c>
      <c r="O331" s="229">
        <v>0.85</v>
      </c>
      <c r="P331" s="229">
        <v>0.9</v>
      </c>
      <c r="Q331" s="525"/>
    </row>
    <row r="332" spans="1:17" s="128" customFormat="1" ht="30" x14ac:dyDescent="0.25">
      <c r="A332" s="1297"/>
      <c r="B332" s="1006"/>
      <c r="C332" s="1006"/>
      <c r="D332" s="1006"/>
      <c r="E332" s="1272"/>
      <c r="F332" s="1290"/>
      <c r="G332" s="1290"/>
      <c r="H332" s="1290"/>
      <c r="I332" s="1290"/>
      <c r="J332" s="1290"/>
      <c r="K332" s="754" t="s">
        <v>769</v>
      </c>
      <c r="L332" s="123" t="s">
        <v>19</v>
      </c>
      <c r="M332" s="229">
        <v>0.83</v>
      </c>
      <c r="N332" s="229">
        <v>0.84</v>
      </c>
      <c r="O332" s="229">
        <v>0.85</v>
      </c>
      <c r="P332" s="229">
        <v>0.87</v>
      </c>
      <c r="Q332" s="525"/>
    </row>
    <row r="333" spans="1:17" s="128" customFormat="1" ht="45" x14ac:dyDescent="0.25">
      <c r="A333" s="1297"/>
      <c r="B333" s="1006"/>
      <c r="C333" s="1006"/>
      <c r="D333" s="1006"/>
      <c r="E333" s="1272"/>
      <c r="F333" s="1290"/>
      <c r="G333" s="1290"/>
      <c r="H333" s="1290"/>
      <c r="I333" s="1290"/>
      <c r="J333" s="1290"/>
      <c r="K333" s="754" t="s">
        <v>770</v>
      </c>
      <c r="L333" s="123" t="s">
        <v>19</v>
      </c>
      <c r="M333" s="229">
        <v>0.75</v>
      </c>
      <c r="N333" s="229">
        <v>0.77</v>
      </c>
      <c r="O333" s="229">
        <v>0.8</v>
      </c>
      <c r="P333" s="229">
        <v>0.85</v>
      </c>
      <c r="Q333" s="525"/>
    </row>
    <row r="334" spans="1:17" s="128" customFormat="1" ht="45" x14ac:dyDescent="0.25">
      <c r="A334" s="1297"/>
      <c r="B334" s="1006"/>
      <c r="C334" s="1006" t="s">
        <v>37</v>
      </c>
      <c r="D334" s="1006"/>
      <c r="E334" s="1272" t="s">
        <v>771</v>
      </c>
      <c r="F334" s="1290">
        <v>286919.3</v>
      </c>
      <c r="G334" s="1290">
        <v>174152</v>
      </c>
      <c r="H334" s="1290">
        <v>174152</v>
      </c>
      <c r="I334" s="1290">
        <v>179180</v>
      </c>
      <c r="J334" s="1290">
        <v>184377</v>
      </c>
      <c r="K334" s="754" t="s">
        <v>1709</v>
      </c>
      <c r="L334" s="123" t="s">
        <v>772</v>
      </c>
      <c r="M334" s="231">
        <v>30133</v>
      </c>
      <c r="N334" s="231">
        <v>30500</v>
      </c>
      <c r="O334" s="231">
        <v>30700</v>
      </c>
      <c r="P334" s="231">
        <v>40100</v>
      </c>
      <c r="Q334" s="525"/>
    </row>
    <row r="335" spans="1:17" s="128" customFormat="1" ht="60" x14ac:dyDescent="0.25">
      <c r="A335" s="1297"/>
      <c r="B335" s="1006"/>
      <c r="C335" s="1006"/>
      <c r="D335" s="1006"/>
      <c r="E335" s="1272"/>
      <c r="F335" s="1290"/>
      <c r="G335" s="1290"/>
      <c r="H335" s="1290"/>
      <c r="I335" s="1290"/>
      <c r="J335" s="1290"/>
      <c r="K335" s="754" t="s">
        <v>1711</v>
      </c>
      <c r="L335" s="123" t="s">
        <v>19</v>
      </c>
      <c r="M335" s="229">
        <v>0.72</v>
      </c>
      <c r="N335" s="229">
        <v>0.73</v>
      </c>
      <c r="O335" s="229">
        <v>0.74</v>
      </c>
      <c r="P335" s="229">
        <v>0.75</v>
      </c>
      <c r="Q335" s="525"/>
    </row>
    <row r="336" spans="1:17" s="128" customFormat="1" ht="45" x14ac:dyDescent="0.25">
      <c r="A336" s="1297"/>
      <c r="B336" s="1006"/>
      <c r="C336" s="1006"/>
      <c r="D336" s="1006"/>
      <c r="E336" s="1272"/>
      <c r="F336" s="1290"/>
      <c r="G336" s="1290"/>
      <c r="H336" s="1290"/>
      <c r="I336" s="1290"/>
      <c r="J336" s="1290"/>
      <c r="K336" s="754" t="s">
        <v>773</v>
      </c>
      <c r="L336" s="123" t="s">
        <v>19</v>
      </c>
      <c r="M336" s="229">
        <v>0.75</v>
      </c>
      <c r="N336" s="229">
        <v>0.76</v>
      </c>
      <c r="O336" s="229">
        <v>0.77</v>
      </c>
      <c r="P336" s="229">
        <v>0.78</v>
      </c>
      <c r="Q336" s="525"/>
    </row>
    <row r="337" spans="1:17" s="128" customFormat="1" ht="45" x14ac:dyDescent="0.25">
      <c r="A337" s="1297"/>
      <c r="B337" s="1006"/>
      <c r="C337" s="1006"/>
      <c r="D337" s="1006"/>
      <c r="E337" s="1272"/>
      <c r="F337" s="1290"/>
      <c r="G337" s="1290"/>
      <c r="H337" s="1290"/>
      <c r="I337" s="1290"/>
      <c r="J337" s="1290"/>
      <c r="K337" s="754" t="s">
        <v>774</v>
      </c>
      <c r="L337" s="123" t="s">
        <v>19</v>
      </c>
      <c r="M337" s="229">
        <v>0.57999999999999996</v>
      </c>
      <c r="N337" s="229">
        <v>0.59</v>
      </c>
      <c r="O337" s="229">
        <v>0.6</v>
      </c>
      <c r="P337" s="229">
        <v>0.61</v>
      </c>
      <c r="Q337" s="525"/>
    </row>
    <row r="338" spans="1:17" s="128" customFormat="1" ht="61.5" customHeight="1" x14ac:dyDescent="0.25">
      <c r="A338" s="1297"/>
      <c r="B338" s="762"/>
      <c r="C338" s="762" t="s">
        <v>73</v>
      </c>
      <c r="D338" s="762"/>
      <c r="E338" s="754" t="s">
        <v>775</v>
      </c>
      <c r="F338" s="766">
        <v>34236</v>
      </c>
      <c r="G338" s="766">
        <v>33096</v>
      </c>
      <c r="H338" s="766">
        <v>35052</v>
      </c>
      <c r="I338" s="766">
        <v>36064</v>
      </c>
      <c r="J338" s="766">
        <v>37109.9</v>
      </c>
      <c r="K338" s="754" t="s">
        <v>776</v>
      </c>
      <c r="L338" s="123" t="s">
        <v>14</v>
      </c>
      <c r="M338" s="231">
        <v>2320</v>
      </c>
      <c r="N338" s="231">
        <v>2500</v>
      </c>
      <c r="O338" s="231">
        <v>4036</v>
      </c>
      <c r="P338" s="231">
        <v>3638</v>
      </c>
      <c r="Q338" s="525"/>
    </row>
    <row r="339" spans="1:17" s="128" customFormat="1" ht="115.5" customHeight="1" x14ac:dyDescent="0.25">
      <c r="A339" s="1297"/>
      <c r="B339" s="762"/>
      <c r="C339" s="762" t="s">
        <v>76</v>
      </c>
      <c r="D339" s="762"/>
      <c r="E339" s="754" t="s">
        <v>777</v>
      </c>
      <c r="F339" s="766">
        <v>55000</v>
      </c>
      <c r="G339" s="766">
        <v>55000</v>
      </c>
      <c r="H339" s="766">
        <v>105000</v>
      </c>
      <c r="I339" s="766">
        <v>105000</v>
      </c>
      <c r="J339" s="766">
        <v>105000</v>
      </c>
      <c r="K339" s="754" t="s">
        <v>778</v>
      </c>
      <c r="L339" s="123" t="s">
        <v>19</v>
      </c>
      <c r="M339" s="229" t="s">
        <v>779</v>
      </c>
      <c r="N339" s="229" t="s">
        <v>780</v>
      </c>
      <c r="O339" s="229">
        <v>1</v>
      </c>
      <c r="P339" s="229">
        <v>1</v>
      </c>
      <c r="Q339" s="526">
        <v>1</v>
      </c>
    </row>
    <row r="340" spans="1:17" s="128" customFormat="1" ht="45" hidden="1" x14ac:dyDescent="0.25">
      <c r="A340" s="1297"/>
      <c r="B340" s="762"/>
      <c r="C340" s="762" t="s">
        <v>79</v>
      </c>
      <c r="D340" s="762"/>
      <c r="E340" s="754" t="s">
        <v>781</v>
      </c>
      <c r="F340" s="766"/>
      <c r="G340" s="766"/>
      <c r="H340" s="766"/>
      <c r="I340" s="766"/>
      <c r="J340" s="766"/>
      <c r="K340" s="754"/>
      <c r="L340" s="123"/>
      <c r="M340" s="229"/>
      <c r="N340" s="229"/>
      <c r="O340" s="229"/>
      <c r="P340" s="229"/>
      <c r="Q340" s="526"/>
    </row>
    <row r="341" spans="1:17" s="128" customFormat="1" ht="30" hidden="1" x14ac:dyDescent="0.25">
      <c r="A341" s="1297"/>
      <c r="B341" s="762"/>
      <c r="C341" s="762" t="s">
        <v>82</v>
      </c>
      <c r="D341" s="762"/>
      <c r="E341" s="754" t="s">
        <v>782</v>
      </c>
      <c r="F341" s="766"/>
      <c r="G341" s="766"/>
      <c r="H341" s="766"/>
      <c r="I341" s="766"/>
      <c r="J341" s="766"/>
      <c r="K341" s="754"/>
      <c r="L341" s="123"/>
      <c r="M341" s="230"/>
      <c r="N341" s="230"/>
      <c r="O341" s="230"/>
      <c r="P341" s="230"/>
      <c r="Q341" s="527"/>
    </row>
    <row r="342" spans="1:17" s="128" customFormat="1" ht="60" hidden="1" x14ac:dyDescent="0.25">
      <c r="A342" s="1297"/>
      <c r="B342" s="762"/>
      <c r="C342" s="762" t="s">
        <v>83</v>
      </c>
      <c r="D342" s="762"/>
      <c r="E342" s="754" t="s">
        <v>783</v>
      </c>
      <c r="F342" s="766"/>
      <c r="G342" s="766"/>
      <c r="H342" s="766"/>
      <c r="I342" s="766"/>
      <c r="J342" s="766"/>
      <c r="K342" s="754"/>
      <c r="L342" s="123"/>
      <c r="M342" s="230"/>
      <c r="N342" s="230"/>
      <c r="O342" s="230"/>
      <c r="P342" s="230"/>
      <c r="Q342" s="527"/>
    </row>
    <row r="343" spans="1:17" s="128" customFormat="1" ht="97.5" customHeight="1" x14ac:dyDescent="0.25">
      <c r="A343" s="1297"/>
      <c r="B343" s="762"/>
      <c r="C343" s="762" t="s">
        <v>181</v>
      </c>
      <c r="D343" s="762"/>
      <c r="E343" s="754" t="s">
        <v>784</v>
      </c>
      <c r="F343" s="766">
        <v>70000</v>
      </c>
      <c r="G343" s="766"/>
      <c r="H343" s="766">
        <v>2763738.9</v>
      </c>
      <c r="I343" s="766">
        <v>2763738.9</v>
      </c>
      <c r="J343" s="766">
        <v>2763738.9</v>
      </c>
      <c r="K343" s="754" t="s">
        <v>1357</v>
      </c>
      <c r="L343" s="123" t="s">
        <v>19</v>
      </c>
      <c r="M343" s="230">
        <v>1</v>
      </c>
      <c r="N343" s="230">
        <v>1</v>
      </c>
      <c r="O343" s="230">
        <v>1</v>
      </c>
      <c r="P343" s="230">
        <v>1</v>
      </c>
      <c r="Q343" s="527">
        <v>1</v>
      </c>
    </row>
    <row r="344" spans="1:17" s="128" customFormat="1" ht="32.25" customHeight="1" x14ac:dyDescent="0.25">
      <c r="A344" s="1297"/>
      <c r="B344" s="1006" t="s">
        <v>107</v>
      </c>
      <c r="C344" s="1006" t="s">
        <v>184</v>
      </c>
      <c r="D344" s="1006"/>
      <c r="E344" s="1272" t="s">
        <v>820</v>
      </c>
      <c r="F344" s="1293">
        <v>0</v>
      </c>
      <c r="G344" s="1290">
        <v>197244.6</v>
      </c>
      <c r="H344" s="1290">
        <v>386750</v>
      </c>
      <c r="I344" s="1290">
        <v>533450</v>
      </c>
      <c r="J344" s="1290">
        <v>374400</v>
      </c>
      <c r="K344" s="754" t="s">
        <v>785</v>
      </c>
      <c r="L344" s="123" t="s">
        <v>19</v>
      </c>
      <c r="M344" s="230">
        <v>0</v>
      </c>
      <c r="N344" s="229">
        <v>0.05</v>
      </c>
      <c r="O344" s="229">
        <v>0.1</v>
      </c>
      <c r="P344" s="229">
        <v>0.15</v>
      </c>
      <c r="Q344" s="526">
        <v>0.15</v>
      </c>
    </row>
    <row r="345" spans="1:17" s="128" customFormat="1" ht="44.25" customHeight="1" x14ac:dyDescent="0.25">
      <c r="A345" s="1297"/>
      <c r="B345" s="1006"/>
      <c r="C345" s="1006"/>
      <c r="D345" s="1006"/>
      <c r="E345" s="1272"/>
      <c r="F345" s="1293"/>
      <c r="G345" s="1290"/>
      <c r="H345" s="1290"/>
      <c r="I345" s="1290"/>
      <c r="J345" s="1290"/>
      <c r="K345" s="754" t="s">
        <v>1358</v>
      </c>
      <c r="L345" s="123" t="s">
        <v>786</v>
      </c>
      <c r="M345" s="230" t="s">
        <v>787</v>
      </c>
      <c r="N345" s="229" t="s">
        <v>788</v>
      </c>
      <c r="O345" s="229" t="s">
        <v>789</v>
      </c>
      <c r="P345" s="229" t="s">
        <v>790</v>
      </c>
      <c r="Q345" s="526" t="s">
        <v>791</v>
      </c>
    </row>
    <row r="346" spans="1:17" s="128" customFormat="1" ht="90.75" customHeight="1" x14ac:dyDescent="0.25">
      <c r="A346" s="1297"/>
      <c r="B346" s="1006"/>
      <c r="C346" s="1006"/>
      <c r="D346" s="1006"/>
      <c r="E346" s="1272"/>
      <c r="F346" s="1293"/>
      <c r="G346" s="1290"/>
      <c r="H346" s="1290"/>
      <c r="I346" s="1290"/>
      <c r="J346" s="1290"/>
      <c r="K346" s="754" t="s">
        <v>1359</v>
      </c>
      <c r="L346" s="123" t="s">
        <v>414</v>
      </c>
      <c r="M346" s="230"/>
      <c r="N346" s="235" t="s">
        <v>792</v>
      </c>
      <c r="O346" s="235"/>
      <c r="P346" s="235"/>
      <c r="Q346" s="528"/>
    </row>
    <row r="347" spans="1:17" s="128" customFormat="1" ht="30" customHeight="1" x14ac:dyDescent="0.25">
      <c r="A347" s="1297"/>
      <c r="B347" s="1006"/>
      <c r="C347" s="1006"/>
      <c r="D347" s="1006"/>
      <c r="E347" s="1272"/>
      <c r="F347" s="1293"/>
      <c r="G347" s="1290"/>
      <c r="H347" s="1290"/>
      <c r="I347" s="1290"/>
      <c r="J347" s="1290"/>
      <c r="K347" s="754" t="s">
        <v>793</v>
      </c>
      <c r="L347" s="123" t="s">
        <v>19</v>
      </c>
      <c r="M347" s="230">
        <v>0</v>
      </c>
      <c r="N347" s="446" t="s">
        <v>794</v>
      </c>
      <c r="O347" s="446"/>
      <c r="P347" s="446"/>
      <c r="Q347" s="529"/>
    </row>
    <row r="348" spans="1:17" s="128" customFormat="1" ht="21" hidden="1" customHeight="1" x14ac:dyDescent="0.25">
      <c r="A348" s="1297"/>
      <c r="B348" s="233"/>
      <c r="C348" s="233"/>
      <c r="D348" s="233"/>
      <c r="E348" s="447" t="s">
        <v>795</v>
      </c>
      <c r="F348" s="767">
        <f>SUM(F329:F343)</f>
        <v>5075900</v>
      </c>
      <c r="G348" s="767">
        <f>SUM(G329:G344)</f>
        <v>4782403.8999999994</v>
      </c>
      <c r="H348" s="767">
        <f>SUM(H329:H344)</f>
        <v>7803739.4000000004</v>
      </c>
      <c r="I348" s="767">
        <f>SUM(I329:I344)</f>
        <v>8048306</v>
      </c>
      <c r="J348" s="767">
        <f>SUM(J329:J344)</f>
        <v>8092276.9000000004</v>
      </c>
      <c r="K348" s="448"/>
      <c r="L348" s="123"/>
      <c r="M348" s="449"/>
      <c r="N348" s="449"/>
      <c r="O348" s="449"/>
      <c r="P348" s="449"/>
      <c r="Q348" s="525"/>
    </row>
    <row r="349" spans="1:17" s="128" customFormat="1" ht="41.25" customHeight="1" x14ac:dyDescent="0.25">
      <c r="A349" s="1297"/>
      <c r="B349" s="1298" t="s">
        <v>144</v>
      </c>
      <c r="C349" s="1301"/>
      <c r="D349" s="1301"/>
      <c r="E349" s="1292" t="s">
        <v>824</v>
      </c>
      <c r="F349" s="1291">
        <f>SUM(F354:F363)</f>
        <v>7410700</v>
      </c>
      <c r="G349" s="1291">
        <f>SUM(G354:G363)</f>
        <v>5651237.8000000007</v>
      </c>
      <c r="H349" s="1291">
        <f>SUM(H354:H363)</f>
        <v>6389728.5</v>
      </c>
      <c r="I349" s="1291">
        <f>SUM(I354:I363)</f>
        <v>6385310.6000000006</v>
      </c>
      <c r="J349" s="1291">
        <f>SUM(J354:J363)</f>
        <v>6450586.7999999998</v>
      </c>
      <c r="K349" s="754" t="s">
        <v>796</v>
      </c>
      <c r="L349" s="123" t="s">
        <v>19</v>
      </c>
      <c r="M349" s="230" t="s">
        <v>797</v>
      </c>
      <c r="N349" s="230" t="s">
        <v>798</v>
      </c>
      <c r="O349" s="230" t="s">
        <v>799</v>
      </c>
      <c r="P349" s="230" t="s">
        <v>800</v>
      </c>
      <c r="Q349" s="527" t="s">
        <v>800</v>
      </c>
    </row>
    <row r="350" spans="1:17" s="128" customFormat="1" ht="30" x14ac:dyDescent="0.25">
      <c r="A350" s="1297"/>
      <c r="B350" s="1299"/>
      <c r="C350" s="1302"/>
      <c r="D350" s="1302"/>
      <c r="E350" s="1292"/>
      <c r="F350" s="1291"/>
      <c r="G350" s="1291"/>
      <c r="H350" s="1291"/>
      <c r="I350" s="1291"/>
      <c r="J350" s="1291"/>
      <c r="K350" s="754" t="s">
        <v>801</v>
      </c>
      <c r="L350" s="123" t="s">
        <v>19</v>
      </c>
      <c r="M350" s="230">
        <v>0.82</v>
      </c>
      <c r="N350" s="230">
        <v>0.83</v>
      </c>
      <c r="O350" s="230">
        <v>0.85</v>
      </c>
      <c r="P350" s="230" t="s">
        <v>802</v>
      </c>
      <c r="Q350" s="527" t="s">
        <v>802</v>
      </c>
    </row>
    <row r="351" spans="1:17" s="128" customFormat="1" ht="45" x14ac:dyDescent="0.25">
      <c r="A351" s="1297"/>
      <c r="B351" s="1299"/>
      <c r="C351" s="1302"/>
      <c r="D351" s="1302"/>
      <c r="E351" s="1292"/>
      <c r="F351" s="1291"/>
      <c r="G351" s="1291"/>
      <c r="H351" s="1291"/>
      <c r="I351" s="1291"/>
      <c r="J351" s="1291"/>
      <c r="K351" s="754" t="s">
        <v>803</v>
      </c>
      <c r="L351" s="123" t="s">
        <v>19</v>
      </c>
      <c r="M351" s="230"/>
      <c r="N351" s="230"/>
      <c r="O351" s="230"/>
      <c r="P351" s="230"/>
      <c r="Q351" s="527"/>
    </row>
    <row r="352" spans="1:17" s="128" customFormat="1" x14ac:dyDescent="0.25">
      <c r="A352" s="1297"/>
      <c r="B352" s="1299"/>
      <c r="C352" s="1302"/>
      <c r="D352" s="1302"/>
      <c r="E352" s="1292"/>
      <c r="F352" s="1291"/>
      <c r="G352" s="1291"/>
      <c r="H352" s="1291"/>
      <c r="I352" s="1291"/>
      <c r="J352" s="1291"/>
      <c r="K352" s="754" t="s">
        <v>804</v>
      </c>
      <c r="L352" s="123"/>
      <c r="M352" s="230">
        <v>0.14899999999999999</v>
      </c>
      <c r="N352" s="230">
        <v>0.15</v>
      </c>
      <c r="O352" s="230">
        <v>0.151</v>
      </c>
      <c r="P352" s="230">
        <v>0.152</v>
      </c>
      <c r="Q352" s="527">
        <v>0.152</v>
      </c>
    </row>
    <row r="353" spans="1:17" s="128" customFormat="1" x14ac:dyDescent="0.25">
      <c r="A353" s="1297"/>
      <c r="B353" s="1300"/>
      <c r="C353" s="1303"/>
      <c r="D353" s="1303"/>
      <c r="E353" s="1292"/>
      <c r="F353" s="1291"/>
      <c r="G353" s="1291"/>
      <c r="H353" s="1291"/>
      <c r="I353" s="1291"/>
      <c r="J353" s="1291"/>
      <c r="K353" s="754" t="s">
        <v>805</v>
      </c>
      <c r="L353" s="123"/>
      <c r="M353" s="230">
        <v>5.5E-2</v>
      </c>
      <c r="N353" s="230">
        <v>5.6000000000000001E-2</v>
      </c>
      <c r="O353" s="230">
        <v>5.7000000000000002E-2</v>
      </c>
      <c r="P353" s="230">
        <v>5.8000000000000003E-2</v>
      </c>
      <c r="Q353" s="527">
        <v>5.8000000000000003E-2</v>
      </c>
    </row>
    <row r="354" spans="1:17" s="128" customFormat="1" ht="30" x14ac:dyDescent="0.25">
      <c r="A354" s="1297"/>
      <c r="B354" s="1006"/>
      <c r="C354" s="1006" t="s">
        <v>43</v>
      </c>
      <c r="D354" s="1006"/>
      <c r="E354" s="1272" t="s">
        <v>806</v>
      </c>
      <c r="F354" s="1290">
        <f>6391248.3-1005381+700336.6</f>
        <v>6086203.8999999994</v>
      </c>
      <c r="G354" s="1290">
        <f>6231419.3-2789000+405749.9+598594.4-9.6</f>
        <v>4446754</v>
      </c>
      <c r="H354" s="1290">
        <f>6469307.1-2788610+523059</f>
        <v>4203756.0999999996</v>
      </c>
      <c r="I354" s="1290">
        <f>3680697.1+510879.5</f>
        <v>4191576.6</v>
      </c>
      <c r="J354" s="1290">
        <f>6843637.3-2565000-80811.7</f>
        <v>4197825.5999999996</v>
      </c>
      <c r="K354" s="122" t="s">
        <v>807</v>
      </c>
      <c r="L354" s="123" t="s">
        <v>19</v>
      </c>
      <c r="M354" s="230" t="s">
        <v>808</v>
      </c>
      <c r="N354" s="230" t="s">
        <v>808</v>
      </c>
      <c r="O354" s="230" t="s">
        <v>808</v>
      </c>
      <c r="P354" s="230" t="s">
        <v>808</v>
      </c>
      <c r="Q354" s="527" t="s">
        <v>808</v>
      </c>
    </row>
    <row r="355" spans="1:17" s="128" customFormat="1" ht="75" x14ac:dyDescent="0.25">
      <c r="A355" s="1297"/>
      <c r="B355" s="1006"/>
      <c r="C355" s="1006"/>
      <c r="D355" s="1006"/>
      <c r="E355" s="1272"/>
      <c r="F355" s="1290"/>
      <c r="G355" s="1290"/>
      <c r="H355" s="1290"/>
      <c r="I355" s="1290"/>
      <c r="J355" s="1290"/>
      <c r="K355" s="122" t="s">
        <v>1360</v>
      </c>
      <c r="L355" s="123" t="s">
        <v>19</v>
      </c>
      <c r="M355" s="230">
        <v>6.5000000000000002E-2</v>
      </c>
      <c r="N355" s="230">
        <v>7.0000000000000007E-2</v>
      </c>
      <c r="O355" s="230">
        <v>7.4999999999999997E-2</v>
      </c>
      <c r="P355" s="230">
        <v>0.08</v>
      </c>
      <c r="Q355" s="527">
        <v>0.08</v>
      </c>
    </row>
    <row r="356" spans="1:17" s="128" customFormat="1" ht="30" x14ac:dyDescent="0.25">
      <c r="A356" s="1297"/>
      <c r="B356" s="1006"/>
      <c r="C356" s="1006"/>
      <c r="D356" s="1006"/>
      <c r="E356" s="1272"/>
      <c r="F356" s="1290"/>
      <c r="G356" s="1290"/>
      <c r="H356" s="1290"/>
      <c r="I356" s="1290"/>
      <c r="J356" s="1290"/>
      <c r="K356" s="754" t="s">
        <v>809</v>
      </c>
      <c r="L356" s="123" t="s">
        <v>19</v>
      </c>
      <c r="M356" s="230">
        <v>1.05</v>
      </c>
      <c r="N356" s="230">
        <v>1.03</v>
      </c>
      <c r="O356" s="230">
        <v>1.01</v>
      </c>
      <c r="P356" s="230">
        <v>1</v>
      </c>
      <c r="Q356" s="527">
        <v>1</v>
      </c>
    </row>
    <row r="357" spans="1:17" s="128" customFormat="1" ht="30" customHeight="1" x14ac:dyDescent="0.25">
      <c r="A357" s="1297"/>
      <c r="B357" s="1006"/>
      <c r="C357" s="1006"/>
      <c r="D357" s="1006"/>
      <c r="E357" s="1272"/>
      <c r="F357" s="1290"/>
      <c r="G357" s="1290"/>
      <c r="H357" s="1290"/>
      <c r="I357" s="1290"/>
      <c r="J357" s="1290"/>
      <c r="K357" s="754" t="s">
        <v>1361</v>
      </c>
      <c r="L357" s="123" t="s">
        <v>19</v>
      </c>
      <c r="M357" s="230" t="s">
        <v>810</v>
      </c>
      <c r="N357" s="230" t="s">
        <v>810</v>
      </c>
      <c r="O357" s="230" t="s">
        <v>810</v>
      </c>
      <c r="P357" s="230" t="s">
        <v>810</v>
      </c>
      <c r="Q357" s="527" t="s">
        <v>810</v>
      </c>
    </row>
    <row r="358" spans="1:17" s="128" customFormat="1" ht="30" x14ac:dyDescent="0.25">
      <c r="A358" s="1297"/>
      <c r="B358" s="1006"/>
      <c r="C358" s="1006"/>
      <c r="D358" s="1006"/>
      <c r="E358" s="1272"/>
      <c r="F358" s="1290"/>
      <c r="G358" s="1290"/>
      <c r="H358" s="1290"/>
      <c r="I358" s="1290"/>
      <c r="J358" s="1290"/>
      <c r="K358" s="122" t="s">
        <v>809</v>
      </c>
      <c r="L358" s="123" t="s">
        <v>19</v>
      </c>
      <c r="M358" s="230">
        <v>1.06</v>
      </c>
      <c r="N358" s="230">
        <v>1.02</v>
      </c>
      <c r="O358" s="230" t="s">
        <v>811</v>
      </c>
      <c r="P358" s="230" t="s">
        <v>811</v>
      </c>
      <c r="Q358" s="527" t="s">
        <v>811</v>
      </c>
    </row>
    <row r="359" spans="1:17" s="128" customFormat="1" ht="70.5" customHeight="1" x14ac:dyDescent="0.25">
      <c r="A359" s="1297"/>
      <c r="B359" s="762"/>
      <c r="C359" s="762" t="s">
        <v>48</v>
      </c>
      <c r="D359" s="762"/>
      <c r="E359" s="754" t="s">
        <v>812</v>
      </c>
      <c r="F359" s="766">
        <v>676147</v>
      </c>
      <c r="G359" s="766">
        <v>647299.4</v>
      </c>
      <c r="H359" s="766">
        <f>725215.4-290000</f>
        <v>435215.4</v>
      </c>
      <c r="I359" s="766">
        <f>746114.8-290000-20000</f>
        <v>436114.80000000005</v>
      </c>
      <c r="J359" s="766">
        <f>767714.7-290000</f>
        <v>477714.69999999995</v>
      </c>
      <c r="K359" s="754" t="s">
        <v>809</v>
      </c>
      <c r="L359" s="123" t="s">
        <v>19</v>
      </c>
      <c r="M359" s="230">
        <v>1</v>
      </c>
      <c r="N359" s="230">
        <v>1</v>
      </c>
      <c r="O359" s="230">
        <v>1</v>
      </c>
      <c r="P359" s="230">
        <v>1</v>
      </c>
      <c r="Q359" s="527">
        <v>1</v>
      </c>
    </row>
    <row r="360" spans="1:17" s="128" customFormat="1" ht="60" customHeight="1" x14ac:dyDescent="0.25">
      <c r="A360" s="1297"/>
      <c r="B360" s="762"/>
      <c r="C360" s="762" t="s">
        <v>37</v>
      </c>
      <c r="D360" s="762"/>
      <c r="E360" s="754" t="s">
        <v>813</v>
      </c>
      <c r="F360" s="766">
        <v>235864</v>
      </c>
      <c r="G360" s="766">
        <v>230680.3</v>
      </c>
      <c r="H360" s="766">
        <f>228327.8-8000</f>
        <v>220327.8</v>
      </c>
      <c r="I360" s="766">
        <f>234919.9-8000</f>
        <v>226919.9</v>
      </c>
      <c r="J360" s="766">
        <f>241732.9-8000</f>
        <v>233732.9</v>
      </c>
      <c r="K360" s="754" t="s">
        <v>809</v>
      </c>
      <c r="L360" s="123" t="s">
        <v>19</v>
      </c>
      <c r="M360" s="230" t="s">
        <v>811</v>
      </c>
      <c r="N360" s="230" t="s">
        <v>811</v>
      </c>
      <c r="O360" s="230" t="s">
        <v>811</v>
      </c>
      <c r="P360" s="230" t="s">
        <v>811</v>
      </c>
      <c r="Q360" s="527" t="s">
        <v>811</v>
      </c>
    </row>
    <row r="361" spans="1:17" s="128" customFormat="1" ht="57" customHeight="1" x14ac:dyDescent="0.25">
      <c r="A361" s="1297"/>
      <c r="B361" s="762"/>
      <c r="C361" s="762" t="s">
        <v>73</v>
      </c>
      <c r="D361" s="762"/>
      <c r="E361" s="754" t="s">
        <v>814</v>
      </c>
      <c r="F361" s="766">
        <v>46414.2</v>
      </c>
      <c r="G361" s="766">
        <v>51929.9</v>
      </c>
      <c r="H361" s="766">
        <f>32500-2000</f>
        <v>30500</v>
      </c>
      <c r="I361" s="766">
        <f>33438.3-2000</f>
        <v>31438.300000000003</v>
      </c>
      <c r="J361" s="766">
        <f>34408.1-2000</f>
        <v>32408.1</v>
      </c>
      <c r="K361" s="754" t="s">
        <v>809</v>
      </c>
      <c r="L361" s="123" t="s">
        <v>19</v>
      </c>
      <c r="M361" s="230" t="s">
        <v>811</v>
      </c>
      <c r="N361" s="230" t="s">
        <v>811</v>
      </c>
      <c r="O361" s="230" t="s">
        <v>811</v>
      </c>
      <c r="P361" s="230" t="s">
        <v>811</v>
      </c>
      <c r="Q361" s="527" t="s">
        <v>811</v>
      </c>
    </row>
    <row r="362" spans="1:17" s="128" customFormat="1" ht="45" x14ac:dyDescent="0.25">
      <c r="A362" s="1297"/>
      <c r="B362" s="762"/>
      <c r="C362" s="762" t="s">
        <v>76</v>
      </c>
      <c r="D362" s="762"/>
      <c r="E362" s="754" t="s">
        <v>815</v>
      </c>
      <c r="F362" s="766">
        <v>275283.40000000002</v>
      </c>
      <c r="G362" s="766">
        <v>274574.2</v>
      </c>
      <c r="H362" s="766">
        <f>328756.7-115000</f>
        <v>213756.7</v>
      </c>
      <c r="I362" s="766">
        <f>338088.5-125000</f>
        <v>213088.5</v>
      </c>
      <c r="J362" s="766">
        <f>347733-125000</f>
        <v>222733</v>
      </c>
      <c r="K362" s="754" t="s">
        <v>809</v>
      </c>
      <c r="L362" s="123" t="s">
        <v>19</v>
      </c>
      <c r="M362" s="230" t="s">
        <v>811</v>
      </c>
      <c r="N362" s="230" t="s">
        <v>811</v>
      </c>
      <c r="O362" s="230" t="s">
        <v>811</v>
      </c>
      <c r="P362" s="230" t="s">
        <v>811</v>
      </c>
      <c r="Q362" s="527" t="s">
        <v>811</v>
      </c>
    </row>
    <row r="363" spans="1:17" s="128" customFormat="1" ht="60" x14ac:dyDescent="0.25">
      <c r="A363" s="1297"/>
      <c r="B363" s="762"/>
      <c r="C363" s="762" t="s">
        <v>83</v>
      </c>
      <c r="D363" s="762"/>
      <c r="E363" s="754" t="s">
        <v>816</v>
      </c>
      <c r="F363" s="766">
        <v>90787.5</v>
      </c>
      <c r="G363" s="766"/>
      <c r="H363" s="766">
        <v>1286172.5</v>
      </c>
      <c r="I363" s="766">
        <v>1286172.5</v>
      </c>
      <c r="J363" s="766">
        <v>1286172.5</v>
      </c>
      <c r="K363" s="754" t="s">
        <v>817</v>
      </c>
      <c r="L363" s="123" t="s">
        <v>19</v>
      </c>
      <c r="M363" s="230">
        <v>0.83699999999999997</v>
      </c>
      <c r="N363" s="230">
        <v>1</v>
      </c>
      <c r="O363" s="230">
        <v>1</v>
      </c>
      <c r="P363" s="230">
        <v>1</v>
      </c>
      <c r="Q363" s="527">
        <v>1</v>
      </c>
    </row>
    <row r="364" spans="1:17" s="128" customFormat="1" ht="128.25" customHeight="1" x14ac:dyDescent="0.25">
      <c r="A364" s="1297"/>
      <c r="B364" s="762" t="s">
        <v>699</v>
      </c>
      <c r="C364" s="762"/>
      <c r="D364" s="762"/>
      <c r="E364" s="122" t="s">
        <v>1362</v>
      </c>
      <c r="F364" s="767">
        <f>F365</f>
        <v>757700</v>
      </c>
      <c r="G364" s="767">
        <f>G365</f>
        <v>757700</v>
      </c>
      <c r="H364" s="767">
        <f>H365</f>
        <v>1421280</v>
      </c>
      <c r="I364" s="767">
        <f>I365</f>
        <v>1421280</v>
      </c>
      <c r="J364" s="767">
        <f>J365</f>
        <v>1516397.9</v>
      </c>
      <c r="K364" s="754" t="s">
        <v>818</v>
      </c>
      <c r="L364" s="123" t="s">
        <v>19</v>
      </c>
      <c r="M364" s="229">
        <v>0.78</v>
      </c>
      <c r="N364" s="229">
        <v>0.79</v>
      </c>
      <c r="O364" s="229">
        <v>0.8</v>
      </c>
      <c r="P364" s="229">
        <v>0.81</v>
      </c>
      <c r="Q364" s="526">
        <v>0.81</v>
      </c>
    </row>
    <row r="365" spans="1:17" s="128" customFormat="1" ht="135" x14ac:dyDescent="0.25">
      <c r="A365" s="1297"/>
      <c r="B365" s="762"/>
      <c r="C365" s="762" t="s">
        <v>43</v>
      </c>
      <c r="D365" s="762"/>
      <c r="E365" s="754" t="s">
        <v>821</v>
      </c>
      <c r="F365" s="767">
        <f>682700+75000</f>
        <v>757700</v>
      </c>
      <c r="G365" s="767">
        <v>757700</v>
      </c>
      <c r="H365" s="767">
        <v>1421280</v>
      </c>
      <c r="I365" s="767">
        <v>1421280</v>
      </c>
      <c r="J365" s="767">
        <f>1526397.9-10000</f>
        <v>1516397.9</v>
      </c>
      <c r="K365" s="754" t="s">
        <v>819</v>
      </c>
      <c r="L365" s="123" t="s">
        <v>414</v>
      </c>
      <c r="M365" s="234">
        <v>170</v>
      </c>
      <c r="N365" s="234">
        <v>190</v>
      </c>
      <c r="O365" s="234"/>
      <c r="P365" s="234"/>
      <c r="Q365" s="530"/>
    </row>
    <row r="366" spans="1:17" s="23" customFormat="1" ht="21.75" customHeight="1" x14ac:dyDescent="0.25">
      <c r="A366" s="1004" t="s">
        <v>23</v>
      </c>
      <c r="B366" s="1005"/>
      <c r="C366" s="1005"/>
      <c r="D366" s="1005"/>
      <c r="E366" s="1005"/>
      <c r="F366" s="28">
        <f>F325+F349+F364</f>
        <v>13244300</v>
      </c>
      <c r="G366" s="28">
        <f>G325+G349+G364</f>
        <v>11191341.699999999</v>
      </c>
      <c r="H366" s="28">
        <f>H325+H349+H364</f>
        <v>15614747.9</v>
      </c>
      <c r="I366" s="28">
        <f>I325+I349+I364</f>
        <v>15854896.600000001</v>
      </c>
      <c r="J366" s="28">
        <f>J325+J349+J364</f>
        <v>16059261.6</v>
      </c>
      <c r="K366" s="43"/>
      <c r="L366" s="161"/>
      <c r="M366" s="161"/>
      <c r="N366" s="161"/>
      <c r="O366" s="161"/>
      <c r="P366" s="161"/>
      <c r="Q366" s="493"/>
    </row>
    <row r="367" spans="1:17" s="23" customFormat="1" ht="22.5" customHeight="1" x14ac:dyDescent="0.25">
      <c r="A367" s="1208" t="s">
        <v>1712</v>
      </c>
      <c r="B367" s="1209"/>
      <c r="C367" s="1209"/>
      <c r="D367" s="1209"/>
      <c r="E367" s="1209"/>
      <c r="F367" s="1209"/>
      <c r="G367" s="1209"/>
      <c r="H367" s="1209"/>
      <c r="I367" s="1209"/>
      <c r="J367" s="1209"/>
      <c r="K367" s="1209"/>
      <c r="L367" s="1209"/>
      <c r="M367" s="1209"/>
      <c r="N367" s="1209"/>
      <c r="O367" s="1209"/>
      <c r="P367" s="183"/>
      <c r="Q367" s="522"/>
    </row>
    <row r="368" spans="1:17" s="133" customFormat="1" ht="101.25" customHeight="1" x14ac:dyDescent="0.25">
      <c r="A368" s="523"/>
      <c r="B368" s="681" t="s">
        <v>722</v>
      </c>
      <c r="C368" s="672"/>
      <c r="D368" s="672"/>
      <c r="E368" s="684" t="s">
        <v>1418</v>
      </c>
      <c r="F368" s="685">
        <f>SUM(F369:F372)</f>
        <v>22536707.399999999</v>
      </c>
      <c r="G368" s="685">
        <f>SUM(G369:G372)</f>
        <v>23215728.400000002</v>
      </c>
      <c r="H368" s="652">
        <f>SUM(H369:H372)</f>
        <v>26675588.5</v>
      </c>
      <c r="I368" s="652">
        <f>SUM(I369:I372)</f>
        <v>27786222.600000001</v>
      </c>
      <c r="J368" s="652">
        <f>SUM(J369:J372)</f>
        <v>28880876.299999997</v>
      </c>
      <c r="K368" s="241" t="s">
        <v>489</v>
      </c>
      <c r="L368" s="677" t="s">
        <v>17</v>
      </c>
      <c r="M368" s="677">
        <v>0</v>
      </c>
      <c r="N368" s="677">
        <v>0</v>
      </c>
      <c r="O368" s="677">
        <v>0</v>
      </c>
      <c r="P368" s="677">
        <v>0</v>
      </c>
      <c r="Q368" s="680">
        <v>0</v>
      </c>
    </row>
    <row r="369" spans="1:17" s="133" customFormat="1" ht="51" customHeight="1" x14ac:dyDescent="0.25">
      <c r="A369" s="523"/>
      <c r="B369" s="681"/>
      <c r="C369" s="672" t="s">
        <v>43</v>
      </c>
      <c r="D369" s="672"/>
      <c r="E369" s="648" t="s">
        <v>490</v>
      </c>
      <c r="F369" s="619">
        <v>13520624.4</v>
      </c>
      <c r="G369" s="619">
        <v>14231364.6</v>
      </c>
      <c r="H369" s="618">
        <f>15459468.9+960185+138000</f>
        <v>16557653.9</v>
      </c>
      <c r="I369" s="618">
        <f>16352960.9+960185</f>
        <v>17313145.899999999</v>
      </c>
      <c r="J369" s="618">
        <f>16939073.2+960185</f>
        <v>17899258.199999999</v>
      </c>
      <c r="K369" s="241" t="s">
        <v>489</v>
      </c>
      <c r="L369" s="677" t="s">
        <v>17</v>
      </c>
      <c r="M369" s="677">
        <v>0</v>
      </c>
      <c r="N369" s="677">
        <v>0</v>
      </c>
      <c r="O369" s="677">
        <v>0</v>
      </c>
      <c r="P369" s="677">
        <v>0</v>
      </c>
      <c r="Q369" s="680">
        <v>0</v>
      </c>
    </row>
    <row r="370" spans="1:17" s="133" customFormat="1" ht="47.25" customHeight="1" x14ac:dyDescent="0.25">
      <c r="A370" s="523"/>
      <c r="B370" s="681"/>
      <c r="C370" s="672" t="s">
        <v>48</v>
      </c>
      <c r="D370" s="672"/>
      <c r="E370" s="648" t="s">
        <v>491</v>
      </c>
      <c r="F370" s="619">
        <v>1910982.5</v>
      </c>
      <c r="G370" s="619">
        <v>1915837.9</v>
      </c>
      <c r="H370" s="618">
        <f>1986225.4</f>
        <v>1986225.4</v>
      </c>
      <c r="I370" s="618">
        <v>2036880.6</v>
      </c>
      <c r="J370" s="618">
        <v>2088150.9</v>
      </c>
      <c r="K370" s="241" t="s">
        <v>489</v>
      </c>
      <c r="L370" s="677" t="s">
        <v>17</v>
      </c>
      <c r="M370" s="677">
        <v>0</v>
      </c>
      <c r="N370" s="677">
        <v>0</v>
      </c>
      <c r="O370" s="677">
        <v>0</v>
      </c>
      <c r="P370" s="677">
        <v>0</v>
      </c>
      <c r="Q370" s="680">
        <v>0</v>
      </c>
    </row>
    <row r="371" spans="1:17" s="133" customFormat="1" ht="47.25" customHeight="1" x14ac:dyDescent="0.25">
      <c r="A371" s="523"/>
      <c r="B371" s="681"/>
      <c r="C371" s="672" t="s">
        <v>37</v>
      </c>
      <c r="D371" s="672"/>
      <c r="E371" s="648" t="s">
        <v>492</v>
      </c>
      <c r="F371" s="619">
        <f>3311200+36000</f>
        <v>3347200</v>
      </c>
      <c r="G371" s="619">
        <v>3305981.3</v>
      </c>
      <c r="H371" s="618">
        <f>4007316.1+120000+71313.9</f>
        <v>4198630</v>
      </c>
      <c r="I371" s="618">
        <f>4153349.6+120000+71313.9</f>
        <v>4344663.5</v>
      </c>
      <c r="J371" s="618">
        <f>4451760.1+120000+71313.9</f>
        <v>4643074</v>
      </c>
      <c r="K371" s="241" t="s">
        <v>489</v>
      </c>
      <c r="L371" s="677" t="s">
        <v>17</v>
      </c>
      <c r="M371" s="677">
        <v>0</v>
      </c>
      <c r="N371" s="677">
        <v>0</v>
      </c>
      <c r="O371" s="677">
        <v>0</v>
      </c>
      <c r="P371" s="677">
        <v>0</v>
      </c>
      <c r="Q371" s="680">
        <v>0</v>
      </c>
    </row>
    <row r="372" spans="1:17" s="133" customFormat="1" ht="45" x14ac:dyDescent="0.25">
      <c r="A372" s="523"/>
      <c r="B372" s="681"/>
      <c r="C372" s="672" t="s">
        <v>73</v>
      </c>
      <c r="D372" s="672"/>
      <c r="E372" s="648" t="s">
        <v>493</v>
      </c>
      <c r="F372" s="619">
        <v>3757900.5</v>
      </c>
      <c r="G372" s="619">
        <v>3762544.6</v>
      </c>
      <c r="H372" s="618">
        <v>3933079.2</v>
      </c>
      <c r="I372" s="618">
        <v>4091532.6</v>
      </c>
      <c r="J372" s="618">
        <v>4250393.2</v>
      </c>
      <c r="K372" s="241" t="s">
        <v>489</v>
      </c>
      <c r="L372" s="677" t="s">
        <v>17</v>
      </c>
      <c r="M372" s="677">
        <v>0</v>
      </c>
      <c r="N372" s="677">
        <v>0</v>
      </c>
      <c r="O372" s="677">
        <v>0</v>
      </c>
      <c r="P372" s="677">
        <v>0</v>
      </c>
      <c r="Q372" s="680">
        <v>0</v>
      </c>
    </row>
    <row r="373" spans="1:17" s="23" customFormat="1" ht="21.75" customHeight="1" x14ac:dyDescent="0.25">
      <c r="A373" s="1004" t="s">
        <v>23</v>
      </c>
      <c r="B373" s="1005"/>
      <c r="C373" s="1005"/>
      <c r="D373" s="1005"/>
      <c r="E373" s="1005"/>
      <c r="F373" s="28">
        <f>SUM(F368)</f>
        <v>22536707.399999999</v>
      </c>
      <c r="G373" s="28">
        <f>SUM(G368)</f>
        <v>23215728.400000002</v>
      </c>
      <c r="H373" s="28">
        <f>SUM(H368)</f>
        <v>26675588.5</v>
      </c>
      <c r="I373" s="28">
        <f>SUM(I368)</f>
        <v>27786222.600000001</v>
      </c>
      <c r="J373" s="28">
        <f>SUM(J368)</f>
        <v>28880876.299999997</v>
      </c>
      <c r="K373" s="43"/>
      <c r="L373" s="161"/>
      <c r="M373" s="161"/>
      <c r="N373" s="161"/>
      <c r="O373" s="161"/>
      <c r="P373" s="161"/>
      <c r="Q373" s="493"/>
    </row>
    <row r="374" spans="1:17" s="975" customFormat="1" ht="45.75" customHeight="1" x14ac:dyDescent="0.2">
      <c r="A374" s="863">
        <v>26</v>
      </c>
      <c r="B374" s="182">
        <v>263</v>
      </c>
      <c r="C374" s="625"/>
      <c r="D374" s="972"/>
      <c r="E374" s="447" t="s">
        <v>723</v>
      </c>
      <c r="F374" s="884">
        <v>32095567.684999999</v>
      </c>
      <c r="G374" s="884">
        <v>17115635.399999999</v>
      </c>
      <c r="H374" s="884">
        <f>SUM(H377:H394)</f>
        <v>97520377</v>
      </c>
      <c r="I374" s="884">
        <f>SUM(I377:I394)</f>
        <v>98189290.599999994</v>
      </c>
      <c r="J374" s="884">
        <f>SUM(J377:J394)</f>
        <v>97361859.299999982</v>
      </c>
      <c r="K374" s="855" t="s">
        <v>1459</v>
      </c>
      <c r="L374" s="973" t="s">
        <v>19</v>
      </c>
      <c r="M374" s="973">
        <v>100</v>
      </c>
      <c r="N374" s="973">
        <v>100</v>
      </c>
      <c r="O374" s="973">
        <v>100</v>
      </c>
      <c r="P374" s="973">
        <v>100</v>
      </c>
      <c r="Q374" s="974">
        <v>100</v>
      </c>
    </row>
    <row r="375" spans="1:17" s="29" customFormat="1" ht="45" hidden="1" x14ac:dyDescent="0.25">
      <c r="A375" s="863"/>
      <c r="B375" s="177"/>
      <c r="C375" s="861" t="s">
        <v>43</v>
      </c>
      <c r="D375" s="124"/>
      <c r="E375" s="862" t="s">
        <v>746</v>
      </c>
      <c r="F375" s="874"/>
      <c r="G375" s="874"/>
      <c r="H375" s="874"/>
      <c r="I375" s="874"/>
      <c r="J375" s="874"/>
      <c r="K375" s="853" t="s">
        <v>1460</v>
      </c>
      <c r="L375" s="179" t="s">
        <v>1461</v>
      </c>
      <c r="M375" s="179" t="s">
        <v>1461</v>
      </c>
      <c r="N375" s="179" t="s">
        <v>1461</v>
      </c>
      <c r="O375" s="179" t="s">
        <v>1461</v>
      </c>
      <c r="P375" s="179" t="s">
        <v>1461</v>
      </c>
      <c r="Q375" s="971" t="s">
        <v>1461</v>
      </c>
    </row>
    <row r="376" spans="1:17" s="29" customFormat="1" ht="45" hidden="1" x14ac:dyDescent="0.25">
      <c r="A376" s="863"/>
      <c r="B376" s="177"/>
      <c r="C376" s="861" t="s">
        <v>48</v>
      </c>
      <c r="D376" s="124"/>
      <c r="E376" s="862" t="s">
        <v>1319</v>
      </c>
      <c r="F376" s="874"/>
      <c r="G376" s="874"/>
      <c r="H376" s="874"/>
      <c r="I376" s="874"/>
      <c r="J376" s="874"/>
      <c r="K376" s="853" t="s">
        <v>1460</v>
      </c>
      <c r="L376" s="179" t="s">
        <v>1461</v>
      </c>
      <c r="M376" s="179" t="s">
        <v>1461</v>
      </c>
      <c r="N376" s="179" t="s">
        <v>1461</v>
      </c>
      <c r="O376" s="179" t="s">
        <v>1461</v>
      </c>
      <c r="P376" s="179" t="s">
        <v>1461</v>
      </c>
      <c r="Q376" s="971" t="s">
        <v>1461</v>
      </c>
    </row>
    <row r="377" spans="1:17" s="29" customFormat="1" ht="45" x14ac:dyDescent="0.25">
      <c r="A377" s="863"/>
      <c r="B377" s="177"/>
      <c r="C377" s="861" t="s">
        <v>37</v>
      </c>
      <c r="D377" s="124"/>
      <c r="E377" s="862" t="s">
        <v>724</v>
      </c>
      <c r="F377" s="874"/>
      <c r="G377" s="874">
        <v>70500</v>
      </c>
      <c r="H377" s="874">
        <v>87650</v>
      </c>
      <c r="I377" s="874">
        <v>80000</v>
      </c>
      <c r="J377" s="874">
        <v>31500</v>
      </c>
      <c r="K377" s="853" t="s">
        <v>1483</v>
      </c>
      <c r="L377" s="179" t="s">
        <v>19</v>
      </c>
      <c r="M377" s="179">
        <v>100</v>
      </c>
      <c r="N377" s="179">
        <v>100</v>
      </c>
      <c r="O377" s="179">
        <v>100</v>
      </c>
      <c r="P377" s="179">
        <v>100</v>
      </c>
      <c r="Q377" s="971">
        <v>100</v>
      </c>
    </row>
    <row r="378" spans="1:17" s="29" customFormat="1" ht="30" x14ac:dyDescent="0.25">
      <c r="A378" s="863"/>
      <c r="B378" s="177"/>
      <c r="C378" s="861" t="s">
        <v>73</v>
      </c>
      <c r="D378" s="124"/>
      <c r="E378" s="862" t="s">
        <v>725</v>
      </c>
      <c r="F378" s="874"/>
      <c r="G378" s="874">
        <v>500000</v>
      </c>
      <c r="H378" s="874">
        <v>500000</v>
      </c>
      <c r="I378" s="874">
        <v>509691.7</v>
      </c>
      <c r="J378" s="874">
        <v>509691.7</v>
      </c>
      <c r="K378" s="853" t="s">
        <v>1462</v>
      </c>
      <c r="L378" s="179" t="s">
        <v>19</v>
      </c>
      <c r="M378" s="179">
        <v>20</v>
      </c>
      <c r="N378" s="179">
        <v>40</v>
      </c>
      <c r="O378" s="179">
        <v>50</v>
      </c>
      <c r="P378" s="179">
        <v>75</v>
      </c>
      <c r="Q378" s="971">
        <v>100</v>
      </c>
    </row>
    <row r="379" spans="1:17" s="29" customFormat="1" x14ac:dyDescent="0.25">
      <c r="A379" s="863"/>
      <c r="B379" s="177"/>
      <c r="C379" s="861" t="s">
        <v>79</v>
      </c>
      <c r="D379" s="124"/>
      <c r="E379" s="862" t="s">
        <v>726</v>
      </c>
      <c r="F379" s="874"/>
      <c r="G379" s="874">
        <v>600000</v>
      </c>
      <c r="H379" s="874">
        <v>600000</v>
      </c>
      <c r="I379" s="874">
        <v>611630</v>
      </c>
      <c r="J379" s="874">
        <v>611630</v>
      </c>
      <c r="K379" s="853" t="s">
        <v>1463</v>
      </c>
      <c r="L379" s="179" t="s">
        <v>19</v>
      </c>
      <c r="M379" s="179">
        <v>40</v>
      </c>
      <c r="N379" s="179">
        <v>50</v>
      </c>
      <c r="O379" s="179">
        <v>60</v>
      </c>
      <c r="P379" s="179">
        <v>70</v>
      </c>
      <c r="Q379" s="971">
        <v>90</v>
      </c>
    </row>
    <row r="380" spans="1:17" s="29" customFormat="1" ht="30" x14ac:dyDescent="0.25">
      <c r="A380" s="863"/>
      <c r="B380" s="177"/>
      <c r="C380" s="861" t="s">
        <v>82</v>
      </c>
      <c r="D380" s="124"/>
      <c r="E380" s="862" t="s">
        <v>727</v>
      </c>
      <c r="F380" s="874">
        <v>304150.614</v>
      </c>
      <c r="G380" s="874">
        <v>500000</v>
      </c>
      <c r="H380" s="874">
        <v>700000</v>
      </c>
      <c r="I380" s="874">
        <v>710000</v>
      </c>
      <c r="J380" s="874">
        <v>725000</v>
      </c>
      <c r="K380" s="853" t="s">
        <v>1464</v>
      </c>
      <c r="L380" s="179" t="s">
        <v>19</v>
      </c>
      <c r="M380" s="179">
        <v>100</v>
      </c>
      <c r="N380" s="179">
        <v>100</v>
      </c>
      <c r="O380" s="179">
        <v>100</v>
      </c>
      <c r="P380" s="179">
        <v>100</v>
      </c>
      <c r="Q380" s="971">
        <v>100</v>
      </c>
    </row>
    <row r="381" spans="1:17" s="29" customFormat="1" ht="30" x14ac:dyDescent="0.25">
      <c r="A381" s="863"/>
      <c r="B381" s="177"/>
      <c r="C381" s="861" t="s">
        <v>83</v>
      </c>
      <c r="D381" s="124"/>
      <c r="E381" s="862" t="s">
        <v>728</v>
      </c>
      <c r="F381" s="874">
        <v>30688770.355999999</v>
      </c>
      <c r="G381" s="874">
        <v>9904618.5999999996</v>
      </c>
      <c r="H381" s="874">
        <v>11463447</v>
      </c>
      <c r="I381" s="874">
        <v>12936630.100000001</v>
      </c>
      <c r="J381" s="874">
        <v>13892935</v>
      </c>
      <c r="K381" s="853" t="s">
        <v>1465</v>
      </c>
      <c r="L381" s="179" t="s">
        <v>19</v>
      </c>
      <c r="M381" s="179">
        <v>100</v>
      </c>
      <c r="N381" s="179">
        <v>100</v>
      </c>
      <c r="O381" s="179">
        <v>100</v>
      </c>
      <c r="P381" s="179">
        <v>100</v>
      </c>
      <c r="Q381" s="971">
        <v>100</v>
      </c>
    </row>
    <row r="382" spans="1:17" s="29" customFormat="1" ht="30" x14ac:dyDescent="0.25">
      <c r="A382" s="863"/>
      <c r="B382" s="177"/>
      <c r="C382" s="861" t="s">
        <v>181</v>
      </c>
      <c r="D382" s="124"/>
      <c r="E382" s="862" t="s">
        <v>729</v>
      </c>
      <c r="F382" s="874">
        <v>410720.45199999999</v>
      </c>
      <c r="G382" s="874">
        <v>500000</v>
      </c>
      <c r="H382" s="874">
        <v>500000</v>
      </c>
      <c r="I382" s="874">
        <v>500000</v>
      </c>
      <c r="J382" s="874">
        <v>500000</v>
      </c>
      <c r="K382" s="853" t="s">
        <v>1466</v>
      </c>
      <c r="L382" s="179" t="s">
        <v>19</v>
      </c>
      <c r="M382" s="179">
        <v>100</v>
      </c>
      <c r="N382" s="179">
        <v>100</v>
      </c>
      <c r="O382" s="179">
        <v>100</v>
      </c>
      <c r="P382" s="179">
        <v>100</v>
      </c>
      <c r="Q382" s="971">
        <v>100</v>
      </c>
    </row>
    <row r="383" spans="1:17" s="29" customFormat="1" ht="30" x14ac:dyDescent="0.25">
      <c r="A383" s="863"/>
      <c r="B383" s="177"/>
      <c r="C383" s="861" t="s">
        <v>184</v>
      </c>
      <c r="D383" s="124"/>
      <c r="E383" s="862" t="s">
        <v>730</v>
      </c>
      <c r="F383" s="874">
        <v>1305</v>
      </c>
      <c r="G383" s="874">
        <v>30300.799999999999</v>
      </c>
      <c r="H383" s="874">
        <v>30300.799999999999</v>
      </c>
      <c r="I383" s="874">
        <v>30888.1</v>
      </c>
      <c r="J383" s="874">
        <v>31812.1</v>
      </c>
      <c r="K383" s="853" t="s">
        <v>1467</v>
      </c>
      <c r="L383" s="179" t="s">
        <v>19</v>
      </c>
      <c r="M383" s="179">
        <v>100</v>
      </c>
      <c r="N383" s="179">
        <v>100</v>
      </c>
      <c r="O383" s="179">
        <v>100</v>
      </c>
      <c r="P383" s="179">
        <v>100</v>
      </c>
      <c r="Q383" s="971">
        <v>100</v>
      </c>
    </row>
    <row r="384" spans="1:17" s="29" customFormat="1" ht="30" x14ac:dyDescent="0.25">
      <c r="A384" s="863"/>
      <c r="B384" s="177"/>
      <c r="C384" s="861" t="s">
        <v>187</v>
      </c>
      <c r="D384" s="124"/>
      <c r="E384" s="862" t="s">
        <v>731</v>
      </c>
      <c r="F384" s="874">
        <v>30910.262999999999</v>
      </c>
      <c r="G384" s="874">
        <v>45000</v>
      </c>
      <c r="H384" s="874">
        <v>45000</v>
      </c>
      <c r="I384" s="874">
        <v>45000</v>
      </c>
      <c r="J384" s="874">
        <v>45000</v>
      </c>
      <c r="K384" s="853" t="s">
        <v>1468</v>
      </c>
      <c r="L384" s="179" t="s">
        <v>19</v>
      </c>
      <c r="M384" s="179">
        <v>100</v>
      </c>
      <c r="N384" s="179">
        <v>100</v>
      </c>
      <c r="O384" s="179">
        <v>100</v>
      </c>
      <c r="P384" s="179">
        <v>100</v>
      </c>
      <c r="Q384" s="971">
        <v>100</v>
      </c>
    </row>
    <row r="385" spans="1:17" s="29" customFormat="1" ht="30" x14ac:dyDescent="0.25">
      <c r="A385" s="863"/>
      <c r="B385" s="177"/>
      <c r="C385" s="861" t="s">
        <v>193</v>
      </c>
      <c r="D385" s="124"/>
      <c r="E385" s="862" t="s">
        <v>752</v>
      </c>
      <c r="F385" s="874">
        <v>239711</v>
      </c>
      <c r="G385" s="874">
        <v>2365216</v>
      </c>
      <c r="H385" s="874">
        <v>1112000</v>
      </c>
      <c r="I385" s="874">
        <v>1112000</v>
      </c>
      <c r="J385" s="874">
        <v>1112000</v>
      </c>
      <c r="K385" s="853" t="s">
        <v>1469</v>
      </c>
      <c r="L385" s="179" t="s">
        <v>19</v>
      </c>
      <c r="M385" s="179">
        <v>100</v>
      </c>
      <c r="N385" s="179">
        <v>100</v>
      </c>
      <c r="O385" s="179">
        <v>100</v>
      </c>
      <c r="P385" s="179">
        <v>100</v>
      </c>
      <c r="Q385" s="971">
        <v>100</v>
      </c>
    </row>
    <row r="386" spans="1:17" s="29" customFormat="1" ht="30" x14ac:dyDescent="0.25">
      <c r="A386" s="863"/>
      <c r="B386" s="177"/>
      <c r="C386" s="861" t="s">
        <v>196</v>
      </c>
      <c r="D386" s="124"/>
      <c r="E386" s="862" t="s">
        <v>732</v>
      </c>
      <c r="F386" s="874"/>
      <c r="G386" s="874">
        <v>100000</v>
      </c>
      <c r="H386" s="874">
        <v>150000</v>
      </c>
      <c r="I386" s="874">
        <v>200000</v>
      </c>
      <c r="J386" s="874">
        <v>250000</v>
      </c>
      <c r="K386" s="853" t="s">
        <v>1470</v>
      </c>
      <c r="L386" s="179" t="s">
        <v>19</v>
      </c>
      <c r="M386" s="179">
        <v>40</v>
      </c>
      <c r="N386" s="179">
        <v>50</v>
      </c>
      <c r="O386" s="179">
        <v>60</v>
      </c>
      <c r="P386" s="179">
        <v>70</v>
      </c>
      <c r="Q386" s="971">
        <v>90</v>
      </c>
    </row>
    <row r="387" spans="1:17" s="29" customFormat="1" ht="30" x14ac:dyDescent="0.25">
      <c r="A387" s="863"/>
      <c r="B387" s="177"/>
      <c r="C387" s="861" t="s">
        <v>199</v>
      </c>
      <c r="D387" s="124"/>
      <c r="E387" s="862" t="s">
        <v>1446</v>
      </c>
      <c r="F387" s="874">
        <v>420000</v>
      </c>
      <c r="G387" s="874">
        <v>500000</v>
      </c>
      <c r="H387" s="874">
        <v>500000</v>
      </c>
      <c r="I387" s="874">
        <v>500000</v>
      </c>
      <c r="J387" s="874">
        <v>620000</v>
      </c>
      <c r="K387" s="853" t="s">
        <v>1469</v>
      </c>
      <c r="L387" s="179" t="s">
        <v>19</v>
      </c>
      <c r="M387" s="179">
        <v>100</v>
      </c>
      <c r="N387" s="179">
        <v>100</v>
      </c>
      <c r="O387" s="179">
        <v>100</v>
      </c>
      <c r="P387" s="179">
        <v>100</v>
      </c>
      <c r="Q387" s="971">
        <v>100</v>
      </c>
    </row>
    <row r="388" spans="1:17" s="29" customFormat="1" ht="30" x14ac:dyDescent="0.25">
      <c r="A388" s="863"/>
      <c r="B388" s="177"/>
      <c r="C388" s="861" t="s">
        <v>300</v>
      </c>
      <c r="D388" s="124"/>
      <c r="E388" s="862" t="s">
        <v>733</v>
      </c>
      <c r="F388" s="874"/>
      <c r="G388" s="874">
        <v>2000000</v>
      </c>
      <c r="H388" s="874">
        <v>801377.3</v>
      </c>
      <c r="I388" s="874">
        <v>1528571.7</v>
      </c>
      <c r="J388" s="874">
        <v>1534652.6</v>
      </c>
      <c r="K388" s="853" t="s">
        <v>1471</v>
      </c>
      <c r="L388" s="179" t="s">
        <v>19</v>
      </c>
      <c r="M388" s="179">
        <v>100</v>
      </c>
      <c r="N388" s="179">
        <v>100</v>
      </c>
      <c r="O388" s="179">
        <v>100</v>
      </c>
      <c r="P388" s="179">
        <v>100</v>
      </c>
      <c r="Q388" s="971">
        <v>100</v>
      </c>
    </row>
    <row r="389" spans="1:17" s="29" customFormat="1" x14ac:dyDescent="0.25">
      <c r="A389" s="863"/>
      <c r="B389" s="177"/>
      <c r="C389" s="861" t="s">
        <v>1453</v>
      </c>
      <c r="D389" s="124"/>
      <c r="E389" s="862" t="s">
        <v>1454</v>
      </c>
      <c r="F389" s="874"/>
      <c r="G389" s="874"/>
      <c r="H389" s="874">
        <v>4339018.8</v>
      </c>
      <c r="I389" s="874"/>
      <c r="J389" s="874"/>
      <c r="K389" s="853" t="s">
        <v>1472</v>
      </c>
      <c r="L389" s="179" t="s">
        <v>19</v>
      </c>
      <c r="M389" s="179" t="s">
        <v>1461</v>
      </c>
      <c r="N389" s="179" t="s">
        <v>1461</v>
      </c>
      <c r="O389" s="179">
        <v>100</v>
      </c>
      <c r="P389" s="179" t="s">
        <v>1461</v>
      </c>
      <c r="Q389" s="971" t="s">
        <v>1461</v>
      </c>
    </row>
    <row r="390" spans="1:17" s="29" customFormat="1" ht="30" x14ac:dyDescent="0.25">
      <c r="A390" s="863"/>
      <c r="B390" s="177"/>
      <c r="C390" s="861" t="s">
        <v>734</v>
      </c>
      <c r="D390" s="124"/>
      <c r="E390" s="862" t="s">
        <v>735</v>
      </c>
      <c r="F390" s="874"/>
      <c r="G390" s="874"/>
      <c r="H390" s="874">
        <v>72994638.5</v>
      </c>
      <c r="I390" s="874">
        <f>76742020.6-25.3</f>
        <v>76741995.299999997</v>
      </c>
      <c r="J390" s="874">
        <f>74701014.6-25.3</f>
        <v>74700989.299999997</v>
      </c>
      <c r="K390" s="853" t="s">
        <v>1689</v>
      </c>
      <c r="L390" s="179" t="s">
        <v>19</v>
      </c>
      <c r="M390" s="179"/>
      <c r="N390" s="179"/>
      <c r="O390" s="179">
        <v>100</v>
      </c>
      <c r="P390" s="179">
        <v>100</v>
      </c>
      <c r="Q390" s="971">
        <v>100</v>
      </c>
    </row>
    <row r="391" spans="1:17" s="29" customFormat="1" ht="45" x14ac:dyDescent="0.25">
      <c r="A391" s="863"/>
      <c r="B391" s="177"/>
      <c r="C391" s="861" t="s">
        <v>736</v>
      </c>
      <c r="D391" s="124"/>
      <c r="E391" s="862" t="s">
        <v>1363</v>
      </c>
      <c r="F391" s="874"/>
      <c r="G391" s="874"/>
      <c r="H391" s="874">
        <v>1996944.6</v>
      </c>
      <c r="I391" s="874">
        <v>2182883.6999999997</v>
      </c>
      <c r="J391" s="874">
        <v>2296648.5999999996</v>
      </c>
      <c r="K391" s="853" t="s">
        <v>1690</v>
      </c>
      <c r="L391" s="179" t="s">
        <v>19</v>
      </c>
      <c r="M391" s="179"/>
      <c r="N391" s="179"/>
      <c r="O391" s="179">
        <v>100</v>
      </c>
      <c r="P391" s="179">
        <v>100</v>
      </c>
      <c r="Q391" s="971">
        <v>100</v>
      </c>
    </row>
    <row r="392" spans="1:17" s="29" customFormat="1" ht="30" x14ac:dyDescent="0.25">
      <c r="A392" s="863"/>
      <c r="B392" s="177"/>
      <c r="C392" s="861" t="s">
        <v>361</v>
      </c>
      <c r="D392" s="124"/>
      <c r="E392" s="862" t="s">
        <v>1314</v>
      </c>
      <c r="F392" s="874"/>
      <c r="G392" s="874"/>
      <c r="H392" s="874">
        <v>300000</v>
      </c>
      <c r="I392" s="874"/>
      <c r="J392" s="874"/>
      <c r="K392" s="853" t="s">
        <v>1691</v>
      </c>
      <c r="L392" s="179" t="s">
        <v>19</v>
      </c>
      <c r="M392" s="179"/>
      <c r="N392" s="179"/>
      <c r="O392" s="179">
        <v>100</v>
      </c>
      <c r="P392" s="179"/>
      <c r="Q392" s="971"/>
    </row>
    <row r="393" spans="1:17" s="29" customFormat="1" ht="30" x14ac:dyDescent="0.25">
      <c r="A393" s="863"/>
      <c r="B393" s="177"/>
      <c r="C393" s="861" t="s">
        <v>1449</v>
      </c>
      <c r="D393" s="124"/>
      <c r="E393" s="862" t="s">
        <v>1451</v>
      </c>
      <c r="F393" s="874"/>
      <c r="G393" s="874"/>
      <c r="H393" s="874">
        <v>900000</v>
      </c>
      <c r="I393" s="874"/>
      <c r="J393" s="874"/>
      <c r="K393" s="853" t="s">
        <v>1472</v>
      </c>
      <c r="L393" s="179" t="s">
        <v>19</v>
      </c>
      <c r="M393" s="179"/>
      <c r="N393" s="179"/>
      <c r="O393" s="179">
        <v>100</v>
      </c>
      <c r="P393" s="179"/>
      <c r="Q393" s="971"/>
    </row>
    <row r="394" spans="1:17" s="29" customFormat="1" ht="45" x14ac:dyDescent="0.25">
      <c r="A394" s="863"/>
      <c r="B394" s="177"/>
      <c r="C394" s="861" t="s">
        <v>1450</v>
      </c>
      <c r="D394" s="124"/>
      <c r="E394" s="862" t="s">
        <v>1452</v>
      </c>
      <c r="F394" s="874"/>
      <c r="G394" s="874"/>
      <c r="H394" s="874">
        <v>500000</v>
      </c>
      <c r="I394" s="874">
        <v>500000</v>
      </c>
      <c r="J394" s="874">
        <v>500000</v>
      </c>
      <c r="K394" s="853" t="s">
        <v>1692</v>
      </c>
      <c r="L394" s="179" t="s">
        <v>19</v>
      </c>
      <c r="M394" s="179"/>
      <c r="N394" s="179"/>
      <c r="O394" s="179">
        <v>100</v>
      </c>
      <c r="P394" s="179">
        <v>100</v>
      </c>
      <c r="Q394" s="971">
        <v>100</v>
      </c>
    </row>
    <row r="395" spans="1:17" s="975" customFormat="1" ht="66.75" customHeight="1" x14ac:dyDescent="0.2">
      <c r="A395" s="863"/>
      <c r="B395" s="182">
        <v>264</v>
      </c>
      <c r="C395" s="625"/>
      <c r="D395" s="972"/>
      <c r="E395" s="447" t="s">
        <v>737</v>
      </c>
      <c r="F395" s="892">
        <f t="shared" ref="F395:G395" si="4">SUM(F396:F405)</f>
        <v>4057203.5549999997</v>
      </c>
      <c r="G395" s="892">
        <f t="shared" si="4"/>
        <v>10877535.5</v>
      </c>
      <c r="H395" s="884">
        <f>SUM(H396:H405)</f>
        <v>15756409.500000002</v>
      </c>
      <c r="I395" s="884">
        <f>SUM(I396:I405)</f>
        <v>16791462.280000001</v>
      </c>
      <c r="J395" s="884">
        <f>SUM(J396:J405)</f>
        <v>20142612.799999997</v>
      </c>
      <c r="K395" s="855" t="s">
        <v>1473</v>
      </c>
      <c r="L395" s="973" t="s">
        <v>19</v>
      </c>
      <c r="M395" s="973">
        <v>100</v>
      </c>
      <c r="N395" s="973">
        <v>100</v>
      </c>
      <c r="O395" s="973">
        <v>100</v>
      </c>
      <c r="P395" s="973">
        <v>100</v>
      </c>
      <c r="Q395" s="974">
        <v>100</v>
      </c>
    </row>
    <row r="396" spans="1:17" s="29" customFormat="1" ht="30" x14ac:dyDescent="0.25">
      <c r="A396" s="863"/>
      <c r="B396" s="177"/>
      <c r="C396" s="861" t="s">
        <v>43</v>
      </c>
      <c r="D396" s="124"/>
      <c r="E396" s="862" t="s">
        <v>738</v>
      </c>
      <c r="F396" s="874">
        <v>3147743.531</v>
      </c>
      <c r="G396" s="874">
        <v>3000000</v>
      </c>
      <c r="H396" s="874">
        <v>3000000</v>
      </c>
      <c r="I396" s="874">
        <v>4000000</v>
      </c>
      <c r="J396" s="874">
        <v>6500000</v>
      </c>
      <c r="K396" s="853" t="s">
        <v>1474</v>
      </c>
      <c r="L396" s="179" t="s">
        <v>19</v>
      </c>
      <c r="M396" s="179">
        <v>100</v>
      </c>
      <c r="N396" s="179">
        <v>100</v>
      </c>
      <c r="O396" s="179">
        <v>100</v>
      </c>
      <c r="P396" s="179">
        <v>100</v>
      </c>
      <c r="Q396" s="971">
        <v>100</v>
      </c>
    </row>
    <row r="397" spans="1:17" s="29" customFormat="1" ht="30" x14ac:dyDescent="0.25">
      <c r="A397" s="863"/>
      <c r="B397" s="177"/>
      <c r="C397" s="861" t="s">
        <v>48</v>
      </c>
      <c r="D397" s="124"/>
      <c r="E397" s="862" t="s">
        <v>739</v>
      </c>
      <c r="F397" s="874">
        <v>9970</v>
      </c>
      <c r="G397" s="874">
        <v>150000</v>
      </c>
      <c r="H397" s="874">
        <v>150000</v>
      </c>
      <c r="I397" s="874">
        <v>150000</v>
      </c>
      <c r="J397" s="874">
        <v>150000</v>
      </c>
      <c r="K397" s="853" t="s">
        <v>1475</v>
      </c>
      <c r="L397" s="179" t="s">
        <v>19</v>
      </c>
      <c r="M397" s="179">
        <v>100</v>
      </c>
      <c r="N397" s="179">
        <v>100</v>
      </c>
      <c r="O397" s="179">
        <v>100</v>
      </c>
      <c r="P397" s="179">
        <v>100</v>
      </c>
      <c r="Q397" s="971">
        <v>100</v>
      </c>
    </row>
    <row r="398" spans="1:17" s="29" customFormat="1" ht="30" x14ac:dyDescent="0.25">
      <c r="A398" s="863"/>
      <c r="B398" s="177"/>
      <c r="C398" s="861" t="s">
        <v>37</v>
      </c>
      <c r="D398" s="124"/>
      <c r="E398" s="862" t="s">
        <v>740</v>
      </c>
      <c r="F398" s="874"/>
      <c r="G398" s="874">
        <v>1237807.7</v>
      </c>
      <c r="H398" s="874">
        <f>5893278.3-25.3</f>
        <v>5893253</v>
      </c>
      <c r="I398" s="874">
        <v>5794275.7400000002</v>
      </c>
      <c r="J398" s="874">
        <v>5794275.7000000002</v>
      </c>
      <c r="K398" s="853" t="s">
        <v>1476</v>
      </c>
      <c r="L398" s="179" t="s">
        <v>19</v>
      </c>
      <c r="M398" s="179">
        <v>100</v>
      </c>
      <c r="N398" s="179">
        <v>100</v>
      </c>
      <c r="O398" s="179">
        <v>100</v>
      </c>
      <c r="P398" s="179">
        <v>100</v>
      </c>
      <c r="Q398" s="971">
        <v>100</v>
      </c>
    </row>
    <row r="399" spans="1:17" s="29" customFormat="1" ht="30" x14ac:dyDescent="0.25">
      <c r="A399" s="863"/>
      <c r="B399" s="177"/>
      <c r="C399" s="861" t="s">
        <v>73</v>
      </c>
      <c r="D399" s="124"/>
      <c r="E399" s="862" t="s">
        <v>741</v>
      </c>
      <c r="F399" s="874"/>
      <c r="G399" s="874">
        <v>1967300</v>
      </c>
      <c r="H399" s="874">
        <v>1423225.3</v>
      </c>
      <c r="I399" s="874">
        <f>1423200+25.3</f>
        <v>1423225.3</v>
      </c>
      <c r="J399" s="874">
        <f>1423200+25.3</f>
        <v>1423225.3</v>
      </c>
      <c r="K399" s="853" t="s">
        <v>1477</v>
      </c>
      <c r="L399" s="179" t="s">
        <v>19</v>
      </c>
      <c r="M399" s="179">
        <v>100</v>
      </c>
      <c r="N399" s="179">
        <v>100</v>
      </c>
      <c r="O399" s="179">
        <v>100</v>
      </c>
      <c r="P399" s="179">
        <v>100</v>
      </c>
      <c r="Q399" s="971">
        <v>100</v>
      </c>
    </row>
    <row r="400" spans="1:17" s="29" customFormat="1" ht="30" x14ac:dyDescent="0.25">
      <c r="A400" s="863"/>
      <c r="B400" s="177"/>
      <c r="C400" s="861" t="s">
        <v>76</v>
      </c>
      <c r="D400" s="124"/>
      <c r="E400" s="862" t="s">
        <v>742</v>
      </c>
      <c r="F400" s="874"/>
      <c r="G400" s="874">
        <v>1038234.9</v>
      </c>
      <c r="H400" s="874">
        <v>874400</v>
      </c>
      <c r="I400" s="874">
        <v>874400</v>
      </c>
      <c r="J400" s="874">
        <v>874400</v>
      </c>
      <c r="K400" s="853" t="s">
        <v>1478</v>
      </c>
      <c r="L400" s="179" t="s">
        <v>19</v>
      </c>
      <c r="M400" s="179">
        <v>100</v>
      </c>
      <c r="N400" s="179">
        <v>100</v>
      </c>
      <c r="O400" s="179">
        <v>100</v>
      </c>
      <c r="P400" s="179">
        <v>100</v>
      </c>
      <c r="Q400" s="971">
        <v>100</v>
      </c>
    </row>
    <row r="401" spans="1:21" s="29" customFormat="1" x14ac:dyDescent="0.25">
      <c r="A401" s="863"/>
      <c r="B401" s="177"/>
      <c r="C401" s="861" t="s">
        <v>79</v>
      </c>
      <c r="D401" s="124"/>
      <c r="E401" s="862" t="s">
        <v>743</v>
      </c>
      <c r="F401" s="874">
        <v>347538.45899999997</v>
      </c>
      <c r="G401" s="874">
        <v>600000</v>
      </c>
      <c r="H401" s="874">
        <v>600000</v>
      </c>
      <c r="I401" s="874">
        <v>600000</v>
      </c>
      <c r="J401" s="874">
        <v>1000000</v>
      </c>
      <c r="K401" s="853" t="s">
        <v>1479</v>
      </c>
      <c r="L401" s="179" t="s">
        <v>19</v>
      </c>
      <c r="M401" s="179">
        <v>100</v>
      </c>
      <c r="N401" s="179">
        <v>100</v>
      </c>
      <c r="O401" s="179">
        <v>100</v>
      </c>
      <c r="P401" s="179">
        <v>100</v>
      </c>
      <c r="Q401" s="971">
        <v>100</v>
      </c>
    </row>
    <row r="402" spans="1:21" s="29" customFormat="1" ht="30" x14ac:dyDescent="0.25">
      <c r="A402" s="863"/>
      <c r="B402" s="177"/>
      <c r="C402" s="861" t="s">
        <v>82</v>
      </c>
      <c r="D402" s="124"/>
      <c r="E402" s="862" t="s">
        <v>1364</v>
      </c>
      <c r="F402" s="874">
        <v>187479.13699999999</v>
      </c>
      <c r="G402" s="874">
        <v>201540.8</v>
      </c>
      <c r="H402" s="874">
        <v>216540.79999999999</v>
      </c>
      <c r="I402" s="874">
        <v>220441.60000000001</v>
      </c>
      <c r="J402" s="874">
        <v>226578.1</v>
      </c>
      <c r="K402" s="853" t="s">
        <v>1480</v>
      </c>
      <c r="L402" s="179" t="s">
        <v>19</v>
      </c>
      <c r="M402" s="179">
        <v>100</v>
      </c>
      <c r="N402" s="179">
        <v>100</v>
      </c>
      <c r="O402" s="179">
        <v>100</v>
      </c>
      <c r="P402" s="179">
        <v>100</v>
      </c>
      <c r="Q402" s="971">
        <v>100</v>
      </c>
    </row>
    <row r="403" spans="1:21" s="29" customFormat="1" ht="30" x14ac:dyDescent="0.25">
      <c r="A403" s="863"/>
      <c r="B403" s="177"/>
      <c r="C403" s="861" t="s">
        <v>83</v>
      </c>
      <c r="D403" s="124"/>
      <c r="E403" s="862" t="s">
        <v>1365</v>
      </c>
      <c r="F403" s="874">
        <v>364472.42800000001</v>
      </c>
      <c r="G403" s="874">
        <v>371590.40000000002</v>
      </c>
      <c r="H403" s="874">
        <v>1208990.3999999999</v>
      </c>
      <c r="I403" s="874">
        <v>1216183.3400000001</v>
      </c>
      <c r="J403" s="874">
        <v>1227499.3</v>
      </c>
      <c r="K403" s="853" t="s">
        <v>1480</v>
      </c>
      <c r="L403" s="179" t="s">
        <v>19</v>
      </c>
      <c r="M403" s="179">
        <v>100</v>
      </c>
      <c r="N403" s="179">
        <v>100</v>
      </c>
      <c r="O403" s="179">
        <v>100</v>
      </c>
      <c r="P403" s="179">
        <v>100</v>
      </c>
      <c r="Q403" s="971">
        <v>100</v>
      </c>
    </row>
    <row r="404" spans="1:21" s="29" customFormat="1" ht="45" x14ac:dyDescent="0.25">
      <c r="A404" s="863"/>
      <c r="B404" s="177"/>
      <c r="C404" s="861" t="s">
        <v>181</v>
      </c>
      <c r="D404" s="124"/>
      <c r="E404" s="862" t="s">
        <v>744</v>
      </c>
      <c r="F404" s="874"/>
      <c r="G404" s="874">
        <v>2311061.7000000002</v>
      </c>
      <c r="H404" s="874">
        <v>2290000</v>
      </c>
      <c r="I404" s="874">
        <v>2412936.2999999998</v>
      </c>
      <c r="J404" s="874">
        <v>2846634.4</v>
      </c>
      <c r="K404" s="853" t="s">
        <v>1481</v>
      </c>
      <c r="L404" s="179" t="s">
        <v>19</v>
      </c>
      <c r="M404" s="179"/>
      <c r="N404" s="179">
        <v>100</v>
      </c>
      <c r="O404" s="179">
        <v>100</v>
      </c>
      <c r="P404" s="179">
        <v>100</v>
      </c>
      <c r="Q404" s="971">
        <v>100</v>
      </c>
    </row>
    <row r="405" spans="1:21" s="29" customFormat="1" ht="30" x14ac:dyDescent="0.25">
      <c r="A405" s="863"/>
      <c r="B405" s="177"/>
      <c r="C405" s="861" t="s">
        <v>190</v>
      </c>
      <c r="D405" s="124"/>
      <c r="E405" s="862" t="s">
        <v>745</v>
      </c>
      <c r="F405" s="874"/>
      <c r="G405" s="874"/>
      <c r="H405" s="874">
        <v>100000</v>
      </c>
      <c r="I405" s="874">
        <v>100000</v>
      </c>
      <c r="J405" s="874">
        <v>100000</v>
      </c>
      <c r="K405" s="853" t="s">
        <v>1482</v>
      </c>
      <c r="L405" s="179" t="s">
        <v>19</v>
      </c>
      <c r="M405" s="179"/>
      <c r="N405" s="179"/>
      <c r="O405" s="179">
        <v>100</v>
      </c>
      <c r="P405" s="179">
        <v>100</v>
      </c>
      <c r="Q405" s="971">
        <v>100</v>
      </c>
    </row>
    <row r="406" spans="1:21" s="29" customFormat="1" x14ac:dyDescent="0.25">
      <c r="A406" s="1004" t="s">
        <v>23</v>
      </c>
      <c r="B406" s="1005"/>
      <c r="C406" s="1005"/>
      <c r="D406" s="1005"/>
      <c r="E406" s="1005"/>
      <c r="F406" s="315">
        <f>F374+F395</f>
        <v>36152771.239999995</v>
      </c>
      <c r="G406" s="315">
        <f t="shared" ref="G406:J406" si="5">G374+G395</f>
        <v>27993170.899999999</v>
      </c>
      <c r="H406" s="315">
        <f t="shared" si="5"/>
        <v>113276786.5</v>
      </c>
      <c r="I406" s="315">
        <f t="shared" si="5"/>
        <v>114980752.88</v>
      </c>
      <c r="J406" s="315">
        <f t="shared" si="5"/>
        <v>117504472.09999998</v>
      </c>
      <c r="K406" s="786"/>
      <c r="L406" s="786"/>
      <c r="M406" s="786"/>
      <c r="N406" s="786"/>
      <c r="O406" s="786"/>
      <c r="P406" s="786"/>
      <c r="Q406" s="787"/>
    </row>
    <row r="407" spans="1:21" s="23" customFormat="1" x14ac:dyDescent="0.25">
      <c r="A407" s="1004" t="s">
        <v>219</v>
      </c>
      <c r="B407" s="1005"/>
      <c r="C407" s="1005"/>
      <c r="D407" s="1005"/>
      <c r="E407" s="1005"/>
      <c r="F407" s="28">
        <f>F373+F366+F406</f>
        <v>71933778.639999986</v>
      </c>
      <c r="G407" s="28">
        <f>G373+G366+G406</f>
        <v>62400241</v>
      </c>
      <c r="H407" s="28">
        <f>H373+H366+H406-0.1</f>
        <v>155567122.80000001</v>
      </c>
      <c r="I407" s="28">
        <f>I373+I366+I406</f>
        <v>158621872.07999998</v>
      </c>
      <c r="J407" s="28">
        <f>J373+J366+J406</f>
        <v>162444609.99999997</v>
      </c>
      <c r="K407" s="43"/>
      <c r="L407" s="161"/>
      <c r="M407" s="161"/>
      <c r="N407" s="161"/>
      <c r="O407" s="161"/>
      <c r="P407" s="161"/>
      <c r="Q407" s="493"/>
    </row>
    <row r="408" spans="1:21" x14ac:dyDescent="0.25">
      <c r="A408" s="1208" t="s">
        <v>1644</v>
      </c>
      <c r="B408" s="1209" t="s">
        <v>1644</v>
      </c>
      <c r="C408" s="1209"/>
      <c r="D408" s="1209"/>
      <c r="E408" s="1209"/>
      <c r="F408" s="1209"/>
      <c r="G408" s="1209"/>
      <c r="H408" s="1209"/>
      <c r="I408" s="1209"/>
      <c r="J408" s="1209"/>
      <c r="K408" s="1209"/>
      <c r="L408" s="1209"/>
      <c r="M408" s="1209"/>
      <c r="N408" s="1209"/>
      <c r="O408" s="1209"/>
      <c r="P408" s="183"/>
      <c r="Q408" s="522"/>
      <c r="R408" s="901"/>
      <c r="S408" s="901"/>
      <c r="T408" s="901"/>
      <c r="U408" s="901"/>
    </row>
    <row r="409" spans="1:21" x14ac:dyDescent="0.25">
      <c r="A409" s="1210" t="s">
        <v>1450</v>
      </c>
      <c r="B409" s="867" t="s">
        <v>1643</v>
      </c>
      <c r="C409" s="858"/>
      <c r="D409" s="859"/>
      <c r="E409" s="871" t="s">
        <v>1642</v>
      </c>
      <c r="F409" s="870">
        <f>SUM(F410:F411)</f>
        <v>0</v>
      </c>
      <c r="G409" s="870">
        <f>SUM(G410:G411)</f>
        <v>103299.2</v>
      </c>
      <c r="H409" s="870">
        <f>SUM(H410:H411)</f>
        <v>0</v>
      </c>
      <c r="I409" s="870">
        <f>SUM(I410:I411)</f>
        <v>0</v>
      </c>
      <c r="J409" s="870"/>
      <c r="K409" s="857" t="s">
        <v>9</v>
      </c>
      <c r="L409" s="866" t="s">
        <v>304</v>
      </c>
      <c r="M409" s="866">
        <v>18.899999999999999</v>
      </c>
      <c r="N409" s="866">
        <v>16.8</v>
      </c>
      <c r="O409" s="866">
        <v>17</v>
      </c>
      <c r="P409" s="866">
        <v>17</v>
      </c>
      <c r="Q409" s="880">
        <v>17</v>
      </c>
      <c r="R409" s="901"/>
      <c r="S409" s="901"/>
      <c r="T409" s="901"/>
      <c r="U409" s="901"/>
    </row>
    <row r="410" spans="1:21" ht="30" x14ac:dyDescent="0.25">
      <c r="A410" s="1210"/>
      <c r="B410" s="858"/>
      <c r="C410" s="858" t="s">
        <v>43</v>
      </c>
      <c r="D410" s="859"/>
      <c r="E410" s="860" t="s">
        <v>1641</v>
      </c>
      <c r="F410" s="865"/>
      <c r="G410" s="865">
        <v>103299.2</v>
      </c>
      <c r="H410" s="865"/>
      <c r="I410" s="865"/>
      <c r="J410" s="865"/>
      <c r="K410" s="1093"/>
      <c r="L410" s="1093"/>
      <c r="M410" s="1093"/>
      <c r="N410" s="1093"/>
      <c r="O410" s="1093"/>
      <c r="P410" s="1093"/>
      <c r="Q410" s="1094"/>
      <c r="R410" s="901"/>
      <c r="S410" s="901"/>
      <c r="T410" s="901">
        <f>61007.3+6027.2</f>
        <v>67034.5</v>
      </c>
      <c r="U410" s="901"/>
    </row>
    <row r="411" spans="1:21" ht="30" hidden="1" x14ac:dyDescent="0.25">
      <c r="A411" s="1210"/>
      <c r="B411" s="858"/>
      <c r="C411" s="858" t="s">
        <v>48</v>
      </c>
      <c r="D411" s="859"/>
      <c r="E411" s="860" t="s">
        <v>311</v>
      </c>
      <c r="F411" s="865"/>
      <c r="G411" s="865"/>
      <c r="H411" s="864">
        <v>0</v>
      </c>
      <c r="I411" s="865">
        <f>62187.2-19106-2863.7-5181.9-294.4-6424.3-5822.9-5310-139.7-7228.6-4440.2-5375.5</f>
        <v>0</v>
      </c>
      <c r="J411" s="865">
        <f>19679.1+2949.6+5337.2+303.2+6616.1+1952+5469+143.9+7445.6+6892.5+7262.3-19679.1-2949.6-5337.2-303.2-6616.1-1952-5469-143.9-7445.6-6892.5-7262.3</f>
        <v>8.1854523159563541E-12</v>
      </c>
      <c r="K411" s="1093"/>
      <c r="L411" s="1093"/>
      <c r="M411" s="1093"/>
      <c r="N411" s="1093"/>
      <c r="O411" s="1093"/>
      <c r="P411" s="1093"/>
      <c r="Q411" s="1094"/>
      <c r="R411" s="901"/>
      <c r="S411" s="901"/>
      <c r="T411" s="901"/>
      <c r="U411" s="901"/>
    </row>
    <row r="412" spans="1:21" ht="42.75" x14ac:dyDescent="0.25">
      <c r="A412" s="1210"/>
      <c r="B412" s="867" t="s">
        <v>1640</v>
      </c>
      <c r="C412" s="858"/>
      <c r="D412" s="859"/>
      <c r="E412" s="871" t="s">
        <v>1683</v>
      </c>
      <c r="F412" s="870">
        <f>SUM(F413:F428)</f>
        <v>0</v>
      </c>
      <c r="G412" s="870">
        <f>SUM(G413:G428)</f>
        <v>66502.399999999994</v>
      </c>
      <c r="H412" s="870"/>
      <c r="I412" s="870">
        <f>SUM(I413:I428)</f>
        <v>0</v>
      </c>
      <c r="J412" s="870">
        <f>SUM(J413:J428)</f>
        <v>0</v>
      </c>
      <c r="K412" s="860" t="s">
        <v>1638</v>
      </c>
      <c r="L412" s="868" t="s">
        <v>19</v>
      </c>
      <c r="M412" s="868">
        <v>63</v>
      </c>
      <c r="N412" s="868">
        <v>63</v>
      </c>
      <c r="O412" s="868">
        <v>63</v>
      </c>
      <c r="P412" s="868">
        <v>63</v>
      </c>
      <c r="Q412" s="869">
        <v>63</v>
      </c>
      <c r="R412" s="901"/>
      <c r="S412" s="901"/>
      <c r="T412" s="901"/>
      <c r="U412" s="901"/>
    </row>
    <row r="413" spans="1:21" x14ac:dyDescent="0.25">
      <c r="A413" s="1210"/>
      <c r="B413" s="1045"/>
      <c r="C413" s="1045" t="s">
        <v>43</v>
      </c>
      <c r="D413" s="1046"/>
      <c r="E413" s="1057" t="s">
        <v>1639</v>
      </c>
      <c r="F413" s="1050"/>
      <c r="G413" s="1050">
        <v>32337.3</v>
      </c>
      <c r="H413" s="1050">
        <f>32337.3-28033.1-4304.2</f>
        <v>0</v>
      </c>
      <c r="I413" s="1050">
        <f>32983.6-32983.6</f>
        <v>0</v>
      </c>
      <c r="J413" s="1050">
        <f>33965.8-29444-4521.8</f>
        <v>0</v>
      </c>
      <c r="K413" s="860" t="s">
        <v>1638</v>
      </c>
      <c r="L413" s="868" t="s">
        <v>19</v>
      </c>
      <c r="M413" s="868">
        <v>63</v>
      </c>
      <c r="N413" s="868">
        <v>63</v>
      </c>
      <c r="O413" s="868">
        <v>63</v>
      </c>
      <c r="P413" s="868">
        <v>63</v>
      </c>
      <c r="Q413" s="869">
        <v>63</v>
      </c>
      <c r="R413" s="901"/>
      <c r="S413" s="901"/>
      <c r="T413" s="901"/>
      <c r="U413" s="901"/>
    </row>
    <row r="414" spans="1:21" ht="60" x14ac:dyDescent="0.25">
      <c r="A414" s="1210"/>
      <c r="B414" s="1045"/>
      <c r="C414" s="1045"/>
      <c r="D414" s="1046"/>
      <c r="E414" s="1057"/>
      <c r="F414" s="1050"/>
      <c r="G414" s="1050"/>
      <c r="H414" s="1050"/>
      <c r="I414" s="1050"/>
      <c r="J414" s="1050"/>
      <c r="K414" s="860" t="s">
        <v>1637</v>
      </c>
      <c r="L414" s="868" t="s">
        <v>19</v>
      </c>
      <c r="M414" s="868"/>
      <c r="N414" s="868">
        <v>10</v>
      </c>
      <c r="O414" s="868">
        <v>50</v>
      </c>
      <c r="P414" s="868">
        <v>75</v>
      </c>
      <c r="Q414" s="869">
        <v>100</v>
      </c>
      <c r="R414" s="901"/>
      <c r="S414" s="901"/>
      <c r="T414" s="901"/>
      <c r="U414" s="901"/>
    </row>
    <row r="415" spans="1:21" ht="75" x14ac:dyDescent="0.25">
      <c r="A415" s="1210"/>
      <c r="B415" s="1045"/>
      <c r="C415" s="1045"/>
      <c r="D415" s="1046"/>
      <c r="E415" s="1057"/>
      <c r="F415" s="1050"/>
      <c r="G415" s="1050"/>
      <c r="H415" s="1050"/>
      <c r="I415" s="1050"/>
      <c r="J415" s="1050"/>
      <c r="K415" s="761" t="s">
        <v>1636</v>
      </c>
      <c r="L415" s="917" t="s">
        <v>371</v>
      </c>
      <c r="M415" s="866">
        <v>20</v>
      </c>
      <c r="N415" s="866">
        <v>20</v>
      </c>
      <c r="O415" s="866">
        <v>20</v>
      </c>
      <c r="P415" s="866">
        <v>20</v>
      </c>
      <c r="Q415" s="880">
        <v>20</v>
      </c>
      <c r="R415" s="901"/>
      <c r="S415" s="901"/>
      <c r="T415" s="901"/>
      <c r="U415" s="901"/>
    </row>
    <row r="416" spans="1:21" ht="30" x14ac:dyDescent="0.25">
      <c r="A416" s="1210"/>
      <c r="B416" s="858"/>
      <c r="C416" s="858" t="s">
        <v>48</v>
      </c>
      <c r="D416" s="859"/>
      <c r="E416" s="950" t="s">
        <v>1635</v>
      </c>
      <c r="F416" s="952"/>
      <c r="G416" s="865">
        <v>9499.2000000000007</v>
      </c>
      <c r="H416" s="948">
        <f>8234.9+1264.3-8234.9-1264.3</f>
        <v>0</v>
      </c>
      <c r="I416" s="865">
        <f>8391.4+1288.3-9679.7</f>
        <v>0</v>
      </c>
      <c r="J416" s="865">
        <f>8643.1+1326.9-8643.1-1326.9</f>
        <v>0</v>
      </c>
      <c r="K416" s="951" t="s">
        <v>1634</v>
      </c>
      <c r="L416" s="866" t="s">
        <v>518</v>
      </c>
      <c r="M416" s="866"/>
      <c r="N416" s="868">
        <v>172891.6</v>
      </c>
      <c r="O416" s="868">
        <v>174209.9</v>
      </c>
      <c r="P416" s="95">
        <v>174972</v>
      </c>
      <c r="Q416" s="869" t="s">
        <v>687</v>
      </c>
      <c r="R416" s="901"/>
      <c r="S416" s="901"/>
      <c r="T416" s="901"/>
      <c r="U416" s="901"/>
    </row>
    <row r="417" spans="1:21" ht="30" x14ac:dyDescent="0.25">
      <c r="A417" s="1210"/>
      <c r="B417" s="858"/>
      <c r="C417" s="858" t="s">
        <v>37</v>
      </c>
      <c r="D417" s="418"/>
      <c r="E417" s="950" t="s">
        <v>1633</v>
      </c>
      <c r="F417" s="948"/>
      <c r="G417" s="865">
        <v>2375.6999999999998</v>
      </c>
      <c r="H417" s="948">
        <f>2059.6+316.1-2059.6-316.1</f>
        <v>0</v>
      </c>
      <c r="I417" s="865">
        <f>2098.8+322.1-2420.9</f>
        <v>0</v>
      </c>
      <c r="J417" s="865">
        <f>2161.8+331.8-2161.8-331.8</f>
        <v>0</v>
      </c>
      <c r="K417" s="951" t="s">
        <v>1632</v>
      </c>
      <c r="L417" s="866" t="s">
        <v>533</v>
      </c>
      <c r="M417" s="866"/>
      <c r="N417" s="95">
        <v>3000000</v>
      </c>
      <c r="O417" s="95">
        <v>3000000</v>
      </c>
      <c r="P417" s="95">
        <v>4000000</v>
      </c>
      <c r="Q417" s="539">
        <v>6500000</v>
      </c>
      <c r="R417" s="901"/>
      <c r="S417" s="901"/>
      <c r="T417" s="901"/>
      <c r="U417" s="901"/>
    </row>
    <row r="418" spans="1:21" ht="30" x14ac:dyDescent="0.25">
      <c r="A418" s="1210"/>
      <c r="B418" s="858"/>
      <c r="C418" s="858" t="s">
        <v>73</v>
      </c>
      <c r="D418" s="418"/>
      <c r="E418" s="950" t="s">
        <v>1631</v>
      </c>
      <c r="F418" s="948"/>
      <c r="G418" s="214">
        <v>2320.4</v>
      </c>
      <c r="H418" s="948">
        <f>2011.7+308.7-2011.7-308.7</f>
        <v>0</v>
      </c>
      <c r="I418" s="214">
        <f>2049.9+314.6-2364.5</f>
        <v>0</v>
      </c>
      <c r="J418" s="865">
        <f>2111.4+324-2111.4-324</f>
        <v>0</v>
      </c>
      <c r="K418" s="860" t="s">
        <v>1630</v>
      </c>
      <c r="L418" s="410" t="s">
        <v>518</v>
      </c>
      <c r="M418" s="38">
        <v>600</v>
      </c>
      <c r="N418" s="95">
        <v>600</v>
      </c>
      <c r="O418" s="95">
        <v>600</v>
      </c>
      <c r="P418" s="95">
        <v>600</v>
      </c>
      <c r="Q418" s="539">
        <v>1000</v>
      </c>
      <c r="R418" s="901"/>
      <c r="S418" s="901"/>
      <c r="T418" s="901"/>
      <c r="U418" s="901"/>
    </row>
    <row r="419" spans="1:21" x14ac:dyDescent="0.25">
      <c r="A419" s="1210"/>
      <c r="B419" s="1045"/>
      <c r="C419" s="1045" t="s">
        <v>76</v>
      </c>
      <c r="D419" s="1046"/>
      <c r="E419" s="1304" t="s">
        <v>1629</v>
      </c>
      <c r="F419" s="1318"/>
      <c r="G419" s="1318">
        <v>8095.8</v>
      </c>
      <c r="H419" s="1318">
        <f>7018.9+1076.9-7018.9-1076.9</f>
        <v>0</v>
      </c>
      <c r="I419" s="1318">
        <f>7152.3+1097.4-8249.7</f>
        <v>0</v>
      </c>
      <c r="J419" s="1318">
        <f>7366.9+1130.3-7366.9-1130.3</f>
        <v>0</v>
      </c>
      <c r="K419" s="860" t="s">
        <v>1628</v>
      </c>
      <c r="L419" s="410" t="s">
        <v>518</v>
      </c>
      <c r="M419" s="866"/>
      <c r="N419" s="95">
        <v>18089.849999999999</v>
      </c>
      <c r="O419" s="95">
        <v>16528.560000000001</v>
      </c>
      <c r="P419" s="95">
        <v>14172.05</v>
      </c>
      <c r="Q419" s="539">
        <v>10026.41</v>
      </c>
      <c r="R419" s="901"/>
      <c r="S419" s="901"/>
      <c r="T419" s="901"/>
      <c r="U419" s="901"/>
    </row>
    <row r="420" spans="1:21" ht="30" x14ac:dyDescent="0.25">
      <c r="A420" s="1210"/>
      <c r="B420" s="1045"/>
      <c r="C420" s="1045"/>
      <c r="D420" s="1046"/>
      <c r="E420" s="1304"/>
      <c r="F420" s="1318"/>
      <c r="G420" s="1318"/>
      <c r="H420" s="1318"/>
      <c r="I420" s="1318"/>
      <c r="J420" s="1318"/>
      <c r="K420" s="212" t="s">
        <v>1627</v>
      </c>
      <c r="L420" s="410" t="s">
        <v>518</v>
      </c>
      <c r="M420" s="866"/>
      <c r="N420" s="95">
        <v>25826.09</v>
      </c>
      <c r="O420" s="95">
        <v>33648.089999999997</v>
      </c>
      <c r="P420" s="95">
        <v>43163.78</v>
      </c>
      <c r="Q420" s="539">
        <v>26920.97</v>
      </c>
      <c r="R420" s="901"/>
      <c r="S420" s="901"/>
      <c r="T420" s="901"/>
      <c r="U420" s="901"/>
    </row>
    <row r="421" spans="1:21" ht="30" x14ac:dyDescent="0.25">
      <c r="A421" s="1210"/>
      <c r="B421" s="1045"/>
      <c r="C421" s="1045" t="s">
        <v>79</v>
      </c>
      <c r="D421" s="1045"/>
      <c r="E421" s="1304" t="s">
        <v>1626</v>
      </c>
      <c r="F421" s="1050"/>
      <c r="G421" s="1050">
        <v>5017.6000000000004</v>
      </c>
      <c r="H421" s="1050">
        <f>4350+667.6-4350-667.6</f>
        <v>0</v>
      </c>
      <c r="I421" s="1050">
        <f>4432.7+680.3-5113</f>
        <v>0</v>
      </c>
      <c r="J421" s="1050">
        <f>4565.7+700.7-4565.7-700.7</f>
        <v>0</v>
      </c>
      <c r="K421" s="860" t="s">
        <v>1625</v>
      </c>
      <c r="L421" s="866" t="s">
        <v>688</v>
      </c>
      <c r="M421" s="866">
        <v>0</v>
      </c>
      <c r="N421" s="866">
        <v>0</v>
      </c>
      <c r="O421" s="866">
        <v>0</v>
      </c>
      <c r="P421" s="866">
        <v>0</v>
      </c>
      <c r="Q421" s="880">
        <v>0</v>
      </c>
      <c r="R421" s="901"/>
      <c r="S421" s="901"/>
      <c r="T421" s="901"/>
      <c r="U421" s="901"/>
    </row>
    <row r="422" spans="1:21" ht="30" x14ac:dyDescent="0.25">
      <c r="A422" s="1210"/>
      <c r="B422" s="1045"/>
      <c r="C422" s="1045"/>
      <c r="D422" s="1045"/>
      <c r="E422" s="1304"/>
      <c r="F422" s="1050"/>
      <c r="G422" s="1050"/>
      <c r="H422" s="1050"/>
      <c r="I422" s="1050"/>
      <c r="J422" s="1050"/>
      <c r="K422" s="860" t="s">
        <v>1624</v>
      </c>
      <c r="L422" s="866" t="s">
        <v>19</v>
      </c>
      <c r="M422" s="866" t="s">
        <v>1623</v>
      </c>
      <c r="N422" s="866" t="s">
        <v>1623</v>
      </c>
      <c r="O422" s="866" t="s">
        <v>1623</v>
      </c>
      <c r="P422" s="866" t="s">
        <v>1623</v>
      </c>
      <c r="Q422" s="880" t="s">
        <v>1623</v>
      </c>
      <c r="R422" s="901"/>
      <c r="S422" s="901"/>
      <c r="T422" s="901"/>
      <c r="U422" s="901"/>
    </row>
    <row r="423" spans="1:21" x14ac:dyDescent="0.25">
      <c r="A423" s="1210"/>
      <c r="B423" s="1045"/>
      <c r="C423" s="1045"/>
      <c r="D423" s="1045"/>
      <c r="E423" s="1304"/>
      <c r="F423" s="1050"/>
      <c r="G423" s="1050"/>
      <c r="H423" s="1050"/>
      <c r="I423" s="1050"/>
      <c r="J423" s="1050"/>
      <c r="K423" s="860" t="s">
        <v>1622</v>
      </c>
      <c r="L423" s="866" t="s">
        <v>19</v>
      </c>
      <c r="M423" s="866">
        <v>100</v>
      </c>
      <c r="N423" s="866">
        <v>100</v>
      </c>
      <c r="O423" s="866">
        <v>100</v>
      </c>
      <c r="P423" s="866">
        <v>100</v>
      </c>
      <c r="Q423" s="880">
        <v>100</v>
      </c>
      <c r="R423" s="901"/>
      <c r="S423" s="901"/>
      <c r="T423" s="901"/>
      <c r="U423" s="901"/>
    </row>
    <row r="424" spans="1:21" ht="30" x14ac:dyDescent="0.25">
      <c r="A424" s="1210"/>
      <c r="B424" s="1045"/>
      <c r="C424" s="1045"/>
      <c r="D424" s="1045"/>
      <c r="E424" s="1304"/>
      <c r="F424" s="1050"/>
      <c r="G424" s="1050"/>
      <c r="H424" s="1050"/>
      <c r="I424" s="1050"/>
      <c r="J424" s="1050"/>
      <c r="K424" s="860" t="s">
        <v>1621</v>
      </c>
      <c r="L424" s="866" t="s">
        <v>688</v>
      </c>
      <c r="M424" s="866">
        <v>0</v>
      </c>
      <c r="N424" s="866">
        <v>0</v>
      </c>
      <c r="O424" s="866">
        <v>0</v>
      </c>
      <c r="P424" s="866">
        <v>0</v>
      </c>
      <c r="Q424" s="880">
        <v>0</v>
      </c>
      <c r="R424" s="901"/>
      <c r="S424" s="901"/>
      <c r="T424" s="901"/>
      <c r="U424" s="901"/>
    </row>
    <row r="425" spans="1:21" ht="30" x14ac:dyDescent="0.25">
      <c r="A425" s="1210"/>
      <c r="B425" s="1045"/>
      <c r="C425" s="1045" t="s">
        <v>82</v>
      </c>
      <c r="D425" s="1045"/>
      <c r="E425" s="1304" t="s">
        <v>1620</v>
      </c>
      <c r="F425" s="1319"/>
      <c r="G425" s="1319">
        <v>6856.4</v>
      </c>
      <c r="H425" s="1319">
        <f>5943.8+912.6-5943.8-912.6</f>
        <v>0</v>
      </c>
      <c r="I425" s="1319">
        <f>6056.8+930-6986.8</f>
        <v>0</v>
      </c>
      <c r="J425" s="1319">
        <f>6238.5+957.9-6238.5-957.9</f>
        <v>0</v>
      </c>
      <c r="K425" s="950" t="s">
        <v>1619</v>
      </c>
      <c r="L425" s="866" t="s">
        <v>19</v>
      </c>
      <c r="M425" s="866">
        <v>22.5</v>
      </c>
      <c r="N425" s="866">
        <v>22.5</v>
      </c>
      <c r="O425" s="866">
        <v>22.5</v>
      </c>
      <c r="P425" s="866">
        <v>22.5</v>
      </c>
      <c r="Q425" s="880">
        <v>22.5</v>
      </c>
      <c r="R425" s="901"/>
      <c r="S425" s="901"/>
      <c r="T425" s="901"/>
      <c r="U425" s="901"/>
    </row>
    <row r="426" spans="1:21" ht="30" x14ac:dyDescent="0.25">
      <c r="A426" s="1210"/>
      <c r="B426" s="1045"/>
      <c r="C426" s="1045"/>
      <c r="D426" s="1045"/>
      <c r="E426" s="1304"/>
      <c r="F426" s="1319"/>
      <c r="G426" s="1319"/>
      <c r="H426" s="1319"/>
      <c r="I426" s="1319"/>
      <c r="J426" s="1319"/>
      <c r="K426" s="950" t="s">
        <v>1618</v>
      </c>
      <c r="L426" s="866" t="s">
        <v>19</v>
      </c>
      <c r="M426" s="866">
        <v>0.5</v>
      </c>
      <c r="N426" s="866">
        <v>0.5</v>
      </c>
      <c r="O426" s="866">
        <v>0.5</v>
      </c>
      <c r="P426" s="866">
        <v>0.5</v>
      </c>
      <c r="Q426" s="880">
        <v>0.5</v>
      </c>
      <c r="R426" s="901"/>
      <c r="S426" s="901"/>
      <c r="T426" s="901"/>
      <c r="U426" s="901"/>
    </row>
    <row r="427" spans="1:21" ht="30" x14ac:dyDescent="0.25">
      <c r="A427" s="1210"/>
      <c r="B427" s="1045"/>
      <c r="C427" s="1045"/>
      <c r="D427" s="1045"/>
      <c r="E427" s="1304"/>
      <c r="F427" s="1319"/>
      <c r="G427" s="1319"/>
      <c r="H427" s="1319"/>
      <c r="I427" s="1319"/>
      <c r="J427" s="1319"/>
      <c r="K427" s="950" t="s">
        <v>1617</v>
      </c>
      <c r="L427" s="866" t="s">
        <v>1616</v>
      </c>
      <c r="M427" s="866">
        <v>4</v>
      </c>
      <c r="N427" s="866">
        <v>4</v>
      </c>
      <c r="O427" s="866">
        <v>4</v>
      </c>
      <c r="P427" s="866">
        <v>4</v>
      </c>
      <c r="Q427" s="880">
        <v>4</v>
      </c>
      <c r="R427" s="901"/>
      <c r="S427" s="901"/>
      <c r="T427" s="901"/>
      <c r="U427" s="901"/>
    </row>
    <row r="428" spans="1:21" ht="60" hidden="1" x14ac:dyDescent="0.25">
      <c r="A428" s="1210"/>
      <c r="B428" s="858"/>
      <c r="C428" s="858" t="s">
        <v>83</v>
      </c>
      <c r="D428" s="859"/>
      <c r="E428" s="950" t="s">
        <v>1615</v>
      </c>
      <c r="F428" s="948"/>
      <c r="G428" s="865"/>
      <c r="H428" s="948">
        <f>115909-94800.7-14581.1-5601.2-926</f>
        <v>2.7284841053187847E-12</v>
      </c>
      <c r="I428" s="865">
        <f>117213.5-96639.4-14864.2-5709.9</f>
        <v>0</v>
      </c>
      <c r="J428" s="865">
        <f>99539.2+15309.7+5880.6-99539.2-15309.7-5880.6</f>
        <v>0</v>
      </c>
      <c r="K428" s="950" t="s">
        <v>1614</v>
      </c>
      <c r="L428" s="866" t="s">
        <v>1613</v>
      </c>
      <c r="M428" s="866">
        <v>71</v>
      </c>
      <c r="N428" s="866">
        <v>71</v>
      </c>
      <c r="O428" s="866">
        <v>71</v>
      </c>
      <c r="P428" s="866">
        <v>75</v>
      </c>
      <c r="Q428" s="880">
        <v>75</v>
      </c>
      <c r="R428" s="901"/>
      <c r="S428" s="901"/>
      <c r="T428" s="901"/>
      <c r="U428" s="901"/>
    </row>
    <row r="429" spans="1:21" x14ac:dyDescent="0.25">
      <c r="A429" s="1210"/>
      <c r="B429" s="1044" t="s">
        <v>1612</v>
      </c>
      <c r="C429" s="1045"/>
      <c r="D429" s="1046"/>
      <c r="E429" s="1020" t="s">
        <v>1646</v>
      </c>
      <c r="F429" s="1021">
        <f>SUM(F431:F432)</f>
        <v>0</v>
      </c>
      <c r="G429" s="1021">
        <f>SUM(G431:G432)</f>
        <v>22836.400000000001</v>
      </c>
      <c r="H429" s="1021">
        <f>SUM(H431:H432)</f>
        <v>-3.4106051316484809E-12</v>
      </c>
      <c r="I429" s="1021">
        <f>SUM(I431:I432)</f>
        <v>0</v>
      </c>
      <c r="J429" s="1021">
        <f>SUM(J431:J432)</f>
        <v>-9.5496943686157465E-12</v>
      </c>
      <c r="K429" s="1057" t="s">
        <v>1611</v>
      </c>
      <c r="L429" s="1058" t="s">
        <v>19</v>
      </c>
      <c r="M429" s="1058">
        <v>100</v>
      </c>
      <c r="N429" s="1058">
        <v>100</v>
      </c>
      <c r="O429" s="1058">
        <v>100</v>
      </c>
      <c r="P429" s="1058">
        <v>100</v>
      </c>
      <c r="Q429" s="1062">
        <v>100</v>
      </c>
      <c r="R429" s="901"/>
      <c r="S429" s="901"/>
      <c r="T429" s="901"/>
      <c r="U429" s="901"/>
    </row>
    <row r="430" spans="1:21" ht="63.75" customHeight="1" x14ac:dyDescent="0.25">
      <c r="A430" s="1210"/>
      <c r="B430" s="1044"/>
      <c r="C430" s="1045"/>
      <c r="D430" s="1046"/>
      <c r="E430" s="1020"/>
      <c r="F430" s="1021"/>
      <c r="G430" s="1021"/>
      <c r="H430" s="1021"/>
      <c r="I430" s="1021"/>
      <c r="J430" s="1021"/>
      <c r="K430" s="1057"/>
      <c r="L430" s="1058"/>
      <c r="M430" s="1058"/>
      <c r="N430" s="1058"/>
      <c r="O430" s="1058"/>
      <c r="P430" s="1058"/>
      <c r="Q430" s="1062"/>
      <c r="R430" s="901"/>
      <c r="S430" s="901"/>
      <c r="T430" s="901"/>
      <c r="U430" s="901"/>
    </row>
    <row r="431" spans="1:21" ht="45" x14ac:dyDescent="0.25">
      <c r="A431" s="1210"/>
      <c r="B431" s="858"/>
      <c r="C431" s="858" t="s">
        <v>43</v>
      </c>
      <c r="D431" s="859"/>
      <c r="E431" s="949" t="s">
        <v>1610</v>
      </c>
      <c r="F431" s="948"/>
      <c r="G431" s="948">
        <v>22836.400000000001</v>
      </c>
      <c r="H431" s="948">
        <f>19796.8+3039.6-19796.8-3039.6</f>
        <v>0</v>
      </c>
      <c r="I431" s="948">
        <f>20200.7+3101.5-23302.2</f>
        <v>0</v>
      </c>
      <c r="J431" s="948">
        <f>20799.6+3194.5-20799.6-3194.5</f>
        <v>0</v>
      </c>
      <c r="K431" s="1304" t="s">
        <v>1609</v>
      </c>
      <c r="L431" s="1322" t="s">
        <v>1608</v>
      </c>
      <c r="M431" s="1322" t="s">
        <v>1607</v>
      </c>
      <c r="N431" s="1322" t="s">
        <v>1607</v>
      </c>
      <c r="O431" s="1322" t="s">
        <v>1607</v>
      </c>
      <c r="P431" s="1322" t="s">
        <v>1607</v>
      </c>
      <c r="Q431" s="1320" t="s">
        <v>1607</v>
      </c>
      <c r="R431" s="901"/>
      <c r="S431" s="901"/>
      <c r="T431" s="901"/>
      <c r="U431" s="901"/>
    </row>
    <row r="432" spans="1:21" ht="30" hidden="1" x14ac:dyDescent="0.25">
      <c r="A432" s="1210"/>
      <c r="B432" s="858"/>
      <c r="C432" s="858" t="s">
        <v>48</v>
      </c>
      <c r="D432" s="859"/>
      <c r="E432" s="950" t="s">
        <v>1606</v>
      </c>
      <c r="F432" s="948"/>
      <c r="G432" s="948"/>
      <c r="H432" s="948">
        <f>114730.4-98703.7-15181.1-1775.9+930.3</f>
        <v>-3.4106051316484809E-12</v>
      </c>
      <c r="I432" s="948">
        <f>117903.8-100618.3-15475.2-1810.3</f>
        <v>0</v>
      </c>
      <c r="J432" s="948">
        <f>103637.3+15939.7+1865.9-103637.3-15939.7-1865.9</f>
        <v>-9.5496943686157465E-12</v>
      </c>
      <c r="K432" s="1304"/>
      <c r="L432" s="1322"/>
      <c r="M432" s="1322"/>
      <c r="N432" s="1322"/>
      <c r="O432" s="1322"/>
      <c r="P432" s="1322"/>
      <c r="Q432" s="1320"/>
      <c r="R432" s="901"/>
      <c r="S432" s="901"/>
      <c r="T432" s="901"/>
      <c r="U432" s="901"/>
    </row>
    <row r="433" spans="1:21" x14ac:dyDescent="0.25">
      <c r="A433" s="1210"/>
      <c r="B433" s="1044" t="s">
        <v>1605</v>
      </c>
      <c r="C433" s="1045"/>
      <c r="D433" s="1046"/>
      <c r="E433" s="1020" t="s">
        <v>1645</v>
      </c>
      <c r="F433" s="1321">
        <f>SUM(F435:F442)</f>
        <v>36186.199999999997</v>
      </c>
      <c r="G433" s="1321">
        <f>SUM(G435:G442)</f>
        <v>134172.90000000002</v>
      </c>
      <c r="H433" s="1163">
        <f>SUM(H435:H442)</f>
        <v>170413.04</v>
      </c>
      <c r="I433" s="1321">
        <f>SUM(I435:I442)</f>
        <v>163451.63999999998</v>
      </c>
      <c r="J433" s="1321">
        <f>SUM(J435:J442)</f>
        <v>168316.04</v>
      </c>
      <c r="K433" s="1058"/>
      <c r="L433" s="1058"/>
      <c r="M433" s="1058"/>
      <c r="N433" s="1058"/>
      <c r="O433" s="1058"/>
      <c r="P433" s="1058"/>
      <c r="Q433" s="1062"/>
      <c r="R433" s="901"/>
      <c r="S433" s="901"/>
      <c r="T433" s="901"/>
      <c r="U433" s="901"/>
    </row>
    <row r="434" spans="1:21" ht="24.75" customHeight="1" x14ac:dyDescent="0.25">
      <c r="A434" s="1210"/>
      <c r="B434" s="1044"/>
      <c r="C434" s="1045"/>
      <c r="D434" s="1046"/>
      <c r="E434" s="1020"/>
      <c r="F434" s="1321"/>
      <c r="G434" s="1321"/>
      <c r="H434" s="1163"/>
      <c r="I434" s="1321"/>
      <c r="J434" s="1321"/>
      <c r="K434" s="1058"/>
      <c r="L434" s="1058"/>
      <c r="M434" s="1058"/>
      <c r="N434" s="1058"/>
      <c r="O434" s="1058"/>
      <c r="P434" s="1058"/>
      <c r="Q434" s="1062"/>
      <c r="R434" s="901"/>
      <c r="S434" s="901"/>
      <c r="T434" s="901"/>
      <c r="U434" s="901"/>
    </row>
    <row r="435" spans="1:21" ht="60" x14ac:dyDescent="0.25">
      <c r="A435" s="1210"/>
      <c r="B435" s="858"/>
      <c r="C435" s="858" t="s">
        <v>43</v>
      </c>
      <c r="D435" s="859"/>
      <c r="E435" s="950" t="s">
        <v>1604</v>
      </c>
      <c r="F435" s="948">
        <v>17000</v>
      </c>
      <c r="G435" s="948">
        <f>17000+2598.1</f>
        <v>19598.099999999999</v>
      </c>
      <c r="H435" s="969">
        <f>17510+2598.1</f>
        <v>20108.099999999999</v>
      </c>
      <c r="I435" s="948">
        <f>18020+2648.5</f>
        <v>20668.5</v>
      </c>
      <c r="J435" s="948">
        <f>18560+2727.7</f>
        <v>21287.7</v>
      </c>
      <c r="K435" s="860" t="s">
        <v>1603</v>
      </c>
      <c r="L435" s="866" t="s">
        <v>123</v>
      </c>
      <c r="M435" s="866">
        <v>5000</v>
      </c>
      <c r="N435" s="866">
        <v>4500</v>
      </c>
      <c r="O435" s="866">
        <v>4725</v>
      </c>
      <c r="P435" s="866">
        <v>4961</v>
      </c>
      <c r="Q435" s="880">
        <v>5209</v>
      </c>
      <c r="R435" s="901"/>
      <c r="S435" s="901"/>
      <c r="T435" s="901"/>
      <c r="U435" s="901"/>
    </row>
    <row r="436" spans="1:21" ht="45" x14ac:dyDescent="0.25">
      <c r="A436" s="1210"/>
      <c r="B436" s="1045"/>
      <c r="C436" s="1045" t="s">
        <v>48</v>
      </c>
      <c r="D436" s="1045"/>
      <c r="E436" s="1304" t="s">
        <v>1602</v>
      </c>
      <c r="F436" s="1319">
        <v>19186.2</v>
      </c>
      <c r="G436" s="1319">
        <v>16946.2</v>
      </c>
      <c r="H436" s="1325">
        <v>16946.2</v>
      </c>
      <c r="I436" s="1319">
        <v>17274.7</v>
      </c>
      <c r="J436" s="1319">
        <v>17791.400000000001</v>
      </c>
      <c r="K436" s="860" t="s">
        <v>1601</v>
      </c>
      <c r="L436" s="866" t="s">
        <v>1599</v>
      </c>
      <c r="M436" s="866">
        <v>5</v>
      </c>
      <c r="N436" s="866">
        <v>5</v>
      </c>
      <c r="O436" s="866">
        <v>5</v>
      </c>
      <c r="P436" s="866">
        <v>5</v>
      </c>
      <c r="Q436" s="880">
        <v>5</v>
      </c>
      <c r="R436" s="901"/>
      <c r="S436" s="901"/>
      <c r="T436" s="901"/>
      <c r="U436" s="901"/>
    </row>
    <row r="437" spans="1:21" x14ac:dyDescent="0.25">
      <c r="A437" s="1210"/>
      <c r="B437" s="1045"/>
      <c r="C437" s="1045"/>
      <c r="D437" s="1045"/>
      <c r="E437" s="1304"/>
      <c r="F437" s="1319"/>
      <c r="G437" s="1319"/>
      <c r="H437" s="1325"/>
      <c r="I437" s="1319"/>
      <c r="J437" s="1319"/>
      <c r="K437" s="860" t="s">
        <v>1600</v>
      </c>
      <c r="L437" s="866" t="s">
        <v>1599</v>
      </c>
      <c r="M437" s="866" t="s">
        <v>1598</v>
      </c>
      <c r="N437" s="866" t="s">
        <v>1598</v>
      </c>
      <c r="O437" s="866" t="s">
        <v>1598</v>
      </c>
      <c r="P437" s="866" t="s">
        <v>1598</v>
      </c>
      <c r="Q437" s="866" t="s">
        <v>1598</v>
      </c>
      <c r="R437" s="901"/>
      <c r="S437" s="901"/>
      <c r="T437" s="901"/>
      <c r="U437" s="901"/>
    </row>
    <row r="438" spans="1:21" ht="45" x14ac:dyDescent="0.25">
      <c r="A438" s="1210"/>
      <c r="B438" s="1045"/>
      <c r="C438" s="1045"/>
      <c r="D438" s="1045"/>
      <c r="E438" s="1304"/>
      <c r="F438" s="1319"/>
      <c r="G438" s="1319"/>
      <c r="H438" s="1325"/>
      <c r="I438" s="1319"/>
      <c r="J438" s="1319"/>
      <c r="K438" s="860" t="s">
        <v>1597</v>
      </c>
      <c r="L438" s="866" t="s">
        <v>1596</v>
      </c>
      <c r="M438" s="866">
        <v>100</v>
      </c>
      <c r="N438" s="866">
        <v>100</v>
      </c>
      <c r="O438" s="866">
        <v>100</v>
      </c>
      <c r="P438" s="866">
        <v>100</v>
      </c>
      <c r="Q438" s="880">
        <v>100</v>
      </c>
      <c r="R438" s="901"/>
      <c r="S438" s="901"/>
      <c r="T438" s="901"/>
      <c r="U438" s="901"/>
    </row>
    <row r="439" spans="1:21" ht="60" x14ac:dyDescent="0.25">
      <c r="A439" s="1210"/>
      <c r="B439" s="1045"/>
      <c r="C439" s="1045"/>
      <c r="D439" s="1045"/>
      <c r="E439" s="1304"/>
      <c r="F439" s="1319"/>
      <c r="G439" s="1319"/>
      <c r="H439" s="1325"/>
      <c r="I439" s="1319"/>
      <c r="J439" s="1319"/>
      <c r="K439" s="860" t="s">
        <v>1595</v>
      </c>
      <c r="L439" s="866" t="s">
        <v>163</v>
      </c>
      <c r="M439" s="866" t="s">
        <v>1594</v>
      </c>
      <c r="N439" s="866" t="s">
        <v>1594</v>
      </c>
      <c r="O439" s="866" t="s">
        <v>1594</v>
      </c>
      <c r="P439" s="866" t="s">
        <v>1594</v>
      </c>
      <c r="Q439" s="880" t="s">
        <v>1594</v>
      </c>
      <c r="R439" s="901"/>
      <c r="S439" s="901"/>
      <c r="T439" s="901"/>
      <c r="U439" s="901"/>
    </row>
    <row r="440" spans="1:21" ht="30" x14ac:dyDescent="0.25">
      <c r="A440" s="1210"/>
      <c r="B440" s="1045"/>
      <c r="C440" s="1045"/>
      <c r="D440" s="1045"/>
      <c r="E440" s="1304"/>
      <c r="F440" s="1319"/>
      <c r="G440" s="1319"/>
      <c r="H440" s="1325"/>
      <c r="I440" s="1319"/>
      <c r="J440" s="1319"/>
      <c r="K440" s="860" t="s">
        <v>1593</v>
      </c>
      <c r="L440" s="866" t="s">
        <v>19</v>
      </c>
      <c r="M440" s="866">
        <v>100</v>
      </c>
      <c r="N440" s="866">
        <v>100</v>
      </c>
      <c r="O440" s="866">
        <v>100</v>
      </c>
      <c r="P440" s="866">
        <v>100</v>
      </c>
      <c r="Q440" s="880">
        <v>100</v>
      </c>
      <c r="R440" s="901"/>
      <c r="S440" s="901"/>
      <c r="T440" s="901"/>
      <c r="U440" s="901"/>
    </row>
    <row r="441" spans="1:21" ht="60" x14ac:dyDescent="0.25">
      <c r="A441" s="1210"/>
      <c r="B441" s="858"/>
      <c r="C441" s="858" t="s">
        <v>37</v>
      </c>
      <c r="D441" s="859"/>
      <c r="E441" s="949" t="s">
        <v>1592</v>
      </c>
      <c r="F441" s="948"/>
      <c r="G441" s="948">
        <v>10203</v>
      </c>
      <c r="H441" s="969">
        <v>22763</v>
      </c>
      <c r="I441" s="948">
        <v>13218.1</v>
      </c>
      <c r="J441" s="948">
        <v>14280.7</v>
      </c>
      <c r="K441" s="857" t="s">
        <v>1591</v>
      </c>
      <c r="L441" s="866" t="s">
        <v>19</v>
      </c>
      <c r="M441" s="866">
        <v>100</v>
      </c>
      <c r="N441" s="866">
        <v>100</v>
      </c>
      <c r="O441" s="866">
        <v>100</v>
      </c>
      <c r="P441" s="866">
        <v>100</v>
      </c>
      <c r="Q441" s="880">
        <v>100</v>
      </c>
      <c r="R441" s="901"/>
      <c r="S441" s="901"/>
      <c r="T441" s="901"/>
      <c r="U441" s="901"/>
    </row>
    <row r="442" spans="1:21" ht="30" x14ac:dyDescent="0.25">
      <c r="A442" s="1210"/>
      <c r="B442" s="858"/>
      <c r="C442" s="858" t="s">
        <v>73</v>
      </c>
      <c r="D442" s="859"/>
      <c r="E442" s="949" t="s">
        <v>1590</v>
      </c>
      <c r="F442" s="948"/>
      <c r="G442" s="948">
        <v>87425.600000000006</v>
      </c>
      <c r="H442" s="969">
        <f>87425.6+23170.14</f>
        <v>110595.74</v>
      </c>
      <c r="I442" s="948">
        <f>89120.2+23170.14</f>
        <v>112290.34</v>
      </c>
      <c r="J442" s="948">
        <f>91786.1+23170.14</f>
        <v>114956.24</v>
      </c>
      <c r="K442" s="213" t="s">
        <v>1589</v>
      </c>
      <c r="L442" s="410" t="s">
        <v>518</v>
      </c>
      <c r="M442" s="38">
        <v>4449</v>
      </c>
      <c r="N442" s="38">
        <v>5018.7</v>
      </c>
      <c r="O442" s="38">
        <v>5023.8999999999996</v>
      </c>
      <c r="P442" s="38">
        <v>5438.2</v>
      </c>
      <c r="Q442" s="490">
        <v>5450.3</v>
      </c>
      <c r="R442" s="901"/>
      <c r="S442" s="901"/>
      <c r="T442" s="901"/>
      <c r="U442" s="901"/>
    </row>
    <row r="443" spans="1:21" x14ac:dyDescent="0.25">
      <c r="A443" s="1210"/>
      <c r="B443" s="1044" t="s">
        <v>1588</v>
      </c>
      <c r="C443" s="1045"/>
      <c r="D443" s="1046"/>
      <c r="E443" s="1323" t="s">
        <v>1587</v>
      </c>
      <c r="F443" s="1021">
        <f>F445+F448</f>
        <v>2547529.2999999998</v>
      </c>
      <c r="G443" s="1021">
        <f>G445+G448</f>
        <v>2161028.2000000002</v>
      </c>
      <c r="H443" s="1143">
        <f>H445+H448</f>
        <v>2612374.3000000003</v>
      </c>
      <c r="I443" s="1021">
        <f>I445+I448</f>
        <v>2662322.8000000007</v>
      </c>
      <c r="J443" s="1021">
        <f>J445+J448</f>
        <v>2740900.6999999997</v>
      </c>
      <c r="K443" s="1058"/>
      <c r="L443" s="1058"/>
      <c r="M443" s="1058"/>
      <c r="N443" s="1058"/>
      <c r="O443" s="1058"/>
      <c r="P443" s="1058"/>
      <c r="Q443" s="1062"/>
      <c r="R443" s="901"/>
      <c r="S443" s="901"/>
      <c r="T443" s="901"/>
      <c r="U443" s="901"/>
    </row>
    <row r="444" spans="1:21" ht="15" customHeight="1" x14ac:dyDescent="0.25">
      <c r="A444" s="1210"/>
      <c r="B444" s="1044"/>
      <c r="C444" s="1045"/>
      <c r="D444" s="1046"/>
      <c r="E444" s="1324"/>
      <c r="F444" s="1021"/>
      <c r="G444" s="1021"/>
      <c r="H444" s="1143"/>
      <c r="I444" s="1021"/>
      <c r="J444" s="1021"/>
      <c r="K444" s="1058"/>
      <c r="L444" s="1058"/>
      <c r="M444" s="1058"/>
      <c r="N444" s="1058"/>
      <c r="O444" s="1058"/>
      <c r="P444" s="1058"/>
      <c r="Q444" s="1062"/>
      <c r="R444" s="901"/>
      <c r="S444" s="901"/>
      <c r="T444" s="901"/>
      <c r="U444" s="901"/>
    </row>
    <row r="445" spans="1:21" hidden="1" x14ac:dyDescent="0.25">
      <c r="A445" s="1210"/>
      <c r="B445" s="867"/>
      <c r="C445" s="858"/>
      <c r="D445" s="859"/>
      <c r="E445" s="871"/>
      <c r="F445" s="865">
        <f>F446+F447</f>
        <v>1503757.5999999999</v>
      </c>
      <c r="G445" s="865">
        <f>G446+G447</f>
        <v>1465419.9</v>
      </c>
      <c r="H445" s="864">
        <f>H446+H447</f>
        <v>1581261.0000000002</v>
      </c>
      <c r="I445" s="865">
        <f>I446+I447</f>
        <v>1611911.2000000004</v>
      </c>
      <c r="J445" s="865">
        <f>J446+J447</f>
        <v>1660129.4999999998</v>
      </c>
      <c r="K445" s="866"/>
      <c r="L445" s="866"/>
      <c r="M445" s="866"/>
      <c r="N445" s="866"/>
      <c r="O445" s="866"/>
      <c r="P445" s="866"/>
      <c r="Q445" s="880"/>
      <c r="R445" s="901"/>
      <c r="S445" s="901"/>
      <c r="T445" s="901"/>
      <c r="U445" s="901"/>
    </row>
    <row r="446" spans="1:21" ht="30" x14ac:dyDescent="0.25">
      <c r="A446" s="1210"/>
      <c r="B446" s="867"/>
      <c r="C446" s="890">
        <v>1</v>
      </c>
      <c r="D446" s="947"/>
      <c r="E446" s="945" t="s">
        <v>1586</v>
      </c>
      <c r="F446" s="865">
        <v>245781.69999999998</v>
      </c>
      <c r="G446" s="865">
        <v>202705.2</v>
      </c>
      <c r="H446" s="864">
        <v>244016</v>
      </c>
      <c r="I446" s="865">
        <v>264374.8</v>
      </c>
      <c r="J446" s="865">
        <v>272283.3</v>
      </c>
      <c r="K446" s="860" t="s">
        <v>1585</v>
      </c>
      <c r="L446" s="866" t="s">
        <v>19</v>
      </c>
      <c r="M446" s="866">
        <v>100.3</v>
      </c>
      <c r="N446" s="866">
        <v>100</v>
      </c>
      <c r="O446" s="866">
        <v>100</v>
      </c>
      <c r="P446" s="866">
        <v>100</v>
      </c>
      <c r="Q446" s="880">
        <v>100</v>
      </c>
      <c r="R446" s="901"/>
      <c r="S446" s="901"/>
      <c r="T446" s="901"/>
      <c r="U446" s="901"/>
    </row>
    <row r="447" spans="1:21" ht="45" x14ac:dyDescent="0.25">
      <c r="A447" s="1210"/>
      <c r="B447" s="867"/>
      <c r="C447" s="890">
        <v>2</v>
      </c>
      <c r="D447" s="947"/>
      <c r="E447" s="945" t="s">
        <v>1584</v>
      </c>
      <c r="F447" s="865">
        <v>1257975.8999999999</v>
      </c>
      <c r="G447" s="865">
        <v>1262714.7</v>
      </c>
      <c r="H447" s="864">
        <v>1337245.0000000002</v>
      </c>
      <c r="I447" s="865">
        <v>1347536.4000000004</v>
      </c>
      <c r="J447" s="865">
        <v>1387846.1999999997</v>
      </c>
      <c r="K447" s="860" t="s">
        <v>1583</v>
      </c>
      <c r="L447" s="866" t="s">
        <v>1582</v>
      </c>
      <c r="M447" s="866">
        <v>1.9E-2</v>
      </c>
      <c r="N447" s="866">
        <v>1.4999999999999999E-2</v>
      </c>
      <c r="O447" s="866">
        <v>1.4999999999999999E-2</v>
      </c>
      <c r="P447" s="866">
        <v>1.4999999999999999E-2</v>
      </c>
      <c r="Q447" s="880">
        <v>1.6E-2</v>
      </c>
      <c r="R447" s="901"/>
      <c r="S447" s="901"/>
      <c r="T447" s="901"/>
      <c r="U447" s="901"/>
    </row>
    <row r="448" spans="1:21" s="3" customFormat="1" ht="14.25" hidden="1" x14ac:dyDescent="0.2">
      <c r="A448" s="1210"/>
      <c r="B448" s="1044"/>
      <c r="C448" s="1044"/>
      <c r="D448" s="1330"/>
      <c r="E448" s="1020" t="s">
        <v>1581</v>
      </c>
      <c r="F448" s="1021">
        <f>F450+F451</f>
        <v>1043771.7</v>
      </c>
      <c r="G448" s="1021">
        <f>G450+G451</f>
        <v>695608.3</v>
      </c>
      <c r="H448" s="1143">
        <f>H450+H451</f>
        <v>1031113.3</v>
      </c>
      <c r="I448" s="1021">
        <f>I450+I451</f>
        <v>1050411.6000000001</v>
      </c>
      <c r="J448" s="1021">
        <f>J450+J451</f>
        <v>1080771.2</v>
      </c>
      <c r="K448" s="1241"/>
      <c r="L448" s="1214"/>
      <c r="M448" s="1214"/>
      <c r="N448" s="1122"/>
      <c r="O448" s="1122"/>
      <c r="P448" s="1122"/>
      <c r="Q448" s="1242"/>
      <c r="R448" s="946"/>
      <c r="S448" s="946"/>
      <c r="T448" s="946"/>
      <c r="U448" s="946"/>
    </row>
    <row r="449" spans="1:21" s="3" customFormat="1" ht="14.25" hidden="1" x14ac:dyDescent="0.2">
      <c r="A449" s="1210"/>
      <c r="B449" s="1044"/>
      <c r="C449" s="1044"/>
      <c r="D449" s="1330"/>
      <c r="E449" s="1020"/>
      <c r="F449" s="1021"/>
      <c r="G449" s="1021"/>
      <c r="H449" s="1143"/>
      <c r="I449" s="1021"/>
      <c r="J449" s="1021"/>
      <c r="K449" s="1241"/>
      <c r="L449" s="1214"/>
      <c r="M449" s="1214"/>
      <c r="N449" s="1122"/>
      <c r="O449" s="1122"/>
      <c r="P449" s="1122"/>
      <c r="Q449" s="1242"/>
      <c r="R449" s="946"/>
      <c r="S449" s="946"/>
      <c r="T449" s="946"/>
      <c r="U449" s="946"/>
    </row>
    <row r="450" spans="1:21" ht="45" x14ac:dyDescent="0.25">
      <c r="A450" s="1210"/>
      <c r="B450" s="889"/>
      <c r="C450" s="858" t="s">
        <v>37</v>
      </c>
      <c r="D450" s="859"/>
      <c r="E450" s="945" t="s">
        <v>1580</v>
      </c>
      <c r="F450" s="865">
        <v>262743.5</v>
      </c>
      <c r="G450" s="865">
        <v>170227.4</v>
      </c>
      <c r="H450" s="864">
        <f>186247.4+300+35175</f>
        <v>221722.4</v>
      </c>
      <c r="I450" s="865">
        <f>184379+300+35175</f>
        <v>219854</v>
      </c>
      <c r="J450" s="865">
        <f>193728.4+300+35175</f>
        <v>229203.4</v>
      </c>
      <c r="K450" s="860" t="s">
        <v>1579</v>
      </c>
      <c r="L450" s="866" t="s">
        <v>19</v>
      </c>
      <c r="M450" s="866">
        <v>84.9</v>
      </c>
      <c r="N450" s="866">
        <v>98</v>
      </c>
      <c r="O450" s="866">
        <v>100</v>
      </c>
      <c r="P450" s="866">
        <v>100</v>
      </c>
      <c r="Q450" s="880">
        <v>100</v>
      </c>
      <c r="R450" s="901"/>
      <c r="S450" s="901"/>
      <c r="T450" s="901"/>
      <c r="U450" s="901"/>
    </row>
    <row r="451" spans="1:21" ht="75" x14ac:dyDescent="0.25">
      <c r="A451" s="1210"/>
      <c r="B451" s="889"/>
      <c r="C451" s="858" t="s">
        <v>73</v>
      </c>
      <c r="D451" s="859"/>
      <c r="E451" s="944" t="s">
        <v>1578</v>
      </c>
      <c r="F451" s="865">
        <v>781028.2</v>
      </c>
      <c r="G451" s="865">
        <v>525380.9</v>
      </c>
      <c r="H451" s="864">
        <f>809360.9+30</f>
        <v>809390.9</v>
      </c>
      <c r="I451" s="865">
        <f>830527.6+30</f>
        <v>830557.6</v>
      </c>
      <c r="J451" s="865">
        <f>851537.8+30</f>
        <v>851567.8</v>
      </c>
      <c r="K451" s="860" t="s">
        <v>1577</v>
      </c>
      <c r="L451" s="866" t="s">
        <v>1576</v>
      </c>
      <c r="M451" s="943">
        <v>3.6113168966328518E-2</v>
      </c>
      <c r="N451" s="943">
        <v>2.3264491638795987E-2</v>
      </c>
      <c r="O451" s="943">
        <v>1.7977759118815457E-2</v>
      </c>
      <c r="P451" s="943">
        <v>1.6504263858352738E-2</v>
      </c>
      <c r="Q451" s="942">
        <v>1.5247518715391843E-2</v>
      </c>
      <c r="R451" s="901"/>
      <c r="S451" s="901"/>
      <c r="T451" s="901"/>
      <c r="U451" s="901"/>
    </row>
    <row r="452" spans="1:21" ht="117.75" customHeight="1" x14ac:dyDescent="0.25">
      <c r="A452" s="1210"/>
      <c r="B452" s="625" t="s">
        <v>1575</v>
      </c>
      <c r="C452" s="913"/>
      <c r="D452" s="941"/>
      <c r="E452" s="940" t="s">
        <v>1574</v>
      </c>
      <c r="F452" s="939">
        <f>SUM(F453:F463)</f>
        <v>139141.59999999998</v>
      </c>
      <c r="G452" s="870">
        <f>SUM(G453:G463)</f>
        <v>64763.099999999991</v>
      </c>
      <c r="H452" s="882">
        <f>SUM(H453:H463)</f>
        <v>0</v>
      </c>
      <c r="I452" s="870">
        <f>SUM(I453:I463)</f>
        <v>0</v>
      </c>
      <c r="J452" s="870">
        <f>SUM(J453:J463)</f>
        <v>0</v>
      </c>
      <c r="K452" s="760"/>
      <c r="L452" s="878"/>
      <c r="M452" s="878"/>
      <c r="N452" s="938"/>
      <c r="O452" s="938"/>
      <c r="P452" s="938"/>
      <c r="Q452" s="938"/>
      <c r="R452" s="901"/>
      <c r="S452" s="901"/>
      <c r="T452" s="901"/>
      <c r="U452" s="901"/>
    </row>
    <row r="453" spans="1:21" ht="30" x14ac:dyDescent="0.25">
      <c r="A453" s="1210"/>
      <c r="B453" s="1326" t="s">
        <v>70</v>
      </c>
      <c r="C453" s="1326" t="s">
        <v>43</v>
      </c>
      <c r="D453" s="1326"/>
      <c r="E453" s="1327" t="s">
        <v>1573</v>
      </c>
      <c r="F453" s="1329">
        <f>26006.9+4122.3</f>
        <v>30129.200000000001</v>
      </c>
      <c r="G453" s="1329">
        <f>26006.9+4122.3</f>
        <v>30129.200000000001</v>
      </c>
      <c r="H453" s="1333">
        <f>26006.9+4122.3-26006.9-4122.3</f>
        <v>0</v>
      </c>
      <c r="I453" s="1329">
        <f>26501.1+4200.6-30701.7</f>
        <v>0</v>
      </c>
      <c r="J453" s="1329">
        <f>27296.1+4324-27296.1-4324</f>
        <v>0</v>
      </c>
      <c r="K453" s="860" t="s">
        <v>1572</v>
      </c>
      <c r="L453" s="876" t="s">
        <v>19</v>
      </c>
      <c r="M453" s="876">
        <v>104.5</v>
      </c>
      <c r="N453" s="876">
        <v>94.7</v>
      </c>
      <c r="O453" s="876">
        <v>104</v>
      </c>
      <c r="P453" s="876">
        <v>105.7</v>
      </c>
      <c r="Q453" s="531">
        <v>100.6</v>
      </c>
      <c r="R453" s="901"/>
      <c r="S453" s="901"/>
      <c r="T453" s="901"/>
      <c r="U453" s="901"/>
    </row>
    <row r="454" spans="1:21" x14ac:dyDescent="0.25">
      <c r="A454" s="1210"/>
      <c r="B454" s="1326"/>
      <c r="C454" s="1326"/>
      <c r="D454" s="1326"/>
      <c r="E454" s="1328"/>
      <c r="F454" s="1329"/>
      <c r="G454" s="1329"/>
      <c r="H454" s="1333"/>
      <c r="I454" s="1329"/>
      <c r="J454" s="1329"/>
      <c r="K454" s="860" t="s">
        <v>1571</v>
      </c>
      <c r="L454" s="876" t="s">
        <v>19</v>
      </c>
      <c r="M454" s="872" t="s">
        <v>1570</v>
      </c>
      <c r="N454" s="872" t="s">
        <v>1569</v>
      </c>
      <c r="O454" s="872" t="s">
        <v>1568</v>
      </c>
      <c r="P454" s="872" t="s">
        <v>1567</v>
      </c>
      <c r="Q454" s="937" t="s">
        <v>1567</v>
      </c>
      <c r="R454" s="901"/>
      <c r="S454" s="901"/>
      <c r="T454" s="901"/>
      <c r="U454" s="901"/>
    </row>
    <row r="455" spans="1:21" ht="30" x14ac:dyDescent="0.25">
      <c r="A455" s="1210"/>
      <c r="B455" s="1326" t="s">
        <v>70</v>
      </c>
      <c r="C455" s="1326" t="s">
        <v>48</v>
      </c>
      <c r="D455" s="1326"/>
      <c r="E455" s="1334" t="s">
        <v>1566</v>
      </c>
      <c r="F455" s="1329">
        <f>13475.5+2325</f>
        <v>15800.5</v>
      </c>
      <c r="G455" s="1329">
        <f>13475.5+2325</f>
        <v>15800.5</v>
      </c>
      <c r="H455" s="1333">
        <f>13475.5+2325-13475.5-2325</f>
        <v>0</v>
      </c>
      <c r="I455" s="1329">
        <f>13731.6+2369.2-16100.8</f>
        <v>0</v>
      </c>
      <c r="J455" s="1329">
        <f>14143.6+2440.3-14143.6-2440.3</f>
        <v>0</v>
      </c>
      <c r="K455" s="860" t="s">
        <v>1565</v>
      </c>
      <c r="L455" s="1331" t="s">
        <v>19</v>
      </c>
      <c r="M455" s="169">
        <v>107</v>
      </c>
      <c r="N455" s="876">
        <v>93.8</v>
      </c>
      <c r="O455" s="876">
        <v>108.5</v>
      </c>
      <c r="P455" s="876">
        <v>112.5</v>
      </c>
      <c r="Q455" s="531">
        <v>88.9</v>
      </c>
      <c r="R455" s="901"/>
      <c r="S455" s="901"/>
      <c r="T455" s="901"/>
      <c r="U455" s="901"/>
    </row>
    <row r="456" spans="1:21" x14ac:dyDescent="0.25">
      <c r="A456" s="1210"/>
      <c r="B456" s="1326"/>
      <c r="C456" s="1326"/>
      <c r="D456" s="1326"/>
      <c r="E456" s="1334"/>
      <c r="F456" s="1329"/>
      <c r="G456" s="1329"/>
      <c r="H456" s="1333"/>
      <c r="I456" s="1329"/>
      <c r="J456" s="1329"/>
      <c r="K456" s="860" t="s">
        <v>1564</v>
      </c>
      <c r="L456" s="1331"/>
      <c r="M456" s="169">
        <v>42.4</v>
      </c>
      <c r="N456" s="876">
        <v>55.3</v>
      </c>
      <c r="O456" s="876">
        <v>53.4</v>
      </c>
      <c r="P456" s="876">
        <v>55.9</v>
      </c>
      <c r="Q456" s="531">
        <v>47.1</v>
      </c>
      <c r="R456" s="901"/>
      <c r="S456" s="901"/>
      <c r="T456" s="901"/>
      <c r="U456" s="901"/>
    </row>
    <row r="457" spans="1:21" ht="30" x14ac:dyDescent="0.25">
      <c r="A457" s="1210"/>
      <c r="B457" s="934"/>
      <c r="C457" s="913" t="s">
        <v>73</v>
      </c>
      <c r="D457" s="913"/>
      <c r="E457" s="160" t="s">
        <v>1563</v>
      </c>
      <c r="F457" s="936">
        <f>4824.8+832.3</f>
        <v>5657.1</v>
      </c>
      <c r="G457" s="936">
        <f>4824.8+832.3</f>
        <v>5657.1</v>
      </c>
      <c r="H457" s="888">
        <f>4824.8+832.3-4824.8-832.3</f>
        <v>0</v>
      </c>
      <c r="I457" s="936">
        <f>4916.5+848.1-5764.6</f>
        <v>0</v>
      </c>
      <c r="J457" s="936">
        <f>5064+873.5-5064-873.5</f>
        <v>0</v>
      </c>
      <c r="K457" s="860" t="s">
        <v>1562</v>
      </c>
      <c r="L457" s="876" t="s">
        <v>1561</v>
      </c>
      <c r="M457" s="917">
        <v>1500</v>
      </c>
      <c r="N457" s="935">
        <v>3000</v>
      </c>
      <c r="O457" s="917">
        <v>4000</v>
      </c>
      <c r="P457" s="917">
        <v>5000</v>
      </c>
      <c r="Q457" s="916">
        <v>7000</v>
      </c>
      <c r="R457" s="901"/>
      <c r="S457" s="901"/>
      <c r="T457" s="901"/>
      <c r="U457" s="901"/>
    </row>
    <row r="458" spans="1:21" ht="45" x14ac:dyDescent="0.25">
      <c r="A458" s="1210"/>
      <c r="B458" s="1332"/>
      <c r="C458" s="1006" t="s">
        <v>76</v>
      </c>
      <c r="D458" s="1326"/>
      <c r="E458" s="1328" t="s">
        <v>1560</v>
      </c>
      <c r="F458" s="1329">
        <f>4551.8+785.2</f>
        <v>5337</v>
      </c>
      <c r="G458" s="1329">
        <f>4551.8+785.2</f>
        <v>5337</v>
      </c>
      <c r="H458" s="1333">
        <f>4551.8+785.2-4551.8-785.2</f>
        <v>0</v>
      </c>
      <c r="I458" s="1329">
        <f>4638.3+800.1-5438.4</f>
        <v>0</v>
      </c>
      <c r="J458" s="1329">
        <f>4777.5+824.1-4777.5-824.1</f>
        <v>0</v>
      </c>
      <c r="K458" s="860" t="s">
        <v>1559</v>
      </c>
      <c r="L458" s="876" t="s">
        <v>690</v>
      </c>
      <c r="M458" s="917">
        <v>80</v>
      </c>
      <c r="N458" s="917">
        <v>70</v>
      </c>
      <c r="O458" s="917">
        <v>60</v>
      </c>
      <c r="P458" s="917">
        <v>50</v>
      </c>
      <c r="Q458" s="916">
        <v>50</v>
      </c>
      <c r="R458" s="901"/>
      <c r="S458" s="901"/>
      <c r="T458" s="901"/>
      <c r="U458" s="901"/>
    </row>
    <row r="459" spans="1:21" ht="30" x14ac:dyDescent="0.25">
      <c r="A459" s="1210"/>
      <c r="B459" s="1332"/>
      <c r="C459" s="1006"/>
      <c r="D459" s="1326"/>
      <c r="E459" s="1328"/>
      <c r="F459" s="1329"/>
      <c r="G459" s="1329"/>
      <c r="H459" s="1333"/>
      <c r="I459" s="1329"/>
      <c r="J459" s="1329"/>
      <c r="K459" s="860" t="s">
        <v>1558</v>
      </c>
      <c r="L459" s="876" t="s">
        <v>690</v>
      </c>
      <c r="M459" s="917">
        <v>78</v>
      </c>
      <c r="N459" s="917">
        <v>70</v>
      </c>
      <c r="O459" s="917">
        <v>60</v>
      </c>
      <c r="P459" s="917">
        <v>50</v>
      </c>
      <c r="Q459" s="916">
        <v>50</v>
      </c>
      <c r="R459" s="901"/>
      <c r="S459" s="901"/>
      <c r="T459" s="901"/>
      <c r="U459" s="901"/>
    </row>
    <row r="460" spans="1:21" x14ac:dyDescent="0.25">
      <c r="A460" s="1210"/>
      <c r="B460" s="1332"/>
      <c r="C460" s="1006"/>
      <c r="D460" s="1326"/>
      <c r="E460" s="1328"/>
      <c r="F460" s="1329"/>
      <c r="G460" s="1329"/>
      <c r="H460" s="1333"/>
      <c r="I460" s="1329"/>
      <c r="J460" s="1329"/>
      <c r="K460" s="860" t="s">
        <v>1557</v>
      </c>
      <c r="L460" s="876" t="s">
        <v>690</v>
      </c>
      <c r="M460" s="917">
        <v>117</v>
      </c>
      <c r="N460" s="917">
        <v>115</v>
      </c>
      <c r="O460" s="917">
        <v>110</v>
      </c>
      <c r="P460" s="917">
        <v>100</v>
      </c>
      <c r="Q460" s="916">
        <v>100</v>
      </c>
      <c r="R460" s="901"/>
      <c r="S460" s="901"/>
      <c r="T460" s="901"/>
      <c r="U460" s="901"/>
    </row>
    <row r="461" spans="1:21" ht="90" x14ac:dyDescent="0.25">
      <c r="A461" s="1210"/>
      <c r="B461" s="934"/>
      <c r="C461" s="913" t="s">
        <v>79</v>
      </c>
      <c r="D461" s="913"/>
      <c r="E461" s="918" t="s">
        <v>1556</v>
      </c>
      <c r="F461" s="927">
        <f>3609+622.6</f>
        <v>4231.6000000000004</v>
      </c>
      <c r="G461" s="927">
        <f>3609+622.6</f>
        <v>4231.6000000000004</v>
      </c>
      <c r="H461" s="970">
        <f>3609+622.6-3609-622.6</f>
        <v>0</v>
      </c>
      <c r="I461" s="927">
        <f>3677.6+634.4-4312</f>
        <v>0</v>
      </c>
      <c r="J461" s="927">
        <f>3787.6+653.4-3787.6-653.4</f>
        <v>0</v>
      </c>
      <c r="K461" s="860" t="s">
        <v>1555</v>
      </c>
      <c r="L461" s="925" t="s">
        <v>19</v>
      </c>
      <c r="M461" s="925">
        <v>30</v>
      </c>
      <c r="N461" s="925">
        <v>40</v>
      </c>
      <c r="O461" s="925">
        <v>50</v>
      </c>
      <c r="P461" s="925">
        <v>60</v>
      </c>
      <c r="Q461" s="924">
        <v>70</v>
      </c>
      <c r="R461" s="901"/>
      <c r="S461" s="901"/>
      <c r="T461" s="901"/>
      <c r="U461" s="901"/>
    </row>
    <row r="462" spans="1:21" ht="60" x14ac:dyDescent="0.25">
      <c r="A462" s="1210"/>
      <c r="B462" s="934"/>
      <c r="C462" s="913" t="s">
        <v>82</v>
      </c>
      <c r="D462" s="913"/>
      <c r="E462" s="928" t="s">
        <v>1554</v>
      </c>
      <c r="F462" s="927">
        <f>3077+530.7</f>
        <v>3607.7</v>
      </c>
      <c r="G462" s="927">
        <f>3077+530.7</f>
        <v>3607.7</v>
      </c>
      <c r="H462" s="970">
        <f>3077+530.7-3077-530.7</f>
        <v>0</v>
      </c>
      <c r="I462" s="927">
        <f>3135.5+540.8-3676.3</f>
        <v>0</v>
      </c>
      <c r="J462" s="927">
        <f>3229.6+557-3229.6-557</f>
        <v>0</v>
      </c>
      <c r="K462" s="860" t="s">
        <v>1553</v>
      </c>
      <c r="L462" s="933" t="s">
        <v>19</v>
      </c>
      <c r="M462" s="866">
        <v>10</v>
      </c>
      <c r="N462" s="866">
        <v>15</v>
      </c>
      <c r="O462" s="866">
        <v>50</v>
      </c>
      <c r="P462" s="866">
        <v>80</v>
      </c>
      <c r="Q462" s="880">
        <v>100</v>
      </c>
      <c r="R462" s="901"/>
      <c r="S462" s="901"/>
      <c r="T462" s="901"/>
      <c r="U462" s="901"/>
    </row>
    <row r="463" spans="1:21" ht="60" customHeight="1" x14ac:dyDescent="0.25">
      <c r="A463" s="1210"/>
      <c r="B463" s="932"/>
      <c r="C463" s="913" t="s">
        <v>83</v>
      </c>
      <c r="D463" s="931"/>
      <c r="E463" s="928" t="s">
        <v>1552</v>
      </c>
      <c r="F463" s="929">
        <v>74378.5</v>
      </c>
      <c r="G463" s="930"/>
      <c r="H463" s="970"/>
      <c r="I463" s="927"/>
      <c r="J463" s="929"/>
      <c r="K463" s="928"/>
      <c r="L463" s="876"/>
      <c r="M463" s="876"/>
      <c r="N463" s="876"/>
      <c r="O463" s="917"/>
      <c r="P463" s="917"/>
      <c r="Q463" s="916"/>
      <c r="R463" s="901"/>
      <c r="S463" s="901"/>
      <c r="T463" s="901"/>
      <c r="U463" s="901"/>
    </row>
    <row r="464" spans="1:21" x14ac:dyDescent="0.25">
      <c r="A464" s="1210"/>
      <c r="B464" s="1044" t="s">
        <v>1551</v>
      </c>
      <c r="C464" s="1045"/>
      <c r="D464" s="1046"/>
      <c r="E464" s="1020" t="s">
        <v>1550</v>
      </c>
      <c r="F464" s="1021">
        <f>SUM(F466:F485)</f>
        <v>95413.3</v>
      </c>
      <c r="G464" s="1021">
        <f>SUM(G466:G485)</f>
        <v>159550.79999999999</v>
      </c>
      <c r="H464" s="1143">
        <f>SUM(H466:H485)</f>
        <v>188928.6</v>
      </c>
      <c r="I464" s="1021">
        <f>SUM(I466:I485)</f>
        <v>192339.30000000002</v>
      </c>
      <c r="J464" s="1021">
        <f>SUM(J466:J485)</f>
        <v>197355.1</v>
      </c>
      <c r="K464" s="1337"/>
      <c r="L464" s="1021"/>
      <c r="M464" s="1021"/>
      <c r="N464" s="1021"/>
      <c r="O464" s="1021"/>
      <c r="P464" s="1021"/>
      <c r="Q464" s="1335"/>
      <c r="R464" s="901"/>
      <c r="S464" s="901"/>
      <c r="T464" s="901"/>
      <c r="U464" s="901"/>
    </row>
    <row r="465" spans="1:21" x14ac:dyDescent="0.25">
      <c r="A465" s="1210"/>
      <c r="B465" s="1044"/>
      <c r="C465" s="1045"/>
      <c r="D465" s="1046"/>
      <c r="E465" s="1020"/>
      <c r="F465" s="1021"/>
      <c r="G465" s="1021"/>
      <c r="H465" s="1143"/>
      <c r="I465" s="1021"/>
      <c r="J465" s="1021"/>
      <c r="K465" s="1337"/>
      <c r="L465" s="1021"/>
      <c r="M465" s="1021"/>
      <c r="N465" s="1021"/>
      <c r="O465" s="1021"/>
      <c r="P465" s="1021"/>
      <c r="Q465" s="1335"/>
      <c r="R465" s="901"/>
      <c r="S465" s="901"/>
      <c r="T465" s="901"/>
      <c r="U465" s="901"/>
    </row>
    <row r="466" spans="1:21" x14ac:dyDescent="0.25">
      <c r="A466" s="1210"/>
      <c r="B466" s="1332"/>
      <c r="C466" s="1326" t="s">
        <v>43</v>
      </c>
      <c r="D466" s="1326"/>
      <c r="E466" s="1336" t="s">
        <v>1549</v>
      </c>
      <c r="F466" s="1329">
        <v>24245.7</v>
      </c>
      <c r="G466" s="1329">
        <v>24050.1</v>
      </c>
      <c r="H466" s="1333">
        <f>24050.1-19572.5-3229.5-150-268.8-250-134-100-131.2-214.1</f>
        <v>-1.3926637620897964E-12</v>
      </c>
      <c r="I466" s="1329">
        <f>24511.6-19948.5-3291.5-180-268.9-220-149.2-224.7-228.8</f>
        <v>-1.4210854715202004E-12</v>
      </c>
      <c r="J466" s="1329">
        <f>25219.9-20526.4-3387.1-180.9-275-230-155-213.8</f>
        <v>251.7</v>
      </c>
      <c r="K466" s="918" t="s">
        <v>1548</v>
      </c>
      <c r="L466" s="876" t="s">
        <v>14</v>
      </c>
      <c r="M466" s="925">
        <v>7915</v>
      </c>
      <c r="N466" s="925">
        <v>5</v>
      </c>
      <c r="O466" s="925">
        <v>5</v>
      </c>
      <c r="P466" s="925">
        <v>5</v>
      </c>
      <c r="Q466" s="924">
        <v>5</v>
      </c>
      <c r="R466" s="901"/>
      <c r="S466" s="901"/>
      <c r="T466" s="901"/>
      <c r="U466" s="901"/>
    </row>
    <row r="467" spans="1:21" ht="42.75" customHeight="1" x14ac:dyDescent="0.25">
      <c r="A467" s="1210"/>
      <c r="B467" s="1332"/>
      <c r="C467" s="1326"/>
      <c r="D467" s="1326"/>
      <c r="E467" s="1336"/>
      <c r="F467" s="1329"/>
      <c r="G467" s="1329"/>
      <c r="H467" s="1333"/>
      <c r="I467" s="1329"/>
      <c r="J467" s="1329"/>
      <c r="K467" s="918" t="s">
        <v>1547</v>
      </c>
      <c r="L467" s="876"/>
      <c r="M467" s="925">
        <v>93018</v>
      </c>
      <c r="N467" s="925">
        <v>5</v>
      </c>
      <c r="O467" s="925">
        <v>5</v>
      </c>
      <c r="P467" s="925">
        <v>5</v>
      </c>
      <c r="Q467" s="924">
        <v>5</v>
      </c>
      <c r="R467" s="901"/>
      <c r="S467" s="901"/>
      <c r="T467" s="901"/>
      <c r="U467" s="901"/>
    </row>
    <row r="468" spans="1:21" ht="30" x14ac:dyDescent="0.25">
      <c r="A468" s="1210"/>
      <c r="B468" s="1346"/>
      <c r="C468" s="1348" t="s">
        <v>73</v>
      </c>
      <c r="D468" s="1348"/>
      <c r="E468" s="1350" t="s">
        <v>1546</v>
      </c>
      <c r="F468" s="1352">
        <v>17403</v>
      </c>
      <c r="G468" s="1352">
        <v>17403</v>
      </c>
      <c r="H468" s="1354">
        <f>17403-17403</f>
        <v>0</v>
      </c>
      <c r="I468" s="1352">
        <f>17740.3-17740.3</f>
        <v>0</v>
      </c>
      <c r="J468" s="1352">
        <f>18271-18271</f>
        <v>0</v>
      </c>
      <c r="K468" s="160" t="s">
        <v>1545</v>
      </c>
      <c r="L468" s="876" t="s">
        <v>1544</v>
      </c>
      <c r="M468" s="876">
        <v>6400.7</v>
      </c>
      <c r="N468" s="876">
        <v>5764</v>
      </c>
      <c r="O468" s="876">
        <v>6103</v>
      </c>
      <c r="P468" s="876">
        <v>6597</v>
      </c>
      <c r="Q468" s="531">
        <v>6662</v>
      </c>
      <c r="R468" s="901"/>
      <c r="S468" s="901"/>
      <c r="T468" s="901"/>
      <c r="U468" s="901"/>
    </row>
    <row r="469" spans="1:21" ht="69" customHeight="1" x14ac:dyDescent="0.25">
      <c r="A469" s="1210"/>
      <c r="B469" s="1347"/>
      <c r="C469" s="1349"/>
      <c r="D469" s="1349"/>
      <c r="E469" s="1351"/>
      <c r="F469" s="1353"/>
      <c r="G469" s="1353"/>
      <c r="H469" s="1355"/>
      <c r="I469" s="1353"/>
      <c r="J469" s="1353"/>
      <c r="K469" s="160" t="s">
        <v>1543</v>
      </c>
      <c r="L469" s="876" t="s">
        <v>19</v>
      </c>
      <c r="M469" s="876">
        <v>95.8</v>
      </c>
      <c r="N469" s="169">
        <f>N468/M468*100</f>
        <v>90.052650491352509</v>
      </c>
      <c r="O469" s="169">
        <f>O468/N468*100</f>
        <v>105.88133240804996</v>
      </c>
      <c r="P469" s="169">
        <f>P468/O468*100</f>
        <v>108.09437981320661</v>
      </c>
      <c r="Q469" s="532">
        <f>Q468/P468*100</f>
        <v>100.98529634682431</v>
      </c>
      <c r="R469" s="901"/>
      <c r="S469" s="901"/>
      <c r="T469" s="901"/>
      <c r="U469" s="901"/>
    </row>
    <row r="470" spans="1:21" ht="75" hidden="1" x14ac:dyDescent="0.25">
      <c r="A470" s="1210"/>
      <c r="B470" s="913"/>
      <c r="C470" s="913" t="s">
        <v>76</v>
      </c>
      <c r="D470" s="913"/>
      <c r="E470" s="761" t="s">
        <v>1542</v>
      </c>
      <c r="F470" s="927">
        <v>0</v>
      </c>
      <c r="G470" s="927">
        <v>0</v>
      </c>
      <c r="H470" s="970">
        <v>0</v>
      </c>
      <c r="I470" s="927">
        <v>0</v>
      </c>
      <c r="J470" s="927">
        <v>0</v>
      </c>
      <c r="K470" s="160" t="s">
        <v>1541</v>
      </c>
      <c r="L470" s="876" t="s">
        <v>414</v>
      </c>
      <c r="M470" s="925">
        <v>50</v>
      </c>
      <c r="N470" s="925">
        <v>100</v>
      </c>
      <c r="O470" s="925">
        <v>120</v>
      </c>
      <c r="P470" s="917">
        <v>140</v>
      </c>
      <c r="Q470" s="916">
        <v>160</v>
      </c>
      <c r="R470" s="901"/>
      <c r="S470" s="901"/>
      <c r="T470" s="901"/>
      <c r="U470" s="901"/>
    </row>
    <row r="471" spans="1:21" ht="60" customHeight="1" x14ac:dyDescent="0.25">
      <c r="A471" s="1210"/>
      <c r="B471" s="913"/>
      <c r="C471" s="913" t="s">
        <v>79</v>
      </c>
      <c r="D471" s="913"/>
      <c r="E471" s="928" t="s">
        <v>1540</v>
      </c>
      <c r="F471" s="927">
        <v>7596.2</v>
      </c>
      <c r="G471" s="927">
        <v>7596.2</v>
      </c>
      <c r="H471" s="970">
        <v>7596.2</v>
      </c>
      <c r="I471" s="927">
        <v>7743.4</v>
      </c>
      <c r="J471" s="927">
        <v>7975.1</v>
      </c>
      <c r="K471" s="918" t="s">
        <v>1539</v>
      </c>
      <c r="L471" s="876" t="s">
        <v>19</v>
      </c>
      <c r="M471" s="875">
        <v>28.7</v>
      </c>
      <c r="N471" s="925">
        <v>30</v>
      </c>
      <c r="O471" s="917">
        <v>35</v>
      </c>
      <c r="P471" s="917">
        <v>35</v>
      </c>
      <c r="Q471" s="916">
        <v>40</v>
      </c>
      <c r="R471" s="901"/>
      <c r="S471" s="901"/>
      <c r="T471" s="901"/>
      <c r="U471" s="901"/>
    </row>
    <row r="472" spans="1:21" ht="60" hidden="1" x14ac:dyDescent="0.25">
      <c r="A472" s="1210"/>
      <c r="B472" s="1344"/>
      <c r="C472" s="1345" t="s">
        <v>82</v>
      </c>
      <c r="D472" s="1345"/>
      <c r="E472" s="1057" t="s">
        <v>1538</v>
      </c>
      <c r="F472" s="1329">
        <v>25166.799999999999</v>
      </c>
      <c r="G472" s="1339">
        <v>25166.799999999999</v>
      </c>
      <c r="H472" s="1338">
        <f>19666.8+5800+1239.4</f>
        <v>26706.2</v>
      </c>
      <c r="I472" s="1339">
        <f>20048+1239.4+6000</f>
        <v>27287.4</v>
      </c>
      <c r="J472" s="1339">
        <f>20647.7+6000+1239.4</f>
        <v>27887.100000000002</v>
      </c>
      <c r="K472" s="918" t="s">
        <v>1537</v>
      </c>
      <c r="L472" s="866" t="s">
        <v>19</v>
      </c>
      <c r="M472" s="866">
        <v>100</v>
      </c>
      <c r="N472" s="866">
        <v>100</v>
      </c>
      <c r="O472" s="866">
        <v>100</v>
      </c>
      <c r="P472" s="866">
        <v>100</v>
      </c>
      <c r="Q472" s="880">
        <v>100</v>
      </c>
      <c r="R472" s="901"/>
      <c r="S472" s="901"/>
      <c r="T472" s="901"/>
      <c r="U472" s="901"/>
    </row>
    <row r="473" spans="1:21" ht="60" x14ac:dyDescent="0.25">
      <c r="A473" s="1210"/>
      <c r="B473" s="1344"/>
      <c r="C473" s="1345"/>
      <c r="D473" s="1345"/>
      <c r="E473" s="1057"/>
      <c r="F473" s="1329"/>
      <c r="G473" s="1339"/>
      <c r="H473" s="1338"/>
      <c r="I473" s="1339"/>
      <c r="J473" s="1339"/>
      <c r="K473" s="926" t="s">
        <v>1536</v>
      </c>
      <c r="L473" s="917" t="s">
        <v>14</v>
      </c>
      <c r="M473" s="917">
        <v>7</v>
      </c>
      <c r="N473" s="917">
        <v>0</v>
      </c>
      <c r="O473" s="917">
        <v>13</v>
      </c>
      <c r="P473" s="917">
        <v>8</v>
      </c>
      <c r="Q473" s="916">
        <v>0</v>
      </c>
      <c r="R473" s="901"/>
      <c r="S473" s="901"/>
      <c r="T473" s="901"/>
      <c r="U473" s="901"/>
    </row>
    <row r="474" spans="1:21" ht="75" x14ac:dyDescent="0.25">
      <c r="A474" s="1210"/>
      <c r="B474" s="1344"/>
      <c r="C474" s="1345"/>
      <c r="D474" s="1345"/>
      <c r="E474" s="1057"/>
      <c r="F474" s="1329"/>
      <c r="G474" s="1339"/>
      <c r="H474" s="1338"/>
      <c r="I474" s="1339"/>
      <c r="J474" s="1339"/>
      <c r="K474" s="918" t="s">
        <v>1535</v>
      </c>
      <c r="L474" s="876" t="s">
        <v>14</v>
      </c>
      <c r="M474" s="925">
        <v>0</v>
      </c>
      <c r="N474" s="925">
        <v>17</v>
      </c>
      <c r="O474" s="925">
        <v>17</v>
      </c>
      <c r="P474" s="925">
        <v>17</v>
      </c>
      <c r="Q474" s="924">
        <v>17</v>
      </c>
      <c r="R474" s="901"/>
      <c r="S474" s="901"/>
      <c r="T474" s="901"/>
      <c r="U474" s="901"/>
    </row>
    <row r="475" spans="1:21" ht="60" hidden="1" x14ac:dyDescent="0.25">
      <c r="A475" s="1210"/>
      <c r="B475" s="1340"/>
      <c r="C475" s="1341" t="s">
        <v>83</v>
      </c>
      <c r="D475" s="1341"/>
      <c r="E475" s="1057" t="s">
        <v>1534</v>
      </c>
      <c r="F475" s="1342">
        <v>15891.1</v>
      </c>
      <c r="G475" s="1342">
        <v>14917.4</v>
      </c>
      <c r="H475" s="1343">
        <f>8417.4+7000</f>
        <v>15417.4</v>
      </c>
      <c r="I475" s="1342">
        <f>8580.6+7500</f>
        <v>16080.6</v>
      </c>
      <c r="J475" s="1342">
        <f>8837.2+8000</f>
        <v>16837.2</v>
      </c>
      <c r="K475" s="923" t="s">
        <v>1533</v>
      </c>
      <c r="L475" s="922" t="s">
        <v>17</v>
      </c>
      <c r="M475" s="921">
        <v>99</v>
      </c>
      <c r="N475" s="921">
        <v>89</v>
      </c>
      <c r="O475" s="920">
        <v>85</v>
      </c>
      <c r="P475" s="920">
        <v>90</v>
      </c>
      <c r="Q475" s="919">
        <v>95</v>
      </c>
      <c r="R475" s="901"/>
      <c r="S475" s="901"/>
      <c r="T475" s="901"/>
      <c r="U475" s="901"/>
    </row>
    <row r="476" spans="1:21" ht="90" x14ac:dyDescent="0.25">
      <c r="A476" s="1210"/>
      <c r="B476" s="1340"/>
      <c r="C476" s="1341"/>
      <c r="D476" s="1341"/>
      <c r="E476" s="1057"/>
      <c r="F476" s="1342"/>
      <c r="G476" s="1342"/>
      <c r="H476" s="1343"/>
      <c r="I476" s="1342"/>
      <c r="J476" s="1342"/>
      <c r="K476" s="923" t="s">
        <v>1532</v>
      </c>
      <c r="L476" s="922" t="s">
        <v>17</v>
      </c>
      <c r="M476" s="921">
        <v>61</v>
      </c>
      <c r="N476" s="921">
        <v>65</v>
      </c>
      <c r="O476" s="920">
        <v>67</v>
      </c>
      <c r="P476" s="920">
        <v>68</v>
      </c>
      <c r="Q476" s="919">
        <v>70</v>
      </c>
      <c r="R476" s="901"/>
      <c r="S476" s="901"/>
      <c r="T476" s="901"/>
      <c r="U476" s="901"/>
    </row>
    <row r="477" spans="1:21" ht="45" x14ac:dyDescent="0.25">
      <c r="A477" s="1210"/>
      <c r="B477" s="1356"/>
      <c r="C477" s="1326" t="s">
        <v>181</v>
      </c>
      <c r="D477" s="1326"/>
      <c r="E477" s="1057" t="s">
        <v>1531</v>
      </c>
      <c r="F477" s="1329">
        <v>518.9</v>
      </c>
      <c r="G477" s="1329">
        <v>3110.5</v>
      </c>
      <c r="H477" s="1333">
        <v>21551.200000000001</v>
      </c>
      <c r="I477" s="1329">
        <f>21981.5-12.6</f>
        <v>21968.9</v>
      </c>
      <c r="J477" s="1329">
        <f>22639-12.9</f>
        <v>22626.1</v>
      </c>
      <c r="K477" s="918" t="s">
        <v>1530</v>
      </c>
      <c r="L477" s="917" t="s">
        <v>111</v>
      </c>
      <c r="M477" s="917">
        <v>2</v>
      </c>
      <c r="N477" s="917">
        <v>4</v>
      </c>
      <c r="O477" s="917">
        <v>6</v>
      </c>
      <c r="P477" s="917">
        <v>6</v>
      </c>
      <c r="Q477" s="916">
        <v>6</v>
      </c>
      <c r="R477" s="901"/>
      <c r="S477" s="901"/>
      <c r="T477" s="901"/>
      <c r="U477" s="901"/>
    </row>
    <row r="478" spans="1:21" ht="57.75" customHeight="1" x14ac:dyDescent="0.25">
      <c r="A478" s="1210"/>
      <c r="B478" s="1357"/>
      <c r="C478" s="1326"/>
      <c r="D478" s="1326"/>
      <c r="E478" s="1057"/>
      <c r="F478" s="1329"/>
      <c r="G478" s="1329"/>
      <c r="H478" s="1333"/>
      <c r="I478" s="1329"/>
      <c r="J478" s="1329"/>
      <c r="K478" s="918" t="s">
        <v>1529</v>
      </c>
      <c r="L478" s="917" t="s">
        <v>111</v>
      </c>
      <c r="M478" s="917">
        <v>1</v>
      </c>
      <c r="N478" s="917">
        <v>2</v>
      </c>
      <c r="O478" s="917">
        <v>3</v>
      </c>
      <c r="P478" s="917">
        <v>3</v>
      </c>
      <c r="Q478" s="916">
        <v>3</v>
      </c>
      <c r="R478" s="901"/>
      <c r="S478" s="901"/>
      <c r="T478" s="901"/>
      <c r="U478" s="901"/>
    </row>
    <row r="479" spans="1:21" ht="60" x14ac:dyDescent="0.25">
      <c r="A479" s="1210"/>
      <c r="B479" s="1045"/>
      <c r="C479" s="1045" t="s">
        <v>187</v>
      </c>
      <c r="D479" s="1045"/>
      <c r="E479" s="1057" t="s">
        <v>1528</v>
      </c>
      <c r="F479" s="1232">
        <v>4591.6000000000004</v>
      </c>
      <c r="G479" s="1232">
        <v>4909</v>
      </c>
      <c r="H479" s="1156">
        <f>4909+35048</f>
        <v>39957</v>
      </c>
      <c r="I479" s="1232">
        <v>40052.199999999997</v>
      </c>
      <c r="J479" s="1232">
        <v>40201.800000000003</v>
      </c>
      <c r="K479" s="857" t="s">
        <v>1527</v>
      </c>
      <c r="L479" s="866" t="s">
        <v>1526</v>
      </c>
      <c r="M479" s="866"/>
      <c r="N479" s="868">
        <v>3000</v>
      </c>
      <c r="O479" s="868">
        <v>3300</v>
      </c>
      <c r="P479" s="868">
        <v>3600</v>
      </c>
      <c r="Q479" s="869">
        <v>3900</v>
      </c>
      <c r="R479" s="901"/>
      <c r="S479" s="901"/>
      <c r="T479" s="901"/>
      <c r="U479" s="901"/>
    </row>
    <row r="480" spans="1:21" ht="30" x14ac:dyDescent="0.25">
      <c r="A480" s="1210"/>
      <c r="B480" s="1045"/>
      <c r="C480" s="1045"/>
      <c r="D480" s="1045"/>
      <c r="E480" s="1057"/>
      <c r="F480" s="1232"/>
      <c r="G480" s="1232"/>
      <c r="H480" s="1156"/>
      <c r="I480" s="1232"/>
      <c r="J480" s="1232"/>
      <c r="K480" s="857" t="s">
        <v>1525</v>
      </c>
      <c r="L480" s="866" t="s">
        <v>19</v>
      </c>
      <c r="M480" s="866"/>
      <c r="N480" s="868">
        <v>3.5</v>
      </c>
      <c r="O480" s="868">
        <v>4</v>
      </c>
      <c r="P480" s="868">
        <v>4.5</v>
      </c>
      <c r="Q480" s="869">
        <v>4.8</v>
      </c>
      <c r="R480" s="901"/>
      <c r="S480" s="901"/>
      <c r="T480" s="901"/>
      <c r="U480" s="901"/>
    </row>
    <row r="481" spans="1:21" ht="30" x14ac:dyDescent="0.25">
      <c r="A481" s="1210"/>
      <c r="B481" s="1045"/>
      <c r="C481" s="1045"/>
      <c r="D481" s="1045"/>
      <c r="E481" s="1057"/>
      <c r="F481" s="1232"/>
      <c r="G481" s="1232"/>
      <c r="H481" s="1156"/>
      <c r="I481" s="1232"/>
      <c r="J481" s="1232"/>
      <c r="K481" s="857" t="s">
        <v>1524</v>
      </c>
      <c r="L481" s="866" t="s">
        <v>1523</v>
      </c>
      <c r="M481" s="866"/>
      <c r="N481" s="868">
        <v>126.4</v>
      </c>
      <c r="O481" s="868">
        <v>132.69999999999999</v>
      </c>
      <c r="P481" s="868">
        <v>139.30000000000001</v>
      </c>
      <c r="Q481" s="869">
        <v>146.30000000000001</v>
      </c>
      <c r="R481" s="901"/>
      <c r="S481" s="901"/>
      <c r="T481" s="901"/>
      <c r="U481" s="901"/>
    </row>
    <row r="482" spans="1:21" ht="30" x14ac:dyDescent="0.25">
      <c r="A482" s="1210"/>
      <c r="B482" s="1045"/>
      <c r="C482" s="1045"/>
      <c r="D482" s="1045"/>
      <c r="E482" s="1057"/>
      <c r="F482" s="1232"/>
      <c r="G482" s="1232"/>
      <c r="H482" s="1156"/>
      <c r="I482" s="1232"/>
      <c r="J482" s="1232"/>
      <c r="K482" s="857" t="s">
        <v>1522</v>
      </c>
      <c r="L482" s="866" t="s">
        <v>518</v>
      </c>
      <c r="M482" s="866"/>
      <c r="N482" s="868">
        <v>15820.8</v>
      </c>
      <c r="O482" s="868">
        <v>16611.8</v>
      </c>
      <c r="P482" s="868">
        <v>17442.400000000001</v>
      </c>
      <c r="Q482" s="869">
        <v>18314.5</v>
      </c>
      <c r="R482" s="901"/>
      <c r="S482" s="901"/>
      <c r="T482" s="901"/>
      <c r="U482" s="901"/>
    </row>
    <row r="483" spans="1:21" ht="105" x14ac:dyDescent="0.25">
      <c r="A483" s="1210"/>
      <c r="B483" s="879"/>
      <c r="C483" s="915">
        <v>12</v>
      </c>
      <c r="D483" s="868"/>
      <c r="E483" s="857" t="s">
        <v>1521</v>
      </c>
      <c r="F483" s="865"/>
      <c r="G483" s="865">
        <v>44554.3</v>
      </c>
      <c r="H483" s="864">
        <v>50706.7</v>
      </c>
      <c r="I483" s="411">
        <v>51689.599999999999</v>
      </c>
      <c r="J483" s="411">
        <v>53235.8</v>
      </c>
      <c r="K483" s="857" t="s">
        <v>1520</v>
      </c>
      <c r="L483" s="866" t="s">
        <v>1519</v>
      </c>
      <c r="M483" s="866" t="s">
        <v>1518</v>
      </c>
      <c r="N483" s="866" t="s">
        <v>1518</v>
      </c>
      <c r="O483" s="866" t="s">
        <v>1518</v>
      </c>
      <c r="P483" s="866" t="s">
        <v>1518</v>
      </c>
      <c r="Q483" s="880" t="s">
        <v>1518</v>
      </c>
      <c r="R483" s="901"/>
      <c r="S483" s="901"/>
      <c r="T483" s="901"/>
      <c r="U483" s="901"/>
    </row>
    <row r="484" spans="1:21" ht="45" x14ac:dyDescent="0.25">
      <c r="A484" s="1210"/>
      <c r="B484" s="879"/>
      <c r="C484" s="915">
        <v>13</v>
      </c>
      <c r="D484" s="868"/>
      <c r="E484" s="857" t="s">
        <v>165</v>
      </c>
      <c r="F484" s="865"/>
      <c r="G484" s="865">
        <v>16859.3</v>
      </c>
      <c r="H484" s="864">
        <v>17993.900000000001</v>
      </c>
      <c r="I484" s="865">
        <v>18342.7</v>
      </c>
      <c r="J484" s="865">
        <v>18891.400000000001</v>
      </c>
      <c r="K484" s="860" t="str">
        <f>'[1]приложение 2019'!$M$16</f>
        <v>Среднее количество сотрудников региональных представительств на область КР</v>
      </c>
      <c r="L484" s="866" t="s">
        <v>414</v>
      </c>
      <c r="M484" s="866" t="s">
        <v>1517</v>
      </c>
      <c r="N484" s="866" t="str">
        <f>M484</f>
        <v>37/7</v>
      </c>
      <c r="O484" s="866" t="str">
        <f>N484</f>
        <v>37/7</v>
      </c>
      <c r="P484" s="866" t="str">
        <f>O484</f>
        <v>37/7</v>
      </c>
      <c r="Q484" s="880" t="str">
        <f>P484</f>
        <v>37/7</v>
      </c>
      <c r="R484" s="901"/>
      <c r="S484" s="901"/>
      <c r="T484" s="901"/>
      <c r="U484" s="901"/>
    </row>
    <row r="485" spans="1:21" ht="195" x14ac:dyDescent="0.25">
      <c r="A485" s="1210"/>
      <c r="B485" s="914"/>
      <c r="C485" s="861" t="s">
        <v>196</v>
      </c>
      <c r="D485" s="913"/>
      <c r="E485" s="857" t="s">
        <v>1516</v>
      </c>
      <c r="F485" s="865">
        <v>0</v>
      </c>
      <c r="G485" s="865">
        <v>984.2</v>
      </c>
      <c r="H485" s="864">
        <v>9000</v>
      </c>
      <c r="I485" s="865">
        <v>9174.5</v>
      </c>
      <c r="J485" s="865">
        <v>9448.9</v>
      </c>
      <c r="K485" s="857" t="s">
        <v>1515</v>
      </c>
      <c r="L485" s="911"/>
      <c r="M485" s="912">
        <v>0</v>
      </c>
      <c r="N485" s="912">
        <v>1</v>
      </c>
      <c r="O485" s="912">
        <v>2</v>
      </c>
      <c r="P485" s="911">
        <v>4</v>
      </c>
      <c r="Q485" s="910">
        <v>5</v>
      </c>
      <c r="R485" s="901"/>
      <c r="S485" s="901"/>
      <c r="T485" s="901"/>
      <c r="U485" s="901"/>
    </row>
    <row r="486" spans="1:21" ht="28.5" x14ac:dyDescent="0.25">
      <c r="A486" s="1210"/>
      <c r="B486" s="909">
        <v>278</v>
      </c>
      <c r="C486" s="908"/>
      <c r="D486" s="867"/>
      <c r="E486" s="871" t="s">
        <v>1514</v>
      </c>
      <c r="F486" s="870">
        <f>F487+F488+F489+F492+F496</f>
        <v>22528.7</v>
      </c>
      <c r="G486" s="870">
        <f>G487+G488+G489+G492+G496</f>
        <v>22636.000000000004</v>
      </c>
      <c r="H486" s="882">
        <f>H487+H488+H489+H492+H496</f>
        <v>24106.5</v>
      </c>
      <c r="I486" s="870">
        <f>I487+I488+I489+I492+I496</f>
        <v>24545.000000000004</v>
      </c>
      <c r="J486" s="870">
        <f>J487+J488+J489+J492+J496</f>
        <v>24983.8</v>
      </c>
      <c r="K486" s="907"/>
      <c r="L486" s="906"/>
      <c r="M486" s="906"/>
      <c r="N486" s="906"/>
      <c r="O486" s="906"/>
      <c r="P486" s="906"/>
      <c r="Q486" s="905"/>
      <c r="R486" s="901"/>
      <c r="S486" s="901"/>
      <c r="T486" s="901"/>
      <c r="U486" s="901"/>
    </row>
    <row r="487" spans="1:21" ht="30" x14ac:dyDescent="0.25">
      <c r="A487" s="1210"/>
      <c r="B487" s="867"/>
      <c r="C487" s="858" t="s">
        <v>43</v>
      </c>
      <c r="D487" s="858"/>
      <c r="E487" s="860" t="s">
        <v>1513</v>
      </c>
      <c r="F487" s="904">
        <v>8904.5</v>
      </c>
      <c r="G487" s="904">
        <v>8839.6</v>
      </c>
      <c r="H487" s="864">
        <f>8839.6</f>
        <v>8839.6</v>
      </c>
      <c r="I487" s="865">
        <f>9010.7</f>
        <v>9010.7000000000007</v>
      </c>
      <c r="J487" s="865">
        <f>9280.3-251.7</f>
        <v>9028.5999999999985</v>
      </c>
      <c r="K487" s="857" t="s">
        <v>1511</v>
      </c>
      <c r="L487" s="866" t="s">
        <v>19</v>
      </c>
      <c r="M487" s="866">
        <v>100</v>
      </c>
      <c r="N487" s="866">
        <v>100</v>
      </c>
      <c r="O487" s="866">
        <v>100</v>
      </c>
      <c r="P487" s="866">
        <v>100</v>
      </c>
      <c r="Q487" s="880">
        <v>100</v>
      </c>
      <c r="R487" s="901"/>
      <c r="S487" s="901"/>
      <c r="T487" s="901"/>
      <c r="U487" s="901"/>
    </row>
    <row r="488" spans="1:21" ht="30" x14ac:dyDescent="0.25">
      <c r="A488" s="1210"/>
      <c r="B488" s="867"/>
      <c r="C488" s="858" t="s">
        <v>48</v>
      </c>
      <c r="D488" s="858"/>
      <c r="E488" s="860" t="s">
        <v>1512</v>
      </c>
      <c r="F488" s="904">
        <v>765</v>
      </c>
      <c r="G488" s="904">
        <v>779.3</v>
      </c>
      <c r="H488" s="864">
        <f>779.3</f>
        <v>779.3</v>
      </c>
      <c r="I488" s="865">
        <f>794.4</f>
        <v>794.4</v>
      </c>
      <c r="J488" s="865">
        <f>818</f>
        <v>818</v>
      </c>
      <c r="K488" s="857" t="s">
        <v>1511</v>
      </c>
      <c r="L488" s="866" t="s">
        <v>19</v>
      </c>
      <c r="M488" s="866">
        <v>100</v>
      </c>
      <c r="N488" s="866">
        <v>100</v>
      </c>
      <c r="O488" s="866">
        <v>100</v>
      </c>
      <c r="P488" s="866">
        <v>100</v>
      </c>
      <c r="Q488" s="880">
        <v>100</v>
      </c>
      <c r="R488" s="901"/>
      <c r="S488" s="901"/>
      <c r="T488" s="901"/>
      <c r="U488" s="901"/>
    </row>
    <row r="489" spans="1:21" ht="30" x14ac:dyDescent="0.25">
      <c r="A489" s="1210"/>
      <c r="B489" s="1044"/>
      <c r="C489" s="1045" t="s">
        <v>37</v>
      </c>
      <c r="D489" s="1045"/>
      <c r="E489" s="1057" t="s">
        <v>1510</v>
      </c>
      <c r="F489" s="1359">
        <v>5394.2</v>
      </c>
      <c r="G489" s="1359">
        <v>5543.3</v>
      </c>
      <c r="H489" s="1035">
        <f>7013.4</f>
        <v>7013.4</v>
      </c>
      <c r="I489" s="1050">
        <f>7121.1</f>
        <v>7121.1</v>
      </c>
      <c r="J489" s="1050">
        <f>7290</f>
        <v>7290</v>
      </c>
      <c r="K489" s="857" t="s">
        <v>1509</v>
      </c>
      <c r="L489" s="866" t="s">
        <v>1506</v>
      </c>
      <c r="M489" s="866">
        <v>11.7</v>
      </c>
      <c r="N489" s="868">
        <v>12</v>
      </c>
      <c r="O489" s="868">
        <v>12.3</v>
      </c>
      <c r="P489" s="868">
        <v>12.8</v>
      </c>
      <c r="Q489" s="869">
        <v>13</v>
      </c>
      <c r="R489" s="901"/>
      <c r="S489" s="901"/>
      <c r="T489" s="901"/>
      <c r="U489" s="901"/>
    </row>
    <row r="490" spans="1:21" x14ac:dyDescent="0.25">
      <c r="A490" s="1210"/>
      <c r="B490" s="1044"/>
      <c r="C490" s="1045"/>
      <c r="D490" s="1045"/>
      <c r="E490" s="1057"/>
      <c r="F490" s="1359"/>
      <c r="G490" s="1359"/>
      <c r="H490" s="1035"/>
      <c r="I490" s="1050"/>
      <c r="J490" s="1050"/>
      <c r="K490" s="857" t="s">
        <v>1508</v>
      </c>
      <c r="L490" s="866" t="s">
        <v>1506</v>
      </c>
      <c r="M490" s="866">
        <v>10</v>
      </c>
      <c r="N490" s="868">
        <v>13</v>
      </c>
      <c r="O490" s="868">
        <v>16</v>
      </c>
      <c r="P490" s="868">
        <v>18</v>
      </c>
      <c r="Q490" s="869">
        <v>21</v>
      </c>
      <c r="R490" s="901"/>
      <c r="S490" s="901"/>
      <c r="T490" s="901"/>
      <c r="U490" s="901"/>
    </row>
    <row r="491" spans="1:21" x14ac:dyDescent="0.25">
      <c r="A491" s="1210"/>
      <c r="B491" s="1044"/>
      <c r="C491" s="1045"/>
      <c r="D491" s="1045"/>
      <c r="E491" s="1057"/>
      <c r="F491" s="1359"/>
      <c r="G491" s="1359"/>
      <c r="H491" s="1035"/>
      <c r="I491" s="1050"/>
      <c r="J491" s="1050"/>
      <c r="K491" s="857" t="s">
        <v>1507</v>
      </c>
      <c r="L491" s="866" t="s">
        <v>1506</v>
      </c>
      <c r="M491" s="866">
        <v>19.5</v>
      </c>
      <c r="N491" s="868">
        <v>20.5</v>
      </c>
      <c r="O491" s="868">
        <v>22.5</v>
      </c>
      <c r="P491" s="868">
        <v>25.2</v>
      </c>
      <c r="Q491" s="869">
        <v>23.2</v>
      </c>
      <c r="R491" s="901"/>
      <c r="S491" s="901"/>
      <c r="T491" s="901"/>
      <c r="U491" s="901"/>
    </row>
    <row r="492" spans="1:21" ht="45" x14ac:dyDescent="0.25">
      <c r="A492" s="1210"/>
      <c r="B492" s="1044"/>
      <c r="C492" s="1045" t="s">
        <v>73</v>
      </c>
      <c r="D492" s="1045"/>
      <c r="E492" s="1057" t="s">
        <v>1505</v>
      </c>
      <c r="F492" s="1050">
        <v>4081.4</v>
      </c>
      <c r="G492" s="1050">
        <v>4272.1000000000004</v>
      </c>
      <c r="H492" s="1035">
        <f>4272.1</f>
        <v>4272.1000000000004</v>
      </c>
      <c r="I492" s="1050">
        <f>4355.1</f>
        <v>4355.1000000000004</v>
      </c>
      <c r="J492" s="1050">
        <f>4484.9</f>
        <v>4484.8999999999996</v>
      </c>
      <c r="K492" s="857" t="s">
        <v>1504</v>
      </c>
      <c r="L492" s="866" t="s">
        <v>1503</v>
      </c>
      <c r="M492" s="866">
        <v>1.3</v>
      </c>
      <c r="N492" s="868">
        <v>1.5</v>
      </c>
      <c r="O492" s="868">
        <v>1.7</v>
      </c>
      <c r="P492" s="868">
        <v>1.8</v>
      </c>
      <c r="Q492" s="869">
        <v>1.9</v>
      </c>
      <c r="R492" s="901"/>
      <c r="S492" s="901"/>
      <c r="T492" s="901"/>
      <c r="U492" s="901"/>
    </row>
    <row r="493" spans="1:21" x14ac:dyDescent="0.25">
      <c r="A493" s="1210"/>
      <c r="B493" s="1044"/>
      <c r="C493" s="1045"/>
      <c r="D493" s="1045"/>
      <c r="E493" s="1057"/>
      <c r="F493" s="1050"/>
      <c r="G493" s="1050"/>
      <c r="H493" s="1035"/>
      <c r="I493" s="1050"/>
      <c r="J493" s="1050"/>
      <c r="K493" s="73" t="s">
        <v>1502</v>
      </c>
      <c r="L493" s="866" t="s">
        <v>19</v>
      </c>
      <c r="M493" s="868">
        <v>4.9000000000000004</v>
      </c>
      <c r="N493" s="868">
        <v>5</v>
      </c>
      <c r="O493" s="868">
        <v>5.0999999999999996</v>
      </c>
      <c r="P493" s="868">
        <v>5.2</v>
      </c>
      <c r="Q493" s="869">
        <v>5.3</v>
      </c>
      <c r="R493" s="901"/>
      <c r="S493" s="901"/>
      <c r="T493" s="901"/>
      <c r="U493" s="901"/>
    </row>
    <row r="494" spans="1:21" x14ac:dyDescent="0.25">
      <c r="A494" s="1210"/>
      <c r="B494" s="1044"/>
      <c r="C494" s="1045"/>
      <c r="D494" s="1045"/>
      <c r="E494" s="1057"/>
      <c r="F494" s="1050"/>
      <c r="G494" s="1050"/>
      <c r="H494" s="1035"/>
      <c r="I494" s="1050"/>
      <c r="J494" s="1050"/>
      <c r="K494" s="857" t="s">
        <v>1501</v>
      </c>
      <c r="L494" s="866" t="s">
        <v>518</v>
      </c>
      <c r="M494" s="866">
        <v>38</v>
      </c>
      <c r="N494" s="868">
        <v>65</v>
      </c>
      <c r="O494" s="868">
        <v>120</v>
      </c>
      <c r="P494" s="868">
        <v>140</v>
      </c>
      <c r="Q494" s="869">
        <v>180</v>
      </c>
      <c r="R494" s="901"/>
      <c r="S494" s="901"/>
      <c r="T494" s="901"/>
      <c r="U494" s="901"/>
    </row>
    <row r="495" spans="1:21" ht="30" x14ac:dyDescent="0.25">
      <c r="A495" s="1210"/>
      <c r="B495" s="1044"/>
      <c r="C495" s="1045"/>
      <c r="D495" s="1045"/>
      <c r="E495" s="1057"/>
      <c r="F495" s="1050"/>
      <c r="G495" s="1050"/>
      <c r="H495" s="1035"/>
      <c r="I495" s="1050"/>
      <c r="J495" s="1050"/>
      <c r="K495" s="857" t="s">
        <v>1500</v>
      </c>
      <c r="L495" s="866" t="s">
        <v>518</v>
      </c>
      <c r="M495" s="866">
        <v>0.5</v>
      </c>
      <c r="N495" s="868">
        <v>0.5</v>
      </c>
      <c r="O495" s="868">
        <v>1</v>
      </c>
      <c r="P495" s="868">
        <v>2</v>
      </c>
      <c r="Q495" s="869">
        <v>2</v>
      </c>
      <c r="R495" s="901"/>
      <c r="S495" s="901"/>
      <c r="T495" s="901"/>
      <c r="U495" s="901"/>
    </row>
    <row r="496" spans="1:21" ht="37.5" customHeight="1" x14ac:dyDescent="0.25">
      <c r="A496" s="1210"/>
      <c r="B496" s="1044"/>
      <c r="C496" s="1045" t="s">
        <v>76</v>
      </c>
      <c r="D496" s="1045"/>
      <c r="E496" s="1057" t="s">
        <v>1499</v>
      </c>
      <c r="F496" s="1050">
        <v>3383.6</v>
      </c>
      <c r="G496" s="1050">
        <v>3201.7</v>
      </c>
      <c r="H496" s="1035">
        <f>3201.7+0.4</f>
        <v>3202.1</v>
      </c>
      <c r="I496" s="1050">
        <f>3263.9-0.2</f>
        <v>3263.7000000000003</v>
      </c>
      <c r="J496" s="1050">
        <f>3362.3</f>
        <v>3362.3</v>
      </c>
      <c r="K496" s="857" t="s">
        <v>1498</v>
      </c>
      <c r="L496" s="866" t="s">
        <v>19</v>
      </c>
      <c r="M496" s="866">
        <v>90</v>
      </c>
      <c r="N496" s="868">
        <v>95</v>
      </c>
      <c r="O496" s="868">
        <v>96</v>
      </c>
      <c r="P496" s="868">
        <v>97</v>
      </c>
      <c r="Q496" s="869">
        <v>98</v>
      </c>
      <c r="R496" s="901"/>
      <c r="S496" s="901"/>
      <c r="T496" s="901"/>
      <c r="U496" s="901"/>
    </row>
    <row r="497" spans="1:21" ht="22.5" customHeight="1" x14ac:dyDescent="0.25">
      <c r="A497" s="1210"/>
      <c r="B497" s="1044"/>
      <c r="C497" s="1045"/>
      <c r="D497" s="1045"/>
      <c r="E497" s="1057"/>
      <c r="F497" s="1050"/>
      <c r="G497" s="1050"/>
      <c r="H497" s="1035"/>
      <c r="I497" s="1050"/>
      <c r="J497" s="1050"/>
      <c r="K497" s="857" t="s">
        <v>1497</v>
      </c>
      <c r="L497" s="866" t="s">
        <v>14</v>
      </c>
      <c r="M497" s="866">
        <v>484</v>
      </c>
      <c r="N497" s="868">
        <v>495</v>
      </c>
      <c r="O497" s="868">
        <v>505</v>
      </c>
      <c r="P497" s="868">
        <v>510</v>
      </c>
      <c r="Q497" s="869">
        <v>515</v>
      </c>
      <c r="R497" s="901"/>
      <c r="S497" s="901"/>
      <c r="T497" s="901"/>
      <c r="U497" s="901"/>
    </row>
    <row r="498" spans="1:21" ht="34.5" customHeight="1" x14ac:dyDescent="0.25">
      <c r="A498" s="1210"/>
      <c r="B498" s="1044"/>
      <c r="C498" s="1045"/>
      <c r="D498" s="1045"/>
      <c r="E498" s="1057"/>
      <c r="F498" s="1050"/>
      <c r="G498" s="1050"/>
      <c r="H498" s="1035"/>
      <c r="I498" s="1050"/>
      <c r="J498" s="1050"/>
      <c r="K498" s="857" t="s">
        <v>1496</v>
      </c>
      <c r="L498" s="866" t="s">
        <v>14</v>
      </c>
      <c r="M498" s="866">
        <v>130</v>
      </c>
      <c r="N498" s="868">
        <v>135</v>
      </c>
      <c r="O498" s="868">
        <v>140</v>
      </c>
      <c r="P498" s="868">
        <v>145</v>
      </c>
      <c r="Q498" s="869">
        <v>150</v>
      </c>
      <c r="R498" s="901"/>
      <c r="S498" s="901"/>
      <c r="T498" s="901"/>
      <c r="U498" s="901"/>
    </row>
    <row r="499" spans="1:21" x14ac:dyDescent="0.25">
      <c r="A499" s="1210"/>
      <c r="B499" s="867" t="s">
        <v>1495</v>
      </c>
      <c r="C499" s="858"/>
      <c r="D499" s="858"/>
      <c r="E499" s="903" t="s">
        <v>1494</v>
      </c>
      <c r="F499" s="865"/>
      <c r="G499" s="870">
        <v>3173529.1</v>
      </c>
      <c r="H499" s="870">
        <f>H500</f>
        <v>4612239.9000000004</v>
      </c>
      <c r="I499" s="870">
        <f>I500</f>
        <v>5466188.2000000002</v>
      </c>
      <c r="J499" s="870">
        <f>J500</f>
        <v>4866705.8</v>
      </c>
      <c r="K499" s="857"/>
      <c r="L499" s="866"/>
      <c r="M499" s="866"/>
      <c r="N499" s="868"/>
      <c r="O499" s="868"/>
      <c r="P499" s="868"/>
      <c r="Q499" s="869"/>
      <c r="R499" s="901"/>
      <c r="S499" s="901"/>
      <c r="T499" s="901"/>
      <c r="U499" s="901"/>
    </row>
    <row r="500" spans="1:21" ht="30" x14ac:dyDescent="0.25">
      <c r="A500" s="1210"/>
      <c r="B500" s="867"/>
      <c r="C500" s="858" t="s">
        <v>43</v>
      </c>
      <c r="D500" s="858"/>
      <c r="E500" s="902" t="s">
        <v>760</v>
      </c>
      <c r="F500" s="865"/>
      <c r="G500" s="865">
        <v>3173529.1</v>
      </c>
      <c r="H500" s="865">
        <v>4612239.9000000004</v>
      </c>
      <c r="I500" s="865">
        <v>5466188.2000000002</v>
      </c>
      <c r="J500" s="865">
        <v>4866705.8</v>
      </c>
      <c r="K500" s="319"/>
      <c r="L500" s="866"/>
      <c r="M500" s="866"/>
      <c r="N500" s="868"/>
      <c r="O500" s="868"/>
      <c r="P500" s="868"/>
      <c r="Q500" s="869"/>
      <c r="R500" s="901"/>
      <c r="S500" s="901"/>
      <c r="T500" s="901"/>
      <c r="U500" s="901"/>
    </row>
    <row r="501" spans="1:21" x14ac:dyDescent="0.25">
      <c r="A501" s="1004" t="s">
        <v>1493</v>
      </c>
      <c r="B501" s="1005"/>
      <c r="C501" s="1005"/>
      <c r="D501" s="1005"/>
      <c r="E501" s="1005"/>
      <c r="F501" s="28">
        <f>F486+F464+F452+F443+F433+F429+F412+F409</f>
        <v>2840799.1</v>
      </c>
      <c r="G501" s="28">
        <f>G486+G464+G452+G443+G433+G429+G412+G409+G499</f>
        <v>5908318.0999999996</v>
      </c>
      <c r="H501" s="28">
        <f>H486+H464+H452+H443+H433+H429+H412+H409+H499+0.1</f>
        <v>7608062.4400000004</v>
      </c>
      <c r="I501" s="28">
        <f>I486+I464+I452+I443+I433+I429+I412+I409+I499</f>
        <v>8508846.9400000013</v>
      </c>
      <c r="J501" s="28">
        <f>J486+J464+J452+J443+J433+J429+J412+J409+J499</f>
        <v>7998261.4399999995</v>
      </c>
      <c r="K501" s="43"/>
      <c r="L501" s="161"/>
      <c r="M501" s="161"/>
      <c r="N501" s="161"/>
      <c r="O501" s="161"/>
      <c r="P501" s="161"/>
      <c r="Q501" s="493"/>
      <c r="R501" s="901"/>
      <c r="S501" s="901"/>
      <c r="T501" s="901"/>
      <c r="U501" s="901"/>
    </row>
    <row r="502" spans="1:21" x14ac:dyDescent="0.25">
      <c r="A502" s="1208" t="s">
        <v>1647</v>
      </c>
      <c r="B502" s="1209" t="s">
        <v>1644</v>
      </c>
      <c r="C502" s="1209"/>
      <c r="D502" s="1209"/>
      <c r="E502" s="1209"/>
      <c r="F502" s="1209"/>
      <c r="G502" s="1209"/>
      <c r="H502" s="1209"/>
      <c r="I502" s="1209"/>
      <c r="J502" s="1209"/>
      <c r="K502" s="1209"/>
      <c r="L502" s="1209"/>
      <c r="M502" s="1209"/>
      <c r="N502" s="1209"/>
      <c r="O502" s="1209"/>
      <c r="P502" s="183"/>
      <c r="Q502" s="522"/>
      <c r="R502" s="901"/>
      <c r="S502" s="901"/>
      <c r="T502" s="901"/>
      <c r="U502" s="901"/>
    </row>
    <row r="503" spans="1:21" s="83" customFormat="1" x14ac:dyDescent="0.25">
      <c r="A503" s="1287" t="s">
        <v>1648</v>
      </c>
      <c r="B503" s="953" t="s">
        <v>8</v>
      </c>
      <c r="C503" s="858"/>
      <c r="D503" s="954"/>
      <c r="E503" s="760" t="s">
        <v>303</v>
      </c>
      <c r="F503" s="955"/>
      <c r="G503" s="955"/>
      <c r="H503" s="955">
        <f>H504+H505</f>
        <v>222286.30000000002</v>
      </c>
      <c r="I503" s="955">
        <f>I504+I505</f>
        <v>193885.30000000002</v>
      </c>
      <c r="J503" s="955">
        <f>J504+J505</f>
        <v>197468.1</v>
      </c>
      <c r="K503" s="883"/>
      <c r="L503" s="883"/>
      <c r="M503" s="883"/>
      <c r="N503" s="883"/>
      <c r="O503" s="883"/>
      <c r="P503" s="886"/>
      <c r="Q503" s="887"/>
      <c r="R503" s="956"/>
      <c r="S503" s="956"/>
      <c r="T503" s="956"/>
      <c r="U503" s="956"/>
    </row>
    <row r="504" spans="1:21" s="83" customFormat="1" ht="30" x14ac:dyDescent="0.25">
      <c r="A504" s="1288"/>
      <c r="B504" s="872"/>
      <c r="C504" s="858" t="s">
        <v>43</v>
      </c>
      <c r="D504" s="954"/>
      <c r="E504" s="160" t="s">
        <v>11</v>
      </c>
      <c r="F504" s="955"/>
      <c r="G504" s="955"/>
      <c r="H504" s="854">
        <f>143200.6+48407.1+30678.6</f>
        <v>222286.30000000002</v>
      </c>
      <c r="I504" s="854">
        <f>145478.2+48407.1</f>
        <v>193885.30000000002</v>
      </c>
      <c r="J504" s="854">
        <f>149061+48407.1</f>
        <v>197468.1</v>
      </c>
      <c r="K504" s="883"/>
      <c r="L504" s="883"/>
      <c r="M504" s="883"/>
      <c r="N504" s="883"/>
      <c r="O504" s="883"/>
      <c r="P504" s="886"/>
      <c r="Q504" s="887"/>
      <c r="R504" s="956"/>
      <c r="S504" s="956"/>
      <c r="T504" s="956"/>
      <c r="U504" s="956"/>
    </row>
    <row r="505" spans="1:21" s="83" customFormat="1" ht="30" hidden="1" x14ac:dyDescent="0.25">
      <c r="A505" s="1288"/>
      <c r="B505" s="872"/>
      <c r="C505" s="858" t="s">
        <v>48</v>
      </c>
      <c r="D505" s="954"/>
      <c r="E505" s="160" t="s">
        <v>1649</v>
      </c>
      <c r="F505" s="955"/>
      <c r="G505" s="955"/>
      <c r="H505" s="854"/>
      <c r="I505" s="854"/>
      <c r="J505" s="854"/>
      <c r="K505" s="883"/>
      <c r="L505" s="883"/>
      <c r="M505" s="883"/>
      <c r="N505" s="883"/>
      <c r="O505" s="883"/>
      <c r="P505" s="886"/>
      <c r="Q505" s="887"/>
      <c r="R505" s="956"/>
      <c r="S505" s="956"/>
      <c r="T505" s="956"/>
      <c r="U505" s="956"/>
    </row>
    <row r="506" spans="1:21" s="83" customFormat="1" ht="42.75" hidden="1" x14ac:dyDescent="0.25">
      <c r="A506" s="1288"/>
      <c r="B506" s="867" t="s">
        <v>107</v>
      </c>
      <c r="C506" s="858"/>
      <c r="D506" s="858"/>
      <c r="E506" s="903" t="s">
        <v>1650</v>
      </c>
      <c r="F506" s="955"/>
      <c r="G506" s="955"/>
      <c r="H506" s="955">
        <f>H507+H508+H509+H510+H511+H512+H513+H514+H515+H516+H517</f>
        <v>0</v>
      </c>
      <c r="I506" s="955">
        <f>I507+I508+I509+I510+I511+I512+I513+I514+I515+I516+I517</f>
        <v>0</v>
      </c>
      <c r="J506" s="955">
        <f>J507+J508+J509+J510+J511+J512+J513+J514+J515+J516+J517</f>
        <v>0</v>
      </c>
      <c r="K506" s="883"/>
      <c r="L506" s="883"/>
      <c r="M506" s="883"/>
      <c r="N506" s="883"/>
      <c r="O506" s="883"/>
      <c r="P506" s="886"/>
      <c r="Q506" s="887"/>
      <c r="R506" s="956"/>
      <c r="S506" s="956"/>
      <c r="T506" s="956"/>
      <c r="U506" s="956"/>
    </row>
    <row r="507" spans="1:21" s="83" customFormat="1" ht="60" hidden="1" x14ac:dyDescent="0.25">
      <c r="A507" s="1288"/>
      <c r="B507" s="867"/>
      <c r="C507" s="858" t="s">
        <v>43</v>
      </c>
      <c r="D507" s="858"/>
      <c r="E507" s="957" t="s">
        <v>1651</v>
      </c>
      <c r="F507" s="955"/>
      <c r="G507" s="955"/>
      <c r="H507" s="854"/>
      <c r="I507" s="854"/>
      <c r="J507" s="854"/>
      <c r="K507" s="883"/>
      <c r="L507" s="883"/>
      <c r="M507" s="883"/>
      <c r="N507" s="883"/>
      <c r="O507" s="883"/>
      <c r="P507" s="886"/>
      <c r="Q507" s="887"/>
      <c r="R507" s="956"/>
      <c r="S507" s="956"/>
      <c r="T507" s="956"/>
      <c r="U507" s="956"/>
    </row>
    <row r="508" spans="1:21" s="83" customFormat="1" ht="45" hidden="1" x14ac:dyDescent="0.25">
      <c r="A508" s="1288"/>
      <c r="B508" s="867"/>
      <c r="C508" s="858" t="s">
        <v>48</v>
      </c>
      <c r="D508" s="858"/>
      <c r="E508" s="958" t="s">
        <v>1652</v>
      </c>
      <c r="F508" s="955"/>
      <c r="G508" s="955"/>
      <c r="H508" s="854"/>
      <c r="I508" s="854"/>
      <c r="J508" s="854"/>
      <c r="K508" s="883"/>
      <c r="L508" s="883"/>
      <c r="M508" s="883"/>
      <c r="N508" s="883"/>
      <c r="O508" s="883"/>
      <c r="P508" s="886"/>
      <c r="Q508" s="887"/>
      <c r="R508" s="956"/>
      <c r="S508" s="956"/>
      <c r="T508" s="956"/>
      <c r="U508" s="956"/>
    </row>
    <row r="509" spans="1:21" s="83" customFormat="1" ht="60" hidden="1" x14ac:dyDescent="0.25">
      <c r="A509" s="1288"/>
      <c r="B509" s="867"/>
      <c r="C509" s="858" t="s">
        <v>37</v>
      </c>
      <c r="D509" s="858"/>
      <c r="E509" s="918" t="s">
        <v>1653</v>
      </c>
      <c r="F509" s="955"/>
      <c r="G509" s="955"/>
      <c r="H509" s="854"/>
      <c r="I509" s="854"/>
      <c r="J509" s="854"/>
      <c r="K509" s="883"/>
      <c r="L509" s="883"/>
      <c r="M509" s="883"/>
      <c r="N509" s="883"/>
      <c r="O509" s="883"/>
      <c r="P509" s="886"/>
      <c r="Q509" s="887"/>
      <c r="R509" s="956"/>
      <c r="S509" s="956"/>
      <c r="T509" s="956"/>
      <c r="U509" s="956"/>
    </row>
    <row r="510" spans="1:21" s="83" customFormat="1" ht="45" hidden="1" x14ac:dyDescent="0.25">
      <c r="A510" s="1288"/>
      <c r="B510" s="867"/>
      <c r="C510" s="858" t="s">
        <v>73</v>
      </c>
      <c r="D510" s="858"/>
      <c r="E510" s="928" t="s">
        <v>1654</v>
      </c>
      <c r="F510" s="955"/>
      <c r="G510" s="955"/>
      <c r="H510" s="854"/>
      <c r="I510" s="854"/>
      <c r="J510" s="854"/>
      <c r="K510" s="883"/>
      <c r="L510" s="883"/>
      <c r="M510" s="883"/>
      <c r="N510" s="883"/>
      <c r="O510" s="883"/>
      <c r="P510" s="886"/>
      <c r="Q510" s="887"/>
      <c r="R510" s="956"/>
      <c r="S510" s="956"/>
      <c r="T510" s="956"/>
      <c r="U510" s="956"/>
    </row>
    <row r="511" spans="1:21" s="83" customFormat="1" ht="45" hidden="1" x14ac:dyDescent="0.25">
      <c r="A511" s="1288"/>
      <c r="B511" s="867"/>
      <c r="C511" s="858" t="s">
        <v>76</v>
      </c>
      <c r="D511" s="858"/>
      <c r="E511" s="928" t="s">
        <v>1655</v>
      </c>
      <c r="F511" s="955"/>
      <c r="G511" s="955"/>
      <c r="H511" s="854"/>
      <c r="I511" s="854"/>
      <c r="J511" s="854"/>
      <c r="K511" s="883"/>
      <c r="L511" s="883"/>
      <c r="M511" s="883"/>
      <c r="N511" s="883"/>
      <c r="O511" s="883"/>
      <c r="P511" s="886"/>
      <c r="Q511" s="887"/>
      <c r="R511" s="956"/>
      <c r="S511" s="956"/>
      <c r="T511" s="956"/>
      <c r="U511" s="956"/>
    </row>
    <row r="512" spans="1:21" s="83" customFormat="1" ht="45" hidden="1" x14ac:dyDescent="0.25">
      <c r="A512" s="1288"/>
      <c r="B512" s="867"/>
      <c r="C512" s="858" t="s">
        <v>79</v>
      </c>
      <c r="D512" s="858"/>
      <c r="E512" s="877" t="s">
        <v>1656</v>
      </c>
      <c r="F512" s="955"/>
      <c r="G512" s="955"/>
      <c r="H512" s="854"/>
      <c r="I512" s="854"/>
      <c r="J512" s="854"/>
      <c r="K512" s="883"/>
      <c r="L512" s="883"/>
      <c r="M512" s="883"/>
      <c r="N512" s="883"/>
      <c r="O512" s="883"/>
      <c r="P512" s="886"/>
      <c r="Q512" s="887"/>
      <c r="R512" s="956"/>
      <c r="S512" s="956"/>
      <c r="T512" s="956"/>
      <c r="U512" s="956"/>
    </row>
    <row r="513" spans="1:21" s="83" customFormat="1" ht="60" hidden="1" x14ac:dyDescent="0.25">
      <c r="A513" s="1288"/>
      <c r="B513" s="867"/>
      <c r="C513" s="858" t="s">
        <v>82</v>
      </c>
      <c r="D513" s="858"/>
      <c r="E513" s="959" t="s">
        <v>1657</v>
      </c>
      <c r="F513" s="955"/>
      <c r="G513" s="955"/>
      <c r="H513" s="854"/>
      <c r="I513" s="854"/>
      <c r="J513" s="854"/>
      <c r="K513" s="883"/>
      <c r="L513" s="883"/>
      <c r="M513" s="883"/>
      <c r="N513" s="883"/>
      <c r="O513" s="883"/>
      <c r="P513" s="886"/>
      <c r="Q513" s="887"/>
      <c r="R513" s="956"/>
      <c r="S513" s="956"/>
      <c r="T513" s="956"/>
      <c r="U513" s="956"/>
    </row>
    <row r="514" spans="1:21" s="83" customFormat="1" ht="30" hidden="1" x14ac:dyDescent="0.25">
      <c r="A514" s="1288"/>
      <c r="B514" s="867"/>
      <c r="C514" s="858" t="s">
        <v>83</v>
      </c>
      <c r="D514" s="858"/>
      <c r="E514" s="928" t="s">
        <v>1560</v>
      </c>
      <c r="F514" s="955"/>
      <c r="G514" s="955"/>
      <c r="H514" s="854"/>
      <c r="I514" s="854"/>
      <c r="J514" s="854"/>
      <c r="K514" s="883"/>
      <c r="L514" s="883"/>
      <c r="M514" s="883"/>
      <c r="N514" s="883"/>
      <c r="O514" s="883"/>
      <c r="P514" s="886"/>
      <c r="Q514" s="887"/>
      <c r="R514" s="956"/>
      <c r="S514" s="956"/>
      <c r="T514" s="956"/>
      <c r="U514" s="956"/>
    </row>
    <row r="515" spans="1:21" s="83" customFormat="1" ht="120" hidden="1" x14ac:dyDescent="0.25">
      <c r="A515" s="1288"/>
      <c r="B515" s="867"/>
      <c r="C515" s="858" t="s">
        <v>181</v>
      </c>
      <c r="D515" s="858"/>
      <c r="E515" s="761" t="s">
        <v>1658</v>
      </c>
      <c r="F515" s="955"/>
      <c r="G515" s="955"/>
      <c r="H515" s="854"/>
      <c r="I515" s="854"/>
      <c r="J515" s="854"/>
      <c r="K515" s="883"/>
      <c r="L515" s="883"/>
      <c r="M515" s="883"/>
      <c r="N515" s="883"/>
      <c r="O515" s="883"/>
      <c r="P515" s="886"/>
      <c r="Q515" s="887"/>
      <c r="R515" s="956"/>
      <c r="S515" s="956"/>
      <c r="T515" s="956"/>
      <c r="U515" s="956"/>
    </row>
    <row r="516" spans="1:21" s="83" customFormat="1" ht="75" hidden="1" x14ac:dyDescent="0.25">
      <c r="A516" s="1288"/>
      <c r="B516" s="867"/>
      <c r="C516" s="858" t="s">
        <v>184</v>
      </c>
      <c r="D516" s="858"/>
      <c r="E516" s="960" t="s">
        <v>1659</v>
      </c>
      <c r="F516" s="955"/>
      <c r="G516" s="955"/>
      <c r="H516" s="854"/>
      <c r="I516" s="854"/>
      <c r="J516" s="854"/>
      <c r="K516" s="883"/>
      <c r="L516" s="883"/>
      <c r="M516" s="883"/>
      <c r="N516" s="883"/>
      <c r="O516" s="883"/>
      <c r="P516" s="886"/>
      <c r="Q516" s="887"/>
      <c r="R516" s="956"/>
      <c r="S516" s="956"/>
      <c r="T516" s="956"/>
      <c r="U516" s="956"/>
    </row>
    <row r="517" spans="1:21" s="83" customFormat="1" ht="30" hidden="1" x14ac:dyDescent="0.25">
      <c r="A517" s="1288"/>
      <c r="B517" s="867"/>
      <c r="C517" s="858" t="s">
        <v>187</v>
      </c>
      <c r="D517" s="858"/>
      <c r="E517" s="961" t="s">
        <v>1660</v>
      </c>
      <c r="F517" s="955"/>
      <c r="G517" s="955"/>
      <c r="H517" s="854"/>
      <c r="I517" s="854"/>
      <c r="J517" s="854"/>
      <c r="K517" s="883"/>
      <c r="L517" s="883"/>
      <c r="M517" s="883"/>
      <c r="N517" s="883"/>
      <c r="O517" s="883"/>
      <c r="P517" s="886"/>
      <c r="Q517" s="887"/>
      <c r="R517" s="956"/>
      <c r="S517" s="956"/>
      <c r="T517" s="956"/>
      <c r="U517" s="956"/>
    </row>
    <row r="518" spans="1:21" s="83" customFormat="1" ht="42.75" x14ac:dyDescent="0.25">
      <c r="A518" s="1288"/>
      <c r="B518" s="867" t="s">
        <v>144</v>
      </c>
      <c r="C518" s="858"/>
      <c r="D518" s="858"/>
      <c r="E518" s="903" t="s">
        <v>1661</v>
      </c>
      <c r="F518" s="955"/>
      <c r="G518" s="955"/>
      <c r="H518" s="955">
        <f>H519+H520+H521+H522+H523+H524</f>
        <v>24050.1</v>
      </c>
      <c r="I518" s="955">
        <f>I519+I520+I521+I522+I523+I524</f>
        <v>24511.599999999999</v>
      </c>
      <c r="J518" s="955">
        <f>J519+J520+J521+J522+J523+J524</f>
        <v>25219.9</v>
      </c>
      <c r="K518" s="883"/>
      <c r="L518" s="883"/>
      <c r="M518" s="883"/>
      <c r="N518" s="883"/>
      <c r="O518" s="883"/>
      <c r="P518" s="886"/>
      <c r="Q518" s="887"/>
      <c r="R518" s="956"/>
      <c r="S518" s="956"/>
      <c r="T518" s="956"/>
      <c r="U518" s="956"/>
    </row>
    <row r="519" spans="1:21" s="83" customFormat="1" ht="120" hidden="1" x14ac:dyDescent="0.25">
      <c r="A519" s="1288"/>
      <c r="B519" s="867"/>
      <c r="C519" s="858" t="s">
        <v>43</v>
      </c>
      <c r="D519" s="858"/>
      <c r="E519" s="962" t="s">
        <v>1662</v>
      </c>
      <c r="F519" s="955"/>
      <c r="G519" s="955"/>
      <c r="H519" s="955"/>
      <c r="I519" s="955"/>
      <c r="J519" s="955"/>
      <c r="K519" s="883"/>
      <c r="L519" s="883"/>
      <c r="M519" s="883"/>
      <c r="N519" s="883"/>
      <c r="O519" s="883"/>
      <c r="P519" s="886"/>
      <c r="Q519" s="887"/>
      <c r="R519" s="956"/>
      <c r="S519" s="956"/>
      <c r="T519" s="956"/>
      <c r="U519" s="956"/>
    </row>
    <row r="520" spans="1:21" s="83" customFormat="1" ht="75" hidden="1" x14ac:dyDescent="0.25">
      <c r="A520" s="1288"/>
      <c r="B520" s="867"/>
      <c r="C520" s="858" t="s">
        <v>48</v>
      </c>
      <c r="D520" s="858"/>
      <c r="E520" s="928" t="s">
        <v>1663</v>
      </c>
      <c r="F520" s="955"/>
      <c r="G520" s="955"/>
      <c r="H520" s="955"/>
      <c r="I520" s="955"/>
      <c r="J520" s="955"/>
      <c r="K520" s="883"/>
      <c r="L520" s="883"/>
      <c r="M520" s="883"/>
      <c r="N520" s="883"/>
      <c r="O520" s="883"/>
      <c r="P520" s="886"/>
      <c r="Q520" s="887"/>
      <c r="R520" s="956"/>
      <c r="S520" s="956"/>
      <c r="T520" s="956"/>
      <c r="U520" s="956"/>
    </row>
    <row r="521" spans="1:21" s="83" customFormat="1" ht="60" hidden="1" x14ac:dyDescent="0.25">
      <c r="A521" s="1288"/>
      <c r="B521" s="867"/>
      <c r="C521" s="858" t="s">
        <v>37</v>
      </c>
      <c r="D521" s="858"/>
      <c r="E521" s="902" t="s">
        <v>1664</v>
      </c>
      <c r="F521" s="955"/>
      <c r="G521" s="955"/>
      <c r="H521" s="955"/>
      <c r="I521" s="955"/>
      <c r="J521" s="955"/>
      <c r="K521" s="883"/>
      <c r="L521" s="883"/>
      <c r="M521" s="883"/>
      <c r="N521" s="883"/>
      <c r="O521" s="883"/>
      <c r="P521" s="886"/>
      <c r="Q521" s="887"/>
      <c r="R521" s="956"/>
      <c r="S521" s="956"/>
      <c r="T521" s="956"/>
      <c r="U521" s="956"/>
    </row>
    <row r="522" spans="1:21" s="83" customFormat="1" hidden="1" x14ac:dyDescent="0.25">
      <c r="A522" s="1288"/>
      <c r="B522" s="867"/>
      <c r="C522" s="858" t="s">
        <v>73</v>
      </c>
      <c r="D522" s="858"/>
      <c r="E522" s="902" t="s">
        <v>1665</v>
      </c>
      <c r="F522" s="955"/>
      <c r="G522" s="955"/>
      <c r="H522" s="955"/>
      <c r="I522" s="955"/>
      <c r="J522" s="955"/>
      <c r="K522" s="883"/>
      <c r="L522" s="883"/>
      <c r="M522" s="883"/>
      <c r="N522" s="883"/>
      <c r="O522" s="883"/>
      <c r="P522" s="886"/>
      <c r="Q522" s="887"/>
      <c r="R522" s="956"/>
      <c r="S522" s="956"/>
      <c r="T522" s="956"/>
      <c r="U522" s="956"/>
    </row>
    <row r="523" spans="1:21" s="83" customFormat="1" ht="60" x14ac:dyDescent="0.25">
      <c r="A523" s="1288"/>
      <c r="B523" s="867"/>
      <c r="C523" s="858" t="s">
        <v>76</v>
      </c>
      <c r="D523" s="858"/>
      <c r="E523" s="963" t="s">
        <v>1666</v>
      </c>
      <c r="F523" s="955"/>
      <c r="G523" s="955"/>
      <c r="H523" s="854">
        <f>24050.1</f>
        <v>24050.1</v>
      </c>
      <c r="I523" s="854">
        <v>24511.599999999999</v>
      </c>
      <c r="J523" s="854">
        <v>25219.9</v>
      </c>
      <c r="K523" s="877" t="s">
        <v>1684</v>
      </c>
      <c r="L523" s="885" t="s">
        <v>14</v>
      </c>
      <c r="M523" s="885">
        <v>7915</v>
      </c>
      <c r="N523" s="968" t="s">
        <v>1685</v>
      </c>
      <c r="O523" s="968" t="s">
        <v>1685</v>
      </c>
      <c r="P523" s="968" t="s">
        <v>1685</v>
      </c>
      <c r="Q523" s="968" t="s">
        <v>1685</v>
      </c>
      <c r="R523" s="956"/>
      <c r="S523" s="956"/>
      <c r="T523" s="956"/>
      <c r="U523" s="956"/>
    </row>
    <row r="524" spans="1:21" s="83" customFormat="1" ht="45" hidden="1" x14ac:dyDescent="0.25">
      <c r="A524" s="1288"/>
      <c r="B524" s="867"/>
      <c r="C524" s="858" t="s">
        <v>79</v>
      </c>
      <c r="D524" s="858"/>
      <c r="E524" s="964" t="s">
        <v>1667</v>
      </c>
      <c r="F524" s="955"/>
      <c r="G524" s="955"/>
      <c r="H524" s="955"/>
      <c r="I524" s="955"/>
      <c r="J524" s="955"/>
      <c r="K524" s="883"/>
      <c r="L524" s="883"/>
      <c r="M524" s="883"/>
      <c r="N524" s="883"/>
      <c r="O524" s="883"/>
      <c r="P524" s="886"/>
      <c r="Q524" s="887"/>
      <c r="R524" s="956"/>
      <c r="S524" s="956"/>
      <c r="T524" s="956"/>
      <c r="U524" s="956"/>
    </row>
    <row r="525" spans="1:21" s="83" customFormat="1" ht="42.75" x14ac:dyDescent="0.25">
      <c r="A525" s="1288"/>
      <c r="B525" s="867" t="s">
        <v>699</v>
      </c>
      <c r="C525" s="858"/>
      <c r="D525" s="858"/>
      <c r="E525" s="903" t="s">
        <v>1668</v>
      </c>
      <c r="F525" s="955"/>
      <c r="G525" s="955"/>
      <c r="H525" s="955">
        <f>H526+H527+H528+H529+H530+H531+H532+H533</f>
        <v>17403</v>
      </c>
      <c r="I525" s="955">
        <f>I526+I527+I528+I529+I530+I531+I532+I533</f>
        <v>17740.3</v>
      </c>
      <c r="J525" s="955">
        <f>J526+J527+J528+J529+J530+J531+J532+J533</f>
        <v>18271</v>
      </c>
      <c r="K525" s="883"/>
      <c r="L525" s="883"/>
      <c r="M525" s="883"/>
      <c r="N525" s="883"/>
      <c r="O525" s="883"/>
      <c r="P525" s="886"/>
      <c r="Q525" s="887"/>
      <c r="R525" s="956"/>
      <c r="S525" s="956"/>
      <c r="T525" s="956"/>
      <c r="U525" s="956"/>
    </row>
    <row r="526" spans="1:21" s="83" customFormat="1" ht="30" hidden="1" x14ac:dyDescent="0.25">
      <c r="A526" s="1288"/>
      <c r="B526" s="867"/>
      <c r="C526" s="858" t="s">
        <v>43</v>
      </c>
      <c r="D526" s="858"/>
      <c r="E526" s="957" t="s">
        <v>1669</v>
      </c>
      <c r="F526" s="955"/>
      <c r="G526" s="955"/>
      <c r="H526" s="955"/>
      <c r="I526" s="955"/>
      <c r="J526" s="955"/>
      <c r="K526" s="883"/>
      <c r="L526" s="883"/>
      <c r="M526" s="883"/>
      <c r="N526" s="883"/>
      <c r="O526" s="883"/>
      <c r="P526" s="886"/>
      <c r="Q526" s="887"/>
      <c r="R526" s="956"/>
      <c r="S526" s="956"/>
      <c r="T526" s="956"/>
      <c r="U526" s="956"/>
    </row>
    <row r="527" spans="1:21" s="83" customFormat="1" ht="75" hidden="1" x14ac:dyDescent="0.25">
      <c r="A527" s="1288"/>
      <c r="B527" s="867"/>
      <c r="C527" s="858" t="s">
        <v>48</v>
      </c>
      <c r="D527" s="858"/>
      <c r="E527" s="959" t="s">
        <v>1670</v>
      </c>
      <c r="F527" s="955"/>
      <c r="G527" s="955"/>
      <c r="H527" s="955"/>
      <c r="I527" s="955"/>
      <c r="J527" s="955"/>
      <c r="K527" s="883"/>
      <c r="L527" s="883"/>
      <c r="M527" s="883"/>
      <c r="N527" s="883"/>
      <c r="O527" s="883"/>
      <c r="P527" s="886"/>
      <c r="Q527" s="887"/>
      <c r="R527" s="956"/>
      <c r="S527" s="956"/>
      <c r="T527" s="956"/>
      <c r="U527" s="956"/>
    </row>
    <row r="528" spans="1:21" s="83" customFormat="1" ht="60" hidden="1" x14ac:dyDescent="0.25">
      <c r="A528" s="1288"/>
      <c r="B528" s="867"/>
      <c r="C528" s="858" t="s">
        <v>37</v>
      </c>
      <c r="D528" s="858"/>
      <c r="E528" s="928" t="s">
        <v>1671</v>
      </c>
      <c r="F528" s="955"/>
      <c r="G528" s="955"/>
      <c r="H528" s="955"/>
      <c r="I528" s="955"/>
      <c r="J528" s="955"/>
      <c r="K528" s="883"/>
      <c r="L528" s="883"/>
      <c r="M528" s="883"/>
      <c r="N528" s="883"/>
      <c r="O528" s="883"/>
      <c r="P528" s="886"/>
      <c r="Q528" s="887"/>
      <c r="R528" s="956"/>
      <c r="S528" s="956"/>
      <c r="T528" s="956"/>
      <c r="U528" s="956"/>
    </row>
    <row r="529" spans="1:21" s="83" customFormat="1" ht="75" hidden="1" x14ac:dyDescent="0.25">
      <c r="A529" s="1288"/>
      <c r="B529" s="867"/>
      <c r="C529" s="858" t="s">
        <v>73</v>
      </c>
      <c r="D529" s="858"/>
      <c r="E529" s="873" t="s">
        <v>1672</v>
      </c>
      <c r="F529" s="955"/>
      <c r="G529" s="955"/>
      <c r="H529" s="955"/>
      <c r="I529" s="955"/>
      <c r="J529" s="955"/>
      <c r="K529" s="883"/>
      <c r="L529" s="883"/>
      <c r="M529" s="883"/>
      <c r="N529" s="883"/>
      <c r="O529" s="883"/>
      <c r="P529" s="886"/>
      <c r="Q529" s="887"/>
      <c r="R529" s="956"/>
      <c r="S529" s="956"/>
      <c r="T529" s="956"/>
      <c r="U529" s="956"/>
    </row>
    <row r="530" spans="1:21" s="83" customFormat="1" ht="90" x14ac:dyDescent="0.25">
      <c r="A530" s="1288"/>
      <c r="B530" s="867"/>
      <c r="C530" s="858" t="s">
        <v>76</v>
      </c>
      <c r="D530" s="858"/>
      <c r="E530" s="961" t="s">
        <v>1673</v>
      </c>
      <c r="F530" s="955"/>
      <c r="G530" s="955"/>
      <c r="H530" s="854">
        <v>17403</v>
      </c>
      <c r="I530" s="854">
        <v>17740.3</v>
      </c>
      <c r="J530" s="854">
        <v>18271</v>
      </c>
      <c r="K530" s="877" t="s">
        <v>1686</v>
      </c>
      <c r="L530" s="885" t="s">
        <v>19</v>
      </c>
      <c r="M530" s="885">
        <v>90.1</v>
      </c>
      <c r="N530" s="885">
        <v>105.9</v>
      </c>
      <c r="O530" s="885">
        <v>108.1</v>
      </c>
      <c r="P530" s="886">
        <v>101</v>
      </c>
      <c r="Q530" s="887">
        <v>101</v>
      </c>
      <c r="R530" s="956"/>
      <c r="S530" s="956"/>
      <c r="T530" s="956"/>
      <c r="U530" s="956"/>
    </row>
    <row r="531" spans="1:21" s="83" customFormat="1" ht="45" hidden="1" x14ac:dyDescent="0.25">
      <c r="A531" s="1288"/>
      <c r="B531" s="867"/>
      <c r="C531" s="858" t="s">
        <v>79</v>
      </c>
      <c r="D531" s="858"/>
      <c r="E531" s="877" t="s">
        <v>1674</v>
      </c>
      <c r="F531" s="955"/>
      <c r="G531" s="955"/>
      <c r="H531" s="955"/>
      <c r="I531" s="955"/>
      <c r="J531" s="955"/>
      <c r="K531" s="883"/>
      <c r="L531" s="883"/>
      <c r="M531" s="883"/>
      <c r="N531" s="883"/>
      <c r="O531" s="883"/>
      <c r="P531" s="886"/>
      <c r="Q531" s="887"/>
      <c r="R531" s="956"/>
      <c r="S531" s="956"/>
      <c r="T531" s="956"/>
      <c r="U531" s="956"/>
    </row>
    <row r="532" spans="1:21" s="83" customFormat="1" ht="75" hidden="1" x14ac:dyDescent="0.25">
      <c r="A532" s="1288"/>
      <c r="B532" s="867"/>
      <c r="C532" s="858" t="s">
        <v>82</v>
      </c>
      <c r="D532" s="858"/>
      <c r="E532" s="965" t="s">
        <v>1538</v>
      </c>
      <c r="F532" s="955"/>
      <c r="G532" s="955"/>
      <c r="H532" s="955"/>
      <c r="I532" s="955"/>
      <c r="J532" s="955"/>
      <c r="K532" s="883"/>
      <c r="L532" s="883"/>
      <c r="M532" s="883"/>
      <c r="N532" s="883"/>
      <c r="O532" s="883"/>
      <c r="P532" s="886"/>
      <c r="Q532" s="887"/>
      <c r="R532" s="956"/>
      <c r="S532" s="956"/>
      <c r="T532" s="956"/>
      <c r="U532" s="956"/>
    </row>
    <row r="533" spans="1:21" s="83" customFormat="1" ht="30" hidden="1" x14ac:dyDescent="0.25">
      <c r="A533" s="1288"/>
      <c r="B533" s="867"/>
      <c r="C533" s="858" t="s">
        <v>83</v>
      </c>
      <c r="D533" s="858"/>
      <c r="E533" s="877" t="s">
        <v>1675</v>
      </c>
      <c r="F533" s="955"/>
      <c r="G533" s="955"/>
      <c r="H533" s="955"/>
      <c r="I533" s="955"/>
      <c r="J533" s="955"/>
      <c r="K533" s="883"/>
      <c r="L533" s="883"/>
      <c r="M533" s="883"/>
      <c r="N533" s="883"/>
      <c r="O533" s="883"/>
      <c r="P533" s="886"/>
      <c r="Q533" s="887"/>
      <c r="R533" s="956"/>
      <c r="S533" s="956"/>
      <c r="T533" s="956"/>
      <c r="U533" s="956"/>
    </row>
    <row r="534" spans="1:21" s="83" customFormat="1" ht="42.75" hidden="1" x14ac:dyDescent="0.25">
      <c r="A534" s="1288"/>
      <c r="B534" s="867" t="s">
        <v>689</v>
      </c>
      <c r="C534" s="858"/>
      <c r="D534" s="858"/>
      <c r="E534" s="966" t="s">
        <v>1676</v>
      </c>
      <c r="F534" s="955"/>
      <c r="G534" s="955"/>
      <c r="H534" s="955">
        <f>H535+H536</f>
        <v>0</v>
      </c>
      <c r="I534" s="955">
        <f>I535+I536</f>
        <v>0</v>
      </c>
      <c r="J534" s="955">
        <f>J535+J536</f>
        <v>0</v>
      </c>
      <c r="K534" s="883"/>
      <c r="L534" s="883"/>
      <c r="M534" s="883"/>
      <c r="N534" s="883"/>
      <c r="O534" s="883"/>
      <c r="P534" s="886"/>
      <c r="Q534" s="887"/>
      <c r="R534" s="956"/>
      <c r="S534" s="956"/>
      <c r="T534" s="956"/>
      <c r="U534" s="956"/>
    </row>
    <row r="535" spans="1:21" s="83" customFormat="1" ht="60" hidden="1" x14ac:dyDescent="0.25">
      <c r="A535" s="1288"/>
      <c r="B535" s="867"/>
      <c r="C535" s="858" t="s">
        <v>43</v>
      </c>
      <c r="D535" s="858"/>
      <c r="E535" s="761" t="s">
        <v>1677</v>
      </c>
      <c r="F535" s="955"/>
      <c r="G535" s="955"/>
      <c r="H535" s="955"/>
      <c r="I535" s="955"/>
      <c r="J535" s="955"/>
      <c r="K535" s="883"/>
      <c r="L535" s="883"/>
      <c r="M535" s="883"/>
      <c r="N535" s="883"/>
      <c r="O535" s="883"/>
      <c r="P535" s="886"/>
      <c r="Q535" s="887"/>
      <c r="R535" s="956"/>
      <c r="S535" s="956"/>
      <c r="T535" s="956"/>
      <c r="U535" s="956"/>
    </row>
    <row r="536" spans="1:21" s="83" customFormat="1" ht="75" hidden="1" x14ac:dyDescent="0.25">
      <c r="A536" s="1288"/>
      <c r="B536" s="867"/>
      <c r="C536" s="858" t="s">
        <v>48</v>
      </c>
      <c r="D536" s="858"/>
      <c r="E536" s="967" t="s">
        <v>1678</v>
      </c>
      <c r="F536" s="955"/>
      <c r="G536" s="955"/>
      <c r="H536" s="955"/>
      <c r="I536" s="955"/>
      <c r="J536" s="955"/>
      <c r="K536" s="883"/>
      <c r="L536" s="883"/>
      <c r="M536" s="883"/>
      <c r="N536" s="883"/>
      <c r="O536" s="883"/>
      <c r="P536" s="886"/>
      <c r="Q536" s="887"/>
      <c r="R536" s="956"/>
      <c r="S536" s="956"/>
      <c r="T536" s="956"/>
      <c r="U536" s="956"/>
    </row>
    <row r="537" spans="1:21" s="83" customFormat="1" ht="71.25" hidden="1" x14ac:dyDescent="0.25">
      <c r="A537" s="1288"/>
      <c r="B537" s="867" t="s">
        <v>1679</v>
      </c>
      <c r="C537" s="858"/>
      <c r="D537" s="858"/>
      <c r="E537" s="903" t="s">
        <v>1680</v>
      </c>
      <c r="F537" s="955"/>
      <c r="G537" s="955"/>
      <c r="H537" s="955">
        <f>H538+H539</f>
        <v>0</v>
      </c>
      <c r="I537" s="955">
        <f>I538+I539</f>
        <v>0</v>
      </c>
      <c r="J537" s="955">
        <f>J538+J539</f>
        <v>0</v>
      </c>
      <c r="K537" s="883"/>
      <c r="L537" s="883"/>
      <c r="M537" s="883"/>
      <c r="N537" s="883"/>
      <c r="O537" s="883"/>
      <c r="P537" s="886"/>
      <c r="Q537" s="887"/>
      <c r="R537" s="956"/>
      <c r="S537" s="956"/>
      <c r="T537" s="956"/>
      <c r="U537" s="956"/>
    </row>
    <row r="538" spans="1:21" s="83" customFormat="1" ht="45" hidden="1" x14ac:dyDescent="0.25">
      <c r="A538" s="1288"/>
      <c r="B538" s="867"/>
      <c r="C538" s="858" t="s">
        <v>43</v>
      </c>
      <c r="D538" s="858"/>
      <c r="E538" s="877" t="s">
        <v>1681</v>
      </c>
      <c r="F538" s="955"/>
      <c r="G538" s="955"/>
      <c r="H538" s="955"/>
      <c r="I538" s="955"/>
      <c r="J538" s="955"/>
      <c r="K538" s="883"/>
      <c r="L538" s="883"/>
      <c r="M538" s="883"/>
      <c r="N538" s="883"/>
      <c r="O538" s="883"/>
      <c r="P538" s="886"/>
      <c r="Q538" s="887"/>
      <c r="R538" s="956"/>
      <c r="S538" s="956"/>
      <c r="T538" s="956"/>
      <c r="U538" s="956"/>
    </row>
    <row r="539" spans="1:21" s="83" customFormat="1" ht="75" hidden="1" x14ac:dyDescent="0.25">
      <c r="A539" s="1289"/>
      <c r="B539" s="867"/>
      <c r="C539" s="858" t="s">
        <v>48</v>
      </c>
      <c r="D539" s="858"/>
      <c r="E539" s="873" t="s">
        <v>1682</v>
      </c>
      <c r="F539" s="955"/>
      <c r="G539" s="955"/>
      <c r="H539" s="955"/>
      <c r="I539" s="955"/>
      <c r="J539" s="955"/>
      <c r="K539" s="883"/>
      <c r="L539" s="883"/>
      <c r="M539" s="883"/>
      <c r="N539" s="883"/>
      <c r="O539" s="883"/>
      <c r="P539" s="886"/>
      <c r="Q539" s="887"/>
      <c r="R539" s="956"/>
      <c r="S539" s="956"/>
      <c r="T539" s="956"/>
      <c r="U539" s="956"/>
    </row>
    <row r="540" spans="1:21" x14ac:dyDescent="0.25">
      <c r="A540" s="1004" t="s">
        <v>1493</v>
      </c>
      <c r="B540" s="1005"/>
      <c r="C540" s="1005"/>
      <c r="D540" s="1005"/>
      <c r="E540" s="1005"/>
      <c r="F540" s="28"/>
      <c r="G540" s="28"/>
      <c r="H540" s="28">
        <f>H503+H506+H518+H525+H534+H537</f>
        <v>263739.40000000002</v>
      </c>
      <c r="I540" s="28">
        <f>I503+I506+I518+I525+I534+I537</f>
        <v>236137.2</v>
      </c>
      <c r="J540" s="28">
        <f>J503+J506+J518+J525+J534+J537</f>
        <v>240959</v>
      </c>
      <c r="K540" s="43"/>
      <c r="L540" s="161"/>
      <c r="M540" s="161"/>
      <c r="N540" s="161"/>
      <c r="O540" s="161"/>
      <c r="P540" s="161"/>
      <c r="Q540" s="493"/>
      <c r="R540" s="901"/>
      <c r="S540" s="901"/>
      <c r="T540" s="901"/>
      <c r="U540" s="901"/>
    </row>
    <row r="541" spans="1:21" s="23" customFormat="1" ht="22.5" customHeight="1" x14ac:dyDescent="0.25">
      <c r="A541" s="1208" t="s">
        <v>1713</v>
      </c>
      <c r="B541" s="1209" t="s">
        <v>427</v>
      </c>
      <c r="C541" s="1209"/>
      <c r="D541" s="1209"/>
      <c r="E541" s="1209"/>
      <c r="F541" s="1209"/>
      <c r="G541" s="1209"/>
      <c r="H541" s="1209"/>
      <c r="I541" s="1209"/>
      <c r="J541" s="1209"/>
      <c r="K541" s="1209"/>
      <c r="L541" s="1209"/>
      <c r="M541" s="1209"/>
      <c r="N541" s="1209"/>
      <c r="O541" s="1209"/>
      <c r="P541" s="183"/>
      <c r="Q541" s="522"/>
    </row>
    <row r="542" spans="1:21" s="83" customFormat="1" ht="73.5" x14ac:dyDescent="0.25">
      <c r="A542" s="1186">
        <v>35</v>
      </c>
      <c r="B542" s="740">
        <v>1</v>
      </c>
      <c r="C542" s="84"/>
      <c r="D542" s="85"/>
      <c r="E542" s="450" t="s">
        <v>433</v>
      </c>
      <c r="F542" s="100">
        <f>F543</f>
        <v>62386.6</v>
      </c>
      <c r="G542" s="100">
        <f>G543</f>
        <v>77086.7</v>
      </c>
      <c r="H542" s="100">
        <f>H543</f>
        <v>65194.8</v>
      </c>
      <c r="I542" s="100">
        <f>I543</f>
        <v>66783.8</v>
      </c>
      <c r="J542" s="100">
        <f>J543</f>
        <v>67782.3</v>
      </c>
      <c r="K542" s="696" t="s">
        <v>224</v>
      </c>
      <c r="L542" s="86" t="s">
        <v>19</v>
      </c>
      <c r="M542" s="683">
        <v>47.9</v>
      </c>
      <c r="N542" s="683">
        <v>56.1</v>
      </c>
      <c r="O542" s="683">
        <v>49.1</v>
      </c>
      <c r="P542" s="683">
        <v>49.9</v>
      </c>
      <c r="Q542" s="486">
        <v>50</v>
      </c>
    </row>
    <row r="543" spans="1:21" s="83" customFormat="1" ht="50.25" customHeight="1" x14ac:dyDescent="0.25">
      <c r="A543" s="1186"/>
      <c r="B543" s="1236"/>
      <c r="C543" s="1246" t="s">
        <v>43</v>
      </c>
      <c r="D543" s="1246"/>
      <c r="E543" s="1282" t="s">
        <v>11</v>
      </c>
      <c r="F543" s="1156">
        <v>62386.6</v>
      </c>
      <c r="G543" s="1156">
        <v>77086.7</v>
      </c>
      <c r="H543" s="1156">
        <v>65194.8</v>
      </c>
      <c r="I543" s="1156">
        <v>66783.8</v>
      </c>
      <c r="J543" s="1156">
        <v>67782.3</v>
      </c>
      <c r="K543" s="113" t="s">
        <v>9</v>
      </c>
      <c r="L543" s="86" t="s">
        <v>19</v>
      </c>
      <c r="M543" s="87">
        <v>66.3</v>
      </c>
      <c r="N543" s="87">
        <v>66.3</v>
      </c>
      <c r="O543" s="88">
        <v>64</v>
      </c>
      <c r="P543" s="88">
        <v>65</v>
      </c>
      <c r="Q543" s="486">
        <v>0</v>
      </c>
    </row>
    <row r="544" spans="1:21" s="83" customFormat="1" x14ac:dyDescent="0.25">
      <c r="A544" s="1186"/>
      <c r="B544" s="1236"/>
      <c r="C544" s="1246"/>
      <c r="D544" s="1246"/>
      <c r="E544" s="1282"/>
      <c r="F544" s="1156"/>
      <c r="G544" s="1156"/>
      <c r="H544" s="1156"/>
      <c r="I544" s="1156"/>
      <c r="J544" s="1156"/>
      <c r="K544" s="113" t="s">
        <v>99</v>
      </c>
      <c r="L544" s="86" t="s">
        <v>19</v>
      </c>
      <c r="M544" s="87">
        <v>100</v>
      </c>
      <c r="N544" s="87">
        <v>100</v>
      </c>
      <c r="O544" s="87">
        <v>100</v>
      </c>
      <c r="P544" s="87">
        <v>100</v>
      </c>
      <c r="Q544" s="486">
        <v>0</v>
      </c>
    </row>
    <row r="545" spans="1:17" s="83" customFormat="1" x14ac:dyDescent="0.25">
      <c r="A545" s="1186"/>
      <c r="B545" s="1236"/>
      <c r="C545" s="1246"/>
      <c r="D545" s="1246"/>
      <c r="E545" s="1282"/>
      <c r="F545" s="1156"/>
      <c r="G545" s="1156"/>
      <c r="H545" s="1156"/>
      <c r="I545" s="1156"/>
      <c r="J545" s="1156"/>
      <c r="K545" s="696" t="s">
        <v>366</v>
      </c>
      <c r="L545" s="86" t="s">
        <v>19</v>
      </c>
      <c r="M545" s="87">
        <v>100</v>
      </c>
      <c r="N545" s="88">
        <v>100</v>
      </c>
      <c r="O545" s="88">
        <v>100</v>
      </c>
      <c r="P545" s="88">
        <v>100</v>
      </c>
      <c r="Q545" s="486">
        <v>0</v>
      </c>
    </row>
    <row r="546" spans="1:17" s="83" customFormat="1" ht="30" x14ac:dyDescent="0.25">
      <c r="A546" s="1186"/>
      <c r="B546" s="1236"/>
      <c r="C546" s="1246"/>
      <c r="D546" s="1246"/>
      <c r="E546" s="1282"/>
      <c r="F546" s="1156"/>
      <c r="G546" s="1156"/>
      <c r="H546" s="1156"/>
      <c r="I546" s="1156"/>
      <c r="J546" s="1156"/>
      <c r="K546" s="113" t="s">
        <v>367</v>
      </c>
      <c r="L546" s="86" t="s">
        <v>14</v>
      </c>
      <c r="M546" s="87">
        <v>25</v>
      </c>
      <c r="N546" s="87">
        <v>25</v>
      </c>
      <c r="O546" s="87">
        <v>25</v>
      </c>
      <c r="P546" s="87">
        <v>25</v>
      </c>
      <c r="Q546" s="486">
        <v>0</v>
      </c>
    </row>
    <row r="547" spans="1:17" s="83" customFormat="1" ht="30" x14ac:dyDescent="0.25">
      <c r="A547" s="1186"/>
      <c r="B547" s="1236"/>
      <c r="C547" s="1246"/>
      <c r="D547" s="1246"/>
      <c r="E547" s="1282"/>
      <c r="F547" s="1156"/>
      <c r="G547" s="1156"/>
      <c r="H547" s="1156"/>
      <c r="I547" s="1156"/>
      <c r="J547" s="1156"/>
      <c r="K547" s="113" t="s">
        <v>368</v>
      </c>
      <c r="L547" s="86" t="s">
        <v>14</v>
      </c>
      <c r="M547" s="87">
        <v>5</v>
      </c>
      <c r="N547" s="88">
        <v>5</v>
      </c>
      <c r="O547" s="88">
        <v>5</v>
      </c>
      <c r="P547" s="88">
        <v>5</v>
      </c>
      <c r="Q547" s="486">
        <v>0</v>
      </c>
    </row>
    <row r="548" spans="1:17" s="83" customFormat="1" ht="45" x14ac:dyDescent="0.25">
      <c r="A548" s="1186"/>
      <c r="B548" s="1236"/>
      <c r="C548" s="1246"/>
      <c r="D548" s="1246"/>
      <c r="E548" s="1282"/>
      <c r="F548" s="1156"/>
      <c r="G548" s="1156"/>
      <c r="H548" s="1156"/>
      <c r="I548" s="1156"/>
      <c r="J548" s="1156"/>
      <c r="K548" s="696" t="s">
        <v>369</v>
      </c>
      <c r="L548" s="86" t="s">
        <v>14</v>
      </c>
      <c r="M548" s="87">
        <v>4</v>
      </c>
      <c r="N548" s="88">
        <v>4</v>
      </c>
      <c r="O548" s="88">
        <v>4</v>
      </c>
      <c r="P548" s="88">
        <v>4</v>
      </c>
      <c r="Q548" s="486">
        <v>0</v>
      </c>
    </row>
    <row r="549" spans="1:17" s="83" customFormat="1" ht="75" customHeight="1" x14ac:dyDescent="0.25">
      <c r="A549" s="1186"/>
      <c r="B549" s="1236"/>
      <c r="C549" s="1246"/>
      <c r="D549" s="1246"/>
      <c r="E549" s="1282"/>
      <c r="F549" s="1156"/>
      <c r="G549" s="1156"/>
      <c r="H549" s="1156"/>
      <c r="I549" s="1156"/>
      <c r="J549" s="1156"/>
      <c r="K549" s="696" t="s">
        <v>370</v>
      </c>
      <c r="L549" s="683" t="s">
        <v>371</v>
      </c>
      <c r="M549" s="683">
        <v>44</v>
      </c>
      <c r="N549" s="683">
        <v>2</v>
      </c>
      <c r="O549" s="683">
        <v>2</v>
      </c>
      <c r="P549" s="683">
        <v>2</v>
      </c>
      <c r="Q549" s="486">
        <v>0</v>
      </c>
    </row>
    <row r="550" spans="1:17" s="83" customFormat="1" ht="45" x14ac:dyDescent="0.25">
      <c r="A550" s="1186"/>
      <c r="B550" s="1236"/>
      <c r="C550" s="1246"/>
      <c r="D550" s="1246"/>
      <c r="E550" s="1282"/>
      <c r="F550" s="1156"/>
      <c r="G550" s="1156"/>
      <c r="H550" s="1156"/>
      <c r="I550" s="1156"/>
      <c r="J550" s="1156"/>
      <c r="K550" s="113" t="s">
        <v>372</v>
      </c>
      <c r="L550" s="86" t="s">
        <v>14</v>
      </c>
      <c r="M550" s="87">
        <v>250</v>
      </c>
      <c r="N550" s="87">
        <v>250</v>
      </c>
      <c r="O550" s="87">
        <v>250</v>
      </c>
      <c r="P550" s="87">
        <v>250</v>
      </c>
      <c r="Q550" s="486">
        <v>0</v>
      </c>
    </row>
    <row r="551" spans="1:17" s="83" customFormat="1" ht="30" x14ac:dyDescent="0.25">
      <c r="A551" s="1186"/>
      <c r="B551" s="1236"/>
      <c r="C551" s="1246"/>
      <c r="D551" s="1246"/>
      <c r="E551" s="1282"/>
      <c r="F551" s="1156"/>
      <c r="G551" s="1156"/>
      <c r="H551" s="1156"/>
      <c r="I551" s="1156"/>
      <c r="J551" s="1156"/>
      <c r="K551" s="113" t="s">
        <v>373</v>
      </c>
      <c r="L551" s="86" t="s">
        <v>14</v>
      </c>
      <c r="M551" s="87">
        <v>2</v>
      </c>
      <c r="N551" s="87">
        <v>2</v>
      </c>
      <c r="O551" s="87">
        <v>2</v>
      </c>
      <c r="P551" s="87">
        <v>2</v>
      </c>
      <c r="Q551" s="486">
        <v>0</v>
      </c>
    </row>
    <row r="552" spans="1:17" s="89" customFormat="1" ht="30" customHeight="1" x14ac:dyDescent="0.25">
      <c r="A552" s="1186"/>
      <c r="B552" s="1236"/>
      <c r="C552" s="1246"/>
      <c r="D552" s="1246"/>
      <c r="E552" s="1282"/>
      <c r="F552" s="1156"/>
      <c r="G552" s="1156"/>
      <c r="H552" s="1156"/>
      <c r="I552" s="1156"/>
      <c r="J552" s="1156"/>
      <c r="K552" s="113" t="s">
        <v>374</v>
      </c>
      <c r="L552" s="86" t="s">
        <v>19</v>
      </c>
      <c r="M552" s="87">
        <v>25</v>
      </c>
      <c r="N552" s="87">
        <v>25</v>
      </c>
      <c r="O552" s="87">
        <v>25</v>
      </c>
      <c r="P552" s="87">
        <v>25</v>
      </c>
      <c r="Q552" s="486">
        <v>0</v>
      </c>
    </row>
    <row r="553" spans="1:17" s="89" customFormat="1" ht="51" customHeight="1" x14ac:dyDescent="0.25">
      <c r="A553" s="1186"/>
      <c r="B553" s="1236"/>
      <c r="C553" s="1246"/>
      <c r="D553" s="1246"/>
      <c r="E553" s="1282"/>
      <c r="F553" s="1156"/>
      <c r="G553" s="1156"/>
      <c r="H553" s="1156"/>
      <c r="I553" s="1156"/>
      <c r="J553" s="1156"/>
      <c r="K553" s="696" t="s">
        <v>375</v>
      </c>
      <c r="L553" s="692" t="s">
        <v>19</v>
      </c>
      <c r="M553" s="683">
        <v>93</v>
      </c>
      <c r="N553" s="683">
        <v>93</v>
      </c>
      <c r="O553" s="683">
        <v>93</v>
      </c>
      <c r="P553" s="683">
        <v>93</v>
      </c>
      <c r="Q553" s="486">
        <v>0</v>
      </c>
    </row>
    <row r="554" spans="1:17" s="83" customFormat="1" ht="46.5" customHeight="1" x14ac:dyDescent="0.25">
      <c r="A554" s="1186"/>
      <c r="B554" s="740">
        <v>352</v>
      </c>
      <c r="C554" s="687"/>
      <c r="D554" s="24"/>
      <c r="E554" s="24" t="s">
        <v>376</v>
      </c>
      <c r="F554" s="703">
        <f>F555+F557+F568</f>
        <v>64745.5</v>
      </c>
      <c r="G554" s="703">
        <f>G555+G557+G568</f>
        <v>55667.6</v>
      </c>
      <c r="H554" s="703">
        <f>H555+H557+H568</f>
        <v>62672.4</v>
      </c>
      <c r="I554" s="703">
        <f>I555+I557+I568</f>
        <v>62203.299999999996</v>
      </c>
      <c r="J554" s="703">
        <f>J555+J557+J568</f>
        <v>62655.1</v>
      </c>
      <c r="K554" s="451"/>
      <c r="L554" s="731"/>
      <c r="M554" s="731"/>
      <c r="N554" s="731"/>
      <c r="O554" s="731"/>
      <c r="P554" s="731"/>
      <c r="Q554" s="486"/>
    </row>
    <row r="555" spans="1:17" s="90" customFormat="1" ht="30" customHeight="1" x14ac:dyDescent="0.25">
      <c r="A555" s="1186"/>
      <c r="B555" s="1236"/>
      <c r="C555" s="1283" t="s">
        <v>43</v>
      </c>
      <c r="D555" s="1284"/>
      <c r="E555" s="1285" t="s">
        <v>377</v>
      </c>
      <c r="F555" s="1156">
        <v>26876.9</v>
      </c>
      <c r="G555" s="1156">
        <v>7187</v>
      </c>
      <c r="H555" s="1156">
        <v>7250.7999999999993</v>
      </c>
      <c r="I555" s="1156">
        <v>8178.7000000000007</v>
      </c>
      <c r="J555" s="1156">
        <v>8321.4</v>
      </c>
      <c r="K555" s="673" t="s">
        <v>378</v>
      </c>
      <c r="L555" s="677" t="s">
        <v>14</v>
      </c>
      <c r="M555" s="677">
        <v>2</v>
      </c>
      <c r="N555" s="677">
        <v>2</v>
      </c>
      <c r="O555" s="677">
        <v>2</v>
      </c>
      <c r="P555" s="677">
        <v>2</v>
      </c>
      <c r="Q555" s="486">
        <v>0</v>
      </c>
    </row>
    <row r="556" spans="1:17" s="83" customFormat="1" ht="54.75" customHeight="1" x14ac:dyDescent="0.25">
      <c r="A556" s="1186"/>
      <c r="B556" s="1236"/>
      <c r="C556" s="1283"/>
      <c r="D556" s="1284"/>
      <c r="E556" s="1285"/>
      <c r="F556" s="1156"/>
      <c r="G556" s="1156"/>
      <c r="H556" s="1156"/>
      <c r="I556" s="1156"/>
      <c r="J556" s="1156"/>
      <c r="K556" s="673" t="s">
        <v>379</v>
      </c>
      <c r="L556" s="677" t="s">
        <v>19</v>
      </c>
      <c r="M556" s="677">
        <v>4</v>
      </c>
      <c r="N556" s="677">
        <v>4</v>
      </c>
      <c r="O556" s="677">
        <v>4</v>
      </c>
      <c r="P556" s="677">
        <v>4</v>
      </c>
      <c r="Q556" s="486">
        <v>0</v>
      </c>
    </row>
    <row r="557" spans="1:17" s="83" customFormat="1" ht="30" customHeight="1" x14ac:dyDescent="0.25">
      <c r="A557" s="1186"/>
      <c r="B557" s="1236"/>
      <c r="C557" s="1283" t="s">
        <v>48</v>
      </c>
      <c r="D557" s="1284"/>
      <c r="E557" s="1025" t="s">
        <v>380</v>
      </c>
      <c r="F557" s="1156">
        <v>33458.1</v>
      </c>
      <c r="G557" s="1156">
        <v>29024.7</v>
      </c>
      <c r="H557" s="1156">
        <v>35899</v>
      </c>
      <c r="I557" s="1156">
        <v>35899.699999999997</v>
      </c>
      <c r="J557" s="1156">
        <v>35899.699999999997</v>
      </c>
      <c r="K557" s="673" t="s">
        <v>381</v>
      </c>
      <c r="L557" s="677" t="s">
        <v>14</v>
      </c>
      <c r="M557" s="677">
        <v>23</v>
      </c>
      <c r="N557" s="677">
        <v>2</v>
      </c>
      <c r="O557" s="677">
        <v>2</v>
      </c>
      <c r="P557" s="677">
        <v>2</v>
      </c>
      <c r="Q557" s="486">
        <v>0</v>
      </c>
    </row>
    <row r="558" spans="1:17" s="83" customFormat="1" ht="45" x14ac:dyDescent="0.25">
      <c r="A558" s="1186"/>
      <c r="B558" s="1236"/>
      <c r="C558" s="1283"/>
      <c r="D558" s="1284"/>
      <c r="E558" s="1025"/>
      <c r="F558" s="1156"/>
      <c r="G558" s="1156"/>
      <c r="H558" s="1156"/>
      <c r="I558" s="1156"/>
      <c r="J558" s="1156"/>
      <c r="K558" s="673" t="s">
        <v>382</v>
      </c>
      <c r="L558" s="677" t="s">
        <v>14</v>
      </c>
      <c r="M558" s="677">
        <v>12</v>
      </c>
      <c r="N558" s="677">
        <v>18</v>
      </c>
      <c r="O558" s="677">
        <v>10</v>
      </c>
      <c r="P558" s="677">
        <v>10</v>
      </c>
      <c r="Q558" s="486">
        <v>0</v>
      </c>
    </row>
    <row r="559" spans="1:17" s="83" customFormat="1" ht="45" x14ac:dyDescent="0.25">
      <c r="A559" s="1186"/>
      <c r="B559" s="1236"/>
      <c r="C559" s="1283"/>
      <c r="D559" s="1284"/>
      <c r="E559" s="1025"/>
      <c r="F559" s="1156"/>
      <c r="G559" s="1156"/>
      <c r="H559" s="1156"/>
      <c r="I559" s="1156"/>
      <c r="J559" s="1156"/>
      <c r="K559" s="673" t="s">
        <v>383</v>
      </c>
      <c r="L559" s="677" t="s">
        <v>14</v>
      </c>
      <c r="M559" s="677">
        <v>500</v>
      </c>
      <c r="N559" s="677">
        <v>500</v>
      </c>
      <c r="O559" s="677">
        <v>500</v>
      </c>
      <c r="P559" s="677">
        <v>500</v>
      </c>
      <c r="Q559" s="486">
        <v>0</v>
      </c>
    </row>
    <row r="560" spans="1:17" s="83" customFormat="1" ht="52.5" customHeight="1" x14ac:dyDescent="0.25">
      <c r="A560" s="1186"/>
      <c r="B560" s="1236"/>
      <c r="C560" s="1283"/>
      <c r="D560" s="1284"/>
      <c r="E560" s="1025"/>
      <c r="F560" s="1156"/>
      <c r="G560" s="1156"/>
      <c r="H560" s="1156"/>
      <c r="I560" s="1156"/>
      <c r="J560" s="1156"/>
      <c r="K560" s="673" t="s">
        <v>384</v>
      </c>
      <c r="L560" s="677" t="s">
        <v>19</v>
      </c>
      <c r="M560" s="677">
        <v>49</v>
      </c>
      <c r="N560" s="677">
        <v>25</v>
      </c>
      <c r="O560" s="677">
        <v>26</v>
      </c>
      <c r="P560" s="677">
        <v>100</v>
      </c>
      <c r="Q560" s="486">
        <v>0</v>
      </c>
    </row>
    <row r="561" spans="1:17" s="83" customFormat="1" ht="47.25" customHeight="1" x14ac:dyDescent="0.25">
      <c r="A561" s="1186"/>
      <c r="B561" s="1236"/>
      <c r="C561" s="1283"/>
      <c r="D561" s="1284"/>
      <c r="E561" s="1025"/>
      <c r="F561" s="1156"/>
      <c r="G561" s="1156"/>
      <c r="H561" s="1156"/>
      <c r="I561" s="1156"/>
      <c r="J561" s="1156"/>
      <c r="K561" s="696" t="s">
        <v>385</v>
      </c>
      <c r="L561" s="677" t="s">
        <v>14</v>
      </c>
      <c r="M561" s="677">
        <v>10</v>
      </c>
      <c r="N561" s="677">
        <v>10</v>
      </c>
      <c r="O561" s="677">
        <v>10</v>
      </c>
      <c r="P561" s="677">
        <v>10</v>
      </c>
      <c r="Q561" s="486">
        <v>0</v>
      </c>
    </row>
    <row r="562" spans="1:17" s="83" customFormat="1" ht="59.25" customHeight="1" x14ac:dyDescent="0.25">
      <c r="A562" s="1186"/>
      <c r="B562" s="1236"/>
      <c r="C562" s="1283"/>
      <c r="D562" s="1284"/>
      <c r="E562" s="1025"/>
      <c r="F562" s="1156"/>
      <c r="G562" s="1156"/>
      <c r="H562" s="1156"/>
      <c r="I562" s="1156"/>
      <c r="J562" s="1156"/>
      <c r="K562" s="696" t="s">
        <v>386</v>
      </c>
      <c r="L562" s="677" t="s">
        <v>14</v>
      </c>
      <c r="M562" s="677">
        <v>2</v>
      </c>
      <c r="N562" s="677">
        <v>2</v>
      </c>
      <c r="O562" s="677">
        <v>2</v>
      </c>
      <c r="P562" s="677">
        <v>2</v>
      </c>
      <c r="Q562" s="486">
        <v>0</v>
      </c>
    </row>
    <row r="563" spans="1:17" s="83" customFormat="1" ht="47.25" customHeight="1" x14ac:dyDescent="0.25">
      <c r="A563" s="1186"/>
      <c r="B563" s="1236"/>
      <c r="C563" s="1283"/>
      <c r="D563" s="1284"/>
      <c r="E563" s="1025"/>
      <c r="F563" s="1156"/>
      <c r="G563" s="1156"/>
      <c r="H563" s="1156"/>
      <c r="I563" s="1156"/>
      <c r="J563" s="1156"/>
      <c r="K563" s="696" t="s">
        <v>387</v>
      </c>
      <c r="L563" s="677" t="s">
        <v>14</v>
      </c>
      <c r="M563" s="677">
        <v>2</v>
      </c>
      <c r="N563" s="677">
        <v>2</v>
      </c>
      <c r="O563" s="677">
        <v>2</v>
      </c>
      <c r="P563" s="677">
        <v>2</v>
      </c>
      <c r="Q563" s="486">
        <v>0</v>
      </c>
    </row>
    <row r="564" spans="1:17" s="83" customFormat="1" ht="49.5" customHeight="1" x14ac:dyDescent="0.25">
      <c r="A564" s="1186"/>
      <c r="B564" s="1236"/>
      <c r="C564" s="1283"/>
      <c r="D564" s="1284"/>
      <c r="E564" s="1025"/>
      <c r="F564" s="1156"/>
      <c r="G564" s="1156"/>
      <c r="H564" s="1156"/>
      <c r="I564" s="1156"/>
      <c r="J564" s="1156"/>
      <c r="K564" s="696" t="s">
        <v>388</v>
      </c>
      <c r="L564" s="677" t="s">
        <v>19</v>
      </c>
      <c r="M564" s="746" t="s">
        <v>389</v>
      </c>
      <c r="N564" s="746" t="s">
        <v>389</v>
      </c>
      <c r="O564" s="746" t="s">
        <v>389</v>
      </c>
      <c r="P564" s="746" t="s">
        <v>389</v>
      </c>
      <c r="Q564" s="486">
        <v>0</v>
      </c>
    </row>
    <row r="565" spans="1:17" s="83" customFormat="1" ht="62.25" customHeight="1" x14ac:dyDescent="0.25">
      <c r="A565" s="1186"/>
      <c r="B565" s="1236"/>
      <c r="C565" s="1283"/>
      <c r="D565" s="1284"/>
      <c r="E565" s="1025"/>
      <c r="F565" s="1156"/>
      <c r="G565" s="1156"/>
      <c r="H565" s="1156"/>
      <c r="I565" s="1156"/>
      <c r="J565" s="1156"/>
      <c r="K565" s="673" t="s">
        <v>390</v>
      </c>
      <c r="L565" s="677" t="s">
        <v>14</v>
      </c>
      <c r="M565" s="677">
        <v>4</v>
      </c>
      <c r="N565" s="677">
        <v>4</v>
      </c>
      <c r="O565" s="677">
        <v>4</v>
      </c>
      <c r="P565" s="677">
        <v>4</v>
      </c>
      <c r="Q565" s="486">
        <v>0</v>
      </c>
    </row>
    <row r="566" spans="1:17" s="90" customFormat="1" ht="57.75" customHeight="1" x14ac:dyDescent="0.25">
      <c r="A566" s="1186"/>
      <c r="B566" s="1236"/>
      <c r="C566" s="1283"/>
      <c r="D566" s="1284"/>
      <c r="E566" s="1025"/>
      <c r="F566" s="1156"/>
      <c r="G566" s="1156"/>
      <c r="H566" s="1156"/>
      <c r="I566" s="1156"/>
      <c r="J566" s="1156"/>
      <c r="K566" s="673" t="s">
        <v>391</v>
      </c>
      <c r="L566" s="677" t="s">
        <v>14</v>
      </c>
      <c r="M566" s="677">
        <v>3</v>
      </c>
      <c r="N566" s="677">
        <v>3</v>
      </c>
      <c r="O566" s="677">
        <v>3</v>
      </c>
      <c r="P566" s="677">
        <v>3</v>
      </c>
      <c r="Q566" s="486">
        <v>0</v>
      </c>
    </row>
    <row r="567" spans="1:17" s="90" customFormat="1" ht="83.25" hidden="1" customHeight="1" x14ac:dyDescent="0.25">
      <c r="A567" s="1186"/>
      <c r="B567" s="1236"/>
      <c r="C567" s="1283"/>
      <c r="D567" s="1284"/>
      <c r="E567" s="1025"/>
      <c r="F567" s="1156"/>
      <c r="G567" s="1156"/>
      <c r="H567" s="697"/>
      <c r="I567" s="697"/>
      <c r="J567" s="697"/>
      <c r="K567" s="1025" t="s">
        <v>392</v>
      </c>
      <c r="L567" s="677" t="s">
        <v>19</v>
      </c>
      <c r="M567" s="677">
        <v>50</v>
      </c>
      <c r="N567" s="677">
        <v>100</v>
      </c>
      <c r="O567" s="677">
        <v>100</v>
      </c>
      <c r="P567" s="677">
        <v>100</v>
      </c>
      <c r="Q567" s="486">
        <v>0</v>
      </c>
    </row>
    <row r="568" spans="1:17" s="83" customFormat="1" ht="26.25" customHeight="1" x14ac:dyDescent="0.25">
      <c r="A568" s="1186"/>
      <c r="B568" s="1236"/>
      <c r="C568" s="1283" t="s">
        <v>82</v>
      </c>
      <c r="D568" s="1284"/>
      <c r="E568" s="1093" t="s">
        <v>393</v>
      </c>
      <c r="F568" s="1156">
        <v>4410.5</v>
      </c>
      <c r="G568" s="1156">
        <v>19455.900000000001</v>
      </c>
      <c r="H568" s="1156">
        <v>19522.599999999999</v>
      </c>
      <c r="I568" s="1156">
        <v>18124.900000000001</v>
      </c>
      <c r="J568" s="1156">
        <v>18434</v>
      </c>
      <c r="K568" s="1025"/>
      <c r="L568" s="677" t="s">
        <v>19</v>
      </c>
      <c r="M568" s="677">
        <v>100</v>
      </c>
      <c r="N568" s="677">
        <v>100</v>
      </c>
      <c r="O568" s="677">
        <v>100</v>
      </c>
      <c r="P568" s="677">
        <v>100</v>
      </c>
      <c r="Q568" s="486">
        <v>0</v>
      </c>
    </row>
    <row r="569" spans="1:17" s="83" customFormat="1" ht="45" x14ac:dyDescent="0.25">
      <c r="A569" s="1186"/>
      <c r="B569" s="1236"/>
      <c r="C569" s="1283"/>
      <c r="D569" s="1284"/>
      <c r="E569" s="1093"/>
      <c r="F569" s="1156"/>
      <c r="G569" s="1156"/>
      <c r="H569" s="1156"/>
      <c r="I569" s="1156"/>
      <c r="J569" s="1156"/>
      <c r="K569" s="673" t="s">
        <v>394</v>
      </c>
      <c r="L569" s="677" t="s">
        <v>19</v>
      </c>
      <c r="M569" s="677">
        <v>4</v>
      </c>
      <c r="N569" s="677">
        <v>6</v>
      </c>
      <c r="O569" s="677">
        <v>9.5</v>
      </c>
      <c r="P569" s="677">
        <v>10</v>
      </c>
      <c r="Q569" s="486">
        <v>0</v>
      </c>
    </row>
    <row r="570" spans="1:17" s="83" customFormat="1" ht="24" hidden="1" customHeight="1" x14ac:dyDescent="0.25">
      <c r="A570" s="1186"/>
      <c r="B570" s="740"/>
      <c r="C570" s="756"/>
      <c r="D570" s="757"/>
      <c r="E570" s="236"/>
      <c r="F570" s="697"/>
      <c r="G570" s="697"/>
      <c r="H570" s="697"/>
      <c r="I570" s="697"/>
      <c r="J570" s="697"/>
      <c r="K570" s="114"/>
      <c r="L570" s="677"/>
      <c r="M570" s="677"/>
      <c r="N570" s="677"/>
      <c r="O570" s="677"/>
      <c r="P570" s="677"/>
      <c r="Q570" s="533"/>
    </row>
    <row r="571" spans="1:17" s="83" customFormat="1" ht="87.75" x14ac:dyDescent="0.25">
      <c r="A571" s="1186"/>
      <c r="B571" s="740">
        <v>353</v>
      </c>
      <c r="C571" s="153"/>
      <c r="D571" s="91"/>
      <c r="E571" s="24" t="s">
        <v>434</v>
      </c>
      <c r="F571" s="97">
        <f>F572+F573</f>
        <v>3059.9</v>
      </c>
      <c r="G571" s="97">
        <f>G572+G573</f>
        <v>4590.3999999999996</v>
      </c>
      <c r="H571" s="97">
        <f>H572+H573</f>
        <v>4718.6000000000004</v>
      </c>
      <c r="I571" s="97">
        <f>I572+I573</f>
        <v>4697.2999999999993</v>
      </c>
      <c r="J571" s="97">
        <f>J572+J573</f>
        <v>4780.6000000000004</v>
      </c>
      <c r="K571" s="115"/>
      <c r="L571" s="683"/>
      <c r="M571" s="683"/>
      <c r="N571" s="683"/>
      <c r="O571" s="683"/>
      <c r="P571" s="683"/>
      <c r="Q571" s="486"/>
    </row>
    <row r="572" spans="1:17" s="83" customFormat="1" ht="30" x14ac:dyDescent="0.25">
      <c r="A572" s="1186"/>
      <c r="B572" s="740"/>
      <c r="C572" s="756" t="s">
        <v>43</v>
      </c>
      <c r="D572" s="92"/>
      <c r="E572" s="93" t="s">
        <v>395</v>
      </c>
      <c r="F572" s="98">
        <v>1863.5</v>
      </c>
      <c r="G572" s="98">
        <v>2822.2</v>
      </c>
      <c r="H572" s="98">
        <v>2886.6000000000004</v>
      </c>
      <c r="I572" s="98">
        <v>2729.7</v>
      </c>
      <c r="J572" s="98">
        <v>2777.3</v>
      </c>
      <c r="K572" s="747" t="s">
        <v>396</v>
      </c>
      <c r="L572" s="677" t="s">
        <v>14</v>
      </c>
      <c r="M572" s="94">
        <v>0</v>
      </c>
      <c r="N572" s="94">
        <v>1</v>
      </c>
      <c r="O572" s="94">
        <v>0</v>
      </c>
      <c r="P572" s="94">
        <v>0</v>
      </c>
      <c r="Q572" s="486">
        <v>0</v>
      </c>
    </row>
    <row r="573" spans="1:17" s="83" customFormat="1" ht="45" x14ac:dyDescent="0.25">
      <c r="A573" s="1186"/>
      <c r="B573" s="740"/>
      <c r="C573" s="756" t="s">
        <v>48</v>
      </c>
      <c r="D573" s="92"/>
      <c r="E573" s="93" t="s">
        <v>397</v>
      </c>
      <c r="F573" s="99">
        <v>1196.4000000000001</v>
      </c>
      <c r="G573" s="99">
        <v>1768.1999999999998</v>
      </c>
      <c r="H573" s="99">
        <v>1832</v>
      </c>
      <c r="I573" s="99">
        <v>1967.6</v>
      </c>
      <c r="J573" s="99">
        <v>2003.3</v>
      </c>
      <c r="K573" s="747" t="s">
        <v>398</v>
      </c>
      <c r="L573" s="677" t="s">
        <v>14</v>
      </c>
      <c r="M573" s="94">
        <v>4</v>
      </c>
      <c r="N573" s="94">
        <v>4</v>
      </c>
      <c r="O573" s="94">
        <v>4</v>
      </c>
      <c r="P573" s="94">
        <v>4</v>
      </c>
      <c r="Q573" s="486">
        <v>0</v>
      </c>
    </row>
    <row r="574" spans="1:17" s="23" customFormat="1" ht="21.75" customHeight="1" x14ac:dyDescent="0.25">
      <c r="A574" s="1004" t="s">
        <v>23</v>
      </c>
      <c r="B574" s="1005"/>
      <c r="C574" s="1005"/>
      <c r="D574" s="1005"/>
      <c r="E574" s="1005"/>
      <c r="F574" s="28">
        <f>F542+F554+F571</f>
        <v>130192</v>
      </c>
      <c r="G574" s="28">
        <f>G542+G554+G571</f>
        <v>137344.69999999998</v>
      </c>
      <c r="H574" s="28">
        <f>H571+H554+H542</f>
        <v>132585.79999999999</v>
      </c>
      <c r="I574" s="28">
        <f>I571+I554+I542</f>
        <v>133684.4</v>
      </c>
      <c r="J574" s="28">
        <f>J571+J554+J542</f>
        <v>135218</v>
      </c>
      <c r="K574" s="43"/>
      <c r="L574" s="161"/>
      <c r="M574" s="161"/>
      <c r="N574" s="161"/>
      <c r="O574" s="161"/>
      <c r="P574" s="161"/>
      <c r="Q574" s="493"/>
    </row>
    <row r="575" spans="1:17" s="23" customFormat="1" ht="22.5" customHeight="1" x14ac:dyDescent="0.25">
      <c r="A575" s="1208" t="s">
        <v>1487</v>
      </c>
      <c r="B575" s="1209" t="s">
        <v>512</v>
      </c>
      <c r="C575" s="1209"/>
      <c r="D575" s="1209"/>
      <c r="E575" s="1209"/>
      <c r="F575" s="1209"/>
      <c r="G575" s="1209"/>
      <c r="H575" s="1209"/>
      <c r="I575" s="1209"/>
      <c r="J575" s="1209"/>
      <c r="K575" s="1209"/>
      <c r="L575" s="1209"/>
      <c r="M575" s="1209"/>
      <c r="N575" s="1209"/>
      <c r="O575" s="1209"/>
      <c r="P575" s="183"/>
      <c r="Q575" s="522"/>
    </row>
    <row r="576" spans="1:17" ht="69" customHeight="1" x14ac:dyDescent="0.25">
      <c r="A576" s="1265">
        <v>39</v>
      </c>
      <c r="B576" s="740">
        <v>1</v>
      </c>
      <c r="C576" s="223"/>
      <c r="D576" s="223"/>
      <c r="E576" s="673" t="s">
        <v>1303</v>
      </c>
      <c r="F576" s="216">
        <f>F577+F578</f>
        <v>13052.6</v>
      </c>
      <c r="G576" s="216">
        <f>G577+G578</f>
        <v>23242.1</v>
      </c>
      <c r="H576" s="216">
        <f>H577+H578</f>
        <v>45894</v>
      </c>
      <c r="I576" s="216">
        <f>I577+I578</f>
        <v>23520.2</v>
      </c>
      <c r="J576" s="216">
        <f>J577+J578</f>
        <v>23958.2</v>
      </c>
      <c r="K576" s="731"/>
      <c r="L576" s="731"/>
      <c r="M576" s="731"/>
      <c r="N576" s="731"/>
      <c r="O576" s="731"/>
      <c r="P576" s="731"/>
      <c r="Q576" s="732"/>
    </row>
    <row r="577" spans="1:17" ht="76.5" customHeight="1" x14ac:dyDescent="0.25">
      <c r="A577" s="1265"/>
      <c r="B577" s="221"/>
      <c r="C577" s="672" t="s">
        <v>43</v>
      </c>
      <c r="D577" s="135"/>
      <c r="E577" s="711" t="s">
        <v>11</v>
      </c>
      <c r="F577" s="619">
        <v>13052.6</v>
      </c>
      <c r="G577" s="619">
        <v>23242.1</v>
      </c>
      <c r="H577" s="619">
        <v>23241.9</v>
      </c>
      <c r="I577" s="619">
        <v>23520.2</v>
      </c>
      <c r="J577" s="619">
        <v>23958.2</v>
      </c>
      <c r="K577" s="684" t="s">
        <v>224</v>
      </c>
      <c r="L577" s="731" t="s">
        <v>19</v>
      </c>
      <c r="M577" s="222">
        <v>6.5000000000000002E-2</v>
      </c>
      <c r="N577" s="222">
        <v>6.5000000000000002E-2</v>
      </c>
      <c r="O577" s="222">
        <v>6.5000000000000002E-2</v>
      </c>
      <c r="P577" s="222">
        <v>6.54E-2</v>
      </c>
      <c r="Q577" s="534">
        <v>6.54E-2</v>
      </c>
    </row>
    <row r="578" spans="1:17" ht="30" x14ac:dyDescent="0.25">
      <c r="A578" s="1265"/>
      <c r="B578" s="221"/>
      <c r="C578" s="672" t="s">
        <v>48</v>
      </c>
      <c r="D578" s="135"/>
      <c r="E578" s="648" t="s">
        <v>166</v>
      </c>
      <c r="F578" s="619"/>
      <c r="G578" s="619"/>
      <c r="H578" s="619">
        <v>22652.1</v>
      </c>
      <c r="I578" s="619"/>
      <c r="J578" s="218"/>
      <c r="K578" s="684"/>
      <c r="L578" s="731"/>
      <c r="M578" s="222"/>
      <c r="N578" s="222"/>
      <c r="O578" s="222"/>
      <c r="P578" s="222"/>
      <c r="Q578" s="534"/>
    </row>
    <row r="579" spans="1:17" ht="117" x14ac:dyDescent="0.25">
      <c r="A579" s="1265"/>
      <c r="B579" s="221">
        <v>392</v>
      </c>
      <c r="C579" s="672"/>
      <c r="D579" s="35"/>
      <c r="E579" s="651" t="s">
        <v>497</v>
      </c>
      <c r="F579" s="685">
        <f>SUM(F580:F581)</f>
        <v>21296.5</v>
      </c>
      <c r="G579" s="685">
        <f>SUM(G580:G581)</f>
        <v>38036.600000000006</v>
      </c>
      <c r="H579" s="685">
        <f>H580+H581</f>
        <v>15384.5</v>
      </c>
      <c r="I579" s="685">
        <f>SUM(I580:I581)</f>
        <v>38036.600000000006</v>
      </c>
      <c r="J579" s="685">
        <f>SUM(J580:J581)</f>
        <v>38036.600000000006</v>
      </c>
      <c r="K579" s="24" t="s">
        <v>498</v>
      </c>
      <c r="L579" s="27" t="s">
        <v>19</v>
      </c>
      <c r="M579" s="746" t="s">
        <v>499</v>
      </c>
      <c r="N579" s="746" t="s">
        <v>499</v>
      </c>
      <c r="O579" s="746" t="s">
        <v>499</v>
      </c>
      <c r="P579" s="746" t="s">
        <v>499</v>
      </c>
      <c r="Q579" s="488" t="s">
        <v>499</v>
      </c>
    </row>
    <row r="580" spans="1:17" x14ac:dyDescent="0.25">
      <c r="A580" s="1265"/>
      <c r="B580" s="221"/>
      <c r="C580" s="672" t="s">
        <v>43</v>
      </c>
      <c r="D580" s="35"/>
      <c r="E580" s="648" t="s">
        <v>500</v>
      </c>
      <c r="F580" s="619">
        <v>5314.3</v>
      </c>
      <c r="G580" s="619">
        <v>25642.400000000001</v>
      </c>
      <c r="H580" s="619">
        <v>9491.5</v>
      </c>
      <c r="I580" s="619">
        <v>25642.400000000001</v>
      </c>
      <c r="J580" s="619">
        <v>25642.400000000001</v>
      </c>
      <c r="K580" s="648" t="s">
        <v>501</v>
      </c>
      <c r="L580" s="644" t="s">
        <v>123</v>
      </c>
      <c r="M580" s="644">
        <v>1227</v>
      </c>
      <c r="N580" s="644">
        <v>1227</v>
      </c>
      <c r="O580" s="644">
        <v>1227</v>
      </c>
      <c r="P580" s="644">
        <v>1227</v>
      </c>
      <c r="Q580" s="645">
        <v>1227</v>
      </c>
    </row>
    <row r="581" spans="1:17" ht="45" x14ac:dyDescent="0.25">
      <c r="A581" s="1265"/>
      <c r="B581" s="221"/>
      <c r="C581" s="672" t="s">
        <v>48</v>
      </c>
      <c r="D581" s="35"/>
      <c r="E581" s="648" t="s">
        <v>502</v>
      </c>
      <c r="F581" s="619">
        <v>15982.2</v>
      </c>
      <c r="G581" s="619">
        <v>12394.2</v>
      </c>
      <c r="H581" s="619">
        <v>5893</v>
      </c>
      <c r="I581" s="619">
        <v>12394.2</v>
      </c>
      <c r="J581" s="619">
        <v>12394.2</v>
      </c>
      <c r="K581" s="648" t="s">
        <v>503</v>
      </c>
      <c r="L581" s="677" t="s">
        <v>19</v>
      </c>
      <c r="M581" s="219">
        <v>0</v>
      </c>
      <c r="N581" s="219">
        <v>0</v>
      </c>
      <c r="O581" s="219">
        <v>0</v>
      </c>
      <c r="P581" s="219">
        <v>0</v>
      </c>
      <c r="Q581" s="535">
        <v>0</v>
      </c>
    </row>
    <row r="582" spans="1:17" ht="107.25" customHeight="1" x14ac:dyDescent="0.25">
      <c r="A582" s="1265"/>
      <c r="B582" s="221">
        <v>393</v>
      </c>
      <c r="C582" s="215"/>
      <c r="D582" s="35"/>
      <c r="E582" s="651" t="s">
        <v>504</v>
      </c>
      <c r="F582" s="685">
        <f>F583</f>
        <v>2273.6</v>
      </c>
      <c r="G582" s="685">
        <v>3747.9</v>
      </c>
      <c r="H582" s="685">
        <v>3747.9</v>
      </c>
      <c r="I582" s="685">
        <f>I583</f>
        <v>3747.9</v>
      </c>
      <c r="J582" s="685">
        <f>J583</f>
        <v>3747.9</v>
      </c>
      <c r="K582" s="24" t="s">
        <v>505</v>
      </c>
      <c r="L582" s="677" t="s">
        <v>19</v>
      </c>
      <c r="M582" s="136">
        <v>0.28000000000000003</v>
      </c>
      <c r="N582" s="220" t="s">
        <v>506</v>
      </c>
      <c r="O582" s="220" t="s">
        <v>506</v>
      </c>
      <c r="P582" s="220" t="s">
        <v>506</v>
      </c>
      <c r="Q582" s="536" t="s">
        <v>506</v>
      </c>
    </row>
    <row r="583" spans="1:17" ht="30" x14ac:dyDescent="0.25">
      <c r="A583" s="1265"/>
      <c r="B583" s="221"/>
      <c r="C583" s="672" t="s">
        <v>43</v>
      </c>
      <c r="D583" s="35"/>
      <c r="E583" s="641" t="s">
        <v>507</v>
      </c>
      <c r="F583" s="619">
        <v>2273.6</v>
      </c>
      <c r="G583" s="619">
        <v>3747.9</v>
      </c>
      <c r="H583" s="619">
        <v>3747.9</v>
      </c>
      <c r="I583" s="619">
        <v>3747.9</v>
      </c>
      <c r="J583" s="619">
        <v>3747.9</v>
      </c>
      <c r="K583" s="648" t="s">
        <v>508</v>
      </c>
      <c r="L583" s="677" t="s">
        <v>123</v>
      </c>
      <c r="M583" s="644">
        <v>319</v>
      </c>
      <c r="N583" s="644">
        <v>319</v>
      </c>
      <c r="O583" s="644">
        <v>319</v>
      </c>
      <c r="P583" s="644">
        <v>319</v>
      </c>
      <c r="Q583" s="645">
        <v>319</v>
      </c>
    </row>
    <row r="584" spans="1:17" ht="127.5" customHeight="1" x14ac:dyDescent="0.25">
      <c r="A584" s="1265"/>
      <c r="B584" s="221">
        <v>394</v>
      </c>
      <c r="C584" s="215"/>
      <c r="D584" s="35"/>
      <c r="E584" s="651" t="s">
        <v>513</v>
      </c>
      <c r="F584" s="685">
        <f>F585</f>
        <v>51478.7</v>
      </c>
      <c r="G584" s="685">
        <f>G585</f>
        <v>59447.4</v>
      </c>
      <c r="H584" s="685">
        <f>H585</f>
        <v>59447.200000000004</v>
      </c>
      <c r="I584" s="685">
        <f>I585+I586</f>
        <v>59447.3</v>
      </c>
      <c r="J584" s="685">
        <f>J585+J586</f>
        <v>59447.3</v>
      </c>
      <c r="K584" s="24" t="s">
        <v>509</v>
      </c>
      <c r="L584" s="27" t="s">
        <v>19</v>
      </c>
      <c r="M584" s="136">
        <v>0.28000000000000003</v>
      </c>
      <c r="N584" s="136">
        <v>0.28000000000000003</v>
      </c>
      <c r="O584" s="136">
        <v>0.28000000000000003</v>
      </c>
      <c r="P584" s="136">
        <v>0.28000000000000003</v>
      </c>
      <c r="Q584" s="537">
        <v>0.28000000000000003</v>
      </c>
    </row>
    <row r="585" spans="1:17" ht="60" customHeight="1" x14ac:dyDescent="0.25">
      <c r="A585" s="1265"/>
      <c r="B585" s="221"/>
      <c r="C585" s="672" t="s">
        <v>43</v>
      </c>
      <c r="D585" s="35"/>
      <c r="E585" s="648" t="s">
        <v>510</v>
      </c>
      <c r="F585" s="619">
        <v>51478.7</v>
      </c>
      <c r="G585" s="619">
        <v>59447.4</v>
      </c>
      <c r="H585" s="619">
        <f>59447.3-0.1</f>
        <v>59447.200000000004</v>
      </c>
      <c r="I585" s="619">
        <f>59447.4-0.1</f>
        <v>59447.3</v>
      </c>
      <c r="J585" s="619">
        <f>59447.4-0.1</f>
        <v>59447.3</v>
      </c>
      <c r="K585" s="648" t="s">
        <v>511</v>
      </c>
      <c r="L585" s="677" t="s">
        <v>19</v>
      </c>
      <c r="M585" s="219">
        <v>0</v>
      </c>
      <c r="N585" s="219">
        <v>0</v>
      </c>
      <c r="O585" s="219">
        <v>0</v>
      </c>
      <c r="P585" s="219">
        <v>0</v>
      </c>
      <c r="Q585" s="535">
        <v>0</v>
      </c>
    </row>
    <row r="586" spans="1:17" s="134" customFormat="1" hidden="1" x14ac:dyDescent="0.25">
      <c r="A586" s="523"/>
      <c r="B586" s="215"/>
      <c r="C586" s="35"/>
      <c r="D586" s="35"/>
      <c r="E586" s="648" t="s">
        <v>754</v>
      </c>
      <c r="F586" s="673"/>
      <c r="G586" s="673"/>
      <c r="H586" s="219">
        <v>0</v>
      </c>
      <c r="I586" s="219">
        <v>0</v>
      </c>
      <c r="J586" s="101"/>
      <c r="K586" s="648"/>
      <c r="L586" s="677"/>
      <c r="M586" s="219"/>
      <c r="N586" s="219"/>
      <c r="O586" s="219"/>
      <c r="P586" s="219"/>
      <c r="Q586" s="535"/>
    </row>
    <row r="587" spans="1:17" s="23" customFormat="1" ht="21.75" customHeight="1" x14ac:dyDescent="0.25">
      <c r="A587" s="1004" t="s">
        <v>23</v>
      </c>
      <c r="B587" s="1005"/>
      <c r="C587" s="1005"/>
      <c r="D587" s="1005"/>
      <c r="E587" s="1005"/>
      <c r="F587" s="28">
        <f>F577+F579+F582+F584</f>
        <v>88101.4</v>
      </c>
      <c r="G587" s="28">
        <f>G577+G579+G582+G584</f>
        <v>124474</v>
      </c>
      <c r="H587" s="28">
        <f>H577+H579+H582+H584+H578</f>
        <v>124473.60000000001</v>
      </c>
      <c r="I587" s="28">
        <f>I577+I579+I582+I584</f>
        <v>124752</v>
      </c>
      <c r="J587" s="28">
        <f>J577+J579+J582+J584</f>
        <v>125190</v>
      </c>
      <c r="K587" s="43"/>
      <c r="L587" s="161"/>
      <c r="M587" s="161"/>
      <c r="N587" s="161"/>
      <c r="O587" s="161"/>
      <c r="P587" s="161"/>
      <c r="Q587" s="493"/>
    </row>
    <row r="588" spans="1:17" s="23" customFormat="1" ht="22.5" customHeight="1" x14ac:dyDescent="0.25">
      <c r="A588" s="1208" t="s">
        <v>1488</v>
      </c>
      <c r="B588" s="1209" t="s">
        <v>480</v>
      </c>
      <c r="C588" s="1209"/>
      <c r="D588" s="1209"/>
      <c r="E588" s="1209"/>
      <c r="F588" s="1209"/>
      <c r="G588" s="1209"/>
      <c r="H588" s="1209"/>
      <c r="I588" s="1209"/>
      <c r="J588" s="1209"/>
      <c r="K588" s="1209"/>
      <c r="L588" s="1209"/>
      <c r="M588" s="1209"/>
      <c r="N588" s="1209"/>
      <c r="O588" s="1209"/>
      <c r="P588" s="183"/>
      <c r="Q588" s="522"/>
    </row>
    <row r="589" spans="1:17" s="128" customFormat="1" ht="50.25" customHeight="1" x14ac:dyDescent="0.25">
      <c r="A589" s="1049">
        <v>40</v>
      </c>
      <c r="B589" s="452" t="s">
        <v>484</v>
      </c>
      <c r="C589" s="131"/>
      <c r="D589" s="129"/>
      <c r="E589" s="453" t="s">
        <v>481</v>
      </c>
      <c r="F589" s="454">
        <v>666.6</v>
      </c>
      <c r="G589" s="454">
        <v>739.4</v>
      </c>
      <c r="H589" s="454">
        <v>500</v>
      </c>
      <c r="I589" s="454">
        <v>509.69200000000001</v>
      </c>
      <c r="J589" s="454">
        <v>524.93799999999999</v>
      </c>
      <c r="K589" s="129"/>
      <c r="L589" s="131"/>
      <c r="M589" s="131"/>
      <c r="N589" s="131"/>
      <c r="O589" s="131"/>
      <c r="P589" s="131"/>
      <c r="Q589" s="538"/>
    </row>
    <row r="590" spans="1:17" s="128" customFormat="1" ht="78.75" customHeight="1" x14ac:dyDescent="0.25">
      <c r="A590" s="1049"/>
      <c r="B590" s="131"/>
      <c r="C590" s="130" t="s">
        <v>43</v>
      </c>
      <c r="D590" s="129"/>
      <c r="E590" s="129" t="s">
        <v>482</v>
      </c>
      <c r="F590" s="217">
        <v>666.6</v>
      </c>
      <c r="G590" s="217">
        <v>739.4</v>
      </c>
      <c r="H590" s="217">
        <v>500</v>
      </c>
      <c r="I590" s="217">
        <v>509.69200000000001</v>
      </c>
      <c r="J590" s="217">
        <v>524.93799999999999</v>
      </c>
      <c r="K590" s="129" t="s">
        <v>483</v>
      </c>
      <c r="L590" s="131" t="s">
        <v>19</v>
      </c>
      <c r="M590" s="131">
        <v>100</v>
      </c>
      <c r="N590" s="131">
        <v>100</v>
      </c>
      <c r="O590" s="131">
        <v>100</v>
      </c>
      <c r="P590" s="131">
        <v>100</v>
      </c>
      <c r="Q590" s="538">
        <v>100</v>
      </c>
    </row>
    <row r="591" spans="1:17" s="23" customFormat="1" ht="21.75" customHeight="1" x14ac:dyDescent="0.25">
      <c r="A591" s="1004" t="s">
        <v>23</v>
      </c>
      <c r="B591" s="1005"/>
      <c r="C591" s="1005"/>
      <c r="D591" s="1005"/>
      <c r="E591" s="1005"/>
      <c r="F591" s="28">
        <v>666.6</v>
      </c>
      <c r="G591" s="28">
        <v>739.4</v>
      </c>
      <c r="H591" s="28">
        <f>H589</f>
        <v>500</v>
      </c>
      <c r="I591" s="28">
        <v>509.7</v>
      </c>
      <c r="J591" s="28">
        <v>524.9</v>
      </c>
      <c r="K591" s="43"/>
      <c r="L591" s="161"/>
      <c r="M591" s="161"/>
      <c r="N591" s="161"/>
      <c r="O591" s="161"/>
      <c r="P591" s="161"/>
      <c r="Q591" s="493"/>
    </row>
    <row r="592" spans="1:17" s="23" customFormat="1" ht="21" customHeight="1" x14ac:dyDescent="0.25">
      <c r="A592" s="1208" t="s">
        <v>1309</v>
      </c>
      <c r="B592" s="1209" t="s">
        <v>686</v>
      </c>
      <c r="C592" s="1209"/>
      <c r="D592" s="1209"/>
      <c r="E592" s="1209"/>
      <c r="F592" s="1209"/>
      <c r="G592" s="1209"/>
      <c r="H592" s="1209"/>
      <c r="I592" s="1209"/>
      <c r="J592" s="1209"/>
      <c r="K592" s="1209"/>
      <c r="L592" s="1209"/>
      <c r="M592" s="1209"/>
      <c r="N592" s="1209"/>
      <c r="O592" s="1209"/>
      <c r="P592" s="183"/>
      <c r="Q592" s="522"/>
    </row>
    <row r="593" spans="1:17" s="78" customFormat="1" ht="59.25" x14ac:dyDescent="0.25">
      <c r="A593" s="1279">
        <v>41</v>
      </c>
      <c r="B593" s="650" t="s">
        <v>8</v>
      </c>
      <c r="C593" s="666"/>
      <c r="D593" s="666"/>
      <c r="E593" s="744" t="s">
        <v>1264</v>
      </c>
      <c r="F593" s="652">
        <f>F594+F595+F596</f>
        <v>120308.5</v>
      </c>
      <c r="G593" s="652">
        <f>G594+G595+G596</f>
        <v>143980.1</v>
      </c>
      <c r="H593" s="652">
        <f>H594+H595+H596</f>
        <v>278880.59999999998</v>
      </c>
      <c r="I593" s="791">
        <f>I594+I595+I596</f>
        <v>278880.59999999998</v>
      </c>
      <c r="J593" s="791">
        <f>J594+J595+J596</f>
        <v>278880.59999999998</v>
      </c>
      <c r="K593" s="651" t="s">
        <v>514</v>
      </c>
      <c r="L593" s="688"/>
      <c r="M593" s="743"/>
      <c r="N593" s="743"/>
      <c r="O593" s="743"/>
      <c r="P593" s="688"/>
      <c r="Q593" s="730"/>
    </row>
    <row r="594" spans="1:17" s="83" customFormat="1" ht="30" x14ac:dyDescent="0.25">
      <c r="A594" s="1279"/>
      <c r="B594" s="672"/>
      <c r="C594" s="672" t="s">
        <v>43</v>
      </c>
      <c r="D594" s="672"/>
      <c r="E594" s="673" t="s">
        <v>11</v>
      </c>
      <c r="F594" s="119">
        <f>45916.9</f>
        <v>45916.9</v>
      </c>
      <c r="G594" s="640">
        <f>57972.5</f>
        <v>57972.5</v>
      </c>
      <c r="H594" s="640">
        <v>169983.3</v>
      </c>
      <c r="I594" s="640">
        <v>169983.3</v>
      </c>
      <c r="J594" s="790">
        <v>169983.3</v>
      </c>
      <c r="K594" s="673" t="s">
        <v>515</v>
      </c>
      <c r="L594" s="677"/>
      <c r="M594" s="683"/>
      <c r="N594" s="677"/>
      <c r="O594" s="692"/>
      <c r="P594" s="677"/>
      <c r="Q594" s="680"/>
    </row>
    <row r="595" spans="1:17" s="83" customFormat="1" ht="30" x14ac:dyDescent="0.25">
      <c r="A595" s="1279"/>
      <c r="B595" s="672"/>
      <c r="C595" s="672" t="s">
        <v>48</v>
      </c>
      <c r="D595" s="672"/>
      <c r="E595" s="673" t="s">
        <v>12</v>
      </c>
      <c r="F595" s="119">
        <v>74391.600000000006</v>
      </c>
      <c r="G595" s="640">
        <v>86007.6</v>
      </c>
      <c r="H595" s="640">
        <f>136700.5-116758.3+88955.1</f>
        <v>108897.3</v>
      </c>
      <c r="I595" s="640">
        <f>136700.5-116758.3+88955.1</f>
        <v>108897.3</v>
      </c>
      <c r="J595" s="790">
        <f>136700.5-116758.3+88955.1</f>
        <v>108897.3</v>
      </c>
      <c r="K595" s="673" t="s">
        <v>516</v>
      </c>
      <c r="L595" s="731"/>
      <c r="M595" s="731"/>
      <c r="N595" s="731"/>
      <c r="O595" s="687"/>
      <c r="P595" s="731"/>
      <c r="Q595" s="732"/>
    </row>
    <row r="596" spans="1:17" s="83" customFormat="1" ht="14.25" hidden="1" customHeight="1" x14ac:dyDescent="0.25">
      <c r="A596" s="1279"/>
      <c r="B596" s="672"/>
      <c r="C596" s="672"/>
      <c r="D596" s="672"/>
      <c r="E596" s="673"/>
      <c r="F596" s="119"/>
      <c r="G596" s="640"/>
      <c r="H596" s="640"/>
      <c r="I596" s="640"/>
      <c r="J596" s="640"/>
      <c r="K596" s="137"/>
      <c r="L596" s="677"/>
      <c r="M596" s="677"/>
      <c r="N596" s="731"/>
      <c r="O596" s="687"/>
      <c r="P596" s="731"/>
      <c r="Q596" s="732"/>
    </row>
    <row r="597" spans="1:17" s="78" customFormat="1" ht="24" customHeight="1" x14ac:dyDescent="0.25">
      <c r="A597" s="1279"/>
      <c r="B597" s="1044" t="s">
        <v>525</v>
      </c>
      <c r="C597" s="1044"/>
      <c r="D597" s="1214"/>
      <c r="E597" s="1020" t="s">
        <v>1265</v>
      </c>
      <c r="F597" s="1021">
        <f>F603+F606+F609+F610+F615+F616+F617</f>
        <v>335009.7</v>
      </c>
      <c r="G597" s="1021">
        <f>G603+G606+G609+G610+G615+G616+G617</f>
        <v>735389.1</v>
      </c>
      <c r="H597" s="1021">
        <f>H603+H606+H609+H610+H615+H616+H617</f>
        <v>428095.3</v>
      </c>
      <c r="I597" s="1021">
        <f>I603+I606+I609+I610+I615+I616+I617</f>
        <v>370683.89999999997</v>
      </c>
      <c r="J597" s="1021">
        <f>J603+J606+J609+J610+J615+J616+J617</f>
        <v>910459.8</v>
      </c>
      <c r="K597" s="144" t="s">
        <v>517</v>
      </c>
      <c r="L597" s="640" t="s">
        <v>1366</v>
      </c>
      <c r="M597" s="646">
        <v>116717.2</v>
      </c>
      <c r="N597" s="646">
        <v>124086.39999999999</v>
      </c>
      <c r="O597" s="646">
        <v>130335.2</v>
      </c>
      <c r="P597" s="646">
        <v>138027.5</v>
      </c>
      <c r="Q597" s="647">
        <v>147041.60000000001</v>
      </c>
    </row>
    <row r="598" spans="1:17" s="78" customFormat="1" ht="37.5" customHeight="1" x14ac:dyDescent="0.25">
      <c r="A598" s="1279"/>
      <c r="B598" s="1044"/>
      <c r="C598" s="1044"/>
      <c r="D598" s="1214"/>
      <c r="E598" s="1020"/>
      <c r="F598" s="1021"/>
      <c r="G598" s="1021"/>
      <c r="H598" s="1021"/>
      <c r="I598" s="1021"/>
      <c r="J598" s="1021"/>
      <c r="K598" s="753" t="s">
        <v>519</v>
      </c>
      <c r="L598" s="640" t="s">
        <v>19</v>
      </c>
      <c r="M598" s="640">
        <v>102</v>
      </c>
      <c r="N598" s="646">
        <v>102.2</v>
      </c>
      <c r="O598" s="646">
        <v>102.3</v>
      </c>
      <c r="P598" s="646">
        <v>102.4</v>
      </c>
      <c r="Q598" s="647">
        <v>102.5</v>
      </c>
    </row>
    <row r="599" spans="1:17" s="78" customFormat="1" ht="27" customHeight="1" x14ac:dyDescent="0.25">
      <c r="A599" s="1279"/>
      <c r="B599" s="1044"/>
      <c r="C599" s="1044"/>
      <c r="D599" s="1214"/>
      <c r="E599" s="1020"/>
      <c r="F599" s="1021"/>
      <c r="G599" s="1021"/>
      <c r="H599" s="1021"/>
      <c r="I599" s="1021"/>
      <c r="J599" s="1021"/>
      <c r="K599" s="753" t="s">
        <v>520</v>
      </c>
      <c r="L599" s="640" t="s">
        <v>521</v>
      </c>
      <c r="M599" s="640">
        <v>1715776</v>
      </c>
      <c r="N599" s="646"/>
      <c r="O599" s="646"/>
      <c r="P599" s="646"/>
      <c r="Q599" s="647"/>
    </row>
    <row r="600" spans="1:17" s="78" customFormat="1" ht="28.5" customHeight="1" x14ac:dyDescent="0.25">
      <c r="A600" s="1279"/>
      <c r="B600" s="1044"/>
      <c r="C600" s="1044"/>
      <c r="D600" s="1214"/>
      <c r="E600" s="1020"/>
      <c r="F600" s="1021"/>
      <c r="G600" s="1021"/>
      <c r="H600" s="1021"/>
      <c r="I600" s="1021"/>
      <c r="J600" s="1021"/>
      <c r="K600" s="621" t="s">
        <v>522</v>
      </c>
      <c r="L600" s="640" t="s">
        <v>1366</v>
      </c>
      <c r="M600" s="640">
        <v>853.5</v>
      </c>
      <c r="N600" s="646">
        <v>870.6</v>
      </c>
      <c r="O600" s="646">
        <v>896.7</v>
      </c>
      <c r="P600" s="646">
        <v>932.6</v>
      </c>
      <c r="Q600" s="647">
        <v>979.2</v>
      </c>
    </row>
    <row r="601" spans="1:17" s="78" customFormat="1" ht="35.25" customHeight="1" x14ac:dyDescent="0.25">
      <c r="A601" s="1279"/>
      <c r="B601" s="1044"/>
      <c r="C601" s="1044"/>
      <c r="D601" s="1214"/>
      <c r="E601" s="1020"/>
      <c r="F601" s="1021"/>
      <c r="G601" s="1021"/>
      <c r="H601" s="1021"/>
      <c r="I601" s="1021"/>
      <c r="J601" s="1021"/>
      <c r="K601" s="753" t="s">
        <v>519</v>
      </c>
      <c r="L601" s="640" t="s">
        <v>19</v>
      </c>
      <c r="M601" s="38">
        <v>112.1</v>
      </c>
      <c r="N601" s="95">
        <v>102</v>
      </c>
      <c r="O601" s="95">
        <v>103</v>
      </c>
      <c r="P601" s="95">
        <v>104</v>
      </c>
      <c r="Q601" s="539">
        <v>105</v>
      </c>
    </row>
    <row r="602" spans="1:17" s="78" customFormat="1" ht="32.25" customHeight="1" x14ac:dyDescent="0.25">
      <c r="A602" s="1279"/>
      <c r="B602" s="1044"/>
      <c r="C602" s="1044"/>
      <c r="D602" s="1214"/>
      <c r="E602" s="1020"/>
      <c r="F602" s="1021"/>
      <c r="G602" s="1021"/>
      <c r="H602" s="1021"/>
      <c r="I602" s="1021"/>
      <c r="J602" s="1021"/>
      <c r="K602" s="621" t="s">
        <v>523</v>
      </c>
      <c r="L602" s="640" t="s">
        <v>524</v>
      </c>
      <c r="M602" s="145">
        <v>9147</v>
      </c>
      <c r="N602" s="146">
        <v>9147</v>
      </c>
      <c r="O602" s="146">
        <v>9147</v>
      </c>
      <c r="P602" s="146">
        <v>9147</v>
      </c>
      <c r="Q602" s="540">
        <v>9147</v>
      </c>
    </row>
    <row r="603" spans="1:17" s="83" customFormat="1" ht="30" customHeight="1" x14ac:dyDescent="0.25">
      <c r="A603" s="1279"/>
      <c r="B603" s="1034"/>
      <c r="C603" s="1034" t="s">
        <v>43</v>
      </c>
      <c r="D603" s="1007"/>
      <c r="E603" s="1025" t="s">
        <v>526</v>
      </c>
      <c r="F603" s="1050">
        <v>6038.5</v>
      </c>
      <c r="G603" s="1050">
        <v>4539.5</v>
      </c>
      <c r="H603" s="1050">
        <v>4851.3</v>
      </c>
      <c r="I603" s="1050">
        <v>4851.3</v>
      </c>
      <c r="J603" s="1050">
        <v>4851.3</v>
      </c>
      <c r="K603" s="673" t="s">
        <v>527</v>
      </c>
      <c r="L603" s="677" t="s">
        <v>19</v>
      </c>
      <c r="M603" s="677">
        <v>102.4</v>
      </c>
      <c r="N603" s="683">
        <v>102.6</v>
      </c>
      <c r="O603" s="683">
        <v>102.6</v>
      </c>
      <c r="P603" s="683">
        <v>102.6</v>
      </c>
      <c r="Q603" s="486">
        <v>102.6</v>
      </c>
    </row>
    <row r="604" spans="1:17" s="83" customFormat="1" ht="21" customHeight="1" x14ac:dyDescent="0.25">
      <c r="A604" s="1279"/>
      <c r="B604" s="1034"/>
      <c r="C604" s="1034"/>
      <c r="D604" s="1008"/>
      <c r="E604" s="1025"/>
      <c r="F604" s="1050"/>
      <c r="G604" s="1050"/>
      <c r="H604" s="1050"/>
      <c r="I604" s="1050"/>
      <c r="J604" s="1050"/>
      <c r="K604" s="673" t="s">
        <v>528</v>
      </c>
      <c r="L604" s="677" t="s">
        <v>521</v>
      </c>
      <c r="M604" s="677">
        <v>85000</v>
      </c>
      <c r="N604" s="683">
        <v>82000</v>
      </c>
      <c r="O604" s="683">
        <v>90000</v>
      </c>
      <c r="P604" s="683">
        <v>90000</v>
      </c>
      <c r="Q604" s="486">
        <v>90000</v>
      </c>
    </row>
    <row r="605" spans="1:17" s="83" customFormat="1" ht="24" customHeight="1" x14ac:dyDescent="0.25">
      <c r="A605" s="1279"/>
      <c r="B605" s="1034"/>
      <c r="C605" s="1034"/>
      <c r="D605" s="1008"/>
      <c r="E605" s="1025"/>
      <c r="F605" s="1050"/>
      <c r="G605" s="1050"/>
      <c r="H605" s="1050"/>
      <c r="I605" s="1050"/>
      <c r="J605" s="1050"/>
      <c r="K605" s="673" t="s">
        <v>529</v>
      </c>
      <c r="L605" s="677" t="s">
        <v>521</v>
      </c>
      <c r="M605" s="677">
        <v>22000</v>
      </c>
      <c r="N605" s="683">
        <v>21000</v>
      </c>
      <c r="O605" s="683">
        <v>30000</v>
      </c>
      <c r="P605" s="683">
        <v>30000</v>
      </c>
      <c r="Q605" s="486">
        <v>30000</v>
      </c>
    </row>
    <row r="606" spans="1:17" s="83" customFormat="1" ht="30.75" customHeight="1" x14ac:dyDescent="0.25">
      <c r="A606" s="1279"/>
      <c r="B606" s="1034"/>
      <c r="C606" s="1034" t="s">
        <v>48</v>
      </c>
      <c r="D606" s="1007"/>
      <c r="E606" s="1025" t="s">
        <v>530</v>
      </c>
      <c r="F606" s="1050">
        <v>5574.1</v>
      </c>
      <c r="G606" s="1050">
        <v>4025.6</v>
      </c>
      <c r="H606" s="1050">
        <v>4337.5</v>
      </c>
      <c r="I606" s="1050">
        <v>4337.5</v>
      </c>
      <c r="J606" s="1050">
        <v>4337.5</v>
      </c>
      <c r="K606" s="236" t="s">
        <v>531</v>
      </c>
      <c r="L606" s="677" t="s">
        <v>524</v>
      </c>
      <c r="M606" s="677">
        <v>9005.4</v>
      </c>
      <c r="N606" s="677">
        <v>9005.4</v>
      </c>
      <c r="O606" s="677">
        <v>9005.4</v>
      </c>
      <c r="P606" s="677">
        <v>9005.4</v>
      </c>
      <c r="Q606" s="680">
        <v>9005.4</v>
      </c>
    </row>
    <row r="607" spans="1:17" s="83" customFormat="1" ht="39" customHeight="1" x14ac:dyDescent="0.25">
      <c r="A607" s="1279"/>
      <c r="B607" s="1034"/>
      <c r="C607" s="1034"/>
      <c r="D607" s="1008"/>
      <c r="E607" s="1025"/>
      <c r="F607" s="1050"/>
      <c r="G607" s="1050"/>
      <c r="H607" s="1050"/>
      <c r="I607" s="1050"/>
      <c r="J607" s="1050"/>
      <c r="K607" s="236" t="s">
        <v>532</v>
      </c>
      <c r="L607" s="677" t="s">
        <v>533</v>
      </c>
      <c r="M607" s="677">
        <v>13720.2</v>
      </c>
      <c r="N607" s="683">
        <v>12982.1</v>
      </c>
      <c r="O607" s="683">
        <v>14332.1</v>
      </c>
      <c r="P607" s="683">
        <v>14682.1</v>
      </c>
      <c r="Q607" s="486">
        <v>15382.1</v>
      </c>
    </row>
    <row r="608" spans="1:17" s="83" customFormat="1" ht="28.5" customHeight="1" x14ac:dyDescent="0.25">
      <c r="A608" s="1279"/>
      <c r="B608" s="1034"/>
      <c r="C608" s="1034"/>
      <c r="D608" s="1009"/>
      <c r="E608" s="1025"/>
      <c r="F608" s="1050"/>
      <c r="G608" s="1050"/>
      <c r="H608" s="1050"/>
      <c r="I608" s="1050"/>
      <c r="J608" s="1050"/>
      <c r="K608" s="236" t="s">
        <v>534</v>
      </c>
      <c r="L608" s="677" t="s">
        <v>14</v>
      </c>
      <c r="M608" s="677">
        <v>454</v>
      </c>
      <c r="N608" s="677">
        <v>454</v>
      </c>
      <c r="O608" s="677">
        <v>454</v>
      </c>
      <c r="P608" s="677">
        <v>454</v>
      </c>
      <c r="Q608" s="680">
        <v>454</v>
      </c>
    </row>
    <row r="609" spans="1:17" s="83" customFormat="1" ht="71.25" customHeight="1" x14ac:dyDescent="0.25">
      <c r="A609" s="1279"/>
      <c r="B609" s="672"/>
      <c r="C609" s="672" t="s">
        <v>37</v>
      </c>
      <c r="D609" s="672"/>
      <c r="E609" s="673" t="s">
        <v>535</v>
      </c>
      <c r="F609" s="618">
        <v>4599.8</v>
      </c>
      <c r="G609" s="618">
        <v>5870.8</v>
      </c>
      <c r="H609" s="618">
        <v>6118.7</v>
      </c>
      <c r="I609" s="618">
        <v>6118.7</v>
      </c>
      <c r="J609" s="618">
        <v>6118.7</v>
      </c>
      <c r="K609" s="673" t="s">
        <v>536</v>
      </c>
      <c r="L609" s="677" t="s">
        <v>537</v>
      </c>
      <c r="M609" s="677">
        <v>19</v>
      </c>
      <c r="N609" s="683">
        <v>20</v>
      </c>
      <c r="O609" s="683">
        <v>21</v>
      </c>
      <c r="P609" s="683">
        <v>22</v>
      </c>
      <c r="Q609" s="486">
        <v>23</v>
      </c>
    </row>
    <row r="610" spans="1:17" s="83" customFormat="1" ht="36.75" customHeight="1" x14ac:dyDescent="0.25">
      <c r="A610" s="1279"/>
      <c r="B610" s="1034"/>
      <c r="C610" s="1034" t="s">
        <v>73</v>
      </c>
      <c r="D610" s="1007"/>
      <c r="E610" s="1025" t="s">
        <v>538</v>
      </c>
      <c r="F610" s="1050">
        <v>5562.4</v>
      </c>
      <c r="G610" s="1050">
        <v>12335.8</v>
      </c>
      <c r="H610" s="1050">
        <v>12335.8</v>
      </c>
      <c r="I610" s="1050">
        <v>12335.8</v>
      </c>
      <c r="J610" s="1050">
        <v>12335.8</v>
      </c>
      <c r="K610" s="673" t="s">
        <v>539</v>
      </c>
      <c r="L610" s="677" t="s">
        <v>540</v>
      </c>
      <c r="M610" s="677">
        <v>5139.7</v>
      </c>
      <c r="N610" s="683">
        <v>6000</v>
      </c>
      <c r="O610" s="683">
        <v>7000</v>
      </c>
      <c r="P610" s="683">
        <v>8000</v>
      </c>
      <c r="Q610" s="486">
        <v>9000</v>
      </c>
    </row>
    <row r="611" spans="1:17" s="83" customFormat="1" ht="28.5" customHeight="1" x14ac:dyDescent="0.25">
      <c r="A611" s="1279"/>
      <c r="B611" s="1034"/>
      <c r="C611" s="1034"/>
      <c r="D611" s="1008"/>
      <c r="E611" s="1025"/>
      <c r="F611" s="1050"/>
      <c r="G611" s="1050"/>
      <c r="H611" s="1050"/>
      <c r="I611" s="1050"/>
      <c r="J611" s="1050"/>
      <c r="K611" s="673" t="s">
        <v>541</v>
      </c>
      <c r="L611" s="677" t="s">
        <v>540</v>
      </c>
      <c r="M611" s="677">
        <v>6.8</v>
      </c>
      <c r="N611" s="683">
        <v>7</v>
      </c>
      <c r="O611" s="683">
        <v>7.2</v>
      </c>
      <c r="P611" s="683">
        <v>7.4</v>
      </c>
      <c r="Q611" s="486">
        <v>7.6</v>
      </c>
    </row>
    <row r="612" spans="1:17" s="83" customFormat="1" ht="30.75" customHeight="1" x14ac:dyDescent="0.25">
      <c r="A612" s="1279"/>
      <c r="B612" s="1034"/>
      <c r="C612" s="1034"/>
      <c r="D612" s="1008"/>
      <c r="E612" s="1025"/>
      <c r="F612" s="1050"/>
      <c r="G612" s="1050"/>
      <c r="H612" s="1050"/>
      <c r="I612" s="1050"/>
      <c r="J612" s="1050"/>
      <c r="K612" s="673" t="s">
        <v>542</v>
      </c>
      <c r="L612" s="677" t="s">
        <v>1367</v>
      </c>
      <c r="M612" s="677">
        <v>11.04</v>
      </c>
      <c r="N612" s="683">
        <v>16.728999999999999</v>
      </c>
      <c r="O612" s="683">
        <v>17</v>
      </c>
      <c r="P612" s="683">
        <v>18</v>
      </c>
      <c r="Q612" s="486">
        <v>19</v>
      </c>
    </row>
    <row r="613" spans="1:17" s="83" customFormat="1" ht="28.5" customHeight="1" x14ac:dyDescent="0.25">
      <c r="A613" s="1279"/>
      <c r="B613" s="1034"/>
      <c r="C613" s="1034"/>
      <c r="D613" s="1008"/>
      <c r="E613" s="1025"/>
      <c r="F613" s="1050"/>
      <c r="G613" s="1050"/>
      <c r="H613" s="1050"/>
      <c r="I613" s="1050"/>
      <c r="J613" s="1050"/>
      <c r="K613" s="673" t="s">
        <v>543</v>
      </c>
      <c r="L613" s="677" t="s">
        <v>17</v>
      </c>
      <c r="M613" s="677">
        <v>47</v>
      </c>
      <c r="N613" s="683">
        <v>50</v>
      </c>
      <c r="O613" s="683">
        <v>60</v>
      </c>
      <c r="P613" s="683">
        <v>70</v>
      </c>
      <c r="Q613" s="486">
        <v>80</v>
      </c>
    </row>
    <row r="614" spans="1:17" s="83" customFormat="1" ht="36" customHeight="1" x14ac:dyDescent="0.25">
      <c r="A614" s="1279"/>
      <c r="B614" s="1034"/>
      <c r="C614" s="1034"/>
      <c r="D614" s="1009"/>
      <c r="E614" s="1025"/>
      <c r="F614" s="1050"/>
      <c r="G614" s="1050"/>
      <c r="H614" s="1050"/>
      <c r="I614" s="1050"/>
      <c r="J614" s="1050"/>
      <c r="K614" s="673" t="s">
        <v>544</v>
      </c>
      <c r="L614" s="677" t="s">
        <v>17</v>
      </c>
      <c r="M614" s="677">
        <v>2181</v>
      </c>
      <c r="N614" s="683">
        <v>2200</v>
      </c>
      <c r="O614" s="683">
        <v>2300</v>
      </c>
      <c r="P614" s="683">
        <v>2400</v>
      </c>
      <c r="Q614" s="486">
        <v>2500</v>
      </c>
    </row>
    <row r="615" spans="1:17" s="83" customFormat="1" ht="30" x14ac:dyDescent="0.25">
      <c r="A615" s="1279"/>
      <c r="B615" s="672"/>
      <c r="C615" s="672" t="s">
        <v>76</v>
      </c>
      <c r="D615" s="672"/>
      <c r="E615" s="673" t="s">
        <v>1419</v>
      </c>
      <c r="F615" s="618">
        <v>31029.7</v>
      </c>
      <c r="G615" s="618">
        <v>224338.4</v>
      </c>
      <c r="H615" s="618">
        <v>0</v>
      </c>
      <c r="I615" s="618">
        <v>0</v>
      </c>
      <c r="J615" s="618">
        <v>0</v>
      </c>
      <c r="K615" s="673"/>
      <c r="L615" s="677"/>
      <c r="M615" s="677"/>
      <c r="N615" s="683"/>
      <c r="O615" s="683"/>
      <c r="P615" s="683"/>
      <c r="Q615" s="486"/>
    </row>
    <row r="616" spans="1:17" s="83" customFormat="1" ht="30" x14ac:dyDescent="0.25">
      <c r="A616" s="1279"/>
      <c r="B616" s="672"/>
      <c r="C616" s="672" t="s">
        <v>79</v>
      </c>
      <c r="D616" s="35"/>
      <c r="E616" s="673" t="s">
        <v>1420</v>
      </c>
      <c r="F616" s="618">
        <v>174040</v>
      </c>
      <c r="G616" s="618">
        <v>436670.5</v>
      </c>
      <c r="H616" s="618">
        <v>400452</v>
      </c>
      <c r="I616" s="618">
        <v>343040.6</v>
      </c>
      <c r="J616" s="618">
        <v>882816.5</v>
      </c>
      <c r="K616" s="673"/>
      <c r="L616" s="677"/>
      <c r="M616" s="677"/>
      <c r="N616" s="683"/>
      <c r="O616" s="683"/>
      <c r="P616" s="683"/>
      <c r="Q616" s="486"/>
    </row>
    <row r="617" spans="1:17" s="83" customFormat="1" ht="30" x14ac:dyDescent="0.25">
      <c r="A617" s="1279"/>
      <c r="B617" s="672"/>
      <c r="C617" s="672" t="s">
        <v>82</v>
      </c>
      <c r="D617" s="672"/>
      <c r="E617" s="673" t="s">
        <v>1421</v>
      </c>
      <c r="F617" s="618">
        <v>108165.2</v>
      </c>
      <c r="G617" s="618">
        <v>47608.5</v>
      </c>
      <c r="H617" s="618">
        <v>0</v>
      </c>
      <c r="I617" s="618">
        <v>0</v>
      </c>
      <c r="J617" s="618">
        <v>0</v>
      </c>
      <c r="K617" s="673" t="s">
        <v>545</v>
      </c>
      <c r="L617" s="677" t="s">
        <v>546</v>
      </c>
      <c r="M617" s="677">
        <v>661.8</v>
      </c>
      <c r="N617" s="683"/>
      <c r="O617" s="683"/>
      <c r="P617" s="683"/>
      <c r="Q617" s="486"/>
    </row>
    <row r="618" spans="1:17" s="147" customFormat="1" ht="24" customHeight="1" x14ac:dyDescent="0.25">
      <c r="A618" s="1279"/>
      <c r="B618" s="1044" t="s">
        <v>547</v>
      </c>
      <c r="C618" s="1044"/>
      <c r="D618" s="1243"/>
      <c r="E618" s="1241" t="s">
        <v>1266</v>
      </c>
      <c r="F618" s="1021">
        <f>F624+F633+F636+F642+F647+F649+F652+F653</f>
        <v>186328.1</v>
      </c>
      <c r="G618" s="1021">
        <f>G624+G633+G636+G642+G647+G649+G652+G653</f>
        <v>213861.29999999996</v>
      </c>
      <c r="H618" s="1021">
        <f>H624+H633+H636+H642+H647+H649+H652+H653</f>
        <v>214489.9</v>
      </c>
      <c r="I618" s="1021">
        <f>I624+I633+I636+I642+I647+I649+I652+I653</f>
        <v>262875.2</v>
      </c>
      <c r="J618" s="1021">
        <f>J624+J633+J636+J642+J647+J649+J652+J653</f>
        <v>338993.99999999988</v>
      </c>
      <c r="K618" s="144" t="s">
        <v>1368</v>
      </c>
      <c r="L618" s="640" t="s">
        <v>1366</v>
      </c>
      <c r="M618" s="652">
        <v>124040.7</v>
      </c>
      <c r="N618" s="148">
        <v>133546.20000000001</v>
      </c>
      <c r="O618" s="148" t="s">
        <v>548</v>
      </c>
      <c r="P618" s="148">
        <v>154417</v>
      </c>
      <c r="Q618" s="541">
        <v>166271.1</v>
      </c>
    </row>
    <row r="619" spans="1:17" s="147" customFormat="1" ht="32.25" customHeight="1" x14ac:dyDescent="0.25">
      <c r="A619" s="1279"/>
      <c r="B619" s="1044"/>
      <c r="C619" s="1044"/>
      <c r="D619" s="1243"/>
      <c r="E619" s="1241"/>
      <c r="F619" s="1021"/>
      <c r="G619" s="1021"/>
      <c r="H619" s="1021"/>
      <c r="I619" s="1021"/>
      <c r="J619" s="1021"/>
      <c r="K619" s="753" t="s">
        <v>519</v>
      </c>
      <c r="L619" s="640" t="s">
        <v>19</v>
      </c>
      <c r="M619" s="688">
        <v>100.2</v>
      </c>
      <c r="N619" s="666">
        <v>102</v>
      </c>
      <c r="O619" s="666">
        <v>102.4</v>
      </c>
      <c r="P619" s="666">
        <v>102.7</v>
      </c>
      <c r="Q619" s="745">
        <v>102.6</v>
      </c>
    </row>
    <row r="620" spans="1:17" s="147" customFormat="1" ht="37.5" customHeight="1" x14ac:dyDescent="0.25">
      <c r="A620" s="1279"/>
      <c r="B620" s="1044"/>
      <c r="C620" s="1044"/>
      <c r="D620" s="1243"/>
      <c r="E620" s="1241"/>
      <c r="F620" s="1021"/>
      <c r="G620" s="1021"/>
      <c r="H620" s="1021"/>
      <c r="I620" s="1021"/>
      <c r="J620" s="1021"/>
      <c r="K620" s="641" t="s">
        <v>549</v>
      </c>
      <c r="L620" s="640" t="s">
        <v>524</v>
      </c>
      <c r="M620" s="640">
        <v>1223.5999999999999</v>
      </c>
      <c r="N620" s="646"/>
      <c r="O620" s="646"/>
      <c r="P620" s="646"/>
      <c r="Q620" s="647"/>
    </row>
    <row r="621" spans="1:17" s="147" customFormat="1" ht="28.5" customHeight="1" x14ac:dyDescent="0.25">
      <c r="A621" s="1279"/>
      <c r="B621" s="1044"/>
      <c r="C621" s="1044"/>
      <c r="D621" s="1243"/>
      <c r="E621" s="1241"/>
      <c r="F621" s="1021"/>
      <c r="G621" s="1021"/>
      <c r="H621" s="1021"/>
      <c r="I621" s="1021"/>
      <c r="J621" s="1021"/>
      <c r="K621" s="641" t="s">
        <v>550</v>
      </c>
      <c r="L621" s="640"/>
      <c r="M621" s="640"/>
      <c r="N621" s="646"/>
      <c r="O621" s="646"/>
      <c r="P621" s="646"/>
      <c r="Q621" s="647"/>
    </row>
    <row r="622" spans="1:17" s="147" customFormat="1" ht="33.75" customHeight="1" x14ac:dyDescent="0.25">
      <c r="A622" s="1279"/>
      <c r="B622" s="1044"/>
      <c r="C622" s="1044"/>
      <c r="D622" s="1243"/>
      <c r="E622" s="1241"/>
      <c r="F622" s="1021"/>
      <c r="G622" s="1021"/>
      <c r="H622" s="1021"/>
      <c r="I622" s="1021"/>
      <c r="J622" s="1021"/>
      <c r="K622" s="641" t="s">
        <v>551</v>
      </c>
      <c r="L622" s="640" t="s">
        <v>524</v>
      </c>
      <c r="M622" s="640">
        <v>10607.7</v>
      </c>
      <c r="N622" s="646"/>
      <c r="O622" s="646"/>
      <c r="P622" s="646"/>
      <c r="Q622" s="647"/>
    </row>
    <row r="623" spans="1:17" s="147" customFormat="1" ht="73.5" customHeight="1" x14ac:dyDescent="0.25">
      <c r="A623" s="1279"/>
      <c r="B623" s="1044"/>
      <c r="C623" s="1044"/>
      <c r="D623" s="1243"/>
      <c r="E623" s="1241"/>
      <c r="F623" s="1021"/>
      <c r="G623" s="1021"/>
      <c r="H623" s="1021"/>
      <c r="I623" s="1021"/>
      <c r="J623" s="1021"/>
      <c r="K623" s="641" t="s">
        <v>552</v>
      </c>
      <c r="L623" s="640" t="s">
        <v>1366</v>
      </c>
      <c r="M623" s="38">
        <v>8.1</v>
      </c>
      <c r="N623" s="95">
        <v>60</v>
      </c>
      <c r="O623" s="95">
        <v>51</v>
      </c>
      <c r="P623" s="95">
        <v>51</v>
      </c>
      <c r="Q623" s="539">
        <v>51</v>
      </c>
    </row>
    <row r="624" spans="1:17" s="83" customFormat="1" ht="43.5" customHeight="1" x14ac:dyDescent="0.25">
      <c r="A624" s="1279"/>
      <c r="B624" s="1034"/>
      <c r="C624" s="1034" t="s">
        <v>43</v>
      </c>
      <c r="D624" s="1007"/>
      <c r="E624" s="1025" t="s">
        <v>553</v>
      </c>
      <c r="F624" s="1050">
        <v>101553.60000000001</v>
      </c>
      <c r="G624" s="1050">
        <v>126182.39999999999</v>
      </c>
      <c r="H624" s="1050">
        <v>120810.2</v>
      </c>
      <c r="I624" s="1050">
        <v>120810.2</v>
      </c>
      <c r="J624" s="1050">
        <v>159062.29999999999</v>
      </c>
      <c r="K624" s="673" t="s">
        <v>554</v>
      </c>
      <c r="L624" s="677" t="s">
        <v>524</v>
      </c>
      <c r="M624" s="96">
        <v>70.7</v>
      </c>
      <c r="N624" s="165">
        <v>120</v>
      </c>
      <c r="O624" s="165">
        <v>120</v>
      </c>
      <c r="P624" s="165">
        <v>110</v>
      </c>
      <c r="Q624" s="542">
        <v>110</v>
      </c>
    </row>
    <row r="625" spans="1:17" s="83" customFormat="1" ht="43.5" customHeight="1" x14ac:dyDescent="0.25">
      <c r="A625" s="1279"/>
      <c r="B625" s="1034"/>
      <c r="C625" s="1034"/>
      <c r="D625" s="1008"/>
      <c r="E625" s="1025"/>
      <c r="F625" s="1050"/>
      <c r="G625" s="1050"/>
      <c r="H625" s="1050"/>
      <c r="I625" s="1050"/>
      <c r="J625" s="1050"/>
      <c r="K625" s="673" t="s">
        <v>555</v>
      </c>
      <c r="L625" s="677" t="s">
        <v>524</v>
      </c>
      <c r="M625" s="96">
        <v>0.1</v>
      </c>
      <c r="N625" s="165">
        <v>2</v>
      </c>
      <c r="O625" s="165">
        <v>2</v>
      </c>
      <c r="P625" s="165">
        <v>2</v>
      </c>
      <c r="Q625" s="542">
        <v>2</v>
      </c>
    </row>
    <row r="626" spans="1:17" s="83" customFormat="1" ht="30" x14ac:dyDescent="0.25">
      <c r="A626" s="1279"/>
      <c r="B626" s="1034"/>
      <c r="C626" s="1034"/>
      <c r="D626" s="1008"/>
      <c r="E626" s="1025"/>
      <c r="F626" s="1050"/>
      <c r="G626" s="1050"/>
      <c r="H626" s="1050"/>
      <c r="I626" s="1050"/>
      <c r="J626" s="1050"/>
      <c r="K626" s="673" t="s">
        <v>1370</v>
      </c>
      <c r="L626" s="677" t="s">
        <v>556</v>
      </c>
      <c r="M626" s="746" t="s">
        <v>557</v>
      </c>
      <c r="N626" s="165">
        <v>267</v>
      </c>
      <c r="O626" s="165">
        <v>267</v>
      </c>
      <c r="P626" s="165">
        <v>267</v>
      </c>
      <c r="Q626" s="542">
        <v>267</v>
      </c>
    </row>
    <row r="627" spans="1:17" s="83" customFormat="1" ht="34.5" customHeight="1" x14ac:dyDescent="0.25">
      <c r="A627" s="1279"/>
      <c r="B627" s="1034"/>
      <c r="C627" s="1034"/>
      <c r="D627" s="1008"/>
      <c r="E627" s="1025"/>
      <c r="F627" s="1050"/>
      <c r="G627" s="1050"/>
      <c r="H627" s="1050"/>
      <c r="I627" s="1050"/>
      <c r="J627" s="1050"/>
      <c r="K627" s="673" t="s">
        <v>1369</v>
      </c>
      <c r="L627" s="677" t="s">
        <v>524</v>
      </c>
      <c r="M627" s="746" t="s">
        <v>558</v>
      </c>
      <c r="N627" s="165">
        <v>160</v>
      </c>
      <c r="O627" s="165">
        <v>160</v>
      </c>
      <c r="P627" s="165">
        <v>160</v>
      </c>
      <c r="Q627" s="542">
        <v>160</v>
      </c>
    </row>
    <row r="628" spans="1:17" s="83" customFormat="1" ht="50.25" customHeight="1" x14ac:dyDescent="0.25">
      <c r="A628" s="1279"/>
      <c r="B628" s="1034"/>
      <c r="C628" s="1034"/>
      <c r="D628" s="1008"/>
      <c r="E628" s="1025"/>
      <c r="F628" s="1050"/>
      <c r="G628" s="1050"/>
      <c r="H628" s="1050"/>
      <c r="I628" s="1050"/>
      <c r="J628" s="1050"/>
      <c r="K628" s="673" t="s">
        <v>559</v>
      </c>
      <c r="L628" s="677" t="s">
        <v>524</v>
      </c>
      <c r="M628" s="96">
        <v>0.3</v>
      </c>
      <c r="N628" s="165">
        <v>3</v>
      </c>
      <c r="O628" s="165">
        <v>3</v>
      </c>
      <c r="P628" s="165">
        <v>3</v>
      </c>
      <c r="Q628" s="542">
        <v>3</v>
      </c>
    </row>
    <row r="629" spans="1:17" s="83" customFormat="1" ht="38.25" customHeight="1" x14ac:dyDescent="0.25">
      <c r="A629" s="1279"/>
      <c r="B629" s="1034"/>
      <c r="C629" s="1034"/>
      <c r="D629" s="1008"/>
      <c r="E629" s="1025"/>
      <c r="F629" s="1050"/>
      <c r="G629" s="1050"/>
      <c r="H629" s="1050"/>
      <c r="I629" s="1050"/>
      <c r="J629" s="1050"/>
      <c r="K629" s="673" t="s">
        <v>560</v>
      </c>
      <c r="L629" s="677" t="s">
        <v>561</v>
      </c>
      <c r="M629" s="96" t="s">
        <v>562</v>
      </c>
      <c r="N629" s="165">
        <v>608</v>
      </c>
      <c r="O629" s="165">
        <v>620</v>
      </c>
      <c r="P629" s="165">
        <v>620</v>
      </c>
      <c r="Q629" s="542">
        <v>620</v>
      </c>
    </row>
    <row r="630" spans="1:17" s="83" customFormat="1" ht="41.25" customHeight="1" x14ac:dyDescent="0.25">
      <c r="A630" s="1279"/>
      <c r="B630" s="1034"/>
      <c r="C630" s="1034"/>
      <c r="D630" s="1008"/>
      <c r="E630" s="1025"/>
      <c r="F630" s="1050"/>
      <c r="G630" s="1050"/>
      <c r="H630" s="1050"/>
      <c r="I630" s="1050"/>
      <c r="J630" s="1050"/>
      <c r="K630" s="673" t="s">
        <v>563</v>
      </c>
      <c r="L630" s="677" t="s">
        <v>524</v>
      </c>
      <c r="M630" s="96">
        <v>72.599999999999994</v>
      </c>
      <c r="N630" s="165">
        <v>86.4</v>
      </c>
      <c r="O630" s="165">
        <v>86.4</v>
      </c>
      <c r="P630" s="165">
        <v>86.4</v>
      </c>
      <c r="Q630" s="542">
        <v>86.4</v>
      </c>
    </row>
    <row r="631" spans="1:17" s="83" customFormat="1" ht="30.75" customHeight="1" x14ac:dyDescent="0.25">
      <c r="A631" s="1279"/>
      <c r="B631" s="1034"/>
      <c r="C631" s="1034"/>
      <c r="D631" s="1008"/>
      <c r="E631" s="1025"/>
      <c r="F631" s="1050"/>
      <c r="G631" s="1050"/>
      <c r="H631" s="1050"/>
      <c r="I631" s="1050"/>
      <c r="J631" s="1050"/>
      <c r="K631" s="673" t="s">
        <v>564</v>
      </c>
      <c r="L631" s="677" t="s">
        <v>111</v>
      </c>
      <c r="M631" s="678">
        <v>32</v>
      </c>
      <c r="N631" s="678">
        <v>32</v>
      </c>
      <c r="O631" s="678">
        <v>32</v>
      </c>
      <c r="P631" s="678">
        <v>32</v>
      </c>
      <c r="Q631" s="679">
        <v>32</v>
      </c>
    </row>
    <row r="632" spans="1:17" s="83" customFormat="1" ht="60.75" customHeight="1" x14ac:dyDescent="0.25">
      <c r="A632" s="1279"/>
      <c r="B632" s="1034"/>
      <c r="C632" s="1034"/>
      <c r="D632" s="1009"/>
      <c r="E632" s="1025"/>
      <c r="F632" s="1050"/>
      <c r="G632" s="1050"/>
      <c r="H632" s="1050"/>
      <c r="I632" s="1050"/>
      <c r="J632" s="1050"/>
      <c r="K632" s="673" t="s">
        <v>565</v>
      </c>
      <c r="L632" s="677" t="s">
        <v>111</v>
      </c>
      <c r="M632" s="678">
        <v>49599</v>
      </c>
      <c r="N632" s="166">
        <v>50000</v>
      </c>
      <c r="O632" s="166">
        <v>50000</v>
      </c>
      <c r="P632" s="166">
        <v>50000</v>
      </c>
      <c r="Q632" s="543">
        <v>50000</v>
      </c>
    </row>
    <row r="633" spans="1:17" s="83" customFormat="1" ht="33" customHeight="1" x14ac:dyDescent="0.25">
      <c r="A633" s="1279"/>
      <c r="B633" s="1034"/>
      <c r="C633" s="1034" t="s">
        <v>48</v>
      </c>
      <c r="D633" s="1007"/>
      <c r="E633" s="1025" t="s">
        <v>566</v>
      </c>
      <c r="F633" s="1050">
        <v>15174.7</v>
      </c>
      <c r="G633" s="1050">
        <v>17435.3</v>
      </c>
      <c r="H633" s="1050">
        <v>22326.799999999999</v>
      </c>
      <c r="I633" s="1050">
        <v>22326.799999999999</v>
      </c>
      <c r="J633" s="1050">
        <v>58578.8</v>
      </c>
      <c r="K633" s="673" t="s">
        <v>567</v>
      </c>
      <c r="L633" s="677" t="s">
        <v>14</v>
      </c>
      <c r="M633" s="677">
        <v>12427</v>
      </c>
      <c r="N633" s="683">
        <v>10000</v>
      </c>
      <c r="O633" s="683">
        <v>10000</v>
      </c>
      <c r="P633" s="683">
        <v>10000</v>
      </c>
      <c r="Q633" s="486">
        <v>10000</v>
      </c>
    </row>
    <row r="634" spans="1:17" s="83" customFormat="1" ht="31.5" customHeight="1" x14ac:dyDescent="0.25">
      <c r="A634" s="1279"/>
      <c r="B634" s="1034"/>
      <c r="C634" s="1034"/>
      <c r="D634" s="1008"/>
      <c r="E634" s="1025"/>
      <c r="F634" s="1050"/>
      <c r="G634" s="1050"/>
      <c r="H634" s="1050"/>
      <c r="I634" s="1050"/>
      <c r="J634" s="1050"/>
      <c r="K634" s="673" t="s">
        <v>568</v>
      </c>
      <c r="L634" s="677" t="s">
        <v>111</v>
      </c>
      <c r="M634" s="677">
        <v>27279</v>
      </c>
      <c r="N634" s="683">
        <v>25000</v>
      </c>
      <c r="O634" s="683">
        <v>25000</v>
      </c>
      <c r="P634" s="683">
        <v>25000</v>
      </c>
      <c r="Q634" s="486">
        <v>25000</v>
      </c>
    </row>
    <row r="635" spans="1:17" s="83" customFormat="1" ht="57" customHeight="1" x14ac:dyDescent="0.25">
      <c r="A635" s="1279"/>
      <c r="B635" s="1034"/>
      <c r="C635" s="1034"/>
      <c r="D635" s="1009"/>
      <c r="E635" s="1025"/>
      <c r="F635" s="1050"/>
      <c r="G635" s="1050"/>
      <c r="H635" s="1050"/>
      <c r="I635" s="1050"/>
      <c r="J635" s="1050"/>
      <c r="K635" s="673" t="s">
        <v>1371</v>
      </c>
      <c r="L635" s="677" t="s">
        <v>111</v>
      </c>
      <c r="M635" s="683">
        <v>8192</v>
      </c>
      <c r="N635" s="683">
        <v>8000</v>
      </c>
      <c r="O635" s="683">
        <v>8000</v>
      </c>
      <c r="P635" s="683">
        <v>8000</v>
      </c>
      <c r="Q635" s="486">
        <v>8000</v>
      </c>
    </row>
    <row r="636" spans="1:17" s="83" customFormat="1" ht="52.5" customHeight="1" x14ac:dyDescent="0.25">
      <c r="A636" s="1279"/>
      <c r="B636" s="1246"/>
      <c r="C636" s="1246" t="s">
        <v>37</v>
      </c>
      <c r="D636" s="1248"/>
      <c r="E636" s="1247" t="s">
        <v>569</v>
      </c>
      <c r="F636" s="1244" t="s">
        <v>570</v>
      </c>
      <c r="G636" s="1244" t="s">
        <v>571</v>
      </c>
      <c r="H636" s="1244" t="s">
        <v>571</v>
      </c>
      <c r="I636" s="1244" t="s">
        <v>571</v>
      </c>
      <c r="J636" s="1244" t="s">
        <v>571</v>
      </c>
      <c r="K636" s="673" t="s">
        <v>1372</v>
      </c>
      <c r="L636" s="677" t="s">
        <v>524</v>
      </c>
      <c r="M636" s="677">
        <v>138.30000000000001</v>
      </c>
      <c r="N636" s="677">
        <v>73.5</v>
      </c>
      <c r="O636" s="677">
        <v>140</v>
      </c>
      <c r="P636" s="677">
        <v>142</v>
      </c>
      <c r="Q636" s="680">
        <v>145</v>
      </c>
    </row>
    <row r="637" spans="1:17" s="83" customFormat="1" ht="32.25" customHeight="1" x14ac:dyDescent="0.25">
      <c r="A637" s="1279"/>
      <c r="B637" s="1246"/>
      <c r="C637" s="1246"/>
      <c r="D637" s="1249"/>
      <c r="E637" s="1247"/>
      <c r="F637" s="1244"/>
      <c r="G637" s="1245"/>
      <c r="H637" s="1245"/>
      <c r="I637" s="1245"/>
      <c r="J637" s="1245"/>
      <c r="K637" s="673" t="s">
        <v>1269</v>
      </c>
      <c r="L637" s="96"/>
      <c r="M637" s="96"/>
      <c r="N637" s="96"/>
      <c r="O637" s="677"/>
      <c r="P637" s="677"/>
      <c r="Q637" s="680"/>
    </row>
    <row r="638" spans="1:17" s="83" customFormat="1" ht="17.25" customHeight="1" x14ac:dyDescent="0.25">
      <c r="A638" s="1279"/>
      <c r="B638" s="1246"/>
      <c r="C638" s="1246"/>
      <c r="D638" s="1249"/>
      <c r="E638" s="1247"/>
      <c r="F638" s="1244"/>
      <c r="G638" s="1245"/>
      <c r="H638" s="1245"/>
      <c r="I638" s="1245"/>
      <c r="J638" s="1245"/>
      <c r="K638" s="673" t="s">
        <v>572</v>
      </c>
      <c r="L638" s="677" t="s">
        <v>561</v>
      </c>
      <c r="M638" s="683">
        <v>42.5</v>
      </c>
      <c r="N638" s="677">
        <v>41.2</v>
      </c>
      <c r="O638" s="96">
        <v>44</v>
      </c>
      <c r="P638" s="677">
        <v>45</v>
      </c>
      <c r="Q638" s="485">
        <v>45</v>
      </c>
    </row>
    <row r="639" spans="1:17" s="83" customFormat="1" ht="20.25" customHeight="1" x14ac:dyDescent="0.25">
      <c r="A639" s="1279"/>
      <c r="B639" s="1246"/>
      <c r="C639" s="1246"/>
      <c r="D639" s="1249"/>
      <c r="E639" s="1247"/>
      <c r="F639" s="1244"/>
      <c r="G639" s="1245"/>
      <c r="H639" s="1245"/>
      <c r="I639" s="1245"/>
      <c r="J639" s="1245"/>
      <c r="K639" s="673" t="s">
        <v>573</v>
      </c>
      <c r="L639" s="677" t="s">
        <v>540</v>
      </c>
      <c r="M639" s="683">
        <v>10347</v>
      </c>
      <c r="N639" s="683">
        <v>20400</v>
      </c>
      <c r="O639" s="165">
        <v>9200</v>
      </c>
      <c r="P639" s="165">
        <v>9200</v>
      </c>
      <c r="Q639" s="542">
        <v>9200</v>
      </c>
    </row>
    <row r="640" spans="1:17" s="83" customFormat="1" ht="19.5" customHeight="1" x14ac:dyDescent="0.25">
      <c r="A640" s="1279"/>
      <c r="B640" s="1246"/>
      <c r="C640" s="1246"/>
      <c r="D640" s="1249"/>
      <c r="E640" s="1247"/>
      <c r="F640" s="1244"/>
      <c r="G640" s="1245"/>
      <c r="H640" s="1245"/>
      <c r="I640" s="1245"/>
      <c r="J640" s="1245"/>
      <c r="K640" s="673" t="s">
        <v>574</v>
      </c>
      <c r="L640" s="677" t="s">
        <v>1373</v>
      </c>
      <c r="M640" s="683">
        <v>204.1</v>
      </c>
      <c r="N640" s="165">
        <v>176.5</v>
      </c>
      <c r="O640" s="165">
        <v>202</v>
      </c>
      <c r="P640" s="165">
        <v>202</v>
      </c>
      <c r="Q640" s="542">
        <v>202</v>
      </c>
    </row>
    <row r="641" spans="1:17" s="83" customFormat="1" ht="18.75" customHeight="1" x14ac:dyDescent="0.25">
      <c r="A641" s="1279"/>
      <c r="B641" s="1246"/>
      <c r="C641" s="1246"/>
      <c r="D641" s="1250"/>
      <c r="E641" s="1247"/>
      <c r="F641" s="1244"/>
      <c r="G641" s="1245"/>
      <c r="H641" s="1245"/>
      <c r="I641" s="1245"/>
      <c r="J641" s="1245"/>
      <c r="K641" s="673" t="s">
        <v>575</v>
      </c>
      <c r="L641" s="677" t="s">
        <v>546</v>
      </c>
      <c r="M641" s="683">
        <v>48.3</v>
      </c>
      <c r="N641" s="165">
        <v>28</v>
      </c>
      <c r="O641" s="165">
        <v>49</v>
      </c>
      <c r="P641" s="165">
        <v>49</v>
      </c>
      <c r="Q641" s="542">
        <v>49</v>
      </c>
    </row>
    <row r="642" spans="1:17" s="83" customFormat="1" ht="33.75" customHeight="1" x14ac:dyDescent="0.25">
      <c r="A642" s="1279"/>
      <c r="B642" s="1034"/>
      <c r="C642" s="1034" t="s">
        <v>73</v>
      </c>
      <c r="D642" s="1007"/>
      <c r="E642" s="1025" t="s">
        <v>576</v>
      </c>
      <c r="F642" s="1231">
        <f>26164.6+38.5</f>
        <v>26203.1</v>
      </c>
      <c r="G642" s="1232">
        <v>22272</v>
      </c>
      <c r="H642" s="1232">
        <v>22442.400000000001</v>
      </c>
      <c r="I642" s="1232">
        <f>22442.4+48385.3</f>
        <v>70827.700000000012</v>
      </c>
      <c r="J642" s="1232">
        <f>22442.4+50000</f>
        <v>72442.399999999994</v>
      </c>
      <c r="K642" s="648" t="s">
        <v>577</v>
      </c>
      <c r="L642" s="677" t="s">
        <v>524</v>
      </c>
      <c r="M642" s="176">
        <v>1214.9000000000001</v>
      </c>
      <c r="N642" s="176">
        <v>1214.9000000000001</v>
      </c>
      <c r="O642" s="176">
        <v>1214.9000000000001</v>
      </c>
      <c r="P642" s="176">
        <v>1214.9000000000001</v>
      </c>
      <c r="Q642" s="544">
        <v>1214.9000000000001</v>
      </c>
    </row>
    <row r="643" spans="1:17" s="83" customFormat="1" ht="42.75" customHeight="1" x14ac:dyDescent="0.25">
      <c r="A643" s="1279"/>
      <c r="B643" s="1034"/>
      <c r="C643" s="1034"/>
      <c r="D643" s="1008"/>
      <c r="E643" s="1025"/>
      <c r="F643" s="1231"/>
      <c r="G643" s="1232"/>
      <c r="H643" s="1232"/>
      <c r="I643" s="1232"/>
      <c r="J643" s="1232"/>
      <c r="K643" s="673" t="s">
        <v>578</v>
      </c>
      <c r="L643" s="677" t="s">
        <v>524</v>
      </c>
      <c r="M643" s="677">
        <v>10</v>
      </c>
      <c r="N643" s="692">
        <v>10.5</v>
      </c>
      <c r="O643" s="692">
        <v>11</v>
      </c>
      <c r="P643" s="692">
        <v>11.5</v>
      </c>
      <c r="Q643" s="698">
        <v>12.5</v>
      </c>
    </row>
    <row r="644" spans="1:17" s="83" customFormat="1" ht="33" customHeight="1" x14ac:dyDescent="0.25">
      <c r="A644" s="1279"/>
      <c r="B644" s="1034"/>
      <c r="C644" s="1034"/>
      <c r="D644" s="1008"/>
      <c r="E644" s="1025"/>
      <c r="F644" s="1231"/>
      <c r="G644" s="1232"/>
      <c r="H644" s="1232"/>
      <c r="I644" s="1232"/>
      <c r="J644" s="1232"/>
      <c r="K644" s="673" t="s">
        <v>579</v>
      </c>
      <c r="L644" s="677" t="s">
        <v>524</v>
      </c>
      <c r="M644" s="96">
        <v>1.7</v>
      </c>
      <c r="N644" s="692">
        <v>2</v>
      </c>
      <c r="O644" s="692">
        <v>2</v>
      </c>
      <c r="P644" s="692">
        <v>2.5</v>
      </c>
      <c r="Q644" s="698">
        <v>3</v>
      </c>
    </row>
    <row r="645" spans="1:17" s="83" customFormat="1" ht="24.75" customHeight="1" x14ac:dyDescent="0.25">
      <c r="A645" s="1279"/>
      <c r="B645" s="1034"/>
      <c r="C645" s="1034"/>
      <c r="D645" s="1008"/>
      <c r="E645" s="1025"/>
      <c r="F645" s="1231"/>
      <c r="G645" s="1232"/>
      <c r="H645" s="1232"/>
      <c r="I645" s="1232"/>
      <c r="J645" s="1232"/>
      <c r="K645" s="673" t="s">
        <v>580</v>
      </c>
      <c r="L645" s="677" t="s">
        <v>556</v>
      </c>
      <c r="M645" s="96">
        <v>50</v>
      </c>
      <c r="N645" s="692">
        <v>51</v>
      </c>
      <c r="O645" s="692">
        <v>53</v>
      </c>
      <c r="P645" s="692">
        <v>60</v>
      </c>
      <c r="Q645" s="698">
        <v>69</v>
      </c>
    </row>
    <row r="646" spans="1:17" s="83" customFormat="1" ht="21" customHeight="1" x14ac:dyDescent="0.25">
      <c r="A646" s="1279"/>
      <c r="B646" s="1034"/>
      <c r="C646" s="1034"/>
      <c r="D646" s="1009"/>
      <c r="E646" s="1025"/>
      <c r="F646" s="1231"/>
      <c r="G646" s="1232"/>
      <c r="H646" s="1232"/>
      <c r="I646" s="1232"/>
      <c r="J646" s="1232"/>
      <c r="K646" s="648" t="s">
        <v>581</v>
      </c>
      <c r="L646" s="677" t="s">
        <v>556</v>
      </c>
      <c r="M646" s="96">
        <v>80.5</v>
      </c>
      <c r="N646" s="677">
        <v>80.099999999999994</v>
      </c>
      <c r="O646" s="677">
        <v>81</v>
      </c>
      <c r="P646" s="677">
        <v>85</v>
      </c>
      <c r="Q646" s="680">
        <v>87</v>
      </c>
    </row>
    <row r="647" spans="1:17" s="83" customFormat="1" ht="63" customHeight="1" x14ac:dyDescent="0.25">
      <c r="A647" s="1279"/>
      <c r="B647" s="1034"/>
      <c r="C647" s="1034" t="s">
        <v>76</v>
      </c>
      <c r="D647" s="1007"/>
      <c r="E647" s="1025" t="s">
        <v>582</v>
      </c>
      <c r="F647" s="1231">
        <v>4855.3</v>
      </c>
      <c r="G647" s="1232">
        <v>4128.8999999999996</v>
      </c>
      <c r="H647" s="1232">
        <v>4921.2</v>
      </c>
      <c r="I647" s="1232">
        <v>4921.2</v>
      </c>
      <c r="J647" s="1232">
        <v>4921.2</v>
      </c>
      <c r="K647" s="673" t="s">
        <v>1374</v>
      </c>
      <c r="L647" s="677" t="s">
        <v>524</v>
      </c>
      <c r="M647" s="96">
        <v>3.3</v>
      </c>
      <c r="N647" s="96">
        <v>3.4</v>
      </c>
      <c r="O647" s="96">
        <v>3.5</v>
      </c>
      <c r="P647" s="96">
        <v>3.6</v>
      </c>
      <c r="Q647" s="485">
        <v>3.7</v>
      </c>
    </row>
    <row r="648" spans="1:17" s="83" customFormat="1" ht="48.75" customHeight="1" x14ac:dyDescent="0.25">
      <c r="A648" s="1279"/>
      <c r="B648" s="1034"/>
      <c r="C648" s="1034"/>
      <c r="D648" s="1009"/>
      <c r="E648" s="1025"/>
      <c r="F648" s="1231"/>
      <c r="G648" s="1232"/>
      <c r="H648" s="1232"/>
      <c r="I648" s="1232"/>
      <c r="J648" s="1232"/>
      <c r="K648" s="673" t="s">
        <v>1375</v>
      </c>
      <c r="L648" s="677" t="s">
        <v>540</v>
      </c>
      <c r="M648" s="678">
        <v>330</v>
      </c>
      <c r="N648" s="678">
        <v>350</v>
      </c>
      <c r="O648" s="678">
        <v>370</v>
      </c>
      <c r="P648" s="678">
        <v>390</v>
      </c>
      <c r="Q648" s="679">
        <v>410</v>
      </c>
    </row>
    <row r="649" spans="1:17" s="83" customFormat="1" ht="33.75" customHeight="1" x14ac:dyDescent="0.25">
      <c r="A649" s="1279"/>
      <c r="B649" s="1034"/>
      <c r="C649" s="1034" t="s">
        <v>79</v>
      </c>
      <c r="D649" s="1007"/>
      <c r="E649" s="1025" t="s">
        <v>583</v>
      </c>
      <c r="F649" s="1231">
        <v>7475.6</v>
      </c>
      <c r="G649" s="1232">
        <v>6394.3</v>
      </c>
      <c r="H649" s="1232">
        <v>6431.6</v>
      </c>
      <c r="I649" s="1232">
        <v>6431.6</v>
      </c>
      <c r="J649" s="1232">
        <v>6431.6</v>
      </c>
      <c r="K649" s="673" t="s">
        <v>584</v>
      </c>
      <c r="L649" s="677" t="s">
        <v>585</v>
      </c>
      <c r="M649" s="677">
        <v>1411</v>
      </c>
      <c r="N649" s="697">
        <v>1314</v>
      </c>
      <c r="O649" s="697">
        <v>1390</v>
      </c>
      <c r="P649" s="697">
        <v>1400</v>
      </c>
      <c r="Q649" s="545">
        <v>1420</v>
      </c>
    </row>
    <row r="650" spans="1:17" s="83" customFormat="1" ht="48.75" customHeight="1" x14ac:dyDescent="0.25">
      <c r="A650" s="1279"/>
      <c r="B650" s="1034"/>
      <c r="C650" s="1034"/>
      <c r="D650" s="1008"/>
      <c r="E650" s="1025"/>
      <c r="F650" s="1231"/>
      <c r="G650" s="1232"/>
      <c r="H650" s="1232"/>
      <c r="I650" s="1232"/>
      <c r="J650" s="1232"/>
      <c r="K650" s="673" t="s">
        <v>586</v>
      </c>
      <c r="L650" s="683" t="s">
        <v>587</v>
      </c>
      <c r="M650" s="677">
        <v>5750</v>
      </c>
      <c r="N650" s="697">
        <v>4500</v>
      </c>
      <c r="O650" s="697">
        <v>4500</v>
      </c>
      <c r="P650" s="697">
        <v>4500</v>
      </c>
      <c r="Q650" s="545">
        <v>4500</v>
      </c>
    </row>
    <row r="651" spans="1:17" s="83" customFormat="1" ht="33.75" customHeight="1" x14ac:dyDescent="0.25">
      <c r="A651" s="1279"/>
      <c r="B651" s="1034"/>
      <c r="C651" s="1034"/>
      <c r="D651" s="1009"/>
      <c r="E651" s="1025"/>
      <c r="F651" s="1231"/>
      <c r="G651" s="1232"/>
      <c r="H651" s="1232"/>
      <c r="I651" s="1232"/>
      <c r="J651" s="1232"/>
      <c r="K651" s="673" t="s">
        <v>588</v>
      </c>
      <c r="L651" s="677" t="s">
        <v>589</v>
      </c>
      <c r="M651" s="677">
        <v>2222</v>
      </c>
      <c r="N651" s="619">
        <v>2250</v>
      </c>
      <c r="O651" s="619">
        <v>2300</v>
      </c>
      <c r="P651" s="619">
        <v>2400</v>
      </c>
      <c r="Q651" s="546">
        <v>2500</v>
      </c>
    </row>
    <row r="652" spans="1:17" s="83" customFormat="1" ht="64.5" customHeight="1" x14ac:dyDescent="0.25">
      <c r="A652" s="1279"/>
      <c r="B652" s="672"/>
      <c r="C652" s="672" t="s">
        <v>82</v>
      </c>
      <c r="D652" s="672"/>
      <c r="E652" s="673" t="s">
        <v>590</v>
      </c>
      <c r="F652" s="736">
        <v>2499.6999999999998</v>
      </c>
      <c r="G652" s="737">
        <v>3643.5</v>
      </c>
      <c r="H652" s="737">
        <v>3752.8</v>
      </c>
      <c r="I652" s="737">
        <v>3752.8</v>
      </c>
      <c r="J652" s="737">
        <v>3752.8</v>
      </c>
      <c r="K652" s="673" t="s">
        <v>591</v>
      </c>
      <c r="L652" s="677" t="s">
        <v>537</v>
      </c>
      <c r="M652" s="677">
        <v>12</v>
      </c>
      <c r="N652" s="619"/>
      <c r="O652" s="619"/>
      <c r="P652" s="619"/>
      <c r="Q652" s="546"/>
    </row>
    <row r="653" spans="1:17" s="83" customFormat="1" ht="53.25" customHeight="1" x14ac:dyDescent="0.25">
      <c r="A653" s="1279"/>
      <c r="B653" s="1034"/>
      <c r="C653" s="1034" t="s">
        <v>83</v>
      </c>
      <c r="D653" s="1007"/>
      <c r="E653" s="1025" t="s">
        <v>592</v>
      </c>
      <c r="F653" s="1231">
        <v>10522.1</v>
      </c>
      <c r="G653" s="1232">
        <v>12830.6</v>
      </c>
      <c r="H653" s="1232">
        <v>12830.6</v>
      </c>
      <c r="I653" s="1232">
        <v>12830.6</v>
      </c>
      <c r="J653" s="1232">
        <v>12830.6</v>
      </c>
      <c r="K653" s="673" t="s">
        <v>1376</v>
      </c>
      <c r="L653" s="677" t="s">
        <v>111</v>
      </c>
      <c r="M653" s="677">
        <v>343</v>
      </c>
      <c r="N653" s="644">
        <v>345</v>
      </c>
      <c r="O653" s="644">
        <v>350</v>
      </c>
      <c r="P653" s="644">
        <v>350</v>
      </c>
      <c r="Q653" s="645">
        <v>350</v>
      </c>
    </row>
    <row r="654" spans="1:17" s="83" customFormat="1" ht="43.5" customHeight="1" x14ac:dyDescent="0.25">
      <c r="A654" s="1279"/>
      <c r="B654" s="1034"/>
      <c r="C654" s="1034"/>
      <c r="D654" s="1009"/>
      <c r="E654" s="1025"/>
      <c r="F654" s="1231"/>
      <c r="G654" s="1232"/>
      <c r="H654" s="1232"/>
      <c r="I654" s="1232"/>
      <c r="J654" s="1232"/>
      <c r="K654" s="673" t="s">
        <v>1377</v>
      </c>
      <c r="L654" s="677" t="s">
        <v>111</v>
      </c>
      <c r="M654" s="677">
        <v>17</v>
      </c>
      <c r="N654" s="644">
        <v>17</v>
      </c>
      <c r="O654" s="644">
        <v>18</v>
      </c>
      <c r="P654" s="644">
        <v>18</v>
      </c>
      <c r="Q654" s="645">
        <v>18</v>
      </c>
    </row>
    <row r="655" spans="1:17" s="78" customFormat="1" ht="32.25" customHeight="1" x14ac:dyDescent="0.25">
      <c r="A655" s="1279"/>
      <c r="B655" s="1044" t="s">
        <v>593</v>
      </c>
      <c r="C655" s="1044"/>
      <c r="D655" s="1243"/>
      <c r="E655" s="1020" t="s">
        <v>1378</v>
      </c>
      <c r="F655" s="1021">
        <f>F660+F662+F665+F664+F669</f>
        <v>9876.7000000000007</v>
      </c>
      <c r="G655" s="1021">
        <f>G660+G662+G665+G664+G669</f>
        <v>12276.3</v>
      </c>
      <c r="H655" s="1021">
        <f>H660+H662+H665+H664+H669</f>
        <v>553883.6</v>
      </c>
      <c r="I655" s="1021">
        <f>I660+I662+I665+I664+I669</f>
        <v>523883.6</v>
      </c>
      <c r="J655" s="1021">
        <f>J660+J662+J665+J664+J669</f>
        <v>524998.1</v>
      </c>
      <c r="K655" s="1241" t="s">
        <v>594</v>
      </c>
      <c r="L655" s="1214" t="s">
        <v>19</v>
      </c>
      <c r="M655" s="1214">
        <v>70</v>
      </c>
      <c r="N655" s="1122">
        <v>80</v>
      </c>
      <c r="O655" s="1122">
        <v>85</v>
      </c>
      <c r="P655" s="1122">
        <v>87</v>
      </c>
      <c r="Q655" s="1242">
        <v>87</v>
      </c>
    </row>
    <row r="656" spans="1:17" s="78" customFormat="1" ht="36.75" customHeight="1" x14ac:dyDescent="0.25">
      <c r="A656" s="1279"/>
      <c r="B656" s="1044"/>
      <c r="C656" s="1044"/>
      <c r="D656" s="1243"/>
      <c r="E656" s="1020"/>
      <c r="F656" s="1021"/>
      <c r="G656" s="1021"/>
      <c r="H656" s="1021"/>
      <c r="I656" s="1021"/>
      <c r="J656" s="1021"/>
      <c r="K656" s="1095"/>
      <c r="L656" s="1059"/>
      <c r="M656" s="1059"/>
      <c r="N656" s="1059"/>
      <c r="O656" s="1059"/>
      <c r="P656" s="1059"/>
      <c r="Q656" s="1060"/>
    </row>
    <row r="657" spans="1:17" s="78" customFormat="1" ht="30" customHeight="1" x14ac:dyDescent="0.25">
      <c r="A657" s="1279"/>
      <c r="B657" s="1044"/>
      <c r="C657" s="1044"/>
      <c r="D657" s="1243"/>
      <c r="E657" s="1020"/>
      <c r="F657" s="1021"/>
      <c r="G657" s="1021"/>
      <c r="H657" s="1021"/>
      <c r="I657" s="1021"/>
      <c r="J657" s="1021"/>
      <c r="K657" s="1095"/>
      <c r="L657" s="1059"/>
      <c r="M657" s="1059"/>
      <c r="N657" s="1059"/>
      <c r="O657" s="1059"/>
      <c r="P657" s="1059"/>
      <c r="Q657" s="1060"/>
    </row>
    <row r="658" spans="1:17" s="78" customFormat="1" ht="33.75" customHeight="1" x14ac:dyDescent="0.25">
      <c r="A658" s="1279"/>
      <c r="B658" s="1044"/>
      <c r="C658" s="1044"/>
      <c r="D658" s="1243"/>
      <c r="E658" s="1020"/>
      <c r="F658" s="1021"/>
      <c r="G658" s="1021"/>
      <c r="H658" s="1021"/>
      <c r="I658" s="1021"/>
      <c r="J658" s="1021"/>
      <c r="K658" s="1095"/>
      <c r="L658" s="1059"/>
      <c r="M658" s="1059"/>
      <c r="N658" s="1059"/>
      <c r="O658" s="1059"/>
      <c r="P658" s="1059"/>
      <c r="Q658" s="1060"/>
    </row>
    <row r="659" spans="1:17" s="78" customFormat="1" hidden="1" x14ac:dyDescent="0.25">
      <c r="A659" s="1279"/>
      <c r="B659" s="1044"/>
      <c r="C659" s="1044"/>
      <c r="D659" s="1243"/>
      <c r="E659" s="1020"/>
      <c r="F659" s="1021"/>
      <c r="G659" s="1021"/>
      <c r="H659" s="1021"/>
      <c r="I659" s="1021"/>
      <c r="J659" s="1021"/>
      <c r="K659" s="1095"/>
      <c r="L659" s="1059"/>
      <c r="M659" s="1059"/>
      <c r="N659" s="1059"/>
      <c r="O659" s="1059"/>
      <c r="P659" s="1059"/>
      <c r="Q659" s="1060"/>
    </row>
    <row r="660" spans="1:17" s="83" customFormat="1" ht="54.75" customHeight="1" x14ac:dyDescent="0.25">
      <c r="A660" s="1279"/>
      <c r="B660" s="1034"/>
      <c r="C660" s="1034" t="s">
        <v>43</v>
      </c>
      <c r="D660" s="1007"/>
      <c r="E660" s="1025" t="s">
        <v>595</v>
      </c>
      <c r="F660" s="1050">
        <v>9876.7000000000007</v>
      </c>
      <c r="G660" s="1050">
        <v>12276.3</v>
      </c>
      <c r="H660" s="1050">
        <v>12276.3</v>
      </c>
      <c r="I660" s="1050">
        <v>12276.3</v>
      </c>
      <c r="J660" s="1050">
        <v>12276.3</v>
      </c>
      <c r="K660" s="673" t="s">
        <v>596</v>
      </c>
      <c r="L660" s="677" t="s">
        <v>597</v>
      </c>
      <c r="M660" s="677">
        <v>0</v>
      </c>
      <c r="N660" s="683">
        <v>350</v>
      </c>
      <c r="O660" s="683">
        <v>350</v>
      </c>
      <c r="P660" s="683">
        <v>350</v>
      </c>
      <c r="Q660" s="486">
        <v>350</v>
      </c>
    </row>
    <row r="661" spans="1:17" s="83" customFormat="1" ht="37.5" customHeight="1" x14ac:dyDescent="0.25">
      <c r="A661" s="1279"/>
      <c r="B661" s="1034"/>
      <c r="C661" s="1034"/>
      <c r="D661" s="1009"/>
      <c r="E661" s="1025"/>
      <c r="F661" s="1050"/>
      <c r="G661" s="1050"/>
      <c r="H661" s="1050"/>
      <c r="I661" s="1050"/>
      <c r="J661" s="1050"/>
      <c r="K661" s="673" t="s">
        <v>598</v>
      </c>
      <c r="L661" s="677" t="s">
        <v>597</v>
      </c>
      <c r="M661" s="677">
        <v>0</v>
      </c>
      <c r="N661" s="683">
        <v>125</v>
      </c>
      <c r="O661" s="683">
        <v>125</v>
      </c>
      <c r="P661" s="683">
        <v>125</v>
      </c>
      <c r="Q661" s="486">
        <v>125</v>
      </c>
    </row>
    <row r="662" spans="1:17" s="83" customFormat="1" ht="48.75" customHeight="1" x14ac:dyDescent="0.25">
      <c r="A662" s="1279"/>
      <c r="B662" s="1034"/>
      <c r="C662" s="1034" t="s">
        <v>48</v>
      </c>
      <c r="D662" s="1007"/>
      <c r="E662" s="1155" t="s">
        <v>599</v>
      </c>
      <c r="F662" s="1232">
        <v>0</v>
      </c>
      <c r="G662" s="1232">
        <v>0</v>
      </c>
      <c r="H662" s="1232">
        <f>38231.2+176525.5</f>
        <v>214756.7</v>
      </c>
      <c r="I662" s="1232">
        <f>38231.2+176525.5</f>
        <v>214756.7</v>
      </c>
      <c r="J662" s="1232">
        <f>38231.2+176525.5</f>
        <v>214756.7</v>
      </c>
      <c r="K662" s="59" t="s">
        <v>600</v>
      </c>
      <c r="L662" s="131" t="s">
        <v>19</v>
      </c>
      <c r="M662" s="131">
        <v>0</v>
      </c>
      <c r="N662" s="131">
        <v>20</v>
      </c>
      <c r="O662" s="637">
        <v>20</v>
      </c>
      <c r="P662" s="637">
        <v>20</v>
      </c>
      <c r="Q662" s="638">
        <v>20</v>
      </c>
    </row>
    <row r="663" spans="1:17" s="83" customFormat="1" ht="80.25" customHeight="1" x14ac:dyDescent="0.25">
      <c r="A663" s="1279"/>
      <c r="B663" s="1034"/>
      <c r="C663" s="1034"/>
      <c r="D663" s="1009"/>
      <c r="E663" s="1155"/>
      <c r="F663" s="1232"/>
      <c r="G663" s="1232"/>
      <c r="H663" s="1232"/>
      <c r="I663" s="1232"/>
      <c r="J663" s="1232"/>
      <c r="K663" s="129" t="s">
        <v>601</v>
      </c>
      <c r="L663" s="131" t="s">
        <v>602</v>
      </c>
      <c r="M663" s="131">
        <v>0</v>
      </c>
      <c r="N663" s="131">
        <v>240</v>
      </c>
      <c r="O663" s="637">
        <v>260</v>
      </c>
      <c r="P663" s="637">
        <v>270</v>
      </c>
      <c r="Q663" s="638">
        <v>280</v>
      </c>
    </row>
    <row r="664" spans="1:17" s="83" customFormat="1" ht="39" customHeight="1" x14ac:dyDescent="0.25">
      <c r="A664" s="1279"/>
      <c r="B664" s="1007"/>
      <c r="C664" s="1007" t="s">
        <v>37</v>
      </c>
      <c r="D664" s="1007"/>
      <c r="E664" s="1025" t="s">
        <v>603</v>
      </c>
      <c r="F664" s="1050">
        <v>0</v>
      </c>
      <c r="G664" s="1050">
        <v>0</v>
      </c>
      <c r="H664" s="1050">
        <f>291850.6+5000</f>
        <v>296850.59999999998</v>
      </c>
      <c r="I664" s="1050">
        <f>291850.6+5000</f>
        <v>296850.59999999998</v>
      </c>
      <c r="J664" s="1050">
        <f>291850.6+6114.5</f>
        <v>297965.09999999998</v>
      </c>
      <c r="K664" s="673" t="s">
        <v>604</v>
      </c>
      <c r="L664" s="131" t="s">
        <v>605</v>
      </c>
      <c r="M664" s="131">
        <v>0</v>
      </c>
      <c r="N664" s="131">
        <v>150</v>
      </c>
      <c r="O664" s="637">
        <v>150</v>
      </c>
      <c r="P664" s="637">
        <v>120</v>
      </c>
      <c r="Q664" s="638">
        <v>120</v>
      </c>
    </row>
    <row r="665" spans="1:17" s="83" customFormat="1" ht="30.75" customHeight="1" x14ac:dyDescent="0.25">
      <c r="A665" s="1279"/>
      <c r="B665" s="1008"/>
      <c r="C665" s="1008"/>
      <c r="D665" s="1008"/>
      <c r="E665" s="1240"/>
      <c r="F665" s="1058"/>
      <c r="G665" s="1058"/>
      <c r="H665" s="1058"/>
      <c r="I665" s="1058"/>
      <c r="J665" s="1058"/>
      <c r="K665" s="129" t="s">
        <v>606</v>
      </c>
      <c r="L665" s="131" t="s">
        <v>607</v>
      </c>
      <c r="M665" s="131">
        <v>0</v>
      </c>
      <c r="N665" s="131">
        <v>22.5</v>
      </c>
      <c r="O665" s="131">
        <v>22.5</v>
      </c>
      <c r="P665" s="637">
        <v>22.9</v>
      </c>
      <c r="Q665" s="638">
        <v>23.1</v>
      </c>
    </row>
    <row r="666" spans="1:17" s="83" customFormat="1" ht="32.25" customHeight="1" x14ac:dyDescent="0.25">
      <c r="A666" s="1279"/>
      <c r="B666" s="1008"/>
      <c r="C666" s="1008"/>
      <c r="D666" s="1008"/>
      <c r="E666" s="1240"/>
      <c r="F666" s="1058"/>
      <c r="G666" s="1058"/>
      <c r="H666" s="1058"/>
      <c r="I666" s="1058"/>
      <c r="J666" s="1058"/>
      <c r="K666" s="129" t="s">
        <v>608</v>
      </c>
      <c r="L666" s="131" t="s">
        <v>609</v>
      </c>
      <c r="M666" s="131">
        <v>0</v>
      </c>
      <c r="N666" s="131">
        <v>3700</v>
      </c>
      <c r="O666" s="131">
        <v>3800</v>
      </c>
      <c r="P666" s="637">
        <v>3900</v>
      </c>
      <c r="Q666" s="638">
        <v>3900</v>
      </c>
    </row>
    <row r="667" spans="1:17" s="83" customFormat="1" ht="32.25" customHeight="1" x14ac:dyDescent="0.25">
      <c r="A667" s="1279"/>
      <c r="B667" s="1008"/>
      <c r="C667" s="1008"/>
      <c r="D667" s="1008"/>
      <c r="E667" s="1240"/>
      <c r="F667" s="1058"/>
      <c r="G667" s="1058"/>
      <c r="H667" s="1058"/>
      <c r="I667" s="1058"/>
      <c r="J667" s="1058"/>
      <c r="K667" s="129" t="s">
        <v>610</v>
      </c>
      <c r="L667" s="131" t="s">
        <v>611</v>
      </c>
      <c r="M667" s="131">
        <v>0</v>
      </c>
      <c r="N667" s="131">
        <v>19.600000000000001</v>
      </c>
      <c r="O667" s="131">
        <v>19.600000000000001</v>
      </c>
      <c r="P667" s="637">
        <v>19.600000000000001</v>
      </c>
      <c r="Q667" s="638">
        <v>19.600000000000001</v>
      </c>
    </row>
    <row r="668" spans="1:17" s="83" customFormat="1" ht="36.75" customHeight="1" x14ac:dyDescent="0.25">
      <c r="A668" s="1279"/>
      <c r="B668" s="1009"/>
      <c r="C668" s="1009"/>
      <c r="D668" s="1009"/>
      <c r="E668" s="1240"/>
      <c r="F668" s="1058"/>
      <c r="G668" s="1058"/>
      <c r="H668" s="1058"/>
      <c r="I668" s="1058"/>
      <c r="J668" s="1058"/>
      <c r="K668" s="129" t="s">
        <v>612</v>
      </c>
      <c r="L668" s="131" t="s">
        <v>613</v>
      </c>
      <c r="M668" s="131">
        <v>0</v>
      </c>
      <c r="N668" s="131">
        <v>177950</v>
      </c>
      <c r="O668" s="131">
        <v>177950</v>
      </c>
      <c r="P668" s="637">
        <v>178000</v>
      </c>
      <c r="Q668" s="638">
        <v>178000</v>
      </c>
    </row>
    <row r="669" spans="1:17" s="83" customFormat="1" ht="45" x14ac:dyDescent="0.25">
      <c r="A669" s="1279"/>
      <c r="B669" s="672"/>
      <c r="C669" s="672" t="s">
        <v>73</v>
      </c>
      <c r="D669" s="672"/>
      <c r="E669" s="673" t="s">
        <v>614</v>
      </c>
      <c r="F669" s="618">
        <v>0</v>
      </c>
      <c r="G669" s="618">
        <v>0</v>
      </c>
      <c r="H669" s="618">
        <f>30000</f>
        <v>30000</v>
      </c>
      <c r="I669" s="618">
        <v>0</v>
      </c>
      <c r="J669" s="618">
        <v>0</v>
      </c>
      <c r="K669" s="129" t="s">
        <v>615</v>
      </c>
      <c r="L669" s="131" t="s">
        <v>1379</v>
      </c>
      <c r="M669" s="131">
        <v>0</v>
      </c>
      <c r="N669" s="131">
        <v>1098.0999999999999</v>
      </c>
      <c r="O669" s="131">
        <v>732</v>
      </c>
      <c r="P669" s="637">
        <v>6266.7</v>
      </c>
      <c r="Q669" s="547">
        <v>0.9</v>
      </c>
    </row>
    <row r="670" spans="1:17" s="78" customFormat="1" ht="38.25" customHeight="1" x14ac:dyDescent="0.25">
      <c r="A670" s="1279"/>
      <c r="B670" s="1044" t="s">
        <v>616</v>
      </c>
      <c r="C670" s="1044"/>
      <c r="D670" s="1044"/>
      <c r="E670" s="1233" t="s">
        <v>1267</v>
      </c>
      <c r="F670" s="1021">
        <f>F673+F674+F680+F683+F684+F688+F690+F696</f>
        <v>0</v>
      </c>
      <c r="G670" s="1021">
        <f>G673+G674+G680+G683+G684+G688+G690+G696</f>
        <v>0</v>
      </c>
      <c r="H670" s="1021">
        <f>H673+H674+H680+H683+H684+H688+H690+H696</f>
        <v>3626941.5000000005</v>
      </c>
      <c r="I670" s="1021">
        <f>I673+I674+I680+I683+I684+I688+I690+I696</f>
        <v>3841229.7</v>
      </c>
      <c r="J670" s="1021">
        <f>J673+J674+J680+J683+J684+J688+J690+J696</f>
        <v>3097066.2</v>
      </c>
      <c r="K670" s="651" t="s">
        <v>617</v>
      </c>
      <c r="L670" s="688" t="s">
        <v>524</v>
      </c>
      <c r="M670" s="688">
        <v>0</v>
      </c>
      <c r="N670" s="168">
        <v>1024</v>
      </c>
      <c r="O670" s="168">
        <v>1024</v>
      </c>
      <c r="P670" s="168">
        <v>1024</v>
      </c>
      <c r="Q670" s="548">
        <v>1024</v>
      </c>
    </row>
    <row r="671" spans="1:17" s="78" customFormat="1" ht="54.75" customHeight="1" x14ac:dyDescent="0.25">
      <c r="A671" s="1279"/>
      <c r="B671" s="1044"/>
      <c r="C671" s="1044"/>
      <c r="D671" s="1044"/>
      <c r="E671" s="1233"/>
      <c r="F671" s="1021"/>
      <c r="G671" s="1021"/>
      <c r="H671" s="1021"/>
      <c r="I671" s="1021"/>
      <c r="J671" s="1021"/>
      <c r="K671" s="621" t="s">
        <v>618</v>
      </c>
      <c r="L671" s="736" t="s">
        <v>619</v>
      </c>
      <c r="M671" s="736">
        <v>0</v>
      </c>
      <c r="N671" s="736" t="s">
        <v>620</v>
      </c>
      <c r="O671" s="736"/>
      <c r="P671" s="736"/>
      <c r="Q671" s="531"/>
    </row>
    <row r="672" spans="1:17" s="78" customFormat="1" ht="43.5" customHeight="1" x14ac:dyDescent="0.25">
      <c r="A672" s="1279"/>
      <c r="B672" s="1044"/>
      <c r="C672" s="1044"/>
      <c r="D672" s="1044"/>
      <c r="E672" s="1233"/>
      <c r="F672" s="1021"/>
      <c r="G672" s="1021"/>
      <c r="H672" s="1021"/>
      <c r="I672" s="1021"/>
      <c r="J672" s="1021"/>
      <c r="K672" s="621" t="s">
        <v>621</v>
      </c>
      <c r="L672" s="736" t="s">
        <v>1380</v>
      </c>
      <c r="M672" s="736">
        <v>0</v>
      </c>
      <c r="N672" s="169">
        <v>4931.8999999999996</v>
      </c>
      <c r="O672" s="169">
        <v>4900</v>
      </c>
      <c r="P672" s="169">
        <v>4900</v>
      </c>
      <c r="Q672" s="532">
        <v>4900</v>
      </c>
    </row>
    <row r="673" spans="1:17" s="83" customFormat="1" ht="71.25" customHeight="1" x14ac:dyDescent="0.25">
      <c r="A673" s="1279"/>
      <c r="B673" s="672"/>
      <c r="C673" s="672" t="s">
        <v>43</v>
      </c>
      <c r="D673" s="672"/>
      <c r="E673" s="696" t="s">
        <v>622</v>
      </c>
      <c r="F673" s="618">
        <v>0</v>
      </c>
      <c r="G673" s="618">
        <v>0</v>
      </c>
      <c r="H673" s="618">
        <v>23720.5</v>
      </c>
      <c r="I673" s="618">
        <v>23720.5</v>
      </c>
      <c r="J673" s="618">
        <v>23720.5</v>
      </c>
      <c r="K673" s="673"/>
      <c r="L673" s="692"/>
      <c r="M673" s="692"/>
      <c r="N673" s="692"/>
      <c r="O673" s="692"/>
      <c r="P673" s="692"/>
      <c r="Q673" s="698"/>
    </row>
    <row r="674" spans="1:17" s="83" customFormat="1" ht="33.75" customHeight="1" x14ac:dyDescent="0.25">
      <c r="A674" s="1279"/>
      <c r="B674" s="1034"/>
      <c r="C674" s="1034" t="s">
        <v>48</v>
      </c>
      <c r="D674" s="1007"/>
      <c r="E674" s="1155" t="s">
        <v>623</v>
      </c>
      <c r="F674" s="1050">
        <v>0</v>
      </c>
      <c r="G674" s="1050">
        <v>0</v>
      </c>
      <c r="H674" s="1050">
        <f>1165271.1+5756</f>
        <v>1171027.1000000001</v>
      </c>
      <c r="I674" s="1050">
        <f>1165271.1+5756</f>
        <v>1171027.1000000001</v>
      </c>
      <c r="J674" s="1050">
        <f>1165271.1+5756</f>
        <v>1171027.1000000001</v>
      </c>
      <c r="K674" s="673" t="s">
        <v>624</v>
      </c>
      <c r="L674" s="692" t="s">
        <v>625</v>
      </c>
      <c r="M674" s="692">
        <v>0</v>
      </c>
      <c r="N674" s="692">
        <v>1574</v>
      </c>
      <c r="O674" s="692">
        <v>1574</v>
      </c>
      <c r="P674" s="692"/>
      <c r="Q674" s="698"/>
    </row>
    <row r="675" spans="1:17" s="83" customFormat="1" ht="30" customHeight="1" x14ac:dyDescent="0.25">
      <c r="A675" s="1279"/>
      <c r="B675" s="1034"/>
      <c r="C675" s="1072"/>
      <c r="D675" s="1008"/>
      <c r="E675" s="1224"/>
      <c r="F675" s="1099"/>
      <c r="G675" s="1099"/>
      <c r="H675" s="1099"/>
      <c r="I675" s="1099"/>
      <c r="J675" s="1099"/>
      <c r="K675" s="742" t="s">
        <v>626</v>
      </c>
      <c r="L675" s="131" t="s">
        <v>627</v>
      </c>
      <c r="M675" s="131">
        <v>0</v>
      </c>
      <c r="N675" s="131">
        <v>420</v>
      </c>
      <c r="O675" s="131">
        <v>420</v>
      </c>
      <c r="P675" s="131"/>
      <c r="Q675" s="538"/>
    </row>
    <row r="676" spans="1:17" s="83" customFormat="1" ht="36.75" customHeight="1" x14ac:dyDescent="0.25">
      <c r="A676" s="1279"/>
      <c r="B676" s="1034"/>
      <c r="C676" s="1072"/>
      <c r="D676" s="1008"/>
      <c r="E676" s="1224"/>
      <c r="F676" s="1099"/>
      <c r="G676" s="1099"/>
      <c r="H676" s="1099"/>
      <c r="I676" s="1099"/>
      <c r="J676" s="1099"/>
      <c r="K676" s="742" t="s">
        <v>628</v>
      </c>
      <c r="L676" s="131" t="s">
        <v>495</v>
      </c>
      <c r="M676" s="131">
        <v>0</v>
      </c>
      <c r="N676" s="131">
        <v>680</v>
      </c>
      <c r="O676" s="131">
        <v>854</v>
      </c>
      <c r="P676" s="131"/>
      <c r="Q676" s="538"/>
    </row>
    <row r="677" spans="1:17" s="83" customFormat="1" ht="32.25" customHeight="1" x14ac:dyDescent="0.25">
      <c r="A677" s="1279"/>
      <c r="B677" s="1034"/>
      <c r="C677" s="1072"/>
      <c r="D677" s="1008"/>
      <c r="E677" s="1224"/>
      <c r="F677" s="1099"/>
      <c r="G677" s="1099"/>
      <c r="H677" s="1099"/>
      <c r="I677" s="1099"/>
      <c r="J677" s="1099"/>
      <c r="K677" s="742" t="s">
        <v>629</v>
      </c>
      <c r="L677" s="131" t="s">
        <v>495</v>
      </c>
      <c r="M677" s="131">
        <v>0</v>
      </c>
      <c r="N677" s="131">
        <v>475</v>
      </c>
      <c r="O677" s="131">
        <v>648</v>
      </c>
      <c r="P677" s="131"/>
      <c r="Q677" s="538"/>
    </row>
    <row r="678" spans="1:17" s="83" customFormat="1" ht="27" customHeight="1" x14ac:dyDescent="0.25">
      <c r="A678" s="1279"/>
      <c r="B678" s="1034"/>
      <c r="C678" s="1072"/>
      <c r="D678" s="1008"/>
      <c r="E678" s="1224"/>
      <c r="F678" s="1099"/>
      <c r="G678" s="1099"/>
      <c r="H678" s="1099"/>
      <c r="I678" s="1099"/>
      <c r="J678" s="1099"/>
      <c r="K678" s="742" t="s">
        <v>630</v>
      </c>
      <c r="L678" s="131" t="s">
        <v>495</v>
      </c>
      <c r="M678" s="131">
        <v>0</v>
      </c>
      <c r="N678" s="131">
        <v>82</v>
      </c>
      <c r="O678" s="131">
        <v>83</v>
      </c>
      <c r="P678" s="131"/>
      <c r="Q678" s="538"/>
    </row>
    <row r="679" spans="1:17" s="83" customFormat="1" ht="29.25" customHeight="1" x14ac:dyDescent="0.25">
      <c r="A679" s="1279"/>
      <c r="B679" s="1034"/>
      <c r="C679" s="1072"/>
      <c r="D679" s="1009"/>
      <c r="E679" s="1224"/>
      <c r="F679" s="1099"/>
      <c r="G679" s="1099"/>
      <c r="H679" s="1099"/>
      <c r="I679" s="1099"/>
      <c r="J679" s="1099"/>
      <c r="K679" s="742" t="s">
        <v>631</v>
      </c>
      <c r="L679" s="131" t="s">
        <v>1380</v>
      </c>
      <c r="M679" s="131">
        <v>0</v>
      </c>
      <c r="N679" s="131">
        <v>4931.8999999999996</v>
      </c>
      <c r="O679" s="131">
        <v>4900</v>
      </c>
      <c r="P679" s="131"/>
      <c r="Q679" s="538"/>
    </row>
    <row r="680" spans="1:17" s="83" customFormat="1" ht="54" customHeight="1" x14ac:dyDescent="0.25">
      <c r="A680" s="1279"/>
      <c r="B680" s="1034"/>
      <c r="C680" s="1034" t="s">
        <v>37</v>
      </c>
      <c r="D680" s="1007"/>
      <c r="E680" s="1025" t="s">
        <v>632</v>
      </c>
      <c r="F680" s="1235">
        <v>0</v>
      </c>
      <c r="G680" s="1231">
        <v>0</v>
      </c>
      <c r="H680" s="1232">
        <v>11121.2</v>
      </c>
      <c r="I680" s="1232">
        <v>11121.1</v>
      </c>
      <c r="J680" s="1232">
        <v>11121.2</v>
      </c>
      <c r="K680" s="138" t="s">
        <v>633</v>
      </c>
      <c r="L680" s="139" t="s">
        <v>14</v>
      </c>
      <c r="M680" s="677">
        <v>0</v>
      </c>
      <c r="N680" s="139">
        <v>460</v>
      </c>
      <c r="O680" s="644">
        <v>460</v>
      </c>
      <c r="P680" s="644"/>
      <c r="Q680" s="645"/>
    </row>
    <row r="681" spans="1:17" s="83" customFormat="1" ht="48" customHeight="1" x14ac:dyDescent="0.25">
      <c r="A681" s="1279"/>
      <c r="B681" s="1034"/>
      <c r="C681" s="1034"/>
      <c r="D681" s="1008"/>
      <c r="E681" s="1025"/>
      <c r="F681" s="1235"/>
      <c r="G681" s="1231"/>
      <c r="H681" s="1232"/>
      <c r="I681" s="1232"/>
      <c r="J681" s="1232"/>
      <c r="K681" s="138" t="s">
        <v>634</v>
      </c>
      <c r="L681" s="139" t="s">
        <v>14</v>
      </c>
      <c r="M681" s="677">
        <v>0</v>
      </c>
      <c r="N681" s="139">
        <v>1665</v>
      </c>
      <c r="O681" s="644">
        <v>1665</v>
      </c>
      <c r="P681" s="644"/>
      <c r="Q681" s="645"/>
    </row>
    <row r="682" spans="1:17" s="83" customFormat="1" ht="61.5" customHeight="1" x14ac:dyDescent="0.25">
      <c r="A682" s="1279"/>
      <c r="B682" s="1034"/>
      <c r="C682" s="1034"/>
      <c r="D682" s="1009"/>
      <c r="E682" s="1025"/>
      <c r="F682" s="1235"/>
      <c r="G682" s="1231"/>
      <c r="H682" s="1232"/>
      <c r="I682" s="1232"/>
      <c r="J682" s="1232"/>
      <c r="K682" s="138" t="s">
        <v>635</v>
      </c>
      <c r="L682" s="139" t="s">
        <v>14</v>
      </c>
      <c r="M682" s="677">
        <v>0</v>
      </c>
      <c r="N682" s="170">
        <v>78</v>
      </c>
      <c r="O682" s="644">
        <v>78</v>
      </c>
      <c r="P682" s="644"/>
      <c r="Q682" s="645"/>
    </row>
    <row r="683" spans="1:17" s="83" customFormat="1" ht="65.25" customHeight="1" x14ac:dyDescent="0.25">
      <c r="A683" s="1279"/>
      <c r="B683" s="672"/>
      <c r="C683" s="672" t="s">
        <v>73</v>
      </c>
      <c r="D683" s="672"/>
      <c r="E683" s="129" t="s">
        <v>1422</v>
      </c>
      <c r="F683" s="407">
        <v>0</v>
      </c>
      <c r="G683" s="736">
        <v>0</v>
      </c>
      <c r="H683" s="737">
        <v>279520.8</v>
      </c>
      <c r="I683" s="737">
        <v>0</v>
      </c>
      <c r="J683" s="737">
        <v>0</v>
      </c>
      <c r="K683" s="141" t="s">
        <v>636</v>
      </c>
      <c r="L683" s="131" t="s">
        <v>637</v>
      </c>
      <c r="M683" s="455">
        <v>0</v>
      </c>
      <c r="N683" s="455">
        <v>2</v>
      </c>
      <c r="O683" s="455">
        <v>3</v>
      </c>
      <c r="P683" s="150"/>
      <c r="Q683" s="549"/>
    </row>
    <row r="684" spans="1:17" s="83" customFormat="1" ht="33.75" customHeight="1" x14ac:dyDescent="0.25">
      <c r="A684" s="1279"/>
      <c r="B684" s="1034"/>
      <c r="C684" s="1034" t="s">
        <v>76</v>
      </c>
      <c r="D684" s="1007"/>
      <c r="E684" s="1025" t="s">
        <v>1423</v>
      </c>
      <c r="F684" s="1235">
        <v>0</v>
      </c>
      <c r="G684" s="1231">
        <v>0</v>
      </c>
      <c r="H684" s="1232">
        <v>817876.8</v>
      </c>
      <c r="I684" s="1232">
        <v>0</v>
      </c>
      <c r="J684" s="1232">
        <v>0</v>
      </c>
      <c r="K684" s="141" t="s">
        <v>638</v>
      </c>
      <c r="L684" s="131" t="s">
        <v>19</v>
      </c>
      <c r="M684" s="171">
        <v>0</v>
      </c>
      <c r="N684" s="131">
        <v>10</v>
      </c>
      <c r="O684" s="131">
        <v>10</v>
      </c>
      <c r="P684" s="171"/>
      <c r="Q684" s="550"/>
    </row>
    <row r="685" spans="1:17" s="83" customFormat="1" ht="25.5" customHeight="1" x14ac:dyDescent="0.25">
      <c r="A685" s="1279"/>
      <c r="B685" s="1034"/>
      <c r="C685" s="1034"/>
      <c r="D685" s="1008"/>
      <c r="E685" s="1025"/>
      <c r="F685" s="1235"/>
      <c r="G685" s="1231"/>
      <c r="H685" s="1232"/>
      <c r="I685" s="1232"/>
      <c r="J685" s="1232"/>
      <c r="K685" s="1234" t="s">
        <v>639</v>
      </c>
      <c r="L685" s="131" t="s">
        <v>414</v>
      </c>
      <c r="M685" s="455">
        <v>0</v>
      </c>
      <c r="N685" s="456">
        <v>26000</v>
      </c>
      <c r="O685" s="456">
        <v>26000</v>
      </c>
      <c r="P685" s="171"/>
      <c r="Q685" s="550"/>
    </row>
    <row r="686" spans="1:17" s="83" customFormat="1" ht="21.75" customHeight="1" x14ac:dyDescent="0.25">
      <c r="A686" s="1279"/>
      <c r="B686" s="1034"/>
      <c r="C686" s="1034"/>
      <c r="D686" s="1008"/>
      <c r="E686" s="1025"/>
      <c r="F686" s="1235"/>
      <c r="G686" s="1231"/>
      <c r="H686" s="1232"/>
      <c r="I686" s="1232"/>
      <c r="J686" s="1232"/>
      <c r="K686" s="1234"/>
      <c r="L686" s="131" t="s">
        <v>1383</v>
      </c>
      <c r="M686" s="171">
        <v>0</v>
      </c>
      <c r="N686" s="456">
        <v>2600</v>
      </c>
      <c r="O686" s="456">
        <v>2600</v>
      </c>
      <c r="P686" s="171"/>
      <c r="Q686" s="550"/>
    </row>
    <row r="687" spans="1:17" s="83" customFormat="1" ht="68.25" customHeight="1" x14ac:dyDescent="0.25">
      <c r="A687" s="1279"/>
      <c r="B687" s="1034"/>
      <c r="C687" s="1034"/>
      <c r="D687" s="1009"/>
      <c r="E687" s="1025"/>
      <c r="F687" s="1235"/>
      <c r="G687" s="1231"/>
      <c r="H687" s="1232"/>
      <c r="I687" s="1232"/>
      <c r="J687" s="1232"/>
      <c r="K687" s="718" t="s">
        <v>640</v>
      </c>
      <c r="L687" s="131" t="s">
        <v>19</v>
      </c>
      <c r="M687" s="171">
        <v>0</v>
      </c>
      <c r="N687" s="131">
        <v>75</v>
      </c>
      <c r="O687" s="131">
        <v>75</v>
      </c>
      <c r="P687" s="455"/>
      <c r="Q687" s="550"/>
    </row>
    <row r="688" spans="1:17" s="83" customFormat="1" ht="39.75" customHeight="1" x14ac:dyDescent="0.25">
      <c r="A688" s="1279"/>
      <c r="B688" s="1034"/>
      <c r="C688" s="1034" t="s">
        <v>79</v>
      </c>
      <c r="D688" s="1007"/>
      <c r="E688" s="1234" t="s">
        <v>1424</v>
      </c>
      <c r="F688" s="1235">
        <v>0</v>
      </c>
      <c r="G688" s="1231">
        <v>0</v>
      </c>
      <c r="H688" s="1232">
        <v>511836</v>
      </c>
      <c r="I688" s="1232">
        <v>0</v>
      </c>
      <c r="J688" s="1232">
        <v>0</v>
      </c>
      <c r="K688" s="742" t="s">
        <v>1425</v>
      </c>
      <c r="L688" s="131" t="s">
        <v>627</v>
      </c>
      <c r="M688" s="683">
        <v>0</v>
      </c>
      <c r="N688" s="683">
        <v>9.1</v>
      </c>
      <c r="O688" s="683"/>
      <c r="P688" s="644"/>
      <c r="Q688" s="645"/>
    </row>
    <row r="689" spans="1:17" s="83" customFormat="1" x14ac:dyDescent="0.25">
      <c r="A689" s="1279"/>
      <c r="B689" s="1034"/>
      <c r="C689" s="1034"/>
      <c r="D689" s="1009"/>
      <c r="E689" s="1234"/>
      <c r="F689" s="1235"/>
      <c r="G689" s="1231"/>
      <c r="H689" s="1232"/>
      <c r="I689" s="1232"/>
      <c r="J689" s="1232"/>
      <c r="K689" s="742" t="s">
        <v>641</v>
      </c>
      <c r="L689" s="131" t="s">
        <v>627</v>
      </c>
      <c r="M689" s="683">
        <v>0</v>
      </c>
      <c r="N689" s="683">
        <v>22.3</v>
      </c>
      <c r="O689" s="165">
        <v>5</v>
      </c>
      <c r="P689" s="644"/>
      <c r="Q689" s="645"/>
    </row>
    <row r="690" spans="1:17" s="83" customFormat="1" ht="68.25" customHeight="1" x14ac:dyDescent="0.25">
      <c r="A690" s="1279"/>
      <c r="B690" s="1034"/>
      <c r="C690" s="1034" t="s">
        <v>82</v>
      </c>
      <c r="D690" s="1007"/>
      <c r="E690" s="1234" t="s">
        <v>642</v>
      </c>
      <c r="F690" s="1235">
        <v>0</v>
      </c>
      <c r="G690" s="1231">
        <v>0</v>
      </c>
      <c r="H690" s="1232">
        <v>369750.7</v>
      </c>
      <c r="I690" s="1232">
        <v>830366</v>
      </c>
      <c r="J690" s="1232">
        <v>237285.4</v>
      </c>
      <c r="K690" s="673" t="s">
        <v>1381</v>
      </c>
      <c r="L690" s="692" t="s">
        <v>111</v>
      </c>
      <c r="M690" s="96">
        <v>0</v>
      </c>
      <c r="N690" s="96">
        <v>0</v>
      </c>
      <c r="O690" s="96">
        <v>1</v>
      </c>
      <c r="P690" s="96">
        <v>1</v>
      </c>
      <c r="Q690" s="485">
        <v>2</v>
      </c>
    </row>
    <row r="691" spans="1:17" s="83" customFormat="1" ht="70.5" customHeight="1" x14ac:dyDescent="0.25">
      <c r="A691" s="1279"/>
      <c r="B691" s="1034"/>
      <c r="C691" s="1034"/>
      <c r="D691" s="1008"/>
      <c r="E691" s="1234"/>
      <c r="F691" s="1235"/>
      <c r="G691" s="1231"/>
      <c r="H691" s="1232"/>
      <c r="I691" s="1232"/>
      <c r="J691" s="1232"/>
      <c r="K691" s="673" t="s">
        <v>643</v>
      </c>
      <c r="L691" s="692" t="s">
        <v>111</v>
      </c>
      <c r="M691" s="96">
        <v>0</v>
      </c>
      <c r="N691" s="96">
        <v>0</v>
      </c>
      <c r="O691" s="96">
        <v>1</v>
      </c>
      <c r="P691" s="96">
        <v>1</v>
      </c>
      <c r="Q691" s="485">
        <v>2</v>
      </c>
    </row>
    <row r="692" spans="1:17" s="83" customFormat="1" ht="92.25" customHeight="1" x14ac:dyDescent="0.25">
      <c r="A692" s="1279"/>
      <c r="B692" s="1034"/>
      <c r="C692" s="1034"/>
      <c r="D692" s="1008"/>
      <c r="E692" s="1234"/>
      <c r="F692" s="1235"/>
      <c r="G692" s="1231"/>
      <c r="H692" s="1232"/>
      <c r="I692" s="1232"/>
      <c r="J692" s="1232"/>
      <c r="K692" s="673" t="s">
        <v>644</v>
      </c>
      <c r="L692" s="692" t="s">
        <v>14</v>
      </c>
      <c r="M692" s="96">
        <v>0</v>
      </c>
      <c r="N692" s="96">
        <v>1</v>
      </c>
      <c r="O692" s="96">
        <v>5</v>
      </c>
      <c r="P692" s="96">
        <v>5</v>
      </c>
      <c r="Q692" s="485">
        <v>4</v>
      </c>
    </row>
    <row r="693" spans="1:17" s="83" customFormat="1" ht="112.5" customHeight="1" x14ac:dyDescent="0.25">
      <c r="A693" s="1279"/>
      <c r="B693" s="1034"/>
      <c r="C693" s="1034"/>
      <c r="D693" s="1008"/>
      <c r="E693" s="1234"/>
      <c r="F693" s="1235"/>
      <c r="G693" s="1231"/>
      <c r="H693" s="1232"/>
      <c r="I693" s="1232"/>
      <c r="J693" s="1232"/>
      <c r="K693" s="673" t="s">
        <v>1382</v>
      </c>
      <c r="L693" s="692" t="s">
        <v>17</v>
      </c>
      <c r="M693" s="96">
        <v>0</v>
      </c>
      <c r="N693" s="96">
        <v>0</v>
      </c>
      <c r="O693" s="96">
        <v>0</v>
      </c>
      <c r="P693" s="96">
        <v>2</v>
      </c>
      <c r="Q693" s="485">
        <v>2</v>
      </c>
    </row>
    <row r="694" spans="1:17" s="83" customFormat="1" ht="91.5" customHeight="1" x14ac:dyDescent="0.25">
      <c r="A694" s="1279"/>
      <c r="B694" s="1072"/>
      <c r="C694" s="1072"/>
      <c r="D694" s="1008"/>
      <c r="E694" s="1229"/>
      <c r="F694" s="1059"/>
      <c r="G694" s="1059"/>
      <c r="H694" s="1059"/>
      <c r="I694" s="1059"/>
      <c r="J694" s="1059"/>
      <c r="K694" s="673" t="s">
        <v>645</v>
      </c>
      <c r="L694" s="692" t="s">
        <v>495</v>
      </c>
      <c r="M694" s="96">
        <v>0</v>
      </c>
      <c r="N694" s="96">
        <v>4</v>
      </c>
      <c r="O694" s="96">
        <v>0</v>
      </c>
      <c r="P694" s="96">
        <v>0</v>
      </c>
      <c r="Q694" s="485">
        <v>0</v>
      </c>
    </row>
    <row r="695" spans="1:17" s="83" customFormat="1" ht="133.5" customHeight="1" x14ac:dyDescent="0.25">
      <c r="A695" s="1279"/>
      <c r="B695" s="1072"/>
      <c r="C695" s="1072"/>
      <c r="D695" s="1009"/>
      <c r="E695" s="1229"/>
      <c r="F695" s="1059"/>
      <c r="G695" s="1059"/>
      <c r="H695" s="1059"/>
      <c r="I695" s="1059"/>
      <c r="J695" s="1059"/>
      <c r="K695" s="673" t="s">
        <v>646</v>
      </c>
      <c r="L695" s="692" t="s">
        <v>123</v>
      </c>
      <c r="M695" s="96">
        <v>0</v>
      </c>
      <c r="N695" s="96">
        <v>1500</v>
      </c>
      <c r="O695" s="96">
        <v>1500</v>
      </c>
      <c r="P695" s="96">
        <v>1500</v>
      </c>
      <c r="Q695" s="485">
        <v>1500</v>
      </c>
    </row>
    <row r="696" spans="1:17" s="83" customFormat="1" ht="25.5" customHeight="1" x14ac:dyDescent="0.25">
      <c r="A696" s="1279"/>
      <c r="B696" s="1034"/>
      <c r="C696" s="1034" t="s">
        <v>83</v>
      </c>
      <c r="D696" s="1007"/>
      <c r="E696" s="1234" t="s">
        <v>1426</v>
      </c>
      <c r="F696" s="1235">
        <v>0</v>
      </c>
      <c r="G696" s="1231">
        <v>0</v>
      </c>
      <c r="H696" s="1232">
        <v>442088.4</v>
      </c>
      <c r="I696" s="1232">
        <v>1804995</v>
      </c>
      <c r="J696" s="1232">
        <v>1653912</v>
      </c>
      <c r="K696" s="742" t="s">
        <v>647</v>
      </c>
      <c r="L696" s="131" t="s">
        <v>495</v>
      </c>
      <c r="M696" s="165">
        <v>0</v>
      </c>
      <c r="N696" s="165"/>
      <c r="O696" s="96"/>
      <c r="P696" s="96"/>
      <c r="Q696" s="485">
        <v>4</v>
      </c>
    </row>
    <row r="697" spans="1:17" s="83" customFormat="1" ht="20.25" customHeight="1" x14ac:dyDescent="0.25">
      <c r="A697" s="1279"/>
      <c r="B697" s="1034"/>
      <c r="C697" s="1034"/>
      <c r="D697" s="1008"/>
      <c r="E697" s="1234"/>
      <c r="F697" s="1235"/>
      <c r="G697" s="1231"/>
      <c r="H697" s="1232"/>
      <c r="I697" s="1232"/>
      <c r="J697" s="1232"/>
      <c r="K697" s="742" t="s">
        <v>648</v>
      </c>
      <c r="L697" s="131" t="s">
        <v>627</v>
      </c>
      <c r="M697" s="165">
        <v>0</v>
      </c>
      <c r="N697" s="165"/>
      <c r="O697" s="96">
        <v>15</v>
      </c>
      <c r="P697" s="165">
        <v>23</v>
      </c>
      <c r="Q697" s="542">
        <v>36</v>
      </c>
    </row>
    <row r="698" spans="1:17" s="83" customFormat="1" ht="27" customHeight="1" x14ac:dyDescent="0.25">
      <c r="A698" s="1279"/>
      <c r="B698" s="1034"/>
      <c r="C698" s="1034"/>
      <c r="D698" s="1009"/>
      <c r="E698" s="1234"/>
      <c r="F698" s="1235"/>
      <c r="G698" s="1231"/>
      <c r="H698" s="1232"/>
      <c r="I698" s="1232"/>
      <c r="J698" s="1232"/>
      <c r="K698" s="742" t="s">
        <v>649</v>
      </c>
      <c r="L698" s="131" t="s">
        <v>495</v>
      </c>
      <c r="M698" s="165">
        <v>0</v>
      </c>
      <c r="N698" s="96"/>
      <c r="O698" s="96"/>
      <c r="P698" s="96"/>
      <c r="Q698" s="485">
        <v>12</v>
      </c>
    </row>
    <row r="699" spans="1:17" s="78" customFormat="1" ht="54" customHeight="1" x14ac:dyDescent="0.25">
      <c r="A699" s="1279"/>
      <c r="B699" s="1044" t="s">
        <v>650</v>
      </c>
      <c r="C699" s="1044"/>
      <c r="D699" s="1044"/>
      <c r="E699" s="1233" t="s">
        <v>1268</v>
      </c>
      <c r="F699" s="1021">
        <f>F701+F702+F705+F708+F709</f>
        <v>0</v>
      </c>
      <c r="G699" s="1021">
        <f>G701+G702+G705+G708+G709</f>
        <v>0</v>
      </c>
      <c r="H699" s="1021">
        <f>H701+H702+H705+H708+H709</f>
        <v>850014.3</v>
      </c>
      <c r="I699" s="1021">
        <f>I701+I702+I705+I708+I709</f>
        <v>850014.3</v>
      </c>
      <c r="J699" s="1021">
        <f>J701+J702+J705+J708+J709</f>
        <v>850014.3</v>
      </c>
      <c r="K699" s="651" t="s">
        <v>651</v>
      </c>
      <c r="L699" s="688"/>
      <c r="M699" s="688"/>
      <c r="N699" s="688"/>
      <c r="O699" s="688"/>
      <c r="P699" s="688"/>
      <c r="Q699" s="730"/>
    </row>
    <row r="700" spans="1:17" s="78" customFormat="1" ht="91.5" customHeight="1" x14ac:dyDescent="0.25">
      <c r="A700" s="1279"/>
      <c r="B700" s="1044"/>
      <c r="C700" s="1044"/>
      <c r="D700" s="1044"/>
      <c r="E700" s="1233"/>
      <c r="F700" s="1021"/>
      <c r="G700" s="1021"/>
      <c r="H700" s="1021"/>
      <c r="I700" s="1021"/>
      <c r="J700" s="1021"/>
      <c r="K700" s="651" t="s">
        <v>652</v>
      </c>
      <c r="L700" s="688"/>
      <c r="M700" s="688"/>
      <c r="N700" s="688"/>
      <c r="O700" s="688"/>
      <c r="P700" s="688"/>
      <c r="Q700" s="730"/>
    </row>
    <row r="701" spans="1:17" s="83" customFormat="1" ht="99.75" customHeight="1" x14ac:dyDescent="0.25">
      <c r="A701" s="1279"/>
      <c r="B701" s="681"/>
      <c r="C701" s="672" t="s">
        <v>43</v>
      </c>
      <c r="D701" s="681"/>
      <c r="E701" s="715" t="s">
        <v>653</v>
      </c>
      <c r="F701" s="652">
        <v>0</v>
      </c>
      <c r="G701" s="652">
        <v>0</v>
      </c>
      <c r="H701" s="652">
        <v>0</v>
      </c>
      <c r="I701" s="652">
        <v>0</v>
      </c>
      <c r="J701" s="652">
        <v>0</v>
      </c>
      <c r="K701" s="684"/>
      <c r="L701" s="731"/>
      <c r="M701" s="731"/>
      <c r="N701" s="731"/>
      <c r="O701" s="731"/>
      <c r="P701" s="731"/>
      <c r="Q701" s="732"/>
    </row>
    <row r="702" spans="1:17" s="83" customFormat="1" ht="45.75" customHeight="1" x14ac:dyDescent="0.25">
      <c r="A702" s="1279"/>
      <c r="B702" s="1034"/>
      <c r="C702" s="1034" t="s">
        <v>48</v>
      </c>
      <c r="D702" s="1007"/>
      <c r="E702" s="1025" t="s">
        <v>654</v>
      </c>
      <c r="F702" s="1230">
        <v>0</v>
      </c>
      <c r="G702" s="1231">
        <v>0</v>
      </c>
      <c r="H702" s="1232">
        <f>5420.8+28112.2+758422</f>
        <v>791955</v>
      </c>
      <c r="I702" s="1232">
        <f>5420.8+28112.2+758422</f>
        <v>791955</v>
      </c>
      <c r="J702" s="1232">
        <f>5420.8+28112.2+758422</f>
        <v>791955</v>
      </c>
      <c r="K702" s="142" t="s">
        <v>655</v>
      </c>
      <c r="L702" s="159" t="s">
        <v>656</v>
      </c>
      <c r="M702" s="172">
        <v>0</v>
      </c>
      <c r="N702" s="173">
        <v>71</v>
      </c>
      <c r="O702" s="173">
        <v>71</v>
      </c>
      <c r="P702" s="173">
        <v>71</v>
      </c>
      <c r="Q702" s="551">
        <v>71</v>
      </c>
    </row>
    <row r="703" spans="1:17" s="83" customFormat="1" ht="69" customHeight="1" x14ac:dyDescent="0.25">
      <c r="A703" s="1279"/>
      <c r="B703" s="1034"/>
      <c r="C703" s="1034"/>
      <c r="D703" s="1008"/>
      <c r="E703" s="1025"/>
      <c r="F703" s="1230"/>
      <c r="G703" s="1231"/>
      <c r="H703" s="1232"/>
      <c r="I703" s="1232"/>
      <c r="J703" s="1232"/>
      <c r="K703" s="142" t="s">
        <v>657</v>
      </c>
      <c r="L703" s="159" t="s">
        <v>658</v>
      </c>
      <c r="M703" s="172">
        <v>0</v>
      </c>
      <c r="N703" s="173">
        <v>8</v>
      </c>
      <c r="O703" s="173">
        <v>8</v>
      </c>
      <c r="P703" s="173">
        <v>8</v>
      </c>
      <c r="Q703" s="551">
        <v>8</v>
      </c>
    </row>
    <row r="704" spans="1:17" s="83" customFormat="1" ht="57" customHeight="1" x14ac:dyDescent="0.25">
      <c r="A704" s="1279"/>
      <c r="B704" s="1072"/>
      <c r="C704" s="1072"/>
      <c r="D704" s="1009"/>
      <c r="E704" s="1229"/>
      <c r="F704" s="1059"/>
      <c r="G704" s="1059"/>
      <c r="H704" s="1059"/>
      <c r="I704" s="1059"/>
      <c r="J704" s="1059"/>
      <c r="K704" s="142" t="s">
        <v>659</v>
      </c>
      <c r="L704" s="159" t="s">
        <v>660</v>
      </c>
      <c r="M704" s="172">
        <v>0</v>
      </c>
      <c r="N704" s="173">
        <v>126</v>
      </c>
      <c r="O704" s="173">
        <v>126</v>
      </c>
      <c r="P704" s="173">
        <v>126</v>
      </c>
      <c r="Q704" s="551">
        <v>126</v>
      </c>
    </row>
    <row r="705" spans="1:17" s="83" customFormat="1" ht="50.25" customHeight="1" x14ac:dyDescent="0.25">
      <c r="A705" s="1279"/>
      <c r="B705" s="1034"/>
      <c r="C705" s="1034" t="s">
        <v>37</v>
      </c>
      <c r="D705" s="1007"/>
      <c r="E705" s="1025" t="s">
        <v>661</v>
      </c>
      <c r="F705" s="1230">
        <v>0</v>
      </c>
      <c r="G705" s="1231">
        <v>0</v>
      </c>
      <c r="H705" s="1232">
        <v>41377.300000000003</v>
      </c>
      <c r="I705" s="1232">
        <v>41377.300000000003</v>
      </c>
      <c r="J705" s="1232">
        <v>41377.300000000003</v>
      </c>
      <c r="K705" s="26" t="s">
        <v>662</v>
      </c>
      <c r="L705" s="683" t="s">
        <v>663</v>
      </c>
      <c r="M705" s="683">
        <v>0</v>
      </c>
      <c r="N705" s="683">
        <v>31</v>
      </c>
      <c r="O705" s="683">
        <v>31</v>
      </c>
      <c r="P705" s="683">
        <v>31</v>
      </c>
      <c r="Q705" s="486">
        <v>31</v>
      </c>
    </row>
    <row r="706" spans="1:17" s="83" customFormat="1" ht="54" customHeight="1" x14ac:dyDescent="0.25">
      <c r="A706" s="1279"/>
      <c r="B706" s="1034"/>
      <c r="C706" s="1034"/>
      <c r="D706" s="1008"/>
      <c r="E706" s="1025"/>
      <c r="F706" s="1230"/>
      <c r="G706" s="1231"/>
      <c r="H706" s="1232"/>
      <c r="I706" s="1232"/>
      <c r="J706" s="1232"/>
      <c r="K706" s="142" t="s">
        <v>664</v>
      </c>
      <c r="L706" s="159" t="s">
        <v>665</v>
      </c>
      <c r="M706" s="172">
        <v>0</v>
      </c>
      <c r="N706" s="173">
        <v>970</v>
      </c>
      <c r="O706" s="173">
        <v>970</v>
      </c>
      <c r="P706" s="173">
        <v>970</v>
      </c>
      <c r="Q706" s="551">
        <v>970</v>
      </c>
    </row>
    <row r="707" spans="1:17" s="83" customFormat="1" ht="66.75" customHeight="1" x14ac:dyDescent="0.25">
      <c r="A707" s="1279"/>
      <c r="B707" s="1072"/>
      <c r="C707" s="1072"/>
      <c r="D707" s="1009"/>
      <c r="E707" s="1229"/>
      <c r="F707" s="1059"/>
      <c r="G707" s="1059"/>
      <c r="H707" s="1059"/>
      <c r="I707" s="1059"/>
      <c r="J707" s="1059"/>
      <c r="K707" s="142" t="s">
        <v>1384</v>
      </c>
      <c r="L707" s="159" t="s">
        <v>660</v>
      </c>
      <c r="M707" s="172">
        <v>0</v>
      </c>
      <c r="N707" s="173">
        <v>107</v>
      </c>
      <c r="O707" s="173">
        <v>107</v>
      </c>
      <c r="P707" s="173">
        <v>107</v>
      </c>
      <c r="Q707" s="551">
        <v>107</v>
      </c>
    </row>
    <row r="708" spans="1:17" s="83" customFormat="1" ht="105.75" customHeight="1" x14ac:dyDescent="0.25">
      <c r="A708" s="1279"/>
      <c r="B708" s="672"/>
      <c r="C708" s="672" t="s">
        <v>73</v>
      </c>
      <c r="D708" s="35"/>
      <c r="E708" s="673" t="s">
        <v>666</v>
      </c>
      <c r="F708" s="735">
        <v>0</v>
      </c>
      <c r="G708" s="736">
        <v>0</v>
      </c>
      <c r="H708" s="737">
        <v>0</v>
      </c>
      <c r="I708" s="737">
        <v>0</v>
      </c>
      <c r="J708" s="737">
        <v>0</v>
      </c>
      <c r="K708" s="142" t="s">
        <v>667</v>
      </c>
      <c r="L708" s="159" t="s">
        <v>668</v>
      </c>
      <c r="M708" s="174">
        <v>0</v>
      </c>
      <c r="N708" s="175" t="s">
        <v>669</v>
      </c>
      <c r="O708" s="619" t="s">
        <v>670</v>
      </c>
      <c r="P708" s="619" t="s">
        <v>671</v>
      </c>
      <c r="Q708" s="546" t="s">
        <v>672</v>
      </c>
    </row>
    <row r="709" spans="1:17" s="83" customFormat="1" ht="59.25" customHeight="1" x14ac:dyDescent="0.25">
      <c r="A709" s="1279"/>
      <c r="B709" s="672"/>
      <c r="C709" s="672" t="s">
        <v>76</v>
      </c>
      <c r="D709" s="672"/>
      <c r="E709" s="673" t="s">
        <v>673</v>
      </c>
      <c r="F709" s="408">
        <v>0</v>
      </c>
      <c r="G709" s="646">
        <v>0</v>
      </c>
      <c r="H709" s="794">
        <v>16682</v>
      </c>
      <c r="I709" s="794">
        <v>16682</v>
      </c>
      <c r="J709" s="794">
        <v>16682</v>
      </c>
      <c r="K709" s="406" t="s">
        <v>1385</v>
      </c>
      <c r="L709" s="139" t="s">
        <v>19</v>
      </c>
      <c r="M709" s="176">
        <v>0</v>
      </c>
      <c r="N709" s="619">
        <v>32</v>
      </c>
      <c r="O709" s="619">
        <v>32</v>
      </c>
      <c r="P709" s="619">
        <v>33</v>
      </c>
      <c r="Q709" s="546">
        <v>33</v>
      </c>
    </row>
    <row r="710" spans="1:17" s="78" customFormat="1" ht="50.25" customHeight="1" x14ac:dyDescent="0.25">
      <c r="A710" s="1279"/>
      <c r="B710" s="1044" t="s">
        <v>674</v>
      </c>
      <c r="C710" s="1044"/>
      <c r="D710" s="1238"/>
      <c r="E710" s="1020" t="s">
        <v>1290</v>
      </c>
      <c r="F710" s="1021">
        <f>F715+F716+F720+F721</f>
        <v>0</v>
      </c>
      <c r="G710" s="1021">
        <f>G715+G716+G720+G721</f>
        <v>0</v>
      </c>
      <c r="H710" s="1021">
        <f>H715+H716+H720+H721</f>
        <v>642722.9</v>
      </c>
      <c r="I710" s="1021">
        <f>I715+I716+I720+I721</f>
        <v>375271.5</v>
      </c>
      <c r="J710" s="1021">
        <f>J715+J716+J720+J721</f>
        <v>376071.3</v>
      </c>
      <c r="K710" s="621" t="s">
        <v>675</v>
      </c>
      <c r="L710" s="640" t="s">
        <v>625</v>
      </c>
      <c r="M710" s="640">
        <v>768637</v>
      </c>
      <c r="N710" s="640">
        <v>768637</v>
      </c>
      <c r="O710" s="640">
        <v>768637</v>
      </c>
      <c r="P710" s="640">
        <v>768637</v>
      </c>
      <c r="Q710" s="653">
        <v>768637</v>
      </c>
    </row>
    <row r="711" spans="1:17" s="78" customFormat="1" ht="50.25" customHeight="1" x14ac:dyDescent="0.25">
      <c r="A711" s="1279"/>
      <c r="B711" s="1044"/>
      <c r="C711" s="1044"/>
      <c r="D711" s="1238"/>
      <c r="E711" s="1020"/>
      <c r="F711" s="1021"/>
      <c r="G711" s="1021"/>
      <c r="H711" s="1021"/>
      <c r="I711" s="1021"/>
      <c r="J711" s="1021"/>
      <c r="K711" s="621" t="s">
        <v>1386</v>
      </c>
      <c r="L711" s="640" t="s">
        <v>625</v>
      </c>
      <c r="M711" s="640">
        <v>2546323</v>
      </c>
      <c r="N711" s="640">
        <v>2546323</v>
      </c>
      <c r="O711" s="640">
        <v>2546323</v>
      </c>
      <c r="P711" s="640">
        <v>2546323</v>
      </c>
      <c r="Q711" s="653">
        <v>2546323</v>
      </c>
    </row>
    <row r="712" spans="1:17" s="78" customFormat="1" ht="42" customHeight="1" x14ac:dyDescent="0.25">
      <c r="A712" s="1279"/>
      <c r="B712" s="1044"/>
      <c r="C712" s="1044"/>
      <c r="D712" s="1238"/>
      <c r="E712" s="1020"/>
      <c r="F712" s="1021"/>
      <c r="G712" s="1021"/>
      <c r="H712" s="1021"/>
      <c r="I712" s="1021"/>
      <c r="J712" s="1021"/>
      <c r="K712" s="621" t="s">
        <v>676</v>
      </c>
      <c r="L712" s="640" t="s">
        <v>625</v>
      </c>
      <c r="M712" s="640">
        <v>1120</v>
      </c>
      <c r="N712" s="640">
        <v>1130</v>
      </c>
      <c r="O712" s="640">
        <v>1130</v>
      </c>
      <c r="P712" s="640">
        <v>1130</v>
      </c>
      <c r="Q712" s="653">
        <v>1130</v>
      </c>
    </row>
    <row r="713" spans="1:17" s="78" customFormat="1" ht="25.5" customHeight="1" x14ac:dyDescent="0.25">
      <c r="A713" s="1279"/>
      <c r="B713" s="1044"/>
      <c r="C713" s="1044"/>
      <c r="D713" s="1238"/>
      <c r="E713" s="1020"/>
      <c r="F713" s="1021"/>
      <c r="G713" s="1021"/>
      <c r="H713" s="1021"/>
      <c r="I713" s="1021"/>
      <c r="J713" s="1021"/>
      <c r="K713" s="621" t="s">
        <v>1387</v>
      </c>
      <c r="L713" s="640" t="s">
        <v>625</v>
      </c>
      <c r="M713" s="640">
        <v>754</v>
      </c>
      <c r="N713" s="640">
        <v>754</v>
      </c>
      <c r="O713" s="640">
        <v>760</v>
      </c>
      <c r="P713" s="640">
        <v>760</v>
      </c>
      <c r="Q713" s="653">
        <v>760</v>
      </c>
    </row>
    <row r="714" spans="1:17" s="78" customFormat="1" ht="33" customHeight="1" x14ac:dyDescent="0.25">
      <c r="A714" s="1279"/>
      <c r="B714" s="1059"/>
      <c r="C714" s="1059"/>
      <c r="D714" s="1239"/>
      <c r="E714" s="1239"/>
      <c r="F714" s="1059"/>
      <c r="G714" s="1059"/>
      <c r="H714" s="1059"/>
      <c r="I714" s="1059"/>
      <c r="J714" s="1059"/>
      <c r="K714" s="621" t="s">
        <v>677</v>
      </c>
      <c r="L714" s="640" t="s">
        <v>678</v>
      </c>
      <c r="M714" s="640">
        <v>5</v>
      </c>
      <c r="N714" s="640">
        <v>10</v>
      </c>
      <c r="O714" s="640">
        <v>15</v>
      </c>
      <c r="P714" s="640">
        <v>15</v>
      </c>
      <c r="Q714" s="653">
        <v>15</v>
      </c>
    </row>
    <row r="715" spans="1:17" s="83" customFormat="1" ht="69.75" customHeight="1" x14ac:dyDescent="0.25">
      <c r="A715" s="1279"/>
      <c r="B715" s="681"/>
      <c r="C715" s="672" t="s">
        <v>43</v>
      </c>
      <c r="D715" s="143"/>
      <c r="E715" s="673" t="s">
        <v>679</v>
      </c>
      <c r="F715" s="652">
        <v>0</v>
      </c>
      <c r="G715" s="618">
        <v>0</v>
      </c>
      <c r="H715" s="618">
        <v>12447.2</v>
      </c>
      <c r="I715" s="618">
        <v>12447.2</v>
      </c>
      <c r="J715" s="618">
        <v>12447.2</v>
      </c>
      <c r="K715" s="673"/>
      <c r="L715" s="677"/>
      <c r="M715" s="677"/>
      <c r="N715" s="677"/>
      <c r="O715" s="677"/>
      <c r="P715" s="677"/>
      <c r="Q715" s="680"/>
    </row>
    <row r="716" spans="1:17" s="83" customFormat="1" ht="39.75" customHeight="1" x14ac:dyDescent="0.25">
      <c r="A716" s="1279"/>
      <c r="B716" s="1139"/>
      <c r="C716" s="1034" t="s">
        <v>48</v>
      </c>
      <c r="D716" s="1012"/>
      <c r="E716" s="1025" t="s">
        <v>680</v>
      </c>
      <c r="F716" s="1021">
        <v>0</v>
      </c>
      <c r="G716" s="1050">
        <v>0</v>
      </c>
      <c r="H716" s="1050">
        <f>295187+37836.7</f>
        <v>333023.7</v>
      </c>
      <c r="I716" s="1050">
        <f>295187+38882.5</f>
        <v>334069.5</v>
      </c>
      <c r="J716" s="1050">
        <f>295187+39682.5</f>
        <v>334869.5</v>
      </c>
      <c r="K716" s="673" t="s">
        <v>681</v>
      </c>
      <c r="L716" s="677" t="s">
        <v>682</v>
      </c>
      <c r="M716" s="677">
        <v>13</v>
      </c>
      <c r="N716" s="677">
        <v>13</v>
      </c>
      <c r="O716" s="677">
        <v>13</v>
      </c>
      <c r="P716" s="677">
        <v>13</v>
      </c>
      <c r="Q716" s="680">
        <v>13</v>
      </c>
    </row>
    <row r="717" spans="1:17" s="83" customFormat="1" ht="39" customHeight="1" x14ac:dyDescent="0.25">
      <c r="A717" s="1279"/>
      <c r="B717" s="1072"/>
      <c r="C717" s="1072"/>
      <c r="D717" s="1013"/>
      <c r="E717" s="1237"/>
      <c r="F717" s="1059"/>
      <c r="G717" s="1059"/>
      <c r="H717" s="1059"/>
      <c r="I717" s="1059"/>
      <c r="J717" s="1059"/>
      <c r="K717" s="673" t="s">
        <v>1388</v>
      </c>
      <c r="L717" s="677" t="s">
        <v>19</v>
      </c>
      <c r="M717" s="677">
        <v>100</v>
      </c>
      <c r="N717" s="677">
        <v>100</v>
      </c>
      <c r="O717" s="677">
        <v>100</v>
      </c>
      <c r="P717" s="677">
        <v>100</v>
      </c>
      <c r="Q717" s="680">
        <v>100</v>
      </c>
    </row>
    <row r="718" spans="1:17" s="83" customFormat="1" ht="42" customHeight="1" x14ac:dyDescent="0.25">
      <c r="A718" s="1279"/>
      <c r="B718" s="1072"/>
      <c r="C718" s="1072"/>
      <c r="D718" s="1013"/>
      <c r="E718" s="1237"/>
      <c r="F718" s="1059"/>
      <c r="G718" s="1059"/>
      <c r="H718" s="1059"/>
      <c r="I718" s="1059"/>
      <c r="J718" s="1059"/>
      <c r="K718" s="673" t="s">
        <v>683</v>
      </c>
      <c r="L718" s="677" t="s">
        <v>19</v>
      </c>
      <c r="M718" s="677">
        <v>100</v>
      </c>
      <c r="N718" s="677">
        <v>100</v>
      </c>
      <c r="O718" s="677">
        <v>100</v>
      </c>
      <c r="P718" s="677">
        <v>100</v>
      </c>
      <c r="Q718" s="680">
        <v>100</v>
      </c>
    </row>
    <row r="719" spans="1:17" s="83" customFormat="1" ht="29.25" customHeight="1" x14ac:dyDescent="0.25">
      <c r="A719" s="1279"/>
      <c r="B719" s="1072"/>
      <c r="C719" s="1072"/>
      <c r="D719" s="1014"/>
      <c r="E719" s="1237"/>
      <c r="F719" s="1059"/>
      <c r="G719" s="1059"/>
      <c r="H719" s="1059"/>
      <c r="I719" s="1059"/>
      <c r="J719" s="1059"/>
      <c r="K719" s="673" t="s">
        <v>684</v>
      </c>
      <c r="L719" s="677" t="s">
        <v>19</v>
      </c>
      <c r="M719" s="677">
        <v>61</v>
      </c>
      <c r="N719" s="677">
        <v>62</v>
      </c>
      <c r="O719" s="677">
        <v>62</v>
      </c>
      <c r="P719" s="677">
        <v>62</v>
      </c>
      <c r="Q719" s="680">
        <v>62</v>
      </c>
    </row>
    <row r="720" spans="1:17" s="83" customFormat="1" ht="30" x14ac:dyDescent="0.25">
      <c r="A720" s="1279"/>
      <c r="B720" s="681"/>
      <c r="C720" s="672" t="s">
        <v>37</v>
      </c>
      <c r="D720" s="143"/>
      <c r="E720" s="673" t="s">
        <v>685</v>
      </c>
      <c r="F720" s="652">
        <v>0</v>
      </c>
      <c r="G720" s="618">
        <v>0</v>
      </c>
      <c r="H720" s="618">
        <f>23137.2+5617.5</f>
        <v>28754.7</v>
      </c>
      <c r="I720" s="618">
        <f>23137.2+5617.5+0.1</f>
        <v>28754.799999999999</v>
      </c>
      <c r="J720" s="618">
        <f>23137.2+5617.4</f>
        <v>28754.6</v>
      </c>
      <c r="K720" s="673"/>
      <c r="L720" s="677"/>
      <c r="M720" s="677"/>
      <c r="N720" s="677"/>
      <c r="O720" s="677"/>
      <c r="P720" s="677"/>
      <c r="Q720" s="680"/>
    </row>
    <row r="721" spans="1:17" s="83" customFormat="1" ht="45" x14ac:dyDescent="0.25">
      <c r="A721" s="1279"/>
      <c r="B721" s="681"/>
      <c r="C721" s="672" t="s">
        <v>73</v>
      </c>
      <c r="D721" s="143"/>
      <c r="E721" s="673" t="s">
        <v>1427</v>
      </c>
      <c r="F721" s="652">
        <v>0</v>
      </c>
      <c r="G721" s="618">
        <v>0</v>
      </c>
      <c r="H721" s="618">
        <v>268497.3</v>
      </c>
      <c r="I721" s="618">
        <v>0</v>
      </c>
      <c r="J721" s="618">
        <v>0</v>
      </c>
      <c r="K721" s="684"/>
      <c r="L721" s="731"/>
      <c r="M721" s="731"/>
      <c r="N721" s="731"/>
      <c r="O721" s="731"/>
      <c r="P721" s="731"/>
      <c r="Q721" s="732"/>
    </row>
    <row r="722" spans="1:17" s="23" customFormat="1" x14ac:dyDescent="0.25">
      <c r="A722" s="1004" t="s">
        <v>23</v>
      </c>
      <c r="B722" s="1005"/>
      <c r="C722" s="1005"/>
      <c r="D722" s="1005"/>
      <c r="E722" s="1005"/>
      <c r="F722" s="28">
        <f>F710+F699+F670+F655+F618+F597+F593</f>
        <v>651523</v>
      </c>
      <c r="G722" s="28">
        <f>G710+G699+G670+G655+G618+G597+G593</f>
        <v>1105506.8</v>
      </c>
      <c r="H722" s="28">
        <f>H710+H699+H670+H655+H618+H597+H593</f>
        <v>6595028.1000000006</v>
      </c>
      <c r="I722" s="28">
        <f>I710+I699+I670+I655+I618+I597+I593</f>
        <v>6502838.7999999998</v>
      </c>
      <c r="J722" s="28">
        <f>J710+J699+J670+J655+J618+J597+J593</f>
        <v>6376484.2999999998</v>
      </c>
      <c r="K722" s="43"/>
      <c r="L722" s="161"/>
      <c r="M722" s="161"/>
      <c r="N722" s="161"/>
      <c r="O722" s="161"/>
      <c r="P722" s="161"/>
      <c r="Q722" s="493"/>
    </row>
    <row r="723" spans="1:17" s="23" customFormat="1" ht="22.5" customHeight="1" x14ac:dyDescent="0.25">
      <c r="A723" s="1208" t="s">
        <v>1310</v>
      </c>
      <c r="B723" s="1209" t="s">
        <v>426</v>
      </c>
      <c r="C723" s="1209"/>
      <c r="D723" s="1209"/>
      <c r="E723" s="1209"/>
      <c r="F723" s="1209"/>
      <c r="G723" s="1209"/>
      <c r="H723" s="1209"/>
      <c r="I723" s="1209"/>
      <c r="J723" s="1209"/>
      <c r="K723" s="1209"/>
      <c r="L723" s="1209"/>
      <c r="M723" s="1209"/>
      <c r="N723" s="1209"/>
      <c r="O723" s="1209"/>
      <c r="P723" s="183"/>
      <c r="Q723" s="522"/>
    </row>
    <row r="724" spans="1:17" s="78" customFormat="1" ht="17.649999999999999" customHeight="1" x14ac:dyDescent="0.25">
      <c r="A724" s="1210" t="s">
        <v>705</v>
      </c>
      <c r="B724" s="1044" t="s">
        <v>8</v>
      </c>
      <c r="C724" s="1046"/>
      <c r="D724" s="1046"/>
      <c r="E724" s="1020" t="s">
        <v>303</v>
      </c>
      <c r="F724" s="1021">
        <f>F726+F727</f>
        <v>71028</v>
      </c>
      <c r="G724" s="1021">
        <f>G726+G727</f>
        <v>67816.700000000012</v>
      </c>
      <c r="H724" s="1021">
        <f>H726+H727</f>
        <v>163799.1</v>
      </c>
      <c r="I724" s="1021">
        <f>I726+I727</f>
        <v>167224.90600000002</v>
      </c>
      <c r="J724" s="1021">
        <f>J726+J727</f>
        <v>171112.80817999999</v>
      </c>
      <c r="K724" s="1095" t="s">
        <v>9</v>
      </c>
      <c r="L724" s="1058" t="s">
        <v>19</v>
      </c>
      <c r="M724" s="1058">
        <v>20</v>
      </c>
      <c r="N724" s="1059">
        <v>25</v>
      </c>
      <c r="O724" s="1059">
        <v>27</v>
      </c>
      <c r="P724" s="1059">
        <v>29</v>
      </c>
      <c r="Q724" s="1060">
        <v>30</v>
      </c>
    </row>
    <row r="725" spans="1:17" s="78" customFormat="1" ht="14.45" customHeight="1" x14ac:dyDescent="0.25">
      <c r="A725" s="1210"/>
      <c r="B725" s="1044"/>
      <c r="C725" s="1046"/>
      <c r="D725" s="1046"/>
      <c r="E725" s="1020"/>
      <c r="F725" s="1021"/>
      <c r="G725" s="1021"/>
      <c r="H725" s="1021"/>
      <c r="I725" s="1021"/>
      <c r="J725" s="1021"/>
      <c r="K725" s="1095"/>
      <c r="L725" s="1058"/>
      <c r="M725" s="1058"/>
      <c r="N725" s="1059"/>
      <c r="O725" s="1059"/>
      <c r="P725" s="1059"/>
      <c r="Q725" s="1060"/>
    </row>
    <row r="726" spans="1:17" s="78" customFormat="1" ht="36.75" customHeight="1" x14ac:dyDescent="0.25">
      <c r="A726" s="1210"/>
      <c r="B726" s="620"/>
      <c r="C726" s="639" t="s">
        <v>43</v>
      </c>
      <c r="D726" s="639"/>
      <c r="E726" s="621" t="s">
        <v>11</v>
      </c>
      <c r="F726" s="618">
        <v>30272.5</v>
      </c>
      <c r="G726" s="618">
        <v>28186.9</v>
      </c>
      <c r="H726" s="618">
        <v>50598.8</v>
      </c>
      <c r="I726" s="618">
        <v>51579.606</v>
      </c>
      <c r="J726" s="618">
        <v>53122.508180000004</v>
      </c>
      <c r="K726" s="1095" t="s">
        <v>9</v>
      </c>
      <c r="L726" s="793"/>
      <c r="M726" s="793"/>
      <c r="N726" s="793"/>
      <c r="O726" s="793"/>
      <c r="P726" s="793"/>
      <c r="Q726" s="793"/>
    </row>
    <row r="727" spans="1:17" s="78" customFormat="1" ht="68.25" customHeight="1" x14ac:dyDescent="0.25">
      <c r="A727" s="1210"/>
      <c r="B727" s="620"/>
      <c r="C727" s="639" t="s">
        <v>48</v>
      </c>
      <c r="D727" s="639"/>
      <c r="E727" s="621" t="s">
        <v>1315</v>
      </c>
      <c r="F727" s="618">
        <v>40755.5</v>
      </c>
      <c r="G727" s="618">
        <v>39629.800000000003</v>
      </c>
      <c r="H727" s="618">
        <v>113200.3</v>
      </c>
      <c r="I727" s="618">
        <v>115645.3</v>
      </c>
      <c r="J727" s="618">
        <v>117990.3</v>
      </c>
      <c r="K727" s="1095"/>
      <c r="L727" s="793"/>
      <c r="M727" s="793"/>
      <c r="N727" s="793"/>
      <c r="O727" s="793"/>
      <c r="P727" s="793"/>
      <c r="Q727" s="793"/>
    </row>
    <row r="728" spans="1:17" s="78" customFormat="1" ht="96" customHeight="1" x14ac:dyDescent="0.25">
      <c r="A728" s="1210"/>
      <c r="B728" s="650" t="s">
        <v>435</v>
      </c>
      <c r="C728" s="639"/>
      <c r="D728" s="639"/>
      <c r="E728" s="651" t="s">
        <v>436</v>
      </c>
      <c r="F728" s="652">
        <f>F729+F732+F735+F738</f>
        <v>1316325.1000000001</v>
      </c>
      <c r="G728" s="788">
        <f>G729+G732+G735+G738</f>
        <v>1290084.8999999999</v>
      </c>
      <c r="H728" s="788">
        <f>H729+H732+H735+H738</f>
        <v>1693305.4999999998</v>
      </c>
      <c r="I728" s="788">
        <f>I729+I732+I735+I738</f>
        <v>1571100.7039999999</v>
      </c>
      <c r="J728" s="788">
        <f>J729+J732+J735+J738</f>
        <v>1615321.4668399999</v>
      </c>
      <c r="K728" s="641" t="s">
        <v>399</v>
      </c>
      <c r="L728" s="640" t="s">
        <v>19</v>
      </c>
      <c r="M728" s="640">
        <v>20</v>
      </c>
      <c r="N728" s="646">
        <v>30</v>
      </c>
      <c r="O728" s="646">
        <v>35</v>
      </c>
      <c r="P728" s="646">
        <v>37</v>
      </c>
      <c r="Q728" s="647">
        <v>40</v>
      </c>
    </row>
    <row r="729" spans="1:17" s="78" customFormat="1" ht="80.25" customHeight="1" x14ac:dyDescent="0.25">
      <c r="A729" s="1210"/>
      <c r="B729" s="1046"/>
      <c r="C729" s="1046" t="s">
        <v>43</v>
      </c>
      <c r="D729" s="1046"/>
      <c r="E729" s="1057" t="s">
        <v>400</v>
      </c>
      <c r="F729" s="1050">
        <v>883950.7</v>
      </c>
      <c r="G729" s="1050">
        <v>878087.2</v>
      </c>
      <c r="H729" s="1050">
        <f>1103515.7+7000+50000+64623.9+672+12163-30</f>
        <v>1237944.5999999999</v>
      </c>
      <c r="I729" s="1050">
        <f>1107144.4</f>
        <v>1107144.3999999999</v>
      </c>
      <c r="J729" s="1050">
        <f>1137386.6</f>
        <v>1137386.6000000001</v>
      </c>
      <c r="K729" s="641" t="s">
        <v>401</v>
      </c>
      <c r="L729" s="640" t="s">
        <v>19</v>
      </c>
      <c r="M729" s="38">
        <v>25</v>
      </c>
      <c r="N729" s="95">
        <v>27</v>
      </c>
      <c r="O729" s="95">
        <v>29</v>
      </c>
      <c r="P729" s="95">
        <v>32</v>
      </c>
      <c r="Q729" s="539">
        <v>35</v>
      </c>
    </row>
    <row r="730" spans="1:17" s="78" customFormat="1" ht="60" x14ac:dyDescent="0.25">
      <c r="A730" s="1210"/>
      <c r="B730" s="1046"/>
      <c r="C730" s="1046"/>
      <c r="D730" s="1046"/>
      <c r="E730" s="1057"/>
      <c r="F730" s="1050"/>
      <c r="G730" s="1050"/>
      <c r="H730" s="1050"/>
      <c r="I730" s="1050"/>
      <c r="J730" s="1050"/>
      <c r="K730" s="641" t="s">
        <v>402</v>
      </c>
      <c r="L730" s="640" t="s">
        <v>19</v>
      </c>
      <c r="M730" s="38">
        <v>12</v>
      </c>
      <c r="N730" s="95">
        <v>14</v>
      </c>
      <c r="O730" s="95">
        <v>16</v>
      </c>
      <c r="P730" s="95">
        <v>18</v>
      </c>
      <c r="Q730" s="539">
        <v>20</v>
      </c>
    </row>
    <row r="731" spans="1:17" s="78" customFormat="1" ht="66.75" customHeight="1" x14ac:dyDescent="0.25">
      <c r="A731" s="1210"/>
      <c r="B731" s="1046"/>
      <c r="C731" s="1046"/>
      <c r="D731" s="1046"/>
      <c r="E731" s="1057"/>
      <c r="F731" s="1050"/>
      <c r="G731" s="1050"/>
      <c r="H731" s="1050"/>
      <c r="I731" s="1050"/>
      <c r="J731" s="1050"/>
      <c r="K731" s="641" t="s">
        <v>403</v>
      </c>
      <c r="L731" s="640" t="s">
        <v>19</v>
      </c>
      <c r="M731" s="640">
        <v>30</v>
      </c>
      <c r="N731" s="646">
        <v>35</v>
      </c>
      <c r="O731" s="646">
        <v>38</v>
      </c>
      <c r="P731" s="646">
        <v>40</v>
      </c>
      <c r="Q731" s="647">
        <v>45</v>
      </c>
    </row>
    <row r="732" spans="1:17" s="78" customFormat="1" ht="45" x14ac:dyDescent="0.25">
      <c r="A732" s="1210"/>
      <c r="B732" s="1046"/>
      <c r="C732" s="1046" t="s">
        <v>48</v>
      </c>
      <c r="D732" s="1046"/>
      <c r="E732" s="1057" t="s">
        <v>404</v>
      </c>
      <c r="F732" s="1050">
        <v>1563</v>
      </c>
      <c r="G732" s="1050">
        <v>1063</v>
      </c>
      <c r="H732" s="1050">
        <v>1998.5</v>
      </c>
      <c r="I732" s="1050">
        <v>2033.5</v>
      </c>
      <c r="J732" s="1050">
        <v>2545</v>
      </c>
      <c r="K732" s="648" t="s">
        <v>405</v>
      </c>
      <c r="L732" s="640" t="s">
        <v>19</v>
      </c>
      <c r="M732" s="640">
        <v>5</v>
      </c>
      <c r="N732" s="646">
        <v>10</v>
      </c>
      <c r="O732" s="646">
        <v>15</v>
      </c>
      <c r="P732" s="646">
        <v>20</v>
      </c>
      <c r="Q732" s="647">
        <v>25</v>
      </c>
    </row>
    <row r="733" spans="1:17" s="78" customFormat="1" ht="60.75" customHeight="1" x14ac:dyDescent="0.25">
      <c r="A733" s="1210"/>
      <c r="B733" s="1046"/>
      <c r="C733" s="1046"/>
      <c r="D733" s="1046"/>
      <c r="E733" s="1057"/>
      <c r="F733" s="1050"/>
      <c r="G733" s="1050"/>
      <c r="H733" s="1050"/>
      <c r="I733" s="1050"/>
      <c r="J733" s="1050"/>
      <c r="K733" s="648" t="s">
        <v>406</v>
      </c>
      <c r="L733" s="640" t="s">
        <v>17</v>
      </c>
      <c r="M733" s="640">
        <v>5</v>
      </c>
      <c r="N733" s="646">
        <v>10</v>
      </c>
      <c r="O733" s="646">
        <v>15</v>
      </c>
      <c r="P733" s="646">
        <v>20</v>
      </c>
      <c r="Q733" s="647">
        <v>25</v>
      </c>
    </row>
    <row r="734" spans="1:17" s="78" customFormat="1" ht="61.5" customHeight="1" x14ac:dyDescent="0.25">
      <c r="A734" s="1210"/>
      <c r="B734" s="1046"/>
      <c r="C734" s="1046"/>
      <c r="D734" s="1046"/>
      <c r="E734" s="1057"/>
      <c r="F734" s="1050"/>
      <c r="G734" s="1050"/>
      <c r="H734" s="1050"/>
      <c r="I734" s="1050"/>
      <c r="J734" s="1050"/>
      <c r="K734" s="648" t="s">
        <v>407</v>
      </c>
      <c r="L734" s="640" t="s">
        <v>17</v>
      </c>
      <c r="M734" s="640">
        <v>4</v>
      </c>
      <c r="N734" s="646">
        <v>6</v>
      </c>
      <c r="O734" s="646">
        <v>8</v>
      </c>
      <c r="P734" s="646">
        <v>10</v>
      </c>
      <c r="Q734" s="647">
        <v>14</v>
      </c>
    </row>
    <row r="735" spans="1:17" s="78" customFormat="1" ht="39.75" customHeight="1" x14ac:dyDescent="0.25">
      <c r="A735" s="1210"/>
      <c r="B735" s="1046"/>
      <c r="C735" s="1046" t="s">
        <v>37</v>
      </c>
      <c r="D735" s="1046"/>
      <c r="E735" s="1057" t="s">
        <v>408</v>
      </c>
      <c r="F735" s="1050">
        <v>88981.8</v>
      </c>
      <c r="G735" s="1050">
        <v>96493.7</v>
      </c>
      <c r="H735" s="1050">
        <v>85156.2</v>
      </c>
      <c r="I735" s="1050">
        <v>86657.103999999992</v>
      </c>
      <c r="J735" s="1050">
        <v>89018.167119999998</v>
      </c>
      <c r="K735" s="648" t="s">
        <v>409</v>
      </c>
      <c r="L735" s="677" t="s">
        <v>19</v>
      </c>
      <c r="M735" s="677">
        <v>30</v>
      </c>
      <c r="N735" s="683">
        <v>32</v>
      </c>
      <c r="O735" s="683">
        <v>34</v>
      </c>
      <c r="P735" s="683">
        <v>36</v>
      </c>
      <c r="Q735" s="486">
        <v>38</v>
      </c>
    </row>
    <row r="736" spans="1:17" s="78" customFormat="1" ht="60" x14ac:dyDescent="0.25">
      <c r="A736" s="1210"/>
      <c r="B736" s="1046"/>
      <c r="C736" s="1046"/>
      <c r="D736" s="1046"/>
      <c r="E736" s="1057"/>
      <c r="F736" s="1050"/>
      <c r="G736" s="1050"/>
      <c r="H736" s="1050"/>
      <c r="I736" s="1050"/>
      <c r="J736" s="1050"/>
      <c r="K736" s="648" t="s">
        <v>1389</v>
      </c>
      <c r="L736" s="677" t="s">
        <v>14</v>
      </c>
      <c r="M736" s="677">
        <v>5</v>
      </c>
      <c r="N736" s="683">
        <v>7</v>
      </c>
      <c r="O736" s="683">
        <v>6</v>
      </c>
      <c r="P736" s="683">
        <v>6</v>
      </c>
      <c r="Q736" s="486">
        <v>6</v>
      </c>
    </row>
    <row r="737" spans="1:17" s="78" customFormat="1" ht="60" x14ac:dyDescent="0.25">
      <c r="A737" s="1210"/>
      <c r="B737" s="1046"/>
      <c r="C737" s="1046"/>
      <c r="D737" s="1046"/>
      <c r="E737" s="1057"/>
      <c r="F737" s="1050"/>
      <c r="G737" s="1050"/>
      <c r="H737" s="1050"/>
      <c r="I737" s="1050"/>
      <c r="J737" s="1050"/>
      <c r="K737" s="648" t="s">
        <v>410</v>
      </c>
      <c r="L737" s="677" t="s">
        <v>19</v>
      </c>
      <c r="M737" s="677">
        <v>8</v>
      </c>
      <c r="N737" s="683">
        <v>10</v>
      </c>
      <c r="O737" s="683">
        <v>12</v>
      </c>
      <c r="P737" s="683">
        <v>13</v>
      </c>
      <c r="Q737" s="486">
        <v>15</v>
      </c>
    </row>
    <row r="738" spans="1:17" s="78" customFormat="1" ht="60" customHeight="1" x14ac:dyDescent="0.25">
      <c r="A738" s="1210"/>
      <c r="B738" s="1045"/>
      <c r="C738" s="1046" t="s">
        <v>73</v>
      </c>
      <c r="D738" s="1045"/>
      <c r="E738" s="1057" t="s">
        <v>411</v>
      </c>
      <c r="F738" s="1050">
        <v>341829.6</v>
      </c>
      <c r="G738" s="1050">
        <v>314441</v>
      </c>
      <c r="H738" s="1050">
        <f>364206.2+4000</f>
        <v>368206.2</v>
      </c>
      <c r="I738" s="1050">
        <f>371265.7+4000</f>
        <v>375265.7</v>
      </c>
      <c r="J738" s="1050">
        <f>382371.69972+4000</f>
        <v>386371.69971999998</v>
      </c>
      <c r="K738" s="641" t="s">
        <v>412</v>
      </c>
      <c r="L738" s="640" t="s">
        <v>19</v>
      </c>
      <c r="M738" s="38">
        <v>1</v>
      </c>
      <c r="N738" s="95">
        <v>2</v>
      </c>
      <c r="O738" s="95">
        <v>3</v>
      </c>
      <c r="P738" s="95">
        <v>4</v>
      </c>
      <c r="Q738" s="539">
        <v>5</v>
      </c>
    </row>
    <row r="739" spans="1:17" s="78" customFormat="1" ht="67.5" customHeight="1" x14ac:dyDescent="0.25">
      <c r="A739" s="1210"/>
      <c r="B739" s="1045"/>
      <c r="C739" s="1046"/>
      <c r="D739" s="1045"/>
      <c r="E739" s="1057"/>
      <c r="F739" s="1050"/>
      <c r="G739" s="1050"/>
      <c r="H739" s="1050"/>
      <c r="I739" s="1050"/>
      <c r="J739" s="1050"/>
      <c r="K739" s="641" t="s">
        <v>413</v>
      </c>
      <c r="L739" s="640" t="s">
        <v>414</v>
      </c>
      <c r="M739" s="640">
        <v>20</v>
      </c>
      <c r="N739" s="646">
        <v>22</v>
      </c>
      <c r="O739" s="646">
        <v>25</v>
      </c>
      <c r="P739" s="646">
        <v>30</v>
      </c>
      <c r="Q739" s="647">
        <v>35</v>
      </c>
    </row>
    <row r="740" spans="1:17" s="78" customFormat="1" ht="72" customHeight="1" x14ac:dyDescent="0.25">
      <c r="A740" s="1210"/>
      <c r="B740" s="237" t="s">
        <v>437</v>
      </c>
      <c r="C740" s="639"/>
      <c r="D740" s="639"/>
      <c r="E740" s="684" t="s">
        <v>758</v>
      </c>
      <c r="F740" s="685">
        <f>F741+F743</f>
        <v>724845.89999999991</v>
      </c>
      <c r="G740" s="789">
        <f>G741+G743</f>
        <v>760226.1</v>
      </c>
      <c r="H740" s="789">
        <f>H741+H743</f>
        <v>804154.6</v>
      </c>
      <c r="I740" s="789">
        <f>I741+I743</f>
        <v>818133</v>
      </c>
      <c r="J740" s="789">
        <f>J741+J743</f>
        <v>840123.7</v>
      </c>
      <c r="K740" s="648" t="s">
        <v>415</v>
      </c>
      <c r="L740" s="677" t="s">
        <v>19</v>
      </c>
      <c r="M740" s="677">
        <v>5.2</v>
      </c>
      <c r="N740" s="683">
        <v>5.4</v>
      </c>
      <c r="O740" s="683">
        <v>5.5</v>
      </c>
      <c r="P740" s="683">
        <v>5.6</v>
      </c>
      <c r="Q740" s="486">
        <v>5.8</v>
      </c>
    </row>
    <row r="741" spans="1:17" s="78" customFormat="1" ht="50.25" customHeight="1" x14ac:dyDescent="0.25">
      <c r="A741" s="1210"/>
      <c r="B741" s="1045"/>
      <c r="C741" s="1045" t="s">
        <v>43</v>
      </c>
      <c r="D741" s="1045"/>
      <c r="E741" s="1025" t="s">
        <v>416</v>
      </c>
      <c r="F741" s="1035">
        <v>711413.29999999993</v>
      </c>
      <c r="G741" s="1035">
        <v>744663.5</v>
      </c>
      <c r="H741" s="1035">
        <f>754442.4+35105.5</f>
        <v>789547.9</v>
      </c>
      <c r="I741" s="1035">
        <v>803332.1</v>
      </c>
      <c r="J741" s="1035">
        <v>825025.6</v>
      </c>
      <c r="K741" s="648" t="s">
        <v>417</v>
      </c>
      <c r="L741" s="677" t="s">
        <v>19</v>
      </c>
      <c r="M741" s="677">
        <v>1.5</v>
      </c>
      <c r="N741" s="683">
        <v>1.5</v>
      </c>
      <c r="O741" s="683">
        <v>2</v>
      </c>
      <c r="P741" s="683">
        <v>2</v>
      </c>
      <c r="Q741" s="486">
        <v>3</v>
      </c>
    </row>
    <row r="742" spans="1:17" s="78" customFormat="1" ht="64.5" customHeight="1" x14ac:dyDescent="0.25">
      <c r="A742" s="1210"/>
      <c r="B742" s="1045"/>
      <c r="C742" s="1045"/>
      <c r="D742" s="1045"/>
      <c r="E742" s="1025"/>
      <c r="F742" s="1035"/>
      <c r="G742" s="1035"/>
      <c r="H742" s="1035"/>
      <c r="I742" s="1035"/>
      <c r="J742" s="1035"/>
      <c r="K742" s="648" t="s">
        <v>418</v>
      </c>
      <c r="L742" s="677" t="s">
        <v>19</v>
      </c>
      <c r="M742" s="677">
        <v>3</v>
      </c>
      <c r="N742" s="683">
        <v>5</v>
      </c>
      <c r="O742" s="683">
        <v>6</v>
      </c>
      <c r="P742" s="683">
        <v>7</v>
      </c>
      <c r="Q742" s="486">
        <v>8</v>
      </c>
    </row>
    <row r="743" spans="1:17" s="78" customFormat="1" ht="58.5" customHeight="1" x14ac:dyDescent="0.25">
      <c r="A743" s="1210"/>
      <c r="B743" s="639"/>
      <c r="C743" s="639" t="s">
        <v>48</v>
      </c>
      <c r="D743" s="639"/>
      <c r="E743" s="673" t="s">
        <v>419</v>
      </c>
      <c r="F743" s="619">
        <v>13432.6</v>
      </c>
      <c r="G743" s="619">
        <v>15562.6</v>
      </c>
      <c r="H743" s="619">
        <f>14512.2+94.5</f>
        <v>14606.7</v>
      </c>
      <c r="I743" s="619">
        <v>14800.9</v>
      </c>
      <c r="J743" s="619">
        <v>15098.1</v>
      </c>
      <c r="K743" s="1284"/>
      <c r="L743" s="1284"/>
      <c r="M743" s="1284"/>
      <c r="N743" s="1284"/>
      <c r="O743" s="1284"/>
      <c r="P743" s="1284"/>
      <c r="Q743" s="1317"/>
    </row>
    <row r="744" spans="1:17" s="78" customFormat="1" ht="82.5" customHeight="1" x14ac:dyDescent="0.25">
      <c r="A744" s="1210"/>
      <c r="B744" s="237" t="s">
        <v>438</v>
      </c>
      <c r="C744" s="639"/>
      <c r="D744" s="639"/>
      <c r="E744" s="651" t="s">
        <v>757</v>
      </c>
      <c r="F744" s="652">
        <f>F745+F747</f>
        <v>802108.7</v>
      </c>
      <c r="G744" s="788">
        <f>G745+G747</f>
        <v>923489.1</v>
      </c>
      <c r="H744" s="788">
        <f>H745+H747</f>
        <v>975930.2</v>
      </c>
      <c r="I744" s="788">
        <f>I745+I747</f>
        <v>987084.6</v>
      </c>
      <c r="J744" s="788">
        <f>J745+J747</f>
        <v>1014829.8</v>
      </c>
      <c r="K744" s="641" t="s">
        <v>420</v>
      </c>
      <c r="L744" s="640" t="s">
        <v>19</v>
      </c>
      <c r="M744" s="640">
        <v>10</v>
      </c>
      <c r="N744" s="646">
        <v>12</v>
      </c>
      <c r="O744" s="646">
        <v>14</v>
      </c>
      <c r="P744" s="646">
        <v>16</v>
      </c>
      <c r="Q744" s="647">
        <v>18</v>
      </c>
    </row>
    <row r="745" spans="1:17" s="78" customFormat="1" ht="65.25" customHeight="1" x14ac:dyDescent="0.25">
      <c r="A745" s="1210"/>
      <c r="B745" s="1045"/>
      <c r="C745" s="1295" t="s">
        <v>43</v>
      </c>
      <c r="D745" s="1045"/>
      <c r="E745" s="1296" t="s">
        <v>421</v>
      </c>
      <c r="F745" s="1050">
        <v>798108.7</v>
      </c>
      <c r="G745" s="1050">
        <v>919489.1</v>
      </c>
      <c r="H745" s="1050">
        <f>935900.2+10000+26000-567.7-2600+14.8+2675.7+507.2</f>
        <v>971930.2</v>
      </c>
      <c r="I745" s="1050">
        <f>957084.6+24800+1200</f>
        <v>983084.6</v>
      </c>
      <c r="J745" s="1050">
        <f>984829.8+24800+1200</f>
        <v>1010829.8</v>
      </c>
      <c r="K745" s="26" t="s">
        <v>1390</v>
      </c>
      <c r="L745" s="677" t="s">
        <v>422</v>
      </c>
      <c r="M745" s="678">
        <v>1400</v>
      </c>
      <c r="N745" s="678">
        <v>1420</v>
      </c>
      <c r="O745" s="678">
        <v>1450</v>
      </c>
      <c r="P745" s="678">
        <v>1470</v>
      </c>
      <c r="Q745" s="679">
        <v>1500</v>
      </c>
    </row>
    <row r="746" spans="1:17" s="78" customFormat="1" ht="50.25" customHeight="1" x14ac:dyDescent="0.25">
      <c r="A746" s="1210"/>
      <c r="B746" s="1045"/>
      <c r="C746" s="1295"/>
      <c r="D746" s="1045"/>
      <c r="E746" s="1296"/>
      <c r="F746" s="1050"/>
      <c r="G746" s="1050"/>
      <c r="H746" s="1050"/>
      <c r="I746" s="1050"/>
      <c r="J746" s="1050"/>
      <c r="K746" s="641" t="s">
        <v>423</v>
      </c>
      <c r="L746" s="640" t="s">
        <v>422</v>
      </c>
      <c r="M746" s="646">
        <v>290</v>
      </c>
      <c r="N746" s="646">
        <v>320</v>
      </c>
      <c r="O746" s="646">
        <v>340</v>
      </c>
      <c r="P746" s="646">
        <v>360</v>
      </c>
      <c r="Q746" s="647">
        <v>400</v>
      </c>
    </row>
    <row r="747" spans="1:17" s="78" customFormat="1" ht="93" customHeight="1" x14ac:dyDescent="0.25">
      <c r="A747" s="1210"/>
      <c r="B747" s="620"/>
      <c r="C747" s="620" t="s">
        <v>48</v>
      </c>
      <c r="D747" s="620"/>
      <c r="E747" s="765" t="s">
        <v>424</v>
      </c>
      <c r="F747" s="618">
        <v>4000</v>
      </c>
      <c r="G747" s="618">
        <v>4000</v>
      </c>
      <c r="H747" s="618">
        <v>4000</v>
      </c>
      <c r="I747" s="618">
        <v>4000</v>
      </c>
      <c r="J747" s="618">
        <v>4000</v>
      </c>
      <c r="K747" s="641" t="s">
        <v>425</v>
      </c>
      <c r="L747" s="677" t="s">
        <v>422</v>
      </c>
      <c r="M747" s="637">
        <v>10</v>
      </c>
      <c r="N747" s="637">
        <v>12</v>
      </c>
      <c r="O747" s="637">
        <v>13</v>
      </c>
      <c r="P747" s="637">
        <v>14</v>
      </c>
      <c r="Q747" s="638">
        <v>15</v>
      </c>
    </row>
    <row r="748" spans="1:17" s="23" customFormat="1" x14ac:dyDescent="0.25">
      <c r="A748" s="1004" t="s">
        <v>23</v>
      </c>
      <c r="B748" s="1005" t="s">
        <v>23</v>
      </c>
      <c r="C748" s="1005"/>
      <c r="D748" s="1005"/>
      <c r="E748" s="1005"/>
      <c r="F748" s="28">
        <f>F724+F728+F740+F744</f>
        <v>2914307.7</v>
      </c>
      <c r="G748" s="28">
        <f>G724+G728+G740+G744</f>
        <v>3041616.8</v>
      </c>
      <c r="H748" s="28">
        <f>H724+H728+H740+H744</f>
        <v>3637189.3999999994</v>
      </c>
      <c r="I748" s="28">
        <f>I724+I728+I740+I744</f>
        <v>3543543.21</v>
      </c>
      <c r="J748" s="28">
        <f>J724+J728+J740+J744</f>
        <v>3641387.7750199996</v>
      </c>
      <c r="K748" s="43"/>
      <c r="L748" s="161"/>
      <c r="M748" s="161"/>
      <c r="N748" s="161"/>
      <c r="O748" s="161"/>
      <c r="P748" s="161"/>
      <c r="Q748" s="493"/>
    </row>
    <row r="749" spans="1:17" s="23" customFormat="1" ht="26.25" customHeight="1" x14ac:dyDescent="0.25">
      <c r="A749" s="1208" t="s">
        <v>713</v>
      </c>
      <c r="B749" s="1209"/>
      <c r="C749" s="1209"/>
      <c r="D749" s="1209"/>
      <c r="E749" s="1209"/>
      <c r="F749" s="1209"/>
      <c r="G749" s="1209"/>
      <c r="H749" s="1209"/>
      <c r="I749" s="1209"/>
      <c r="J749" s="1209"/>
      <c r="K749" s="1209"/>
      <c r="L749" s="1209"/>
      <c r="M749" s="1209"/>
      <c r="N749" s="1209"/>
      <c r="O749" s="1209"/>
      <c r="P749" s="183"/>
      <c r="Q749" s="522"/>
    </row>
    <row r="750" spans="1:17" s="78" customFormat="1" ht="42.75" x14ac:dyDescent="0.25">
      <c r="A750" s="1210" t="s">
        <v>705</v>
      </c>
      <c r="B750" s="774" t="s">
        <v>712</v>
      </c>
      <c r="C750" s="772"/>
      <c r="D750" s="773"/>
      <c r="E750" s="777" t="s">
        <v>707</v>
      </c>
      <c r="F750" s="778">
        <f>F751+F752</f>
        <v>793.8</v>
      </c>
      <c r="G750" s="778">
        <f>G751+G752</f>
        <v>1025.0999999999999</v>
      </c>
      <c r="H750" s="778">
        <f>H751+H752</f>
        <v>1025.0999999999999</v>
      </c>
      <c r="I750" s="778">
        <f>I751+I752</f>
        <v>1045</v>
      </c>
      <c r="J750" s="778">
        <f>J751+J752</f>
        <v>1076.2</v>
      </c>
      <c r="K750" s="776" t="s">
        <v>99</v>
      </c>
      <c r="L750" s="775" t="s">
        <v>19</v>
      </c>
      <c r="M750" s="775">
        <v>100</v>
      </c>
      <c r="N750" s="775">
        <v>100</v>
      </c>
      <c r="O750" s="775">
        <v>100</v>
      </c>
      <c r="P750" s="775">
        <v>100</v>
      </c>
      <c r="Q750" s="779">
        <v>100</v>
      </c>
    </row>
    <row r="751" spans="1:17" s="78" customFormat="1" ht="59.25" customHeight="1" x14ac:dyDescent="0.25">
      <c r="A751" s="1210"/>
      <c r="B751" s="620"/>
      <c r="C751" s="620" t="s">
        <v>43</v>
      </c>
      <c r="D751" s="639"/>
      <c r="E751" s="751" t="s">
        <v>708</v>
      </c>
      <c r="F751" s="640">
        <v>793.8</v>
      </c>
      <c r="G751" s="640">
        <v>1025.0999999999999</v>
      </c>
      <c r="H751" s="640">
        <v>848.4</v>
      </c>
      <c r="I751" s="640">
        <v>847.9</v>
      </c>
      <c r="J751" s="640">
        <v>847.9</v>
      </c>
      <c r="K751" s="696" t="s">
        <v>709</v>
      </c>
      <c r="L751" s="640" t="s">
        <v>19</v>
      </c>
      <c r="M751" s="640">
        <v>100</v>
      </c>
      <c r="N751" s="640">
        <v>100</v>
      </c>
      <c r="O751" s="640">
        <v>100</v>
      </c>
      <c r="P751" s="640">
        <v>100</v>
      </c>
      <c r="Q751" s="653">
        <v>100</v>
      </c>
    </row>
    <row r="752" spans="1:17" s="78" customFormat="1" ht="57.75" customHeight="1" x14ac:dyDescent="0.25">
      <c r="A752" s="1210"/>
      <c r="B752" s="620"/>
      <c r="C752" s="620" t="s">
        <v>48</v>
      </c>
      <c r="D752" s="639"/>
      <c r="E752" s="751" t="s">
        <v>710</v>
      </c>
      <c r="F752" s="155"/>
      <c r="G752" s="155"/>
      <c r="H752" s="640">
        <v>176.7</v>
      </c>
      <c r="I752" s="640">
        <v>197.1</v>
      </c>
      <c r="J752" s="640">
        <v>228.3</v>
      </c>
      <c r="K752" s="696" t="s">
        <v>711</v>
      </c>
      <c r="L752" s="640"/>
      <c r="M752" s="640"/>
      <c r="N752" s="640"/>
      <c r="O752" s="640"/>
      <c r="P752" s="640"/>
      <c r="Q752" s="653"/>
    </row>
    <row r="753" spans="1:17" s="23" customFormat="1" x14ac:dyDescent="0.25">
      <c r="A753" s="1004" t="s">
        <v>23</v>
      </c>
      <c r="B753" s="1005" t="s">
        <v>23</v>
      </c>
      <c r="C753" s="1005"/>
      <c r="D753" s="1005"/>
      <c r="E753" s="1005"/>
      <c r="F753" s="28">
        <f>F750</f>
        <v>793.8</v>
      </c>
      <c r="G753" s="28">
        <f>G750</f>
        <v>1025.0999999999999</v>
      </c>
      <c r="H753" s="28">
        <f>H750</f>
        <v>1025.0999999999999</v>
      </c>
      <c r="I753" s="28">
        <f>I750</f>
        <v>1045</v>
      </c>
      <c r="J753" s="28">
        <f>J750</f>
        <v>1076.2</v>
      </c>
      <c r="K753" s="43"/>
      <c r="L753" s="161"/>
      <c r="M753" s="161"/>
      <c r="N753" s="161"/>
      <c r="O753" s="161"/>
      <c r="P753" s="161"/>
      <c r="Q753" s="493"/>
    </row>
    <row r="754" spans="1:17" s="23" customFormat="1" ht="18.75" customHeight="1" x14ac:dyDescent="0.25">
      <c r="A754" s="1208" t="s">
        <v>1428</v>
      </c>
      <c r="B754" s="1209"/>
      <c r="C754" s="1209"/>
      <c r="D754" s="1209"/>
      <c r="E754" s="1209"/>
      <c r="F754" s="1209"/>
      <c r="G754" s="1209"/>
      <c r="H754" s="1209"/>
      <c r="I754" s="1209"/>
      <c r="J754" s="1209"/>
      <c r="K754" s="1209"/>
      <c r="L754" s="1209"/>
      <c r="M754" s="1209"/>
      <c r="N754" s="1209"/>
      <c r="O754" s="1209"/>
      <c r="P754" s="183"/>
      <c r="Q754" s="522"/>
    </row>
    <row r="755" spans="1:17" s="78" customFormat="1" ht="77.25" customHeight="1" x14ac:dyDescent="0.25">
      <c r="A755" s="1210" t="s">
        <v>705</v>
      </c>
      <c r="B755" s="650" t="s">
        <v>706</v>
      </c>
      <c r="C755" s="620"/>
      <c r="D755" s="639"/>
      <c r="E755" s="651" t="s">
        <v>1291</v>
      </c>
      <c r="F755" s="652">
        <f>F756+F758</f>
        <v>21260.7</v>
      </c>
      <c r="G755" s="652">
        <f>G756+G758</f>
        <v>20200.7</v>
      </c>
      <c r="H755" s="652">
        <f>H756+H758</f>
        <v>20200.699999999997</v>
      </c>
      <c r="I755" s="652">
        <f>I756+I758</f>
        <v>20592.3</v>
      </c>
      <c r="J755" s="652">
        <f>J756+J758</f>
        <v>21208.2</v>
      </c>
      <c r="K755" s="157" t="s">
        <v>703</v>
      </c>
      <c r="L755" s="635" t="s">
        <v>495</v>
      </c>
      <c r="M755" s="635">
        <v>36000</v>
      </c>
      <c r="N755" s="158">
        <v>36500</v>
      </c>
      <c r="O755" s="158">
        <v>40000</v>
      </c>
      <c r="P755" s="158">
        <v>40500</v>
      </c>
      <c r="Q755" s="552">
        <v>41000</v>
      </c>
    </row>
    <row r="756" spans="1:17" s="78" customFormat="1" ht="77.25" hidden="1" customHeight="1" x14ac:dyDescent="0.25">
      <c r="A756" s="1210"/>
      <c r="B756" s="1045"/>
      <c r="C756" s="1045" t="s">
        <v>43</v>
      </c>
      <c r="D756" s="1046"/>
      <c r="E756" s="1057" t="s">
        <v>1292</v>
      </c>
      <c r="F756" s="1058">
        <f>4557.5+9133.9+3611.9</f>
        <v>17303.3</v>
      </c>
      <c r="G756" s="1058">
        <f>4383.6+8490.8+3536.6</f>
        <v>16411</v>
      </c>
      <c r="H756" s="1058">
        <f>3540.8+9639.1+610.8+1662.7+11+35+75+35+80.3+25+45+200+360.8</f>
        <v>16320.5</v>
      </c>
      <c r="I756" s="1058">
        <f>3946+680.7+50+20.2+28.5+70.9+25+137.6+8027.4+3768.3</f>
        <v>16754.599999999999</v>
      </c>
      <c r="J756" s="1058">
        <f>3946+680.7+50+70.7+28.5+104.9+25+187.6+8276.5+3871.8</f>
        <v>17241.7</v>
      </c>
      <c r="K756" s="641"/>
      <c r="L756" s="635"/>
      <c r="M756" s="635"/>
      <c r="N756" s="158"/>
      <c r="O756" s="158"/>
      <c r="P756" s="158"/>
      <c r="Q756" s="552"/>
    </row>
    <row r="757" spans="1:17" s="78" customFormat="1" ht="77.25" customHeight="1" x14ac:dyDescent="0.25">
      <c r="A757" s="1210"/>
      <c r="B757" s="1045"/>
      <c r="C757" s="1045"/>
      <c r="D757" s="1046"/>
      <c r="E757" s="1057"/>
      <c r="F757" s="1058"/>
      <c r="G757" s="1058"/>
      <c r="H757" s="1058"/>
      <c r="I757" s="1058"/>
      <c r="J757" s="1058"/>
      <c r="K757" s="157" t="s">
        <v>704</v>
      </c>
      <c r="L757" s="635" t="s">
        <v>495</v>
      </c>
      <c r="M757" s="635">
        <v>11</v>
      </c>
      <c r="N757" s="635">
        <v>12</v>
      </c>
      <c r="O757" s="104">
        <v>12</v>
      </c>
      <c r="P757" s="104">
        <v>12</v>
      </c>
      <c r="Q757" s="519">
        <v>12</v>
      </c>
    </row>
    <row r="758" spans="1:17" s="78" customFormat="1" ht="82.5" customHeight="1" x14ac:dyDescent="0.25">
      <c r="A758" s="1210"/>
      <c r="B758" s="1045"/>
      <c r="C758" s="1045" t="s">
        <v>48</v>
      </c>
      <c r="D758" s="1046"/>
      <c r="E758" s="1057" t="s">
        <v>1316</v>
      </c>
      <c r="F758" s="1058">
        <f>2571.9+992.9+392.6</f>
        <v>3957.4</v>
      </c>
      <c r="G758" s="1058">
        <f>2482.4+922.9+384.4</f>
        <v>3789.7000000000003</v>
      </c>
      <c r="H758" s="1058">
        <f>2050.2+1047.7+353.7+180.7+35+35+8.7+25+5+100+39.2</f>
        <v>3880.1999999999989</v>
      </c>
      <c r="I758" s="1058">
        <f>2028.1+349.8+25+10+14.2+35+25+68.5+872.5+409.6</f>
        <v>3837.7</v>
      </c>
      <c r="J758" s="1058">
        <f>2028.1+349.8+25+35+14.2+50.5+25+118.5+899.6+420.8</f>
        <v>3966.5</v>
      </c>
      <c r="K758" s="628" t="s">
        <v>1391</v>
      </c>
      <c r="L758" s="635" t="s">
        <v>495</v>
      </c>
      <c r="M758" s="635">
        <v>5000</v>
      </c>
      <c r="N758" s="635">
        <v>5100</v>
      </c>
      <c r="O758" s="106">
        <v>5200</v>
      </c>
      <c r="P758" s="106">
        <v>5300</v>
      </c>
      <c r="Q758" s="553">
        <v>5400</v>
      </c>
    </row>
    <row r="759" spans="1:17" s="78" customFormat="1" ht="17.25" hidden="1" customHeight="1" x14ac:dyDescent="0.25">
      <c r="A759" s="1210"/>
      <c r="B759" s="1045"/>
      <c r="C759" s="1045"/>
      <c r="D759" s="1046"/>
      <c r="E759" s="1057"/>
      <c r="F759" s="1058"/>
      <c r="G759" s="1058"/>
      <c r="H759" s="1058"/>
      <c r="I759" s="1058"/>
      <c r="J759" s="1058"/>
      <c r="K759" s="641"/>
      <c r="L759" s="640"/>
      <c r="M759" s="640"/>
      <c r="N759" s="646"/>
      <c r="O759" s="646"/>
      <c r="P759" s="646"/>
      <c r="Q759" s="647"/>
    </row>
    <row r="760" spans="1:17" s="23" customFormat="1" x14ac:dyDescent="0.25">
      <c r="A760" s="1004" t="s">
        <v>23</v>
      </c>
      <c r="B760" s="1005" t="s">
        <v>23</v>
      </c>
      <c r="C760" s="1005"/>
      <c r="D760" s="1005"/>
      <c r="E760" s="1005"/>
      <c r="F760" s="28">
        <f>F755</f>
        <v>21260.7</v>
      </c>
      <c r="G760" s="28">
        <f>G755</f>
        <v>20200.7</v>
      </c>
      <c r="H760" s="28">
        <f>H755</f>
        <v>20200.699999999997</v>
      </c>
      <c r="I760" s="28">
        <f>I755</f>
        <v>20592.3</v>
      </c>
      <c r="J760" s="28">
        <f>J755</f>
        <v>21208.2</v>
      </c>
      <c r="K760" s="43"/>
      <c r="L760" s="161"/>
      <c r="M760" s="161"/>
      <c r="N760" s="161"/>
      <c r="O760" s="161"/>
      <c r="P760" s="161"/>
      <c r="Q760" s="493"/>
    </row>
    <row r="761" spans="1:17" s="23" customFormat="1" x14ac:dyDescent="0.25">
      <c r="A761" s="1004" t="s">
        <v>219</v>
      </c>
      <c r="B761" s="1005" t="s">
        <v>23</v>
      </c>
      <c r="C761" s="1005"/>
      <c r="D761" s="1005"/>
      <c r="E761" s="1005"/>
      <c r="F761" s="28">
        <f>F748+F753+F760</f>
        <v>2936362.2</v>
      </c>
      <c r="G761" s="28">
        <f>G748+G753+G760</f>
        <v>3062842.6</v>
      </c>
      <c r="H761" s="28">
        <f>H748+H753+H760</f>
        <v>3658415.1999999997</v>
      </c>
      <c r="I761" s="28">
        <f>I748+I753+I760</f>
        <v>3565180.51</v>
      </c>
      <c r="J761" s="28">
        <f>J748+J753+J760</f>
        <v>3663672.17502</v>
      </c>
      <c r="K761" s="43"/>
      <c r="L761" s="161"/>
      <c r="M761" s="161"/>
      <c r="N761" s="161"/>
      <c r="O761" s="161"/>
      <c r="P761" s="161"/>
      <c r="Q761" s="493"/>
    </row>
    <row r="762" spans="1:17" ht="24.75" customHeight="1" x14ac:dyDescent="0.25">
      <c r="A762" s="1041" t="s">
        <v>828</v>
      </c>
      <c r="B762" s="1042"/>
      <c r="C762" s="1042"/>
      <c r="D762" s="1042"/>
      <c r="E762" s="1042"/>
      <c r="F762" s="1042"/>
      <c r="G762" s="1042"/>
      <c r="H762" s="1042"/>
      <c r="I762" s="1042"/>
      <c r="J762" s="1042"/>
      <c r="K762" s="1042"/>
      <c r="L762" s="1042"/>
      <c r="M762" s="1042"/>
      <c r="N762" s="1042"/>
      <c r="O762" s="1042"/>
      <c r="P762" s="1042"/>
      <c r="Q762" s="1043"/>
    </row>
    <row r="763" spans="1:17" ht="59.25" x14ac:dyDescent="0.25">
      <c r="A763" s="994">
        <v>45</v>
      </c>
      <c r="B763" s="243" t="s">
        <v>8</v>
      </c>
      <c r="C763" s="243"/>
      <c r="D763" s="243"/>
      <c r="E763" s="691" t="s">
        <v>1238</v>
      </c>
      <c r="F763" s="244">
        <v>103966</v>
      </c>
      <c r="G763" s="244">
        <v>129171.6</v>
      </c>
      <c r="H763" s="703">
        <v>129171.63</v>
      </c>
      <c r="I763" s="703">
        <f>I764</f>
        <v>131625.89097000001</v>
      </c>
      <c r="J763" s="703">
        <f>J764</f>
        <v>135574.66769910001</v>
      </c>
      <c r="K763" s="725" t="s">
        <v>9</v>
      </c>
      <c r="L763" s="247" t="s">
        <v>829</v>
      </c>
      <c r="M763" s="245">
        <v>44.62</v>
      </c>
      <c r="N763" s="637">
        <v>50</v>
      </c>
      <c r="O763" s="637">
        <v>50</v>
      </c>
      <c r="P763" s="637">
        <v>50</v>
      </c>
      <c r="Q763" s="638">
        <v>50</v>
      </c>
    </row>
    <row r="764" spans="1:17" ht="30" x14ac:dyDescent="0.25">
      <c r="A764" s="994"/>
      <c r="B764" s="724"/>
      <c r="C764" s="724" t="s">
        <v>43</v>
      </c>
      <c r="D764" s="243"/>
      <c r="E764" s="673" t="s">
        <v>11</v>
      </c>
      <c r="F764" s="246">
        <v>103966</v>
      </c>
      <c r="G764" s="246">
        <v>129171.63</v>
      </c>
      <c r="H764" s="619">
        <v>129171.63</v>
      </c>
      <c r="I764" s="619">
        <f>H764*101.9%</f>
        <v>131625.89097000001</v>
      </c>
      <c r="J764" s="619">
        <f>I764*103%</f>
        <v>135574.66769910001</v>
      </c>
      <c r="K764" s="725"/>
      <c r="L764" s="247"/>
      <c r="M764" s="245"/>
      <c r="N764" s="247"/>
      <c r="O764" s="247"/>
      <c r="P764" s="247"/>
      <c r="Q764" s="554"/>
    </row>
    <row r="765" spans="1:17" ht="88.5" x14ac:dyDescent="0.25">
      <c r="A765" s="994"/>
      <c r="B765" s="243" t="s">
        <v>830</v>
      </c>
      <c r="C765" s="724"/>
      <c r="D765" s="724"/>
      <c r="E765" s="691" t="s">
        <v>1239</v>
      </c>
      <c r="F765" s="248">
        <f>F766+F768</f>
        <v>306602.90000000002</v>
      </c>
      <c r="G765" s="244">
        <f>G766+G768</f>
        <v>1358466.4</v>
      </c>
      <c r="H765" s="685">
        <f>H766+H768</f>
        <v>743655.7</v>
      </c>
      <c r="I765" s="856">
        <f t="shared" ref="I765" si="6">I766+I768</f>
        <v>1632912.0463</v>
      </c>
      <c r="J765" s="856">
        <f>J766+J768</f>
        <v>1581584.6596889999</v>
      </c>
      <c r="K765" s="725" t="s">
        <v>831</v>
      </c>
      <c r="L765" s="247" t="s">
        <v>19</v>
      </c>
      <c r="M765" s="247">
        <v>80</v>
      </c>
      <c r="N765" s="637">
        <v>90</v>
      </c>
      <c r="O765" s="637">
        <v>90</v>
      </c>
      <c r="P765" s="637">
        <v>90</v>
      </c>
      <c r="Q765" s="638">
        <v>90</v>
      </c>
    </row>
    <row r="766" spans="1:17" ht="45" x14ac:dyDescent="0.25">
      <c r="A766" s="994"/>
      <c r="B766" s="1199"/>
      <c r="C766" s="1199" t="s">
        <v>43</v>
      </c>
      <c r="D766" s="1199"/>
      <c r="E766" s="1155" t="s">
        <v>832</v>
      </c>
      <c r="F766" s="1203">
        <v>14070.4</v>
      </c>
      <c r="G766" s="1203">
        <v>15211.4</v>
      </c>
      <c r="H766" s="1035">
        <v>15407.7</v>
      </c>
      <c r="I766" s="1156">
        <f>H766*101.9%</f>
        <v>15700.446300000003</v>
      </c>
      <c r="J766" s="1156">
        <f>I766*103%</f>
        <v>16171.459689000003</v>
      </c>
      <c r="K766" s="725" t="s">
        <v>833</v>
      </c>
      <c r="L766" s="247" t="s">
        <v>163</v>
      </c>
      <c r="M766" s="247">
        <v>1532</v>
      </c>
      <c r="N766" s="637">
        <v>2500</v>
      </c>
      <c r="O766" s="637">
        <v>2500</v>
      </c>
      <c r="P766" s="637">
        <v>2500</v>
      </c>
      <c r="Q766" s="638">
        <v>2500</v>
      </c>
    </row>
    <row r="767" spans="1:17" ht="30" x14ac:dyDescent="0.25">
      <c r="A767" s="994"/>
      <c r="B767" s="1199"/>
      <c r="C767" s="1199"/>
      <c r="D767" s="1199"/>
      <c r="E767" s="1155"/>
      <c r="F767" s="1203"/>
      <c r="G767" s="1203"/>
      <c r="H767" s="1035"/>
      <c r="I767" s="1156"/>
      <c r="J767" s="1156"/>
      <c r="K767" s="725" t="s">
        <v>834</v>
      </c>
      <c r="L767" s="247" t="s">
        <v>19</v>
      </c>
      <c r="M767" s="249" t="s">
        <v>835</v>
      </c>
      <c r="N767" s="682" t="s">
        <v>836</v>
      </c>
      <c r="O767" s="682" t="s">
        <v>837</v>
      </c>
      <c r="P767" s="682" t="s">
        <v>838</v>
      </c>
      <c r="Q767" s="555" t="s">
        <v>838</v>
      </c>
    </row>
    <row r="768" spans="1:17" ht="45" x14ac:dyDescent="0.25">
      <c r="A768" s="994"/>
      <c r="B768" s="724"/>
      <c r="C768" s="724" t="s">
        <v>48</v>
      </c>
      <c r="D768" s="243"/>
      <c r="E768" s="696" t="s">
        <v>839</v>
      </c>
      <c r="F768" s="728">
        <v>292532.5</v>
      </c>
      <c r="G768" s="728">
        <v>1343255</v>
      </c>
      <c r="H768" s="619">
        <v>728248</v>
      </c>
      <c r="I768" s="697">
        <v>1617211.6</v>
      </c>
      <c r="J768" s="697">
        <v>1565413.2</v>
      </c>
      <c r="K768" s="711" t="s">
        <v>840</v>
      </c>
      <c r="L768" s="247" t="s">
        <v>19</v>
      </c>
      <c r="M768" s="247">
        <v>79.5</v>
      </c>
      <c r="N768" s="629">
        <v>100</v>
      </c>
      <c r="O768" s="629">
        <v>100</v>
      </c>
      <c r="P768" s="629">
        <v>100</v>
      </c>
      <c r="Q768" s="630">
        <v>100</v>
      </c>
    </row>
    <row r="769" spans="1:17" ht="134.25" x14ac:dyDescent="0.25">
      <c r="A769" s="994"/>
      <c r="B769" s="243" t="s">
        <v>841</v>
      </c>
      <c r="C769" s="724"/>
      <c r="D769" s="724"/>
      <c r="E769" s="691" t="s">
        <v>1240</v>
      </c>
      <c r="F769" s="244">
        <f>F770+F772+F774+F775</f>
        <v>1619570.5000000002</v>
      </c>
      <c r="G769" s="244">
        <f>G770+G772+G774+G775</f>
        <v>1612773</v>
      </c>
      <c r="H769" s="244">
        <f>H770+H772+H774+H775</f>
        <v>1649147.9</v>
      </c>
      <c r="I769" s="244">
        <f t="shared" ref="I769" si="7">I770+I772+I774+I775</f>
        <v>1559819.0601000001</v>
      </c>
      <c r="J769" s="244">
        <f>J770+J772+J774+J775</f>
        <v>1606317.553903</v>
      </c>
      <c r="K769" s="725" t="s">
        <v>842</v>
      </c>
      <c r="L769" s="247" t="s">
        <v>163</v>
      </c>
      <c r="M769" s="250" t="s">
        <v>843</v>
      </c>
      <c r="N769" s="251" t="s">
        <v>844</v>
      </c>
      <c r="O769" s="251" t="s">
        <v>844</v>
      </c>
      <c r="P769" s="251" t="s">
        <v>844</v>
      </c>
      <c r="Q769" s="556" t="s">
        <v>844</v>
      </c>
    </row>
    <row r="770" spans="1:17" ht="30" x14ac:dyDescent="0.25">
      <c r="A770" s="994"/>
      <c r="B770" s="1023"/>
      <c r="C770" s="1023" t="s">
        <v>43</v>
      </c>
      <c r="D770" s="1199"/>
      <c r="E770" s="1155" t="s">
        <v>845</v>
      </c>
      <c r="F770" s="1205">
        <f>61275.4+32610.8+45899.5+94147.4</f>
        <v>233933.1</v>
      </c>
      <c r="G770" s="1205">
        <f>70332.2+108780.2+134823.2+100000</f>
        <v>413935.6</v>
      </c>
      <c r="H770" s="1156">
        <f>57332.9+110306.5+134823.2+62279.9</f>
        <v>364742.5</v>
      </c>
      <c r="I770" s="1156">
        <f>H770*101.9%</f>
        <v>371672.60750000004</v>
      </c>
      <c r="J770" s="1156">
        <f>I770*103%</f>
        <v>382822.78572500008</v>
      </c>
      <c r="K770" s="725" t="s">
        <v>846</v>
      </c>
      <c r="L770" s="247" t="s">
        <v>163</v>
      </c>
      <c r="M770" s="250" t="s">
        <v>847</v>
      </c>
      <c r="N770" s="251" t="s">
        <v>848</v>
      </c>
      <c r="O770" s="251" t="s">
        <v>848</v>
      </c>
      <c r="P770" s="251" t="s">
        <v>848</v>
      </c>
      <c r="Q770" s="556" t="s">
        <v>848</v>
      </c>
    </row>
    <row r="771" spans="1:17" ht="30" x14ac:dyDescent="0.25">
      <c r="A771" s="994"/>
      <c r="B771" s="1023"/>
      <c r="C771" s="1023"/>
      <c r="D771" s="1199"/>
      <c r="E771" s="1155"/>
      <c r="F771" s="1205"/>
      <c r="G771" s="1205"/>
      <c r="H771" s="1156"/>
      <c r="I771" s="1156"/>
      <c r="J771" s="1156"/>
      <c r="K771" s="241" t="s">
        <v>849</v>
      </c>
      <c r="L771" s="247" t="s">
        <v>163</v>
      </c>
      <c r="M771" s="250" t="s">
        <v>850</v>
      </c>
      <c r="N771" s="251" t="s">
        <v>851</v>
      </c>
      <c r="O771" s="251" t="s">
        <v>851</v>
      </c>
      <c r="P771" s="251" t="s">
        <v>851</v>
      </c>
      <c r="Q771" s="556" t="s">
        <v>851</v>
      </c>
    </row>
    <row r="772" spans="1:17" ht="30" x14ac:dyDescent="0.25">
      <c r="A772" s="994"/>
      <c r="B772" s="1199"/>
      <c r="C772" s="1199" t="s">
        <v>48</v>
      </c>
      <c r="D772" s="1199"/>
      <c r="E772" s="1155" t="s">
        <v>852</v>
      </c>
      <c r="F772" s="1203">
        <v>9637.2000000000007</v>
      </c>
      <c r="G772" s="1203">
        <v>30115.599999999999</v>
      </c>
      <c r="H772" s="1204">
        <f>31389.9+45039.2</f>
        <v>76429.100000000006</v>
      </c>
      <c r="I772" s="1156">
        <f>H772*101.9%</f>
        <v>77881.252900000021</v>
      </c>
      <c r="J772" s="1156">
        <f>I772*103%</f>
        <v>80217.690487000029</v>
      </c>
      <c r="K772" s="725" t="s">
        <v>853</v>
      </c>
      <c r="L772" s="247" t="s">
        <v>19</v>
      </c>
      <c r="M772" s="250" t="s">
        <v>854</v>
      </c>
      <c r="N772" s="251" t="s">
        <v>855</v>
      </c>
      <c r="O772" s="251" t="s">
        <v>856</v>
      </c>
      <c r="P772" s="251" t="s">
        <v>856</v>
      </c>
      <c r="Q772" s="556" t="s">
        <v>856</v>
      </c>
    </row>
    <row r="773" spans="1:17" ht="60" customHeight="1" x14ac:dyDescent="0.25">
      <c r="A773" s="994"/>
      <c r="B773" s="1199"/>
      <c r="C773" s="1199"/>
      <c r="D773" s="1199"/>
      <c r="E773" s="1155"/>
      <c r="F773" s="1203"/>
      <c r="G773" s="1203"/>
      <c r="H773" s="1204"/>
      <c r="I773" s="1156"/>
      <c r="J773" s="1156"/>
      <c r="K773" s="725" t="s">
        <v>857</v>
      </c>
      <c r="L773" s="695" t="s">
        <v>163</v>
      </c>
      <c r="M773" s="695" t="s">
        <v>854</v>
      </c>
      <c r="N773" s="682" t="s">
        <v>858</v>
      </c>
      <c r="O773" s="682" t="s">
        <v>859</v>
      </c>
      <c r="P773" s="682" t="s">
        <v>860</v>
      </c>
      <c r="Q773" s="555" t="s">
        <v>184</v>
      </c>
    </row>
    <row r="774" spans="1:17" x14ac:dyDescent="0.25">
      <c r="A774" s="994"/>
      <c r="B774" s="1199"/>
      <c r="C774" s="1199" t="s">
        <v>37</v>
      </c>
      <c r="D774" s="1199"/>
      <c r="E774" s="1155" t="s">
        <v>861</v>
      </c>
      <c r="F774" s="728">
        <v>1374333.1</v>
      </c>
      <c r="G774" s="728">
        <v>1164671.8</v>
      </c>
      <c r="H774" s="619">
        <f>101932.9+173303+77228.5+58250+36960.7+12881.8+14211.8+33881.2+155584.9+130334.9+63729.7+90739.8+111157.8+43715.7+38169.4+16478.5+33600+11765.7</f>
        <v>1203926.2999999998</v>
      </c>
      <c r="I774" s="697">
        <f>1227562.5997-121347.4</f>
        <v>1106215.1997</v>
      </c>
      <c r="J774" s="697">
        <f>1264214.777691-124987.7</f>
        <v>1139227.077691</v>
      </c>
      <c r="K774" s="696" t="s">
        <v>862</v>
      </c>
      <c r="L774" s="637" t="s">
        <v>19</v>
      </c>
      <c r="M774" s="682" t="s">
        <v>863</v>
      </c>
      <c r="N774" s="682" t="s">
        <v>835</v>
      </c>
      <c r="O774" s="682" t="s">
        <v>837</v>
      </c>
      <c r="P774" s="682" t="s">
        <v>837</v>
      </c>
      <c r="Q774" s="555" t="s">
        <v>837</v>
      </c>
    </row>
    <row r="775" spans="1:17" ht="41.25" customHeight="1" x14ac:dyDescent="0.25">
      <c r="A775" s="994"/>
      <c r="B775" s="1199"/>
      <c r="C775" s="1199"/>
      <c r="D775" s="1199"/>
      <c r="E775" s="1155"/>
      <c r="F775" s="728">
        <f>1933.2-85.2-180.9</f>
        <v>1667.1</v>
      </c>
      <c r="G775" s="728">
        <v>4050</v>
      </c>
      <c r="H775" s="619">
        <f>5500-620-830</f>
        <v>4050</v>
      </c>
      <c r="I775" s="697">
        <v>4050</v>
      </c>
      <c r="J775" s="697">
        <v>4050</v>
      </c>
      <c r="K775" s="696"/>
      <c r="L775" s="637"/>
      <c r="M775" s="682"/>
      <c r="N775" s="682"/>
      <c r="O775" s="682"/>
      <c r="P775" s="682"/>
      <c r="Q775" s="555"/>
    </row>
    <row r="776" spans="1:17" ht="132.75" x14ac:dyDescent="0.25">
      <c r="A776" s="994"/>
      <c r="B776" s="243" t="s">
        <v>864</v>
      </c>
      <c r="C776" s="724"/>
      <c r="D776" s="252"/>
      <c r="E776" s="691" t="s">
        <v>1241</v>
      </c>
      <c r="F776" s="244">
        <f>F777+F779+F778+F780</f>
        <v>25991.800000000003</v>
      </c>
      <c r="G776" s="244">
        <f>G777+G779+G778+G780</f>
        <v>28417.1</v>
      </c>
      <c r="H776" s="244">
        <f>H777+H779+H778+H780</f>
        <v>27409.199999999997</v>
      </c>
      <c r="I776" s="244">
        <f t="shared" ref="I776:J776" si="8">I777+I779+I778+I780</f>
        <v>27902.424800000001</v>
      </c>
      <c r="J776" s="244">
        <f t="shared" si="8"/>
        <v>28695.997544000005</v>
      </c>
      <c r="K776" s="253" t="s">
        <v>865</v>
      </c>
      <c r="L776" s="254" t="s">
        <v>163</v>
      </c>
      <c r="M776" s="255">
        <f>M777+M779</f>
        <v>12373</v>
      </c>
      <c r="N776" s="255">
        <f>N777+N779</f>
        <v>12150</v>
      </c>
      <c r="O776" s="255">
        <f>O777+O779</f>
        <v>20200</v>
      </c>
      <c r="P776" s="255">
        <f>P777+P779</f>
        <v>23200</v>
      </c>
      <c r="Q776" s="557">
        <f>Q777+Q779</f>
        <v>27200</v>
      </c>
    </row>
    <row r="777" spans="1:17" x14ac:dyDescent="0.25">
      <c r="A777" s="994"/>
      <c r="B777" s="1199"/>
      <c r="C777" s="1199" t="s">
        <v>43</v>
      </c>
      <c r="D777" s="1199"/>
      <c r="E777" s="1155" t="s">
        <v>866</v>
      </c>
      <c r="F777" s="728">
        <v>16641.5</v>
      </c>
      <c r="G777" s="728">
        <v>17559.599999999999</v>
      </c>
      <c r="H777" s="729">
        <v>17564.599999999999</v>
      </c>
      <c r="I777" s="697">
        <f>H777*101.9%</f>
        <v>17898.327400000002</v>
      </c>
      <c r="J777" s="697">
        <f t="shared" ref="J777:J782" si="9">I777*103%</f>
        <v>18435.277222000004</v>
      </c>
      <c r="K777" s="253" t="s">
        <v>867</v>
      </c>
      <c r="L777" s="254" t="s">
        <v>163</v>
      </c>
      <c r="M777" s="724" t="s">
        <v>868</v>
      </c>
      <c r="N777" s="682" t="s">
        <v>869</v>
      </c>
      <c r="O777" s="682" t="s">
        <v>870</v>
      </c>
      <c r="P777" s="682" t="s">
        <v>871</v>
      </c>
      <c r="Q777" s="555" t="s">
        <v>872</v>
      </c>
    </row>
    <row r="778" spans="1:17" ht="40.5" customHeight="1" x14ac:dyDescent="0.25">
      <c r="A778" s="994"/>
      <c r="B778" s="1199"/>
      <c r="C778" s="1199"/>
      <c r="D778" s="1199"/>
      <c r="E778" s="1155"/>
      <c r="F778" s="728">
        <v>85.2</v>
      </c>
      <c r="G778" s="728">
        <v>620</v>
      </c>
      <c r="H778" s="729">
        <v>620</v>
      </c>
      <c r="I778" s="697">
        <v>620</v>
      </c>
      <c r="J778" s="697">
        <v>620</v>
      </c>
      <c r="K778" s="253"/>
      <c r="L778" s="254"/>
      <c r="M778" s="724"/>
      <c r="N778" s="682"/>
      <c r="O778" s="682"/>
      <c r="P778" s="682"/>
      <c r="Q778" s="555"/>
    </row>
    <row r="779" spans="1:17" ht="30" x14ac:dyDescent="0.25">
      <c r="A779" s="994"/>
      <c r="B779" s="1199"/>
      <c r="C779" s="1199" t="s">
        <v>48</v>
      </c>
      <c r="D779" s="1199"/>
      <c r="E779" s="1155" t="s">
        <v>873</v>
      </c>
      <c r="F779" s="246">
        <v>9084.2000000000007</v>
      </c>
      <c r="G779" s="246">
        <v>9407.5</v>
      </c>
      <c r="H779" s="729">
        <v>8394.6</v>
      </c>
      <c r="I779" s="697">
        <f>H779*101.9%</f>
        <v>8554.0974000000006</v>
      </c>
      <c r="J779" s="697">
        <f t="shared" si="9"/>
        <v>8810.720322000001</v>
      </c>
      <c r="K779" s="253" t="s">
        <v>874</v>
      </c>
      <c r="L779" s="637" t="s">
        <v>163</v>
      </c>
      <c r="M779" s="682" t="s">
        <v>875</v>
      </c>
      <c r="N779" s="682" t="s">
        <v>876</v>
      </c>
      <c r="O779" s="682" t="s">
        <v>877</v>
      </c>
      <c r="P779" s="682" t="s">
        <v>877</v>
      </c>
      <c r="Q779" s="555" t="s">
        <v>877</v>
      </c>
    </row>
    <row r="780" spans="1:17" ht="48.75" customHeight="1" x14ac:dyDescent="0.25">
      <c r="A780" s="994"/>
      <c r="B780" s="1199"/>
      <c r="C780" s="1199"/>
      <c r="D780" s="1199"/>
      <c r="E780" s="1155"/>
      <c r="F780" s="246">
        <v>180.9</v>
      </c>
      <c r="G780" s="246">
        <v>830</v>
      </c>
      <c r="H780" s="729">
        <v>830</v>
      </c>
      <c r="I780" s="697">
        <v>830</v>
      </c>
      <c r="J780" s="697">
        <v>830</v>
      </c>
      <c r="K780" s="253"/>
      <c r="L780" s="637"/>
      <c r="M780" s="682"/>
      <c r="N780" s="682"/>
      <c r="O780" s="682"/>
      <c r="P780" s="682"/>
      <c r="Q780" s="555"/>
    </row>
    <row r="781" spans="1:17" ht="42.75" x14ac:dyDescent="0.25">
      <c r="A781" s="994"/>
      <c r="B781" s="693" t="s">
        <v>1317</v>
      </c>
      <c r="C781" s="693"/>
      <c r="D781" s="693"/>
      <c r="E781" s="256" t="s">
        <v>878</v>
      </c>
      <c r="F781" s="257">
        <v>0</v>
      </c>
      <c r="G781" s="257">
        <v>0</v>
      </c>
      <c r="H781" s="258">
        <f>SUM(H782:H783)</f>
        <v>460314.10000000003</v>
      </c>
      <c r="I781" s="258">
        <f t="shared" ref="I781:J781" si="10">SUM(I782:I783)</f>
        <v>295829.95480000001</v>
      </c>
      <c r="J781" s="258">
        <f t="shared" si="10"/>
        <v>304704.85344400001</v>
      </c>
      <c r="K781" s="725" t="s">
        <v>879</v>
      </c>
      <c r="L781" s="637" t="s">
        <v>163</v>
      </c>
      <c r="M781" s="259">
        <f>(M783+M784)/2</f>
        <v>47.08</v>
      </c>
      <c r="N781" s="637">
        <f>(N783+N784)/2</f>
        <v>33</v>
      </c>
      <c r="O781" s="637">
        <f>(O783+O784)/2</f>
        <v>33</v>
      </c>
      <c r="P781" s="637">
        <f>(P783+P784)/2</f>
        <v>33</v>
      </c>
      <c r="Q781" s="638">
        <f>(Q783+Q784)/2</f>
        <v>33</v>
      </c>
    </row>
    <row r="782" spans="1:17" ht="45" x14ac:dyDescent="0.25">
      <c r="A782" s="994"/>
      <c r="B782" s="695"/>
      <c r="C782" s="695" t="s">
        <v>43</v>
      </c>
      <c r="D782" s="695"/>
      <c r="E782" s="725" t="s">
        <v>880</v>
      </c>
      <c r="F782" s="726">
        <v>0</v>
      </c>
      <c r="G782" s="726">
        <v>0</v>
      </c>
      <c r="H782" s="727">
        <v>44229.2</v>
      </c>
      <c r="I782" s="727">
        <f>H782*101.9%-0.1</f>
        <v>45069.454800000007</v>
      </c>
      <c r="J782" s="729">
        <f t="shared" si="9"/>
        <v>46421.538444000005</v>
      </c>
      <c r="K782" s="725" t="s">
        <v>879</v>
      </c>
      <c r="L782" s="260" t="s">
        <v>163</v>
      </c>
      <c r="M782" s="752">
        <v>47.1</v>
      </c>
      <c r="N782" s="752">
        <v>33</v>
      </c>
      <c r="O782" s="752">
        <v>33</v>
      </c>
      <c r="P782" s="752">
        <v>33</v>
      </c>
      <c r="Q782" s="558">
        <v>33</v>
      </c>
    </row>
    <row r="783" spans="1:17" ht="30" x14ac:dyDescent="0.25">
      <c r="A783" s="994"/>
      <c r="B783" s="1153"/>
      <c r="C783" s="1153" t="s">
        <v>48</v>
      </c>
      <c r="D783" s="1153"/>
      <c r="E783" s="1200" t="s">
        <v>881</v>
      </c>
      <c r="F783" s="1201">
        <v>0</v>
      </c>
      <c r="G783" s="1201">
        <v>0</v>
      </c>
      <c r="H783" s="1202">
        <f>246084.8+0.1+170000</f>
        <v>416084.9</v>
      </c>
      <c r="I783" s="1202">
        <v>250760.5</v>
      </c>
      <c r="J783" s="1202">
        <f>I783*103%</f>
        <v>258283.315</v>
      </c>
      <c r="K783" s="253" t="s">
        <v>882</v>
      </c>
      <c r="L783" s="260" t="s">
        <v>19</v>
      </c>
      <c r="M783" s="260">
        <v>22.8</v>
      </c>
      <c r="N783" s="260">
        <v>23</v>
      </c>
      <c r="O783" s="260">
        <v>23</v>
      </c>
      <c r="P783" s="260">
        <v>23</v>
      </c>
      <c r="Q783" s="559">
        <v>23</v>
      </c>
    </row>
    <row r="784" spans="1:17" ht="30" x14ac:dyDescent="0.25">
      <c r="A784" s="994"/>
      <c r="B784" s="1153"/>
      <c r="C784" s="1153"/>
      <c r="D784" s="1153"/>
      <c r="E784" s="1200"/>
      <c r="F784" s="1201"/>
      <c r="G784" s="1201"/>
      <c r="H784" s="1202"/>
      <c r="I784" s="1202"/>
      <c r="J784" s="1202"/>
      <c r="K784" s="253" t="s">
        <v>883</v>
      </c>
      <c r="L784" s="260" t="s">
        <v>19</v>
      </c>
      <c r="M784" s="260">
        <v>71.36</v>
      </c>
      <c r="N784" s="260">
        <v>43</v>
      </c>
      <c r="O784" s="260">
        <v>43</v>
      </c>
      <c r="P784" s="260">
        <v>43</v>
      </c>
      <c r="Q784" s="559">
        <v>43</v>
      </c>
    </row>
    <row r="785" spans="1:17" x14ac:dyDescent="0.25">
      <c r="A785" s="1187" t="s">
        <v>23</v>
      </c>
      <c r="B785" s="1188"/>
      <c r="C785" s="1188"/>
      <c r="D785" s="1188"/>
      <c r="E785" s="1188"/>
      <c r="F785" s="262">
        <f>F763+F765+F769+F776</f>
        <v>2056131.2000000004</v>
      </c>
      <c r="G785" s="262">
        <f>G763+G765+G769+G776</f>
        <v>3128828.1</v>
      </c>
      <c r="H785" s="263">
        <f>H763+H765+H769+H776+H781</f>
        <v>3009698.5300000003</v>
      </c>
      <c r="I785" s="263">
        <f>I763+I765+I769+I776+I781</f>
        <v>3648089.3769700001</v>
      </c>
      <c r="J785" s="263">
        <f>J763+J765+J769+J776+J781</f>
        <v>3656877.7322790995</v>
      </c>
      <c r="K785" s="261"/>
      <c r="L785" s="264"/>
      <c r="M785" s="264"/>
      <c r="N785" s="264"/>
      <c r="O785" s="264"/>
      <c r="P785" s="264"/>
      <c r="Q785" s="560"/>
    </row>
    <row r="786" spans="1:17" ht="23.25" customHeight="1" x14ac:dyDescent="0.25">
      <c r="A786" s="1041" t="s">
        <v>884</v>
      </c>
      <c r="B786" s="1042"/>
      <c r="C786" s="1042"/>
      <c r="D786" s="1042"/>
      <c r="E786" s="1042"/>
      <c r="F786" s="1042"/>
      <c r="G786" s="1042"/>
      <c r="H786" s="1042"/>
      <c r="I786" s="1042"/>
      <c r="J786" s="1042"/>
      <c r="K786" s="1042"/>
      <c r="L786" s="1042"/>
      <c r="M786" s="1042"/>
      <c r="N786" s="1042"/>
      <c r="O786" s="1042"/>
      <c r="P786" s="1042"/>
      <c r="Q786" s="1043"/>
    </row>
    <row r="787" spans="1:17" ht="42.75" x14ac:dyDescent="0.25">
      <c r="A787" s="994">
        <v>46</v>
      </c>
      <c r="B787" s="34" t="s">
        <v>8</v>
      </c>
      <c r="C787" s="34"/>
      <c r="D787" s="706"/>
      <c r="E787" s="684" t="s">
        <v>885</v>
      </c>
      <c r="F787" s="685">
        <f>SUM(F788:F791)</f>
        <v>3170.9</v>
      </c>
      <c r="G787" s="685">
        <f>SUM(G788:G791)</f>
        <v>3062.1</v>
      </c>
      <c r="H787" s="265">
        <f>H788</f>
        <v>3010.5</v>
      </c>
      <c r="I787" s="265">
        <f>I788</f>
        <v>3068.9</v>
      </c>
      <c r="J787" s="265">
        <f>J788</f>
        <v>3160.6</v>
      </c>
      <c r="K787" s="684" t="s">
        <v>886</v>
      </c>
      <c r="L787" s="731" t="s">
        <v>19</v>
      </c>
      <c r="M787" s="96">
        <v>21.671667719519899</v>
      </c>
      <c r="N787" s="96">
        <v>21.4</v>
      </c>
      <c r="O787" s="96">
        <v>21.4</v>
      </c>
      <c r="P787" s="96">
        <v>21.4</v>
      </c>
      <c r="Q787" s="485">
        <v>21.4</v>
      </c>
    </row>
    <row r="788" spans="1:17" x14ac:dyDescent="0.25">
      <c r="A788" s="994"/>
      <c r="B788" s="746"/>
      <c r="C788" s="764">
        <v>1</v>
      </c>
      <c r="D788" s="683"/>
      <c r="E788" s="289" t="s">
        <v>887</v>
      </c>
      <c r="F788" s="619">
        <v>487.8</v>
      </c>
      <c r="G788" s="619">
        <v>471.1</v>
      </c>
      <c r="H788" s="723">
        <f>2339.6+403.6+162.3+105</f>
        <v>3010.5</v>
      </c>
      <c r="I788" s="723">
        <f>2360.8+407.3+163.1+137.7</f>
        <v>3068.9</v>
      </c>
      <c r="J788" s="723">
        <f>2545.2+439+176.4</f>
        <v>3160.6</v>
      </c>
      <c r="K788" s="673" t="s">
        <v>9</v>
      </c>
      <c r="L788" s="677" t="s">
        <v>69</v>
      </c>
      <c r="M788" s="677">
        <v>1</v>
      </c>
      <c r="N788" s="677">
        <v>1</v>
      </c>
      <c r="O788" s="677">
        <v>1</v>
      </c>
      <c r="P788" s="677">
        <v>1</v>
      </c>
      <c r="Q788" s="680">
        <v>1</v>
      </c>
    </row>
    <row r="789" spans="1:17" ht="30" x14ac:dyDescent="0.25">
      <c r="A789" s="994"/>
      <c r="B789" s="746"/>
      <c r="C789" s="764">
        <v>2</v>
      </c>
      <c r="D789" s="683"/>
      <c r="E789" s="669" t="s">
        <v>888</v>
      </c>
      <c r="F789" s="619">
        <v>975.7</v>
      </c>
      <c r="G789" s="619">
        <v>942.4</v>
      </c>
      <c r="H789" s="723"/>
      <c r="I789" s="723"/>
      <c r="J789" s="723"/>
      <c r="K789" s="673" t="s">
        <v>99</v>
      </c>
      <c r="L789" s="677" t="s">
        <v>19</v>
      </c>
      <c r="M789" s="677">
        <v>100</v>
      </c>
      <c r="N789" s="677">
        <v>100</v>
      </c>
      <c r="O789" s="677">
        <v>100</v>
      </c>
      <c r="P789" s="677">
        <v>100</v>
      </c>
      <c r="Q789" s="680">
        <v>100</v>
      </c>
    </row>
    <row r="790" spans="1:17" x14ac:dyDescent="0.25">
      <c r="A790" s="994"/>
      <c r="B790" s="746"/>
      <c r="C790" s="764">
        <v>3</v>
      </c>
      <c r="D790" s="683"/>
      <c r="E790" s="669" t="s">
        <v>71</v>
      </c>
      <c r="F790" s="619">
        <v>243.9</v>
      </c>
      <c r="G790" s="619">
        <v>235.5</v>
      </c>
      <c r="H790" s="723"/>
      <c r="I790" s="723"/>
      <c r="J790" s="723"/>
      <c r="K790" s="673" t="s">
        <v>889</v>
      </c>
      <c r="L790" s="677" t="s">
        <v>19</v>
      </c>
      <c r="M790" s="677">
        <v>5</v>
      </c>
      <c r="N790" s="677">
        <v>5</v>
      </c>
      <c r="O790" s="677">
        <v>5</v>
      </c>
      <c r="P790" s="677">
        <v>5</v>
      </c>
      <c r="Q790" s="680">
        <v>5</v>
      </c>
    </row>
    <row r="791" spans="1:17" ht="30" x14ac:dyDescent="0.25">
      <c r="A791" s="994"/>
      <c r="B791" s="746"/>
      <c r="C791" s="764">
        <v>4</v>
      </c>
      <c r="D791" s="683"/>
      <c r="E791" s="648" t="s">
        <v>169</v>
      </c>
      <c r="F791" s="619">
        <v>1463.5</v>
      </c>
      <c r="G791" s="619">
        <v>1413.1</v>
      </c>
      <c r="H791" s="723"/>
      <c r="I791" s="723"/>
      <c r="J791" s="723"/>
      <c r="K791" s="673" t="s">
        <v>374</v>
      </c>
      <c r="L791" s="677" t="s">
        <v>19</v>
      </c>
      <c r="M791" s="677">
        <v>11</v>
      </c>
      <c r="N791" s="677">
        <v>20</v>
      </c>
      <c r="O791" s="677">
        <v>20</v>
      </c>
      <c r="P791" s="677">
        <v>20</v>
      </c>
      <c r="Q791" s="680">
        <v>20</v>
      </c>
    </row>
    <row r="792" spans="1:17" ht="71.25" x14ac:dyDescent="0.25">
      <c r="A792" s="994"/>
      <c r="B792" s="681" t="s">
        <v>890</v>
      </c>
      <c r="C792" s="672"/>
      <c r="D792" s="672"/>
      <c r="E792" s="24" t="s">
        <v>1392</v>
      </c>
      <c r="F792" s="685">
        <f>SUM(F793:F798)</f>
        <v>11753.1</v>
      </c>
      <c r="G792" s="685">
        <f>SUM(G793:G798)</f>
        <v>11273.4</v>
      </c>
      <c r="H792" s="685">
        <f>H793</f>
        <v>11325</v>
      </c>
      <c r="I792" s="685">
        <f>I793</f>
        <v>11544.5</v>
      </c>
      <c r="J792" s="685">
        <f>J793</f>
        <v>11889.9</v>
      </c>
      <c r="K792" s="648" t="s">
        <v>1242</v>
      </c>
      <c r="L792" s="648"/>
      <c r="M792" s="36"/>
      <c r="N792" s="36"/>
      <c r="O792" s="36"/>
      <c r="P792" s="36"/>
      <c r="Q792" s="561"/>
    </row>
    <row r="793" spans="1:17" x14ac:dyDescent="0.25">
      <c r="A793" s="994"/>
      <c r="B793" s="1034"/>
      <c r="C793" s="1034" t="s">
        <v>43</v>
      </c>
      <c r="D793" s="1034"/>
      <c r="E793" s="1093" t="s">
        <v>891</v>
      </c>
      <c r="F793" s="1015">
        <v>3000.5</v>
      </c>
      <c r="G793" s="1015">
        <v>2878.03</v>
      </c>
      <c r="H793" s="1198">
        <f>8801.4+1518.1+610.5+395</f>
        <v>11325</v>
      </c>
      <c r="I793" s="1198">
        <f>8881.2+1532+613.5+517.8</f>
        <v>11544.5</v>
      </c>
      <c r="J793" s="1198">
        <f>9574.8+1651.7+663.4</f>
        <v>11889.9</v>
      </c>
      <c r="K793" s="648" t="s">
        <v>892</v>
      </c>
      <c r="L793" s="648" t="s">
        <v>893</v>
      </c>
      <c r="M793" s="648">
        <v>30</v>
      </c>
      <c r="N793" s="648">
        <v>30</v>
      </c>
      <c r="O793" s="648">
        <v>30</v>
      </c>
      <c r="P793" s="648">
        <v>30</v>
      </c>
      <c r="Q793" s="649">
        <v>30</v>
      </c>
    </row>
    <row r="794" spans="1:17" x14ac:dyDescent="0.25">
      <c r="A794" s="994"/>
      <c r="B794" s="1034"/>
      <c r="C794" s="1034"/>
      <c r="D794" s="1034"/>
      <c r="E794" s="1093"/>
      <c r="F794" s="1016"/>
      <c r="G794" s="1016"/>
      <c r="H794" s="1198"/>
      <c r="I794" s="1198"/>
      <c r="J794" s="1198"/>
      <c r="K794" s="648" t="s">
        <v>894</v>
      </c>
      <c r="L794" s="648" t="s">
        <v>895</v>
      </c>
      <c r="M794" s="266">
        <v>9</v>
      </c>
      <c r="N794" s="266">
        <v>13</v>
      </c>
      <c r="O794" s="266">
        <v>13</v>
      </c>
      <c r="P794" s="266">
        <v>13</v>
      </c>
      <c r="Q794" s="562">
        <v>13</v>
      </c>
    </row>
    <row r="795" spans="1:17" x14ac:dyDescent="0.25">
      <c r="A795" s="994"/>
      <c r="B795" s="1034"/>
      <c r="C795" s="1034" t="s">
        <v>48</v>
      </c>
      <c r="D795" s="1034"/>
      <c r="E795" s="1093" t="s">
        <v>896</v>
      </c>
      <c r="F795" s="1035">
        <v>3000.5</v>
      </c>
      <c r="G795" s="1035">
        <v>2878.03</v>
      </c>
      <c r="H795" s="1198"/>
      <c r="I795" s="1198"/>
      <c r="J795" s="1198"/>
      <c r="K795" s="648" t="s">
        <v>897</v>
      </c>
      <c r="L795" s="648" t="s">
        <v>898</v>
      </c>
      <c r="M795" s="648">
        <v>13</v>
      </c>
      <c r="N795" s="648">
        <v>13</v>
      </c>
      <c r="O795" s="648">
        <v>13</v>
      </c>
      <c r="P795" s="648">
        <v>13</v>
      </c>
      <c r="Q795" s="649">
        <v>13</v>
      </c>
    </row>
    <row r="796" spans="1:17" ht="30" x14ac:dyDescent="0.25">
      <c r="A796" s="994"/>
      <c r="B796" s="1034"/>
      <c r="C796" s="1034"/>
      <c r="D796" s="1034"/>
      <c r="E796" s="1093"/>
      <c r="F796" s="1035"/>
      <c r="G796" s="1035"/>
      <c r="H796" s="1198"/>
      <c r="I796" s="1198"/>
      <c r="J796" s="1198"/>
      <c r="K796" s="648" t="s">
        <v>899</v>
      </c>
      <c r="L796" s="648" t="s">
        <v>900</v>
      </c>
      <c r="M796" s="267">
        <v>3</v>
      </c>
      <c r="N796" s="267">
        <v>3</v>
      </c>
      <c r="O796" s="267">
        <v>3</v>
      </c>
      <c r="P796" s="267">
        <v>3</v>
      </c>
      <c r="Q796" s="563">
        <v>3</v>
      </c>
    </row>
    <row r="797" spans="1:17" ht="30" x14ac:dyDescent="0.25">
      <c r="A797" s="994"/>
      <c r="B797" s="672"/>
      <c r="C797" s="672" t="s">
        <v>37</v>
      </c>
      <c r="D797" s="672"/>
      <c r="E797" s="648" t="s">
        <v>901</v>
      </c>
      <c r="F797" s="619">
        <v>4250.7</v>
      </c>
      <c r="G797" s="619">
        <v>4077.18</v>
      </c>
      <c r="H797" s="723"/>
      <c r="I797" s="723"/>
      <c r="J797" s="723"/>
      <c r="K797" s="648" t="s">
        <v>902</v>
      </c>
      <c r="L797" s="648" t="s">
        <v>903</v>
      </c>
      <c r="M797" s="267">
        <v>30</v>
      </c>
      <c r="N797" s="267">
        <v>30</v>
      </c>
      <c r="O797" s="267">
        <v>30</v>
      </c>
      <c r="P797" s="267">
        <v>30</v>
      </c>
      <c r="Q797" s="563">
        <v>30</v>
      </c>
    </row>
    <row r="798" spans="1:17" ht="45" x14ac:dyDescent="0.25">
      <c r="A798" s="994"/>
      <c r="B798" s="672"/>
      <c r="C798" s="672" t="s">
        <v>73</v>
      </c>
      <c r="D798" s="672"/>
      <c r="E798" s="673" t="s">
        <v>1393</v>
      </c>
      <c r="F798" s="619">
        <v>1501.4</v>
      </c>
      <c r="G798" s="619">
        <v>1440.16</v>
      </c>
      <c r="H798" s="723"/>
      <c r="I798" s="723"/>
      <c r="J798" s="723"/>
      <c r="K798" s="648"/>
      <c r="L798" s="648"/>
      <c r="M798" s="457"/>
      <c r="N798" s="457"/>
      <c r="O798" s="457"/>
      <c r="P798" s="457"/>
      <c r="Q798" s="564"/>
    </row>
    <row r="799" spans="1:17" x14ac:dyDescent="0.25">
      <c r="A799" s="1187" t="s">
        <v>23</v>
      </c>
      <c r="B799" s="1188"/>
      <c r="C799" s="1188"/>
      <c r="D799" s="1188"/>
      <c r="E799" s="1188"/>
      <c r="F799" s="714">
        <f>F787+F792</f>
        <v>14924</v>
      </c>
      <c r="G799" s="714">
        <f>G787+G792</f>
        <v>14335.5</v>
      </c>
      <c r="H799" s="714">
        <f>H787+H792</f>
        <v>14335.5</v>
      </c>
      <c r="I799" s="714">
        <f>I787+I792</f>
        <v>14613.4</v>
      </c>
      <c r="J799" s="714">
        <f>J787+J792</f>
        <v>15050.5</v>
      </c>
      <c r="K799" s="82"/>
      <c r="L799" s="1063"/>
      <c r="M799" s="1063"/>
      <c r="N799" s="1063"/>
      <c r="O799" s="1063"/>
      <c r="P799" s="1063"/>
      <c r="Q799" s="1064"/>
    </row>
    <row r="800" spans="1:17" ht="26.25" customHeight="1" x14ac:dyDescent="0.25">
      <c r="A800" s="1041" t="s">
        <v>1429</v>
      </c>
      <c r="B800" s="1042"/>
      <c r="C800" s="1042"/>
      <c r="D800" s="1042"/>
      <c r="E800" s="1042"/>
      <c r="F800" s="1042"/>
      <c r="G800" s="1042"/>
      <c r="H800" s="1042"/>
      <c r="I800" s="1042"/>
      <c r="J800" s="1042"/>
      <c r="K800" s="1042"/>
      <c r="L800" s="1042"/>
      <c r="M800" s="1042"/>
      <c r="N800" s="1042"/>
      <c r="O800" s="1042"/>
      <c r="P800" s="1042"/>
      <c r="Q800" s="1043"/>
    </row>
    <row r="801" spans="1:17" ht="60" x14ac:dyDescent="0.25">
      <c r="A801" s="1186">
        <v>49</v>
      </c>
      <c r="B801" s="1139" t="s">
        <v>8</v>
      </c>
      <c r="C801" s="1034"/>
      <c r="D801" s="1034"/>
      <c r="E801" s="1142" t="s">
        <v>1243</v>
      </c>
      <c r="F801" s="1143">
        <f>F803+F806+F805</f>
        <v>11692.6</v>
      </c>
      <c r="G801" s="1143">
        <f>G803+G806+G805</f>
        <v>11692.6</v>
      </c>
      <c r="H801" s="1143">
        <f>H803+H806+H805</f>
        <v>12371.599999999999</v>
      </c>
      <c r="I801" s="1143">
        <f>I803+I806+I805</f>
        <v>12611.400000000001</v>
      </c>
      <c r="J801" s="1143">
        <f>J803+J806+J805</f>
        <v>12988.7</v>
      </c>
      <c r="K801" s="648" t="s">
        <v>904</v>
      </c>
      <c r="L801" s="677" t="s">
        <v>414</v>
      </c>
      <c r="M801" s="677">
        <v>433</v>
      </c>
      <c r="N801" s="683">
        <v>450</v>
      </c>
      <c r="O801" s="683">
        <v>450</v>
      </c>
      <c r="P801" s="683">
        <v>450</v>
      </c>
      <c r="Q801" s="486">
        <v>450</v>
      </c>
    </row>
    <row r="802" spans="1:17" ht="60" x14ac:dyDescent="0.25">
      <c r="A802" s="1186"/>
      <c r="B802" s="1072"/>
      <c r="C802" s="1072"/>
      <c r="D802" s="1072"/>
      <c r="E802" s="1177"/>
      <c r="F802" s="1196"/>
      <c r="G802" s="1196"/>
      <c r="H802" s="1196"/>
      <c r="I802" s="1196"/>
      <c r="J802" s="1196"/>
      <c r="K802" s="648" t="s">
        <v>905</v>
      </c>
      <c r="L802" s="677" t="s">
        <v>906</v>
      </c>
      <c r="M802" s="677" t="s">
        <v>907</v>
      </c>
      <c r="N802" s="619" t="s">
        <v>908</v>
      </c>
      <c r="O802" s="619" t="s">
        <v>909</v>
      </c>
      <c r="P802" s="619" t="s">
        <v>910</v>
      </c>
      <c r="Q802" s="546" t="s">
        <v>911</v>
      </c>
    </row>
    <row r="803" spans="1:17" ht="30" x14ac:dyDescent="0.25">
      <c r="A803" s="1186"/>
      <c r="B803" s="1139"/>
      <c r="C803" s="1034" t="s">
        <v>43</v>
      </c>
      <c r="D803" s="1034"/>
      <c r="E803" s="1093" t="s">
        <v>912</v>
      </c>
      <c r="F803" s="1035">
        <f>1610</f>
        <v>1610</v>
      </c>
      <c r="G803" s="1035">
        <f>1373.2+236.8</f>
        <v>1610</v>
      </c>
      <c r="H803" s="1035">
        <f>1373.2+236.8+678.8</f>
        <v>2288.8000000000002</v>
      </c>
      <c r="I803" s="1035">
        <f>1373.2+236.8+678.8</f>
        <v>2288.8000000000002</v>
      </c>
      <c r="J803" s="1035">
        <f>1373.2+236.8+678.8</f>
        <v>2288.8000000000002</v>
      </c>
      <c r="K803" s="648" t="s">
        <v>913</v>
      </c>
      <c r="L803" s="677" t="s">
        <v>914</v>
      </c>
      <c r="M803" s="677">
        <v>6</v>
      </c>
      <c r="N803" s="644">
        <v>9</v>
      </c>
      <c r="O803" s="644">
        <v>9</v>
      </c>
      <c r="P803" s="644">
        <v>10</v>
      </c>
      <c r="Q803" s="645">
        <v>10</v>
      </c>
    </row>
    <row r="804" spans="1:17" x14ac:dyDescent="0.25">
      <c r="A804" s="1186"/>
      <c r="B804" s="1072"/>
      <c r="C804" s="1072"/>
      <c r="D804" s="1072"/>
      <c r="E804" s="1177"/>
      <c r="F804" s="1196"/>
      <c r="G804" s="1196"/>
      <c r="H804" s="1196"/>
      <c r="I804" s="1196"/>
      <c r="J804" s="1196"/>
      <c r="K804" s="1093" t="s">
        <v>915</v>
      </c>
      <c r="L804" s="1136" t="s">
        <v>414</v>
      </c>
      <c r="M804" s="1136">
        <v>278</v>
      </c>
      <c r="N804" s="1075">
        <v>2100</v>
      </c>
      <c r="O804" s="1075">
        <v>2150</v>
      </c>
      <c r="P804" s="1075">
        <v>2200</v>
      </c>
      <c r="Q804" s="1076">
        <v>2200</v>
      </c>
    </row>
    <row r="805" spans="1:17" x14ac:dyDescent="0.25">
      <c r="A805" s="1186"/>
      <c r="B805" s="637"/>
      <c r="C805" s="637"/>
      <c r="D805" s="637"/>
      <c r="E805" s="718" t="s">
        <v>916</v>
      </c>
      <c r="F805" s="719">
        <v>106</v>
      </c>
      <c r="G805" s="719">
        <v>106</v>
      </c>
      <c r="H805" s="719">
        <v>106</v>
      </c>
      <c r="I805" s="719">
        <v>106</v>
      </c>
      <c r="J805" s="719">
        <v>106</v>
      </c>
      <c r="K805" s="1177"/>
      <c r="L805" s="1068"/>
      <c r="M805" s="1068"/>
      <c r="N805" s="1068"/>
      <c r="O805" s="1068"/>
      <c r="P805" s="1068"/>
      <c r="Q805" s="1128"/>
    </row>
    <row r="806" spans="1:17" ht="30" x14ac:dyDescent="0.25">
      <c r="A806" s="1186"/>
      <c r="B806" s="1139"/>
      <c r="C806" s="1034" t="s">
        <v>48</v>
      </c>
      <c r="D806" s="1034"/>
      <c r="E806" s="1093" t="s">
        <v>917</v>
      </c>
      <c r="F806" s="1035">
        <f>9976.6</f>
        <v>9976.6</v>
      </c>
      <c r="G806" s="1035">
        <f>9976.6</f>
        <v>9976.6</v>
      </c>
      <c r="H806" s="1035">
        <f>10200.4-223.6</f>
        <v>9976.7999999999993</v>
      </c>
      <c r="I806" s="1035">
        <v>10216.6</v>
      </c>
      <c r="J806" s="1035">
        <f>10314.1+292.3-5.68-6.82</f>
        <v>10593.9</v>
      </c>
      <c r="K806" s="648" t="s">
        <v>1394</v>
      </c>
      <c r="L806" s="677" t="s">
        <v>918</v>
      </c>
      <c r="M806" s="677">
        <v>162</v>
      </c>
      <c r="N806" s="683">
        <v>165</v>
      </c>
      <c r="O806" s="683">
        <v>165</v>
      </c>
      <c r="P806" s="683">
        <v>170</v>
      </c>
      <c r="Q806" s="486">
        <v>175</v>
      </c>
    </row>
    <row r="807" spans="1:17" ht="45" x14ac:dyDescent="0.25">
      <c r="A807" s="1186"/>
      <c r="B807" s="1072"/>
      <c r="C807" s="1072"/>
      <c r="D807" s="1072"/>
      <c r="E807" s="1177"/>
      <c r="F807" s="1196"/>
      <c r="G807" s="1196"/>
      <c r="H807" s="1196"/>
      <c r="I807" s="1196"/>
      <c r="J807" s="1196"/>
      <c r="K807" s="648" t="s">
        <v>919</v>
      </c>
      <c r="L807" s="677" t="s">
        <v>914</v>
      </c>
      <c r="M807" s="677">
        <v>6806</v>
      </c>
      <c r="N807" s="644">
        <v>6850</v>
      </c>
      <c r="O807" s="644">
        <v>6850</v>
      </c>
      <c r="P807" s="644">
        <v>6850</v>
      </c>
      <c r="Q807" s="645">
        <v>6900</v>
      </c>
    </row>
    <row r="808" spans="1:17" ht="30" x14ac:dyDescent="0.25">
      <c r="A808" s="1186"/>
      <c r="B808" s="1072"/>
      <c r="C808" s="1072"/>
      <c r="D808" s="1072"/>
      <c r="E808" s="1177"/>
      <c r="F808" s="1196"/>
      <c r="G808" s="1196"/>
      <c r="H808" s="1196"/>
      <c r="I808" s="1196"/>
      <c r="J808" s="1196"/>
      <c r="K808" s="673" t="s">
        <v>920</v>
      </c>
      <c r="L808" s="677" t="s">
        <v>19</v>
      </c>
      <c r="M808" s="677">
        <v>37</v>
      </c>
      <c r="N808" s="644">
        <v>50</v>
      </c>
      <c r="O808" s="644">
        <v>55</v>
      </c>
      <c r="P808" s="644">
        <v>60</v>
      </c>
      <c r="Q808" s="645">
        <v>65</v>
      </c>
    </row>
    <row r="809" spans="1:17" ht="70.5" customHeight="1" x14ac:dyDescent="0.25">
      <c r="A809" s="1186"/>
      <c r="B809" s="1139" t="s">
        <v>921</v>
      </c>
      <c r="C809" s="1007"/>
      <c r="D809" s="1034"/>
      <c r="E809" s="1093" t="s">
        <v>1244</v>
      </c>
      <c r="F809" s="1143">
        <f>F811+F813</f>
        <v>30191.9</v>
      </c>
      <c r="G809" s="1143">
        <f>G811+G813</f>
        <v>28008.7</v>
      </c>
      <c r="H809" s="1143">
        <f>H811+H813</f>
        <v>38008.699999999997</v>
      </c>
      <c r="I809" s="1143">
        <f>I811+I813</f>
        <v>38745.399999999994</v>
      </c>
      <c r="J809" s="1143">
        <f>J811+J813</f>
        <v>39904.400000000001</v>
      </c>
      <c r="K809" s="711" t="s">
        <v>922</v>
      </c>
      <c r="L809" s="677" t="s">
        <v>414</v>
      </c>
      <c r="M809" s="677">
        <v>205</v>
      </c>
      <c r="N809" s="677">
        <v>361</v>
      </c>
      <c r="O809" s="677">
        <v>368</v>
      </c>
      <c r="P809" s="677">
        <v>370</v>
      </c>
      <c r="Q809" s="680">
        <v>370</v>
      </c>
    </row>
    <row r="810" spans="1:17" ht="75" x14ac:dyDescent="0.25">
      <c r="A810" s="1186"/>
      <c r="B810" s="1072"/>
      <c r="C810" s="1009"/>
      <c r="D810" s="1072"/>
      <c r="E810" s="1177"/>
      <c r="F810" s="1196"/>
      <c r="G810" s="1196"/>
      <c r="H810" s="1196"/>
      <c r="I810" s="1196"/>
      <c r="J810" s="1196"/>
      <c r="K810" s="711" t="s">
        <v>923</v>
      </c>
      <c r="L810" s="648" t="s">
        <v>533</v>
      </c>
      <c r="M810" s="677">
        <v>163524</v>
      </c>
      <c r="N810" s="644">
        <v>160273</v>
      </c>
      <c r="O810" s="644">
        <v>207500</v>
      </c>
      <c r="P810" s="644">
        <v>213988.3</v>
      </c>
      <c r="Q810" s="645">
        <v>220271.2</v>
      </c>
    </row>
    <row r="811" spans="1:17" ht="30" x14ac:dyDescent="0.25">
      <c r="A811" s="1186"/>
      <c r="B811" s="1197"/>
      <c r="C811" s="1034" t="s">
        <v>43</v>
      </c>
      <c r="D811" s="1034"/>
      <c r="E811" s="1177" t="s">
        <v>924</v>
      </c>
      <c r="F811" s="1035">
        <v>20214.2</v>
      </c>
      <c r="G811" s="1035">
        <v>19232.7</v>
      </c>
      <c r="H811" s="1035">
        <v>24900</v>
      </c>
      <c r="I811" s="1035">
        <f>25716-37.4</f>
        <v>25678.6</v>
      </c>
      <c r="J811" s="1035">
        <f>26471-38.5</f>
        <v>26432.5</v>
      </c>
      <c r="K811" s="648" t="s">
        <v>925</v>
      </c>
      <c r="L811" s="677" t="s">
        <v>688</v>
      </c>
      <c r="M811" s="677">
        <v>12419</v>
      </c>
      <c r="N811" s="644">
        <v>7677</v>
      </c>
      <c r="O811" s="644">
        <v>11013</v>
      </c>
      <c r="P811" s="644">
        <v>10871</v>
      </c>
      <c r="Q811" s="645">
        <v>11208</v>
      </c>
    </row>
    <row r="812" spans="1:17" ht="45" x14ac:dyDescent="0.25">
      <c r="A812" s="1186"/>
      <c r="B812" s="1072"/>
      <c r="C812" s="1072"/>
      <c r="D812" s="1072"/>
      <c r="E812" s="1177"/>
      <c r="F812" s="1196"/>
      <c r="G812" s="1196"/>
      <c r="H812" s="1196"/>
      <c r="I812" s="1196"/>
      <c r="J812" s="1196"/>
      <c r="K812" s="648" t="s">
        <v>926</v>
      </c>
      <c r="L812" s="648" t="s">
        <v>533</v>
      </c>
      <c r="M812" s="677">
        <v>9396</v>
      </c>
      <c r="N812" s="644">
        <v>8014</v>
      </c>
      <c r="O812" s="644">
        <v>10468</v>
      </c>
      <c r="P812" s="644">
        <v>10932</v>
      </c>
      <c r="Q812" s="645">
        <v>11443</v>
      </c>
    </row>
    <row r="813" spans="1:17" ht="45" x14ac:dyDescent="0.25">
      <c r="A813" s="1186"/>
      <c r="B813" s="681"/>
      <c r="C813" s="672" t="s">
        <v>48</v>
      </c>
      <c r="D813" s="672"/>
      <c r="E813" s="718" t="s">
        <v>927</v>
      </c>
      <c r="F813" s="619">
        <v>9977.7000000000007</v>
      </c>
      <c r="G813" s="619">
        <v>8776</v>
      </c>
      <c r="H813" s="619">
        <v>13108.7</v>
      </c>
      <c r="I813" s="619">
        <v>13066.8</v>
      </c>
      <c r="J813" s="619">
        <v>13471.9</v>
      </c>
      <c r="K813" s="648"/>
      <c r="L813" s="648"/>
      <c r="M813" s="677"/>
      <c r="N813" s="644"/>
      <c r="O813" s="644"/>
      <c r="P813" s="644"/>
      <c r="Q813" s="645"/>
    </row>
    <row r="814" spans="1:17" ht="15" customHeight="1" x14ac:dyDescent="0.25">
      <c r="A814" s="1187" t="s">
        <v>23</v>
      </c>
      <c r="B814" s="1188"/>
      <c r="C814" s="1188"/>
      <c r="D814" s="1188"/>
      <c r="E814" s="1188"/>
      <c r="F814" s="268">
        <f>F801+F809</f>
        <v>41884.5</v>
      </c>
      <c r="G814" s="268">
        <f>G801+G809</f>
        <v>39701.300000000003</v>
      </c>
      <c r="H814" s="268">
        <f>H801+H811+H813</f>
        <v>50380.3</v>
      </c>
      <c r="I814" s="268">
        <f>I801+I811+I813</f>
        <v>51356.800000000003</v>
      </c>
      <c r="J814" s="268">
        <f>J801+J811+J813</f>
        <v>52893.1</v>
      </c>
      <c r="K814" s="82"/>
      <c r="L814" s="1063"/>
      <c r="M814" s="1063"/>
      <c r="N814" s="1063"/>
      <c r="O814" s="1063"/>
      <c r="P814" s="1063"/>
      <c r="Q814" s="1064"/>
    </row>
    <row r="815" spans="1:17" ht="26.25" customHeight="1" x14ac:dyDescent="0.25">
      <c r="A815" s="1041" t="s">
        <v>1489</v>
      </c>
      <c r="B815" s="1042"/>
      <c r="C815" s="1042"/>
      <c r="D815" s="1042"/>
      <c r="E815" s="1042"/>
      <c r="F815" s="1042"/>
      <c r="G815" s="1042"/>
      <c r="H815" s="1042"/>
      <c r="I815" s="1042"/>
      <c r="J815" s="1042"/>
      <c r="K815" s="1042"/>
      <c r="L815" s="1042"/>
      <c r="M815" s="1042"/>
      <c r="N815" s="1042"/>
      <c r="O815" s="1042"/>
      <c r="P815" s="1042"/>
      <c r="Q815" s="1043"/>
    </row>
    <row r="816" spans="1:17" x14ac:dyDescent="0.25">
      <c r="A816" s="1186">
        <v>50</v>
      </c>
      <c r="B816" s="1044" t="s">
        <v>8</v>
      </c>
      <c r="C816" s="1045"/>
      <c r="D816" s="1045"/>
      <c r="E816" s="1020" t="s">
        <v>303</v>
      </c>
      <c r="F816" s="1021">
        <v>3185</v>
      </c>
      <c r="G816" s="1021">
        <v>3185</v>
      </c>
      <c r="H816" s="1021">
        <f>H818</f>
        <v>14101.6</v>
      </c>
      <c r="I816" s="1021">
        <v>14374.9</v>
      </c>
      <c r="J816" s="1021">
        <f>J818</f>
        <v>14804.9</v>
      </c>
      <c r="K816" s="1095" t="s">
        <v>9</v>
      </c>
      <c r="L816" s="1058" t="s">
        <v>304</v>
      </c>
      <c r="M816" s="1191">
        <v>1</v>
      </c>
      <c r="N816" s="1099"/>
      <c r="O816" s="1192"/>
      <c r="P816" s="1192"/>
      <c r="Q816" s="1193"/>
    </row>
    <row r="817" spans="1:17" x14ac:dyDescent="0.25">
      <c r="A817" s="1186"/>
      <c r="B817" s="1044"/>
      <c r="C817" s="1045"/>
      <c r="D817" s="1045"/>
      <c r="E817" s="1020"/>
      <c r="F817" s="1021"/>
      <c r="G817" s="1021"/>
      <c r="H817" s="1021"/>
      <c r="I817" s="1021"/>
      <c r="J817" s="1021"/>
      <c r="K817" s="1095"/>
      <c r="L817" s="1058"/>
      <c r="M817" s="1058"/>
      <c r="N817" s="1099"/>
      <c r="O817" s="1192"/>
      <c r="P817" s="1192"/>
      <c r="Q817" s="1193"/>
    </row>
    <row r="818" spans="1:17" ht="30" x14ac:dyDescent="0.25">
      <c r="A818" s="1186"/>
      <c r="B818" s="620"/>
      <c r="C818" s="620" t="s">
        <v>43</v>
      </c>
      <c r="D818" s="620"/>
      <c r="E818" s="621" t="s">
        <v>11</v>
      </c>
      <c r="F818" s="640">
        <v>3185</v>
      </c>
      <c r="G818" s="640">
        <v>3185</v>
      </c>
      <c r="H818" s="640">
        <v>14101.6</v>
      </c>
      <c r="I818" s="640">
        <v>14374.9</v>
      </c>
      <c r="J818" s="640">
        <v>14804.9</v>
      </c>
      <c r="K818" s="1093"/>
      <c r="L818" s="1093"/>
      <c r="M818" s="1093"/>
      <c r="N818" s="1093"/>
      <c r="O818" s="1093"/>
      <c r="P818" s="1093"/>
      <c r="Q818" s="1094"/>
    </row>
    <row r="819" spans="1:17" ht="30" x14ac:dyDescent="0.25">
      <c r="A819" s="1186"/>
      <c r="B819" s="620"/>
      <c r="C819" s="620" t="s">
        <v>48</v>
      </c>
      <c r="D819" s="620"/>
      <c r="E819" s="269" t="s">
        <v>888</v>
      </c>
      <c r="F819" s="155"/>
      <c r="G819" s="155"/>
      <c r="H819" s="640"/>
      <c r="I819" s="640"/>
      <c r="J819" s="640"/>
      <c r="K819" s="1093"/>
      <c r="L819" s="1093"/>
      <c r="M819" s="1093"/>
      <c r="N819" s="1093"/>
      <c r="O819" s="1093"/>
      <c r="P819" s="1093"/>
      <c r="Q819" s="1094"/>
    </row>
    <row r="820" spans="1:17" ht="57" x14ac:dyDescent="0.25">
      <c r="A820" s="1186"/>
      <c r="B820" s="650" t="s">
        <v>928</v>
      </c>
      <c r="C820" s="620"/>
      <c r="D820" s="620"/>
      <c r="E820" s="651" t="s">
        <v>1395</v>
      </c>
      <c r="F820" s="688">
        <v>10916.6</v>
      </c>
      <c r="G820" s="640">
        <f>G821+G822+G823</f>
        <v>10916.6</v>
      </c>
      <c r="H820" s="652"/>
      <c r="I820" s="652"/>
      <c r="J820" s="652"/>
      <c r="K820" s="641" t="s">
        <v>929</v>
      </c>
      <c r="L820" s="641"/>
      <c r="M820" s="720">
        <v>1</v>
      </c>
      <c r="N820" s="270">
        <v>0.5</v>
      </c>
      <c r="O820" s="721"/>
      <c r="P820" s="721"/>
      <c r="Q820" s="722"/>
    </row>
    <row r="821" spans="1:17" ht="90" x14ac:dyDescent="0.25">
      <c r="A821" s="1186"/>
      <c r="B821" s="620"/>
      <c r="C821" s="620" t="s">
        <v>43</v>
      </c>
      <c r="D821" s="620"/>
      <c r="E821" s="621" t="s">
        <v>930</v>
      </c>
      <c r="F821" s="640">
        <v>3708</v>
      </c>
      <c r="G821" s="640">
        <v>3708</v>
      </c>
      <c r="H821" s="640"/>
      <c r="I821" s="640"/>
      <c r="J821" s="640"/>
      <c r="K821" s="641" t="s">
        <v>931</v>
      </c>
      <c r="L821" s="641"/>
      <c r="M821" s="720">
        <v>1</v>
      </c>
      <c r="N821" s="270">
        <v>0.5</v>
      </c>
      <c r="O821" s="721"/>
      <c r="P821" s="721"/>
      <c r="Q821" s="722"/>
    </row>
    <row r="822" spans="1:17" ht="45" x14ac:dyDescent="0.25">
      <c r="A822" s="1186"/>
      <c r="B822" s="620"/>
      <c r="C822" s="620" t="s">
        <v>48</v>
      </c>
      <c r="D822" s="620"/>
      <c r="E822" s="621" t="s">
        <v>932</v>
      </c>
      <c r="F822" s="640">
        <v>500</v>
      </c>
      <c r="G822" s="640">
        <v>500</v>
      </c>
      <c r="H822" s="640"/>
      <c r="I822" s="640"/>
      <c r="J822" s="640"/>
      <c r="K822" s="641" t="s">
        <v>933</v>
      </c>
      <c r="L822" s="641"/>
      <c r="M822" s="641"/>
      <c r="N822" s="721"/>
      <c r="O822" s="721"/>
      <c r="P822" s="721"/>
      <c r="Q822" s="722"/>
    </row>
    <row r="823" spans="1:17" ht="90" x14ac:dyDescent="0.25">
      <c r="A823" s="1186"/>
      <c r="B823" s="620"/>
      <c r="C823" s="620" t="s">
        <v>37</v>
      </c>
      <c r="D823" s="620"/>
      <c r="E823" s="621" t="s">
        <v>934</v>
      </c>
      <c r="F823" s="640">
        <v>6708.6</v>
      </c>
      <c r="G823" s="640">
        <v>6708.6</v>
      </c>
      <c r="H823" s="640"/>
      <c r="I823" s="640"/>
      <c r="J823" s="640"/>
      <c r="K823" s="641"/>
      <c r="L823" s="641"/>
      <c r="M823" s="641"/>
      <c r="N823" s="721"/>
      <c r="O823" s="721"/>
      <c r="P823" s="721"/>
      <c r="Q823" s="722"/>
    </row>
    <row r="824" spans="1:17" x14ac:dyDescent="0.25">
      <c r="A824" s="1187" t="s">
        <v>23</v>
      </c>
      <c r="B824" s="1188"/>
      <c r="C824" s="1188"/>
      <c r="D824" s="1188"/>
      <c r="E824" s="1188"/>
      <c r="F824" s="268">
        <f>F816+F820</f>
        <v>14101.6</v>
      </c>
      <c r="G824" s="268">
        <f>G816+G820</f>
        <v>14101.6</v>
      </c>
      <c r="H824" s="268">
        <f>H816+H820</f>
        <v>14101.6</v>
      </c>
      <c r="I824" s="268">
        <f>I816+I820</f>
        <v>14374.9</v>
      </c>
      <c r="J824" s="268">
        <f>J816+J820</f>
        <v>14804.9</v>
      </c>
      <c r="K824" s="82"/>
      <c r="L824" s="1063"/>
      <c r="M824" s="1063"/>
      <c r="N824" s="1063"/>
      <c r="O824" s="1063"/>
      <c r="P824" s="1063"/>
      <c r="Q824" s="1064"/>
    </row>
    <row r="825" spans="1:17" ht="25.5" customHeight="1" x14ac:dyDescent="0.25">
      <c r="A825" s="1041" t="s">
        <v>935</v>
      </c>
      <c r="B825" s="1042"/>
      <c r="C825" s="1042"/>
      <c r="D825" s="1042"/>
      <c r="E825" s="1042"/>
      <c r="F825" s="1042"/>
      <c r="G825" s="1042"/>
      <c r="H825" s="1042"/>
      <c r="I825" s="1042"/>
      <c r="J825" s="1042"/>
      <c r="K825" s="1042"/>
      <c r="L825" s="1042"/>
      <c r="M825" s="1042"/>
      <c r="N825" s="1042"/>
      <c r="O825" s="1042"/>
      <c r="P825" s="1042"/>
      <c r="Q825" s="1043"/>
    </row>
    <row r="826" spans="1:17" x14ac:dyDescent="0.25">
      <c r="A826" s="1186">
        <v>57</v>
      </c>
      <c r="B826" s="1044" t="s">
        <v>8</v>
      </c>
      <c r="C826" s="1045"/>
      <c r="D826" s="1045"/>
      <c r="E826" s="1149" t="s">
        <v>303</v>
      </c>
      <c r="F826" s="1163">
        <f>F828</f>
        <v>20146.599999999999</v>
      </c>
      <c r="G826" s="1163">
        <f>G828</f>
        <v>16400.400000000001</v>
      </c>
      <c r="H826" s="1163">
        <f>H828</f>
        <v>38880.400000000001</v>
      </c>
      <c r="I826" s="1163">
        <f>I828</f>
        <v>47293</v>
      </c>
      <c r="J826" s="1163">
        <f>J828</f>
        <v>49298.3</v>
      </c>
      <c r="K826" s="1189" t="s">
        <v>9</v>
      </c>
      <c r="L826" s="1150" t="s">
        <v>304</v>
      </c>
      <c r="M826" s="1150" t="s">
        <v>687</v>
      </c>
      <c r="N826" s="1194">
        <v>21.2</v>
      </c>
      <c r="O826" s="1175">
        <v>30</v>
      </c>
      <c r="P826" s="1175">
        <v>50</v>
      </c>
      <c r="Q826" s="1195">
        <v>60</v>
      </c>
    </row>
    <row r="827" spans="1:17" x14ac:dyDescent="0.25">
      <c r="A827" s="1186"/>
      <c r="B827" s="1044"/>
      <c r="C827" s="1045"/>
      <c r="D827" s="1045"/>
      <c r="E827" s="1149"/>
      <c r="F827" s="1163"/>
      <c r="G827" s="1163"/>
      <c r="H827" s="1163"/>
      <c r="I827" s="1163"/>
      <c r="J827" s="1163"/>
      <c r="K827" s="1189"/>
      <c r="L827" s="1150"/>
      <c r="M827" s="1150"/>
      <c r="N827" s="1194"/>
      <c r="O827" s="1175"/>
      <c r="P827" s="1175"/>
      <c r="Q827" s="1195"/>
    </row>
    <row r="828" spans="1:17" ht="30" x14ac:dyDescent="0.25">
      <c r="A828" s="1186"/>
      <c r="B828" s="620"/>
      <c r="C828" s="620" t="s">
        <v>43</v>
      </c>
      <c r="D828" s="620"/>
      <c r="E828" s="696" t="s">
        <v>11</v>
      </c>
      <c r="F828" s="759">
        <v>20146.599999999999</v>
      </c>
      <c r="G828" s="759">
        <v>16400.400000000001</v>
      </c>
      <c r="H828" s="697">
        <v>38880.400000000001</v>
      </c>
      <c r="I828" s="697">
        <v>47293</v>
      </c>
      <c r="J828" s="697">
        <v>49298.3</v>
      </c>
      <c r="K828" s="1189"/>
      <c r="L828" s="1189"/>
      <c r="M828" s="1189"/>
      <c r="N828" s="1189"/>
      <c r="O828" s="1189"/>
      <c r="P828" s="1189"/>
      <c r="Q828" s="1190"/>
    </row>
    <row r="829" spans="1:17" ht="88.5" x14ac:dyDescent="0.25">
      <c r="A829" s="1186"/>
      <c r="B829" s="650" t="s">
        <v>936</v>
      </c>
      <c r="C829" s="620"/>
      <c r="D829" s="620"/>
      <c r="E829" s="120" t="s">
        <v>1245</v>
      </c>
      <c r="F829" s="703">
        <f>F830+F831+F833+F835</f>
        <v>20555.7</v>
      </c>
      <c r="G829" s="703">
        <f>G830+G831+G833+G835</f>
        <v>17033.7</v>
      </c>
      <c r="H829" s="703">
        <f>H830+H831+H833+H835</f>
        <v>45518.600000000006</v>
      </c>
      <c r="I829" s="703">
        <f>I830+I831+I833+I835</f>
        <v>47979.3</v>
      </c>
      <c r="J829" s="703">
        <f>J830+J831+J833+J835</f>
        <v>48997.700000000004</v>
      </c>
      <c r="K829" s="648" t="s">
        <v>937</v>
      </c>
      <c r="L829" s="692" t="s">
        <v>938</v>
      </c>
      <c r="M829" s="715">
        <v>537.6</v>
      </c>
      <c r="N829" s="273">
        <v>660</v>
      </c>
      <c r="O829" s="273">
        <v>750</v>
      </c>
      <c r="P829" s="273">
        <v>850</v>
      </c>
      <c r="Q829" s="565">
        <v>900</v>
      </c>
    </row>
    <row r="830" spans="1:17" ht="45" x14ac:dyDescent="0.25">
      <c r="A830" s="1186"/>
      <c r="B830" s="650"/>
      <c r="C830" s="620" t="s">
        <v>43</v>
      </c>
      <c r="D830" s="620"/>
      <c r="E830" s="715" t="s">
        <v>939</v>
      </c>
      <c r="F830" s="697"/>
      <c r="G830" s="697"/>
      <c r="H830" s="697">
        <v>4545.2</v>
      </c>
      <c r="I830" s="697">
        <v>4545.2</v>
      </c>
      <c r="J830" s="697">
        <v>4545.2</v>
      </c>
      <c r="K830" s="648" t="s">
        <v>1430</v>
      </c>
      <c r="L830" s="692"/>
      <c r="M830" s="715"/>
      <c r="N830" s="274"/>
      <c r="O830" s="274"/>
      <c r="P830" s="274"/>
      <c r="Q830" s="566"/>
    </row>
    <row r="831" spans="1:17" ht="30" x14ac:dyDescent="0.25">
      <c r="A831" s="1186"/>
      <c r="B831" s="1045"/>
      <c r="C831" s="1045" t="s">
        <v>48</v>
      </c>
      <c r="D831" s="1045"/>
      <c r="E831" s="1155" t="s">
        <v>940</v>
      </c>
      <c r="F831" s="1156"/>
      <c r="G831" s="1156"/>
      <c r="H831" s="1156">
        <v>19669.2</v>
      </c>
      <c r="I831" s="1156">
        <v>21799.7</v>
      </c>
      <c r="J831" s="1156">
        <v>22298.7</v>
      </c>
      <c r="K831" s="715" t="s">
        <v>941</v>
      </c>
      <c r="L831" s="692" t="s">
        <v>14</v>
      </c>
      <c r="M831" s="715"/>
      <c r="N831" s="274">
        <v>5</v>
      </c>
      <c r="O831" s="274">
        <v>10</v>
      </c>
      <c r="P831" s="274">
        <v>15</v>
      </c>
      <c r="Q831" s="566">
        <v>20</v>
      </c>
    </row>
    <row r="832" spans="1:17" ht="30" x14ac:dyDescent="0.25">
      <c r="A832" s="1186"/>
      <c r="B832" s="1045"/>
      <c r="C832" s="1045"/>
      <c r="D832" s="1045"/>
      <c r="E832" s="1155"/>
      <c r="F832" s="1156"/>
      <c r="G832" s="1156"/>
      <c r="H832" s="1156"/>
      <c r="I832" s="1156"/>
      <c r="J832" s="1156"/>
      <c r="K832" s="715" t="s">
        <v>942</v>
      </c>
      <c r="L832" s="692" t="s">
        <v>19</v>
      </c>
      <c r="M832" s="274"/>
      <c r="N832" s="274">
        <v>100</v>
      </c>
      <c r="O832" s="274">
        <v>100</v>
      </c>
      <c r="P832" s="274">
        <v>50</v>
      </c>
      <c r="Q832" s="566">
        <v>25</v>
      </c>
    </row>
    <row r="833" spans="1:17" x14ac:dyDescent="0.25">
      <c r="A833" s="1186"/>
      <c r="B833" s="1045"/>
      <c r="C833" s="1034" t="s">
        <v>37</v>
      </c>
      <c r="D833" s="1034"/>
      <c r="E833" s="1155" t="s">
        <v>943</v>
      </c>
      <c r="F833" s="1156">
        <v>14020</v>
      </c>
      <c r="G833" s="1156">
        <v>11066.9</v>
      </c>
      <c r="H833" s="1156">
        <v>13307.7</v>
      </c>
      <c r="I833" s="1156">
        <v>13522.2</v>
      </c>
      <c r="J833" s="1156">
        <v>13859.7</v>
      </c>
      <c r="K833" s="715" t="s">
        <v>944</v>
      </c>
      <c r="L833" s="692" t="s">
        <v>14</v>
      </c>
      <c r="M833" s="715">
        <v>6</v>
      </c>
      <c r="N833" s="274">
        <v>8</v>
      </c>
      <c r="O833" s="274">
        <v>10</v>
      </c>
      <c r="P833" s="274">
        <v>10</v>
      </c>
      <c r="Q833" s="566">
        <v>10</v>
      </c>
    </row>
    <row r="834" spans="1:17" ht="30" x14ac:dyDescent="0.25">
      <c r="A834" s="1186"/>
      <c r="B834" s="1045"/>
      <c r="C834" s="1034"/>
      <c r="D834" s="1034"/>
      <c r="E834" s="1155"/>
      <c r="F834" s="1156"/>
      <c r="G834" s="1156"/>
      <c r="H834" s="1156"/>
      <c r="I834" s="1156"/>
      <c r="J834" s="1156"/>
      <c r="K834" s="715" t="s">
        <v>945</v>
      </c>
      <c r="L834" s="692" t="s">
        <v>518</v>
      </c>
      <c r="M834" s="715">
        <v>0</v>
      </c>
      <c r="N834" s="715">
        <v>10</v>
      </c>
      <c r="O834" s="715">
        <v>15</v>
      </c>
      <c r="P834" s="715">
        <v>15</v>
      </c>
      <c r="Q834" s="716">
        <v>15</v>
      </c>
    </row>
    <row r="835" spans="1:17" ht="30" x14ac:dyDescent="0.25">
      <c r="A835" s="1186"/>
      <c r="B835" s="620"/>
      <c r="C835" s="672" t="s">
        <v>73</v>
      </c>
      <c r="D835" s="672"/>
      <c r="E835" s="715" t="s">
        <v>946</v>
      </c>
      <c r="F835" s="697">
        <v>6535.7</v>
      </c>
      <c r="G835" s="697">
        <v>5966.8</v>
      </c>
      <c r="H835" s="697">
        <v>7996.5</v>
      </c>
      <c r="I835" s="697">
        <v>8112.2</v>
      </c>
      <c r="J835" s="697">
        <v>8294.1</v>
      </c>
      <c r="K835" s="715" t="s">
        <v>947</v>
      </c>
      <c r="L835" s="692" t="s">
        <v>14</v>
      </c>
      <c r="M835" s="275">
        <v>45</v>
      </c>
      <c r="N835" s="276">
        <v>50</v>
      </c>
      <c r="O835" s="276">
        <v>55</v>
      </c>
      <c r="P835" s="276">
        <v>60</v>
      </c>
      <c r="Q835" s="567">
        <v>65</v>
      </c>
    </row>
    <row r="836" spans="1:17" ht="88.5" x14ac:dyDescent="0.25">
      <c r="A836" s="1186"/>
      <c r="B836" s="650" t="s">
        <v>948</v>
      </c>
      <c r="C836" s="672"/>
      <c r="D836" s="672"/>
      <c r="E836" s="691" t="s">
        <v>1304</v>
      </c>
      <c r="F836" s="703">
        <f>F837+F840+F841</f>
        <v>60773</v>
      </c>
      <c r="G836" s="703">
        <f>G837+G840+G841</f>
        <v>63387.7</v>
      </c>
      <c r="H836" s="703">
        <f>H837+H840+H841</f>
        <v>88759.8</v>
      </c>
      <c r="I836" s="703">
        <f>I837+I840+I841</f>
        <v>89861.8</v>
      </c>
      <c r="J836" s="703">
        <f>J837+J840+J841</f>
        <v>91595.599999999991</v>
      </c>
      <c r="K836" s="648" t="s">
        <v>949</v>
      </c>
      <c r="L836" s="692" t="s">
        <v>518</v>
      </c>
      <c r="M836" s="277">
        <f>M837+M838+M839+M840+M841</f>
        <v>2797.9</v>
      </c>
      <c r="N836" s="277">
        <f>N837+N838+N839+N840+N841</f>
        <v>3050</v>
      </c>
      <c r="O836" s="277">
        <f>O837+O838+O839+O840+O841</f>
        <v>1750</v>
      </c>
      <c r="P836" s="277">
        <f>P837+P838+P839+P840+P841</f>
        <v>1750</v>
      </c>
      <c r="Q836" s="568">
        <f>Q837+Q838+Q839+Q840+Q841</f>
        <v>1750</v>
      </c>
    </row>
    <row r="837" spans="1:17" ht="88.5" customHeight="1" x14ac:dyDescent="0.25">
      <c r="A837" s="1186"/>
      <c r="B837" s="1045"/>
      <c r="C837" s="1034" t="s">
        <v>43</v>
      </c>
      <c r="D837" s="1034"/>
      <c r="E837" s="1155" t="s">
        <v>950</v>
      </c>
      <c r="F837" s="1156">
        <v>58167</v>
      </c>
      <c r="G837" s="1156">
        <v>58387.7</v>
      </c>
      <c r="H837" s="1156">
        <v>78695.100000000006</v>
      </c>
      <c r="I837" s="1156">
        <v>79700.3</v>
      </c>
      <c r="J837" s="1156">
        <v>81281.5</v>
      </c>
      <c r="K837" s="715" t="s">
        <v>951</v>
      </c>
      <c r="L837" s="692" t="s">
        <v>518</v>
      </c>
      <c r="M837" s="277">
        <v>2176.5</v>
      </c>
      <c r="N837" s="267">
        <v>1750</v>
      </c>
      <c r="O837" s="267">
        <v>1000</v>
      </c>
      <c r="P837" s="267">
        <v>1000</v>
      </c>
      <c r="Q837" s="563">
        <v>1000</v>
      </c>
    </row>
    <row r="838" spans="1:17" ht="45" x14ac:dyDescent="0.25">
      <c r="A838" s="1186"/>
      <c r="B838" s="1045"/>
      <c r="C838" s="1034"/>
      <c r="D838" s="1034"/>
      <c r="E838" s="1155"/>
      <c r="F838" s="1156"/>
      <c r="G838" s="1156"/>
      <c r="H838" s="1156"/>
      <c r="I838" s="1156"/>
      <c r="J838" s="1156"/>
      <c r="K838" s="715" t="s">
        <v>952</v>
      </c>
      <c r="L838" s="692" t="s">
        <v>518</v>
      </c>
      <c r="M838" s="715">
        <v>521.4</v>
      </c>
      <c r="N838" s="267">
        <v>500</v>
      </c>
      <c r="O838" s="267">
        <v>500</v>
      </c>
      <c r="P838" s="267">
        <v>500</v>
      </c>
      <c r="Q838" s="563">
        <v>500</v>
      </c>
    </row>
    <row r="839" spans="1:17" ht="30" x14ac:dyDescent="0.25">
      <c r="A839" s="1186"/>
      <c r="B839" s="1045"/>
      <c r="C839" s="1034"/>
      <c r="D839" s="1034"/>
      <c r="E839" s="1155"/>
      <c r="F839" s="1156"/>
      <c r="G839" s="1156"/>
      <c r="H839" s="1156"/>
      <c r="I839" s="1156"/>
      <c r="J839" s="1156"/>
      <c r="K839" s="715" t="s">
        <v>953</v>
      </c>
      <c r="L839" s="692" t="s">
        <v>518</v>
      </c>
      <c r="M839" s="715"/>
      <c r="N839" s="267">
        <v>500</v>
      </c>
      <c r="O839" s="267">
        <v>50</v>
      </c>
      <c r="P839" s="267">
        <v>50</v>
      </c>
      <c r="Q839" s="563">
        <v>50</v>
      </c>
    </row>
    <row r="840" spans="1:17" ht="66.75" customHeight="1" x14ac:dyDescent="0.25">
      <c r="A840" s="1186"/>
      <c r="B840" s="620"/>
      <c r="C840" s="620" t="s">
        <v>48</v>
      </c>
      <c r="D840" s="620"/>
      <c r="E840" s="278" t="s">
        <v>954</v>
      </c>
      <c r="F840" s="697"/>
      <c r="G840" s="697"/>
      <c r="H840" s="697">
        <v>2664.7</v>
      </c>
      <c r="I840" s="697">
        <v>2664.7</v>
      </c>
      <c r="J840" s="697">
        <v>2664.7</v>
      </c>
      <c r="K840" s="648" t="s">
        <v>1430</v>
      </c>
      <c r="L840" s="692"/>
      <c r="M840" s="715"/>
      <c r="N840" s="274"/>
      <c r="O840" s="704"/>
      <c r="P840" s="704"/>
      <c r="Q840" s="717"/>
    </row>
    <row r="841" spans="1:17" ht="45" x14ac:dyDescent="0.25">
      <c r="A841" s="1186"/>
      <c r="B841" s="620"/>
      <c r="C841" s="672" t="s">
        <v>37</v>
      </c>
      <c r="D841" s="672"/>
      <c r="E841" s="715" t="s">
        <v>955</v>
      </c>
      <c r="F841" s="697">
        <v>2606</v>
      </c>
      <c r="G841" s="697">
        <v>5000</v>
      </c>
      <c r="H841" s="697">
        <v>7400</v>
      </c>
      <c r="I841" s="697">
        <v>7496.8</v>
      </c>
      <c r="J841" s="697">
        <v>7649.4</v>
      </c>
      <c r="K841" s="648" t="s">
        <v>956</v>
      </c>
      <c r="L841" s="692" t="s">
        <v>518</v>
      </c>
      <c r="M841" s="279">
        <v>100</v>
      </c>
      <c r="N841" s="280">
        <v>300</v>
      </c>
      <c r="O841" s="280">
        <v>200</v>
      </c>
      <c r="P841" s="280">
        <v>200</v>
      </c>
      <c r="Q841" s="569">
        <v>200</v>
      </c>
    </row>
    <row r="842" spans="1:17" x14ac:dyDescent="0.25">
      <c r="A842" s="1187" t="s">
        <v>23</v>
      </c>
      <c r="B842" s="1188"/>
      <c r="C842" s="1188"/>
      <c r="D842" s="1188"/>
      <c r="E842" s="1188"/>
      <c r="F842" s="268">
        <f>F826+F829+F836</f>
        <v>101475.3</v>
      </c>
      <c r="G842" s="268">
        <f>G826+G829+G836</f>
        <v>96821.8</v>
      </c>
      <c r="H842" s="268">
        <f>H826+H829+H836</f>
        <v>173158.8</v>
      </c>
      <c r="I842" s="268">
        <f>I826+I829+I836</f>
        <v>185134.1</v>
      </c>
      <c r="J842" s="268">
        <f>J826+J829+J836</f>
        <v>189891.59999999998</v>
      </c>
      <c r="K842" s="264"/>
      <c r="L842" s="1184"/>
      <c r="M842" s="1184"/>
      <c r="N842" s="1184"/>
      <c r="O842" s="1184"/>
      <c r="P842" s="1184"/>
      <c r="Q842" s="1185"/>
    </row>
    <row r="843" spans="1:17" ht="24.75" customHeight="1" x14ac:dyDescent="0.25">
      <c r="A843" s="1041" t="s">
        <v>957</v>
      </c>
      <c r="B843" s="1042"/>
      <c r="C843" s="1042"/>
      <c r="D843" s="1042"/>
      <c r="E843" s="1042"/>
      <c r="F843" s="1042"/>
      <c r="G843" s="1042"/>
      <c r="H843" s="1042"/>
      <c r="I843" s="1042"/>
      <c r="J843" s="1042"/>
      <c r="K843" s="1042"/>
      <c r="L843" s="1042"/>
      <c r="M843" s="1042"/>
      <c r="N843" s="1042"/>
      <c r="O843" s="1042"/>
      <c r="P843" s="1042"/>
      <c r="Q843" s="1043"/>
    </row>
    <row r="844" spans="1:17" ht="59.25" x14ac:dyDescent="0.25">
      <c r="A844" s="994">
        <v>59</v>
      </c>
      <c r="B844" s="281">
        <v>1</v>
      </c>
      <c r="C844" s="671"/>
      <c r="D844" s="282"/>
      <c r="E844" s="283" t="s">
        <v>1246</v>
      </c>
      <c r="F844" s="284">
        <f>F845</f>
        <v>12353.099999999999</v>
      </c>
      <c r="G844" s="284">
        <f>G845</f>
        <v>15429.9</v>
      </c>
      <c r="H844" s="284">
        <f>H845</f>
        <v>15429.9</v>
      </c>
      <c r="I844" s="284">
        <f>I845</f>
        <v>15728.983923659998</v>
      </c>
      <c r="J844" s="284">
        <f>J845</f>
        <v>16199.481692400001</v>
      </c>
      <c r="K844" s="283" t="s">
        <v>958</v>
      </c>
      <c r="L844" s="285" t="s">
        <v>69</v>
      </c>
      <c r="M844" s="286">
        <v>1</v>
      </c>
      <c r="N844" s="285">
        <v>1</v>
      </c>
      <c r="O844" s="285">
        <v>1</v>
      </c>
      <c r="P844" s="285">
        <v>1</v>
      </c>
      <c r="Q844" s="478">
        <v>1</v>
      </c>
    </row>
    <row r="845" spans="1:17" ht="30" x14ac:dyDescent="0.25">
      <c r="A845" s="994"/>
      <c r="B845" s="458"/>
      <c r="C845" s="459">
        <v>1</v>
      </c>
      <c r="D845" s="668"/>
      <c r="E845" s="669" t="s">
        <v>959</v>
      </c>
      <c r="F845" s="713">
        <f>5817.8+2481+2357.8+1696.5</f>
        <v>12353.099999999999</v>
      </c>
      <c r="G845" s="713">
        <f>6417.1+9012.8</f>
        <v>15429.9</v>
      </c>
      <c r="H845" s="713">
        <f>G845</f>
        <v>15429.9</v>
      </c>
      <c r="I845" s="713">
        <f>H845*101.93834%</f>
        <v>15728.983923659998</v>
      </c>
      <c r="J845" s="713">
        <f>H845*104.9876%</f>
        <v>16199.481692400001</v>
      </c>
      <c r="K845" s="669" t="s">
        <v>960</v>
      </c>
      <c r="L845" s="116" t="s">
        <v>19</v>
      </c>
      <c r="M845" s="116">
        <v>100</v>
      </c>
      <c r="N845" s="116">
        <v>100</v>
      </c>
      <c r="O845" s="116">
        <v>100</v>
      </c>
      <c r="P845" s="116">
        <v>100</v>
      </c>
      <c r="Q845" s="570">
        <v>100</v>
      </c>
    </row>
    <row r="846" spans="1:17" ht="103.5" x14ac:dyDescent="0.25">
      <c r="A846" s="994"/>
      <c r="B846" s="712" t="s">
        <v>961</v>
      </c>
      <c r="C846" s="708"/>
      <c r="D846" s="667"/>
      <c r="E846" s="283" t="s">
        <v>1247</v>
      </c>
      <c r="F846" s="287">
        <f>F847+F855+F862+F863+F865+F866+F868+F869+F870+F849+F861</f>
        <v>50730.399999999994</v>
      </c>
      <c r="G846" s="287">
        <f>G847+G855+G862+G863+G865+G866+G868+G869+G870+G849+G861</f>
        <v>52792.7</v>
      </c>
      <c r="H846" s="287">
        <f>H847+H855+H862+H863+H865+H866+H868+H869+H870+H849+H861</f>
        <v>52792.7</v>
      </c>
      <c r="I846" s="287">
        <f>I847+I855+I862+I863+I865+I866+I868+I869+I870+I849+I861</f>
        <v>53815.902021179994</v>
      </c>
      <c r="J846" s="287">
        <f>J847+J855+J862+J863+J865+J866+J868+J869+J870+J849+J861</f>
        <v>55425.831487312003</v>
      </c>
      <c r="K846" s="283"/>
      <c r="L846" s="285"/>
      <c r="M846" s="282"/>
      <c r="N846" s="282"/>
      <c r="O846" s="282"/>
      <c r="P846" s="282"/>
      <c r="Q846" s="571"/>
    </row>
    <row r="847" spans="1:17" ht="45" x14ac:dyDescent="0.25">
      <c r="A847" s="994"/>
      <c r="B847" s="1179"/>
      <c r="C847" s="1029" t="s">
        <v>43</v>
      </c>
      <c r="D847" s="1029"/>
      <c r="E847" s="1031" t="s">
        <v>962</v>
      </c>
      <c r="F847" s="1032">
        <v>2200.5</v>
      </c>
      <c r="G847" s="1032">
        <v>3002.7</v>
      </c>
      <c r="H847" s="1032">
        <f>G847</f>
        <v>3002.7</v>
      </c>
      <c r="I847" s="1180">
        <f>H847*101.93834%</f>
        <v>3060.9025351799996</v>
      </c>
      <c r="J847" s="1180">
        <f>H847*104.9876%</f>
        <v>3152.4626651999997</v>
      </c>
      <c r="K847" s="669" t="s">
        <v>963</v>
      </c>
      <c r="L847" s="116" t="s">
        <v>14</v>
      </c>
      <c r="M847" s="668" t="s">
        <v>964</v>
      </c>
      <c r="N847" s="668" t="s">
        <v>964</v>
      </c>
      <c r="O847" s="668" t="s">
        <v>964</v>
      </c>
      <c r="P847" s="668" t="s">
        <v>964</v>
      </c>
      <c r="Q847" s="572" t="s">
        <v>964</v>
      </c>
    </row>
    <row r="848" spans="1:17" ht="60" x14ac:dyDescent="0.25">
      <c r="A848" s="994"/>
      <c r="B848" s="1179"/>
      <c r="C848" s="1029"/>
      <c r="D848" s="1029"/>
      <c r="E848" s="1031"/>
      <c r="F848" s="1032"/>
      <c r="G848" s="1032"/>
      <c r="H848" s="1032"/>
      <c r="I848" s="1180"/>
      <c r="J848" s="1180"/>
      <c r="K848" s="669" t="s">
        <v>965</v>
      </c>
      <c r="L848" s="116" t="s">
        <v>14</v>
      </c>
      <c r="M848" s="668" t="s">
        <v>964</v>
      </c>
      <c r="N848" s="668" t="s">
        <v>964</v>
      </c>
      <c r="O848" s="668" t="s">
        <v>964</v>
      </c>
      <c r="P848" s="668" t="s">
        <v>964</v>
      </c>
      <c r="Q848" s="572" t="s">
        <v>964</v>
      </c>
    </row>
    <row r="849" spans="1:17" ht="45" x14ac:dyDescent="0.25">
      <c r="A849" s="994"/>
      <c r="B849" s="1181"/>
      <c r="C849" s="1017" t="s">
        <v>48</v>
      </c>
      <c r="D849" s="769"/>
      <c r="E849" s="1031" t="s">
        <v>966</v>
      </c>
      <c r="F849" s="1032">
        <v>2317.1999999999998</v>
      </c>
      <c r="G849" s="1032">
        <v>2934.4</v>
      </c>
      <c r="H849" s="1032">
        <f>G849</f>
        <v>2934.4</v>
      </c>
      <c r="I849" s="1180">
        <f>H849*101.93834%</f>
        <v>2991.2786489599998</v>
      </c>
      <c r="J849" s="1180">
        <f>H849*104.9876%</f>
        <v>3080.7561344000001</v>
      </c>
      <c r="K849" s="669" t="s">
        <v>967</v>
      </c>
      <c r="L849" s="116" t="s">
        <v>19</v>
      </c>
      <c r="M849" s="668" t="s">
        <v>964</v>
      </c>
      <c r="N849" s="668" t="s">
        <v>964</v>
      </c>
      <c r="O849" s="668" t="s">
        <v>964</v>
      </c>
      <c r="P849" s="668" t="s">
        <v>964</v>
      </c>
      <c r="Q849" s="572" t="s">
        <v>964</v>
      </c>
    </row>
    <row r="850" spans="1:17" ht="45" x14ac:dyDescent="0.25">
      <c r="A850" s="994"/>
      <c r="B850" s="1182"/>
      <c r="C850" s="1018"/>
      <c r="D850" s="770"/>
      <c r="E850" s="1031"/>
      <c r="F850" s="1032"/>
      <c r="G850" s="1032"/>
      <c r="H850" s="1032"/>
      <c r="I850" s="1180"/>
      <c r="J850" s="1180"/>
      <c r="K850" s="669" t="s">
        <v>968</v>
      </c>
      <c r="L850" s="116" t="s">
        <v>19</v>
      </c>
      <c r="M850" s="668" t="s">
        <v>964</v>
      </c>
      <c r="N850" s="668" t="s">
        <v>964</v>
      </c>
      <c r="O850" s="668" t="s">
        <v>964</v>
      </c>
      <c r="P850" s="668" t="s">
        <v>964</v>
      </c>
      <c r="Q850" s="572" t="s">
        <v>964</v>
      </c>
    </row>
    <row r="851" spans="1:17" ht="75" x14ac:dyDescent="0.25">
      <c r="A851" s="994"/>
      <c r="B851" s="1182"/>
      <c r="C851" s="1018"/>
      <c r="D851" s="770"/>
      <c r="E851" s="1031"/>
      <c r="F851" s="1032"/>
      <c r="G851" s="1032"/>
      <c r="H851" s="1032"/>
      <c r="I851" s="1180"/>
      <c r="J851" s="1180"/>
      <c r="K851" s="669" t="s">
        <v>969</v>
      </c>
      <c r="L851" s="116" t="s">
        <v>19</v>
      </c>
      <c r="M851" s="668">
        <v>100</v>
      </c>
      <c r="N851" s="668">
        <v>100</v>
      </c>
      <c r="O851" s="668">
        <v>100</v>
      </c>
      <c r="P851" s="668">
        <v>100</v>
      </c>
      <c r="Q851" s="572">
        <v>100</v>
      </c>
    </row>
    <row r="852" spans="1:17" ht="30" x14ac:dyDescent="0.25">
      <c r="A852" s="994"/>
      <c r="B852" s="1182"/>
      <c r="C852" s="1018"/>
      <c r="D852" s="770"/>
      <c r="E852" s="1031"/>
      <c r="F852" s="1032"/>
      <c r="G852" s="1032"/>
      <c r="H852" s="1032"/>
      <c r="I852" s="1180"/>
      <c r="J852" s="1180"/>
      <c r="K852" s="669" t="s">
        <v>970</v>
      </c>
      <c r="L852" s="116" t="s">
        <v>971</v>
      </c>
      <c r="M852" s="288">
        <v>100</v>
      </c>
      <c r="N852" s="288">
        <v>100</v>
      </c>
      <c r="O852" s="288">
        <v>100</v>
      </c>
      <c r="P852" s="288">
        <v>100</v>
      </c>
      <c r="Q852" s="573">
        <v>100</v>
      </c>
    </row>
    <row r="853" spans="1:17" ht="45" x14ac:dyDescent="0.25">
      <c r="A853" s="994"/>
      <c r="B853" s="1183"/>
      <c r="C853" s="1019"/>
      <c r="D853" s="771"/>
      <c r="E853" s="669" t="s">
        <v>972</v>
      </c>
      <c r="F853" s="1032"/>
      <c r="G853" s="1032"/>
      <c r="H853" s="1032"/>
      <c r="I853" s="1180"/>
      <c r="J853" s="1180"/>
      <c r="K853" s="669" t="s">
        <v>973</v>
      </c>
      <c r="L853" s="116" t="s">
        <v>19</v>
      </c>
      <c r="M853" s="116">
        <v>100</v>
      </c>
      <c r="N853" s="116">
        <v>100</v>
      </c>
      <c r="O853" s="116">
        <v>100</v>
      </c>
      <c r="P853" s="116">
        <v>100</v>
      </c>
      <c r="Q853" s="570">
        <v>100</v>
      </c>
    </row>
    <row r="854" spans="1:17" ht="41.25" customHeight="1" x14ac:dyDescent="0.25">
      <c r="A854" s="994"/>
      <c r="B854" s="707"/>
      <c r="C854" s="667" t="s">
        <v>37</v>
      </c>
      <c r="D854" s="708"/>
      <c r="E854" s="289" t="s">
        <v>974</v>
      </c>
      <c r="F854" s="1032"/>
      <c r="G854" s="1032"/>
      <c r="H854" s="1032"/>
      <c r="I854" s="1180"/>
      <c r="J854" s="1180"/>
      <c r="K854" s="669" t="s">
        <v>975</v>
      </c>
      <c r="L854" s="116" t="s">
        <v>19</v>
      </c>
      <c r="M854" s="288">
        <v>100</v>
      </c>
      <c r="N854" s="288">
        <v>100</v>
      </c>
      <c r="O854" s="288">
        <v>100</v>
      </c>
      <c r="P854" s="288">
        <v>100</v>
      </c>
      <c r="Q854" s="573">
        <v>100</v>
      </c>
    </row>
    <row r="855" spans="1:17" ht="45" x14ac:dyDescent="0.25">
      <c r="A855" s="994"/>
      <c r="B855" s="1179"/>
      <c r="C855" s="1029" t="s">
        <v>73</v>
      </c>
      <c r="D855" s="1029"/>
      <c r="E855" s="1031" t="s">
        <v>976</v>
      </c>
      <c r="F855" s="1032">
        <v>2102.5</v>
      </c>
      <c r="G855" s="1032">
        <v>2290.9</v>
      </c>
      <c r="H855" s="1032">
        <f>G855</f>
        <v>2290.9</v>
      </c>
      <c r="I855" s="1180">
        <f>H855*101.93834%</f>
        <v>2335.30543106</v>
      </c>
      <c r="J855" s="1180">
        <f>H855*104.9876%</f>
        <v>2405.1609284000001</v>
      </c>
      <c r="K855" s="669" t="s">
        <v>977</v>
      </c>
      <c r="L855" s="116" t="s">
        <v>19</v>
      </c>
      <c r="M855" s="668" t="s">
        <v>964</v>
      </c>
      <c r="N855" s="668" t="s">
        <v>964</v>
      </c>
      <c r="O855" s="668" t="s">
        <v>964</v>
      </c>
      <c r="P855" s="668" t="s">
        <v>964</v>
      </c>
      <c r="Q855" s="572" t="s">
        <v>964</v>
      </c>
    </row>
    <row r="856" spans="1:17" ht="45" x14ac:dyDescent="0.25">
      <c r="A856" s="994"/>
      <c r="B856" s="1179"/>
      <c r="C856" s="1029"/>
      <c r="D856" s="1029"/>
      <c r="E856" s="1031"/>
      <c r="F856" s="1032"/>
      <c r="G856" s="1032"/>
      <c r="H856" s="1032"/>
      <c r="I856" s="1180"/>
      <c r="J856" s="1180"/>
      <c r="K856" s="669" t="s">
        <v>978</v>
      </c>
      <c r="L856" s="116" t="s">
        <v>19</v>
      </c>
      <c r="M856" s="668" t="s">
        <v>964</v>
      </c>
      <c r="N856" s="668" t="s">
        <v>964</v>
      </c>
      <c r="O856" s="668" t="s">
        <v>964</v>
      </c>
      <c r="P856" s="668" t="s">
        <v>964</v>
      </c>
      <c r="Q856" s="572" t="s">
        <v>964</v>
      </c>
    </row>
    <row r="857" spans="1:17" ht="75" x14ac:dyDescent="0.25">
      <c r="A857" s="994"/>
      <c r="B857" s="1179"/>
      <c r="C857" s="1029"/>
      <c r="D857" s="1029"/>
      <c r="E857" s="1031"/>
      <c r="F857" s="1032"/>
      <c r="G857" s="1032"/>
      <c r="H857" s="1032"/>
      <c r="I857" s="1180"/>
      <c r="J857" s="1180"/>
      <c r="K857" s="669" t="s">
        <v>979</v>
      </c>
      <c r="L857" s="116" t="s">
        <v>19</v>
      </c>
      <c r="M857" s="668">
        <v>100</v>
      </c>
      <c r="N857" s="668">
        <v>100</v>
      </c>
      <c r="O857" s="668">
        <v>100</v>
      </c>
      <c r="P857" s="668">
        <v>100</v>
      </c>
      <c r="Q857" s="572">
        <v>100</v>
      </c>
    </row>
    <row r="858" spans="1:17" ht="30" x14ac:dyDescent="0.25">
      <c r="A858" s="994"/>
      <c r="B858" s="1179"/>
      <c r="C858" s="1029"/>
      <c r="D858" s="1029"/>
      <c r="E858" s="1031"/>
      <c r="F858" s="1032"/>
      <c r="G858" s="1032"/>
      <c r="H858" s="1032"/>
      <c r="I858" s="1180"/>
      <c r="J858" s="1180"/>
      <c r="K858" s="669" t="s">
        <v>980</v>
      </c>
      <c r="L858" s="116" t="s">
        <v>19</v>
      </c>
      <c r="M858" s="288">
        <v>100</v>
      </c>
      <c r="N858" s="288">
        <v>100</v>
      </c>
      <c r="O858" s="288">
        <v>100</v>
      </c>
      <c r="P858" s="288">
        <v>100</v>
      </c>
      <c r="Q858" s="573">
        <v>100</v>
      </c>
    </row>
    <row r="859" spans="1:17" ht="30" x14ac:dyDescent="0.25">
      <c r="A859" s="994"/>
      <c r="B859" s="1179"/>
      <c r="C859" s="1029"/>
      <c r="D859" s="1029"/>
      <c r="E859" s="1031"/>
      <c r="F859" s="1032"/>
      <c r="G859" s="1032"/>
      <c r="H859" s="1032"/>
      <c r="I859" s="1180"/>
      <c r="J859" s="1180"/>
      <c r="K859" s="669" t="s">
        <v>981</v>
      </c>
      <c r="L859" s="116" t="s">
        <v>19</v>
      </c>
      <c r="M859" s="116">
        <v>100</v>
      </c>
      <c r="N859" s="116">
        <v>100</v>
      </c>
      <c r="O859" s="116">
        <v>100</v>
      </c>
      <c r="P859" s="116">
        <v>100</v>
      </c>
      <c r="Q859" s="570">
        <v>100</v>
      </c>
    </row>
    <row r="860" spans="1:17" ht="30" x14ac:dyDescent="0.25">
      <c r="A860" s="994"/>
      <c r="B860" s="1179"/>
      <c r="C860" s="1029"/>
      <c r="D860" s="1029"/>
      <c r="E860" s="1031"/>
      <c r="F860" s="1032"/>
      <c r="G860" s="1032"/>
      <c r="H860" s="1032"/>
      <c r="I860" s="1180"/>
      <c r="J860" s="1180"/>
      <c r="K860" s="669" t="s">
        <v>982</v>
      </c>
      <c r="L860" s="116" t="s">
        <v>19</v>
      </c>
      <c r="M860" s="288">
        <v>100</v>
      </c>
      <c r="N860" s="288">
        <v>100</v>
      </c>
      <c r="O860" s="288">
        <v>100</v>
      </c>
      <c r="P860" s="288">
        <v>100</v>
      </c>
      <c r="Q860" s="573">
        <v>100</v>
      </c>
    </row>
    <row r="861" spans="1:17" ht="60" x14ac:dyDescent="0.25">
      <c r="A861" s="994"/>
      <c r="B861" s="707"/>
      <c r="C861" s="667" t="s">
        <v>76</v>
      </c>
      <c r="D861" s="708"/>
      <c r="E861" s="289" t="s">
        <v>983</v>
      </c>
      <c r="F861" s="709">
        <v>4320.8</v>
      </c>
      <c r="G861" s="709">
        <v>3864.1</v>
      </c>
      <c r="H861" s="709">
        <f>G861</f>
        <v>3864.1</v>
      </c>
      <c r="I861" s="709">
        <f>H861*101.93834%</f>
        <v>3938.9993959399999</v>
      </c>
      <c r="J861" s="709">
        <f>H861*104.987696%</f>
        <v>4056.8295611359999</v>
      </c>
      <c r="K861" s="751" t="s">
        <v>984</v>
      </c>
      <c r="L861" s="290" t="s">
        <v>19</v>
      </c>
      <c r="M861" s="290">
        <v>99</v>
      </c>
      <c r="N861" s="290">
        <v>90</v>
      </c>
      <c r="O861" s="290">
        <v>90</v>
      </c>
      <c r="P861" s="290">
        <v>90</v>
      </c>
      <c r="Q861" s="574">
        <v>90</v>
      </c>
    </row>
    <row r="862" spans="1:17" ht="75" x14ac:dyDescent="0.25">
      <c r="A862" s="994"/>
      <c r="B862" s="712"/>
      <c r="C862" s="667" t="s">
        <v>79</v>
      </c>
      <c r="D862" s="667"/>
      <c r="E862" s="289" t="s">
        <v>985</v>
      </c>
      <c r="F862" s="460">
        <v>2070.4</v>
      </c>
      <c r="G862" s="460">
        <v>2421</v>
      </c>
      <c r="H862" s="460">
        <f>G862</f>
        <v>2421</v>
      </c>
      <c r="I862" s="709">
        <f t="shared" ref="I862:I869" si="11">H862*101.93834%</f>
        <v>2467.9272114</v>
      </c>
      <c r="J862" s="709">
        <f>H862*104.987696%</f>
        <v>2541.7521201599998</v>
      </c>
      <c r="K862" s="751" t="s">
        <v>1396</v>
      </c>
      <c r="L862" s="290" t="s">
        <v>19</v>
      </c>
      <c r="M862" s="291">
        <v>100</v>
      </c>
      <c r="N862" s="291">
        <v>100</v>
      </c>
      <c r="O862" s="291">
        <v>100</v>
      </c>
      <c r="P862" s="291">
        <v>100</v>
      </c>
      <c r="Q862" s="575">
        <v>100</v>
      </c>
    </row>
    <row r="863" spans="1:17" ht="75" x14ac:dyDescent="0.25">
      <c r="A863" s="994"/>
      <c r="B863" s="1179"/>
      <c r="C863" s="1029" t="s">
        <v>82</v>
      </c>
      <c r="D863" s="1029"/>
      <c r="E863" s="1031" t="s">
        <v>986</v>
      </c>
      <c r="F863" s="1032">
        <v>2267.4</v>
      </c>
      <c r="G863" s="1032">
        <v>2974.8</v>
      </c>
      <c r="H863" s="1032">
        <f>G863</f>
        <v>2974.8</v>
      </c>
      <c r="I863" s="1032">
        <f t="shared" si="11"/>
        <v>3032.4617383200002</v>
      </c>
      <c r="J863" s="1032">
        <f>H863*104.987696%</f>
        <v>3123.173980608</v>
      </c>
      <c r="K863" s="751" t="s">
        <v>987</v>
      </c>
      <c r="L863" s="290" t="s">
        <v>19</v>
      </c>
      <c r="M863" s="292">
        <v>5.3</v>
      </c>
      <c r="N863" s="292">
        <v>40.799999999999997</v>
      </c>
      <c r="O863" s="292">
        <v>60.6</v>
      </c>
      <c r="P863" s="292">
        <v>71.400000000000006</v>
      </c>
      <c r="Q863" s="576">
        <v>81.599999999999994</v>
      </c>
    </row>
    <row r="864" spans="1:17" ht="84" customHeight="1" x14ac:dyDescent="0.25">
      <c r="A864" s="994"/>
      <c r="B864" s="1179"/>
      <c r="C864" s="1029"/>
      <c r="D864" s="1029"/>
      <c r="E864" s="1031"/>
      <c r="F864" s="1032"/>
      <c r="G864" s="1032"/>
      <c r="H864" s="1032"/>
      <c r="I864" s="1032"/>
      <c r="J864" s="1032"/>
      <c r="K864" s="751" t="s">
        <v>988</v>
      </c>
      <c r="L864" s="290" t="s">
        <v>19</v>
      </c>
      <c r="M864" s="292">
        <v>0.5</v>
      </c>
      <c r="N864" s="292">
        <v>4.3</v>
      </c>
      <c r="O864" s="292">
        <v>6.4</v>
      </c>
      <c r="P864" s="292">
        <v>8.5</v>
      </c>
      <c r="Q864" s="576">
        <v>10.6</v>
      </c>
    </row>
    <row r="865" spans="1:17" ht="76.5" customHeight="1" x14ac:dyDescent="0.25">
      <c r="A865" s="994"/>
      <c r="B865" s="707"/>
      <c r="C865" s="667" t="s">
        <v>83</v>
      </c>
      <c r="D865" s="708"/>
      <c r="E865" s="669" t="s">
        <v>989</v>
      </c>
      <c r="F865" s="709">
        <v>6664.4</v>
      </c>
      <c r="G865" s="709">
        <v>2824</v>
      </c>
      <c r="H865" s="709">
        <f>G865</f>
        <v>2824</v>
      </c>
      <c r="I865" s="709">
        <f t="shared" si="11"/>
        <v>2878.7387215999997</v>
      </c>
      <c r="J865" s="709">
        <f>H865*104.987696%</f>
        <v>2964.85253504</v>
      </c>
      <c r="K865" s="751" t="s">
        <v>990</v>
      </c>
      <c r="L865" s="290" t="s">
        <v>991</v>
      </c>
      <c r="M865" s="461">
        <v>13.8</v>
      </c>
      <c r="N865" s="461">
        <v>2.4</v>
      </c>
      <c r="O865" s="461">
        <v>11.8</v>
      </c>
      <c r="P865" s="461">
        <v>13.8</v>
      </c>
      <c r="Q865" s="577">
        <v>13.8</v>
      </c>
    </row>
    <row r="866" spans="1:17" ht="45" x14ac:dyDescent="0.25">
      <c r="A866" s="994"/>
      <c r="B866" s="1179"/>
      <c r="C866" s="1029" t="s">
        <v>181</v>
      </c>
      <c r="D866" s="1029"/>
      <c r="E866" s="1031" t="s">
        <v>992</v>
      </c>
      <c r="F866" s="1032">
        <v>3104.2</v>
      </c>
      <c r="G866" s="1032">
        <v>3998.3</v>
      </c>
      <c r="H866" s="1032">
        <f>G866</f>
        <v>3998.3</v>
      </c>
      <c r="I866" s="1032">
        <f t="shared" si="11"/>
        <v>4075.8006482199999</v>
      </c>
      <c r="J866" s="1032">
        <f>H866*104.987696%</f>
        <v>4197.7230491680002</v>
      </c>
      <c r="K866" s="751" t="s">
        <v>993</v>
      </c>
      <c r="L866" s="290" t="s">
        <v>19</v>
      </c>
      <c r="M866" s="291">
        <v>100</v>
      </c>
      <c r="N866" s="291">
        <v>100</v>
      </c>
      <c r="O866" s="291">
        <v>100</v>
      </c>
      <c r="P866" s="291">
        <v>100</v>
      </c>
      <c r="Q866" s="575">
        <v>100</v>
      </c>
    </row>
    <row r="867" spans="1:17" ht="45" customHeight="1" x14ac:dyDescent="0.25">
      <c r="A867" s="994"/>
      <c r="B867" s="1179"/>
      <c r="C867" s="1029"/>
      <c r="D867" s="1029"/>
      <c r="E867" s="1031"/>
      <c r="F867" s="1032"/>
      <c r="G867" s="1032"/>
      <c r="H867" s="1032"/>
      <c r="I867" s="1032"/>
      <c r="J867" s="1032"/>
      <c r="K867" s="669" t="s">
        <v>994</v>
      </c>
      <c r="L867" s="116" t="s">
        <v>19</v>
      </c>
      <c r="M867" s="288">
        <v>100</v>
      </c>
      <c r="N867" s="288">
        <v>100</v>
      </c>
      <c r="O867" s="288">
        <v>100</v>
      </c>
      <c r="P867" s="288">
        <v>100</v>
      </c>
      <c r="Q867" s="573">
        <v>100</v>
      </c>
    </row>
    <row r="868" spans="1:17" ht="60" x14ac:dyDescent="0.25">
      <c r="A868" s="994"/>
      <c r="B868" s="712"/>
      <c r="C868" s="667" t="s">
        <v>184</v>
      </c>
      <c r="D868" s="667"/>
      <c r="E868" s="669" t="s">
        <v>995</v>
      </c>
      <c r="F868" s="709">
        <v>1942</v>
      </c>
      <c r="G868" s="709">
        <v>2572</v>
      </c>
      <c r="H868" s="709">
        <f>G868</f>
        <v>2572</v>
      </c>
      <c r="I868" s="709">
        <f t="shared" si="11"/>
        <v>2621.8541047999997</v>
      </c>
      <c r="J868" s="709">
        <f>H868*104.987696%</f>
        <v>2700.2835411199999</v>
      </c>
      <c r="K868" s="669" t="s">
        <v>996</v>
      </c>
      <c r="L868" s="116" t="s">
        <v>19</v>
      </c>
      <c r="M868" s="116">
        <v>100</v>
      </c>
      <c r="N868" s="116">
        <v>100</v>
      </c>
      <c r="O868" s="116">
        <v>100</v>
      </c>
      <c r="P868" s="116">
        <v>100</v>
      </c>
      <c r="Q868" s="570">
        <v>100</v>
      </c>
    </row>
    <row r="869" spans="1:17" ht="56.25" customHeight="1" x14ac:dyDescent="0.25">
      <c r="A869" s="994"/>
      <c r="B869" s="712"/>
      <c r="C869" s="667" t="s">
        <v>187</v>
      </c>
      <c r="D869" s="667"/>
      <c r="E869" s="669" t="s">
        <v>997</v>
      </c>
      <c r="F869" s="709">
        <v>455.4</v>
      </c>
      <c r="G869" s="709">
        <v>690.1</v>
      </c>
      <c r="H869" s="709">
        <f>G869</f>
        <v>690.1</v>
      </c>
      <c r="I869" s="709">
        <f t="shared" si="11"/>
        <v>703.47648433999996</v>
      </c>
      <c r="J869" s="709">
        <f>H869*104.987696%</f>
        <v>724.52009009599999</v>
      </c>
      <c r="K869" s="669" t="s">
        <v>998</v>
      </c>
      <c r="L869" s="116" t="s">
        <v>19</v>
      </c>
      <c r="M869" s="288">
        <v>100</v>
      </c>
      <c r="N869" s="288">
        <v>100</v>
      </c>
      <c r="O869" s="288">
        <v>100</v>
      </c>
      <c r="P869" s="288">
        <v>100</v>
      </c>
      <c r="Q869" s="573">
        <v>100</v>
      </c>
    </row>
    <row r="870" spans="1:17" ht="30" x14ac:dyDescent="0.25">
      <c r="A870" s="994"/>
      <c r="B870" s="1028"/>
      <c r="C870" s="1029" t="s">
        <v>193</v>
      </c>
      <c r="D870" s="1030"/>
      <c r="E870" s="1031" t="s">
        <v>999</v>
      </c>
      <c r="F870" s="1032">
        <v>23285.599999999999</v>
      </c>
      <c r="G870" s="1032">
        <v>25220.400000000001</v>
      </c>
      <c r="H870" s="1032">
        <f>G870</f>
        <v>25220.400000000001</v>
      </c>
      <c r="I870" s="1032">
        <f>H870*101.93834%-0.1</f>
        <v>25709.157101360001</v>
      </c>
      <c r="J870" s="1032">
        <f>H870*104.987696%</f>
        <v>26478.316881983999</v>
      </c>
      <c r="K870" s="669" t="s">
        <v>1000</v>
      </c>
      <c r="L870" s="116" t="s">
        <v>19</v>
      </c>
      <c r="M870" s="288">
        <v>100</v>
      </c>
      <c r="N870" s="288">
        <v>100</v>
      </c>
      <c r="O870" s="288">
        <v>100</v>
      </c>
      <c r="P870" s="288">
        <v>100</v>
      </c>
      <c r="Q870" s="573">
        <v>100</v>
      </c>
    </row>
    <row r="871" spans="1:17" ht="30" x14ac:dyDescent="0.25">
      <c r="A871" s="994"/>
      <c r="B871" s="1028"/>
      <c r="C871" s="1029"/>
      <c r="D871" s="1030"/>
      <c r="E871" s="1031"/>
      <c r="F871" s="1032"/>
      <c r="G871" s="1032"/>
      <c r="H871" s="1032"/>
      <c r="I871" s="1032"/>
      <c r="J871" s="1032"/>
      <c r="K871" s="669" t="s">
        <v>1001</v>
      </c>
      <c r="L871" s="116" t="s">
        <v>991</v>
      </c>
      <c r="M871" s="116">
        <v>100</v>
      </c>
      <c r="N871" s="116">
        <v>100</v>
      </c>
      <c r="O871" s="116">
        <v>100</v>
      </c>
      <c r="P871" s="116">
        <v>100</v>
      </c>
      <c r="Q871" s="570">
        <v>100</v>
      </c>
    </row>
    <row r="872" spans="1:17" ht="38.25" customHeight="1" x14ac:dyDescent="0.25">
      <c r="A872" s="994"/>
      <c r="B872" s="1028"/>
      <c r="C872" s="1029"/>
      <c r="D872" s="1030"/>
      <c r="E872" s="1031"/>
      <c r="F872" s="1032"/>
      <c r="G872" s="1032"/>
      <c r="H872" s="1032"/>
      <c r="I872" s="1032"/>
      <c r="J872" s="1032"/>
      <c r="K872" s="669" t="s">
        <v>1002</v>
      </c>
      <c r="L872" s="116" t="s">
        <v>991</v>
      </c>
      <c r="M872" s="668">
        <v>100</v>
      </c>
      <c r="N872" s="668">
        <v>100</v>
      </c>
      <c r="O872" s="668">
        <v>100</v>
      </c>
      <c r="P872" s="668">
        <v>100</v>
      </c>
      <c r="Q872" s="572">
        <v>100</v>
      </c>
    </row>
    <row r="873" spans="1:17" x14ac:dyDescent="0.25">
      <c r="A873" s="990" t="s">
        <v>23</v>
      </c>
      <c r="B873" s="991"/>
      <c r="C873" s="991"/>
      <c r="D873" s="991"/>
      <c r="E873" s="991"/>
      <c r="F873" s="293">
        <f>F844+F846</f>
        <v>63083.499999999993</v>
      </c>
      <c r="G873" s="293">
        <f>G844+G846</f>
        <v>68222.599999999991</v>
      </c>
      <c r="H873" s="293">
        <f>H844+H846</f>
        <v>68222.599999999991</v>
      </c>
      <c r="I873" s="293">
        <f>I844+I846</f>
        <v>69544.885944839989</v>
      </c>
      <c r="J873" s="293">
        <f>J844+J846</f>
        <v>71625.313179712</v>
      </c>
      <c r="K873" s="294"/>
      <c r="L873" s="1176"/>
      <c r="M873" s="1176"/>
      <c r="N873" s="1176"/>
      <c r="O873" s="1176"/>
      <c r="P873" s="710"/>
      <c r="Q873" s="578"/>
    </row>
    <row r="874" spans="1:17" ht="21.75" customHeight="1" x14ac:dyDescent="0.25">
      <c r="A874" s="1041" t="s">
        <v>1714</v>
      </c>
      <c r="B874" s="1042"/>
      <c r="C874" s="1042"/>
      <c r="D874" s="1042"/>
      <c r="E874" s="1042"/>
      <c r="F874" s="1042"/>
      <c r="G874" s="1042"/>
      <c r="H874" s="1042"/>
      <c r="I874" s="1042"/>
      <c r="J874" s="1042"/>
      <c r="K874" s="1042"/>
      <c r="L874" s="1042"/>
      <c r="M874" s="1042"/>
      <c r="N874" s="1042"/>
      <c r="O874" s="1042"/>
      <c r="P874" s="1042"/>
      <c r="Q874" s="1043"/>
    </row>
    <row r="875" spans="1:17" x14ac:dyDescent="0.25">
      <c r="A875" s="994">
        <v>60</v>
      </c>
      <c r="B875" s="462" t="s">
        <v>8</v>
      </c>
      <c r="C875" s="295"/>
      <c r="D875" s="295"/>
      <c r="E875" s="296" t="s">
        <v>303</v>
      </c>
      <c r="F875" s="297">
        <f>F876</f>
        <v>16403.099999999999</v>
      </c>
      <c r="G875" s="297">
        <f>G876</f>
        <v>33228.6</v>
      </c>
      <c r="H875" s="297">
        <f>H876</f>
        <v>68673.3</v>
      </c>
      <c r="I875" s="297">
        <f>I876</f>
        <v>54404.5</v>
      </c>
      <c r="J875" s="297">
        <f>J876</f>
        <v>56498.8</v>
      </c>
      <c r="K875" s="1177" t="s">
        <v>9</v>
      </c>
      <c r="L875" s="1068" t="s">
        <v>19</v>
      </c>
      <c r="M875" s="298"/>
      <c r="N875" s="298"/>
      <c r="O875" s="298"/>
      <c r="P875" s="629"/>
      <c r="Q875" s="1128"/>
    </row>
    <row r="876" spans="1:17" ht="54.75" customHeight="1" x14ac:dyDescent="0.25">
      <c r="A876" s="994"/>
      <c r="B876" s="295"/>
      <c r="C876" s="299" t="s">
        <v>43</v>
      </c>
      <c r="D876" s="295"/>
      <c r="E876" s="711" t="s">
        <v>1003</v>
      </c>
      <c r="F876" s="719">
        <v>16403.099999999999</v>
      </c>
      <c r="G876" s="719">
        <v>33228.6</v>
      </c>
      <c r="H876" s="719">
        <f>53073.3+15600</f>
        <v>68673.3</v>
      </c>
      <c r="I876" s="719">
        <f>54404.6-0.1</f>
        <v>54404.5</v>
      </c>
      <c r="J876" s="719">
        <f>56498.8</f>
        <v>56498.8</v>
      </c>
      <c r="K876" s="1177"/>
      <c r="L876" s="1068"/>
      <c r="M876" s="629"/>
      <c r="N876" s="298"/>
      <c r="O876" s="298"/>
      <c r="P876" s="629"/>
      <c r="Q876" s="1128"/>
    </row>
    <row r="877" spans="1:17" ht="28.5" x14ac:dyDescent="0.25">
      <c r="A877" s="994"/>
      <c r="B877" s="462" t="s">
        <v>1004</v>
      </c>
      <c r="C877" s="300"/>
      <c r="D877" s="300"/>
      <c r="E877" s="301" t="s">
        <v>1005</v>
      </c>
      <c r="F877" s="297">
        <f>F878</f>
        <v>4200</v>
      </c>
      <c r="G877" s="297">
        <f>G878</f>
        <v>3458.8</v>
      </c>
      <c r="H877" s="297">
        <f>H878</f>
        <v>15606.7</v>
      </c>
      <c r="I877" s="297">
        <f>I878</f>
        <v>15606.7</v>
      </c>
      <c r="J877" s="297">
        <f>J878</f>
        <v>15606.7</v>
      </c>
      <c r="K877" s="881"/>
      <c r="L877" s="629"/>
      <c r="M877" s="298"/>
      <c r="N877" s="298"/>
      <c r="O877" s="629"/>
      <c r="P877" s="629"/>
      <c r="Q877" s="630"/>
    </row>
    <row r="878" spans="1:17" ht="45" x14ac:dyDescent="0.25">
      <c r="A878" s="994"/>
      <c r="B878" s="462"/>
      <c r="C878" s="300" t="s">
        <v>43</v>
      </c>
      <c r="D878" s="300"/>
      <c r="E878" s="113" t="s">
        <v>1006</v>
      </c>
      <c r="F878" s="719">
        <v>4200</v>
      </c>
      <c r="G878" s="719">
        <v>3458.8</v>
      </c>
      <c r="H878" s="719">
        <v>15606.7</v>
      </c>
      <c r="I878" s="719">
        <v>15606.7</v>
      </c>
      <c r="J878" s="719">
        <v>15606.7</v>
      </c>
      <c r="K878" s="881" t="s">
        <v>1687</v>
      </c>
      <c r="L878" s="629" t="s">
        <v>19</v>
      </c>
      <c r="M878" s="298">
        <v>70</v>
      </c>
      <c r="N878" s="298">
        <v>40</v>
      </c>
      <c r="O878" s="629">
        <v>100</v>
      </c>
      <c r="P878" s="629">
        <v>100</v>
      </c>
      <c r="Q878" s="630">
        <v>100</v>
      </c>
    </row>
    <row r="879" spans="1:17" ht="30" x14ac:dyDescent="0.25">
      <c r="A879" s="994"/>
      <c r="B879" s="462" t="s">
        <v>753</v>
      </c>
      <c r="C879" s="300" t="s">
        <v>1007</v>
      </c>
      <c r="D879" s="300"/>
      <c r="E879" s="113" t="s">
        <v>760</v>
      </c>
      <c r="F879" s="719"/>
      <c r="G879" s="719">
        <v>1400460</v>
      </c>
      <c r="H879" s="719">
        <f>461748.6+5959600.9</f>
        <v>6421349.5</v>
      </c>
      <c r="I879" s="719">
        <f>467801.6+6693355.7</f>
        <v>7161157.2999999998</v>
      </c>
      <c r="J879" s="719">
        <f>286706.2+3735411.1</f>
        <v>4022117.3000000003</v>
      </c>
      <c r="K879" s="629"/>
      <c r="L879" s="629"/>
      <c r="M879" s="298"/>
      <c r="N879" s="298"/>
      <c r="O879" s="629"/>
      <c r="P879" s="629"/>
      <c r="Q879" s="630"/>
    </row>
    <row r="880" spans="1:17" x14ac:dyDescent="0.25">
      <c r="A880" s="990" t="s">
        <v>23</v>
      </c>
      <c r="B880" s="991"/>
      <c r="C880" s="991"/>
      <c r="D880" s="991"/>
      <c r="E880" s="991"/>
      <c r="F880" s="28">
        <f>F875+F877+F879</f>
        <v>20603.099999999999</v>
      </c>
      <c r="G880" s="28">
        <f>G875+G877+G879</f>
        <v>1437147.4</v>
      </c>
      <c r="H880" s="28">
        <f>H875+H877+H879</f>
        <v>6505629.5</v>
      </c>
      <c r="I880" s="28">
        <f>I875+I877+I879</f>
        <v>7231168.5</v>
      </c>
      <c r="J880" s="28">
        <f>J875+J877+J879</f>
        <v>4094222.8000000003</v>
      </c>
      <c r="K880" s="306"/>
      <c r="L880" s="306"/>
      <c r="M880" s="306"/>
      <c r="N880" s="306"/>
      <c r="O880" s="306"/>
      <c r="P880" s="306"/>
      <c r="Q880" s="579"/>
    </row>
    <row r="881" spans="1:17" ht="28.5" customHeight="1" x14ac:dyDescent="0.25">
      <c r="A881" s="1041" t="s">
        <v>1008</v>
      </c>
      <c r="B881" s="1042"/>
      <c r="C881" s="1042"/>
      <c r="D881" s="1042"/>
      <c r="E881" s="1042"/>
      <c r="F881" s="1042"/>
      <c r="G881" s="1042"/>
      <c r="H881" s="1042"/>
      <c r="I881" s="1042"/>
      <c r="J881" s="1042"/>
      <c r="K881" s="1042"/>
      <c r="L881" s="1042"/>
      <c r="M881" s="1042"/>
      <c r="N881" s="1042"/>
      <c r="O881" s="1042"/>
      <c r="P881" s="1042"/>
      <c r="Q881" s="1043"/>
    </row>
    <row r="882" spans="1:17" x14ac:dyDescent="0.25">
      <c r="A882" s="994">
        <v>64</v>
      </c>
      <c r="B882" s="1044" t="s">
        <v>8</v>
      </c>
      <c r="C882" s="1045"/>
      <c r="D882" s="1045"/>
      <c r="E882" s="1020" t="s">
        <v>303</v>
      </c>
      <c r="F882" s="1021">
        <f>F884+F885+F886+F887</f>
        <v>19843.5</v>
      </c>
      <c r="G882" s="1021">
        <f>G884+G885+G886+G887</f>
        <v>21424.799999999996</v>
      </c>
      <c r="H882" s="1021">
        <f>H884+H885+H886+H887</f>
        <v>42387.7</v>
      </c>
      <c r="I882" s="1021">
        <f>I884+I885+I886+I887</f>
        <v>42991.9</v>
      </c>
      <c r="J882" s="1021">
        <f>J884+J885+J886+J887</f>
        <v>43767.199999999997</v>
      </c>
      <c r="K882" s="1095"/>
      <c r="L882" s="1058" t="s">
        <v>304</v>
      </c>
      <c r="M882" s="1178">
        <f>SUM(M884+M885+M886+M887)</f>
        <v>19843.5</v>
      </c>
      <c r="N882" s="1178">
        <f>SUM(N884+N885+N886+N887)</f>
        <v>21424.799999999996</v>
      </c>
      <c r="O882" s="1178">
        <f>SUM(O884+O885+O886+O887)</f>
        <v>25424.799999999999</v>
      </c>
      <c r="P882" s="1178">
        <f>SUM(P884+P885+P886+P887)</f>
        <v>25917.599999999999</v>
      </c>
      <c r="Q882" s="1168">
        <f>SUM(Q884+Q885+Q886+Q887)</f>
        <v>26692.899999999998</v>
      </c>
    </row>
    <row r="883" spans="1:17" x14ac:dyDescent="0.25">
      <c r="A883" s="994"/>
      <c r="B883" s="1044"/>
      <c r="C883" s="1045"/>
      <c r="D883" s="1045"/>
      <c r="E883" s="1020"/>
      <c r="F883" s="1021"/>
      <c r="G883" s="1021"/>
      <c r="H883" s="1021"/>
      <c r="I883" s="1021"/>
      <c r="J883" s="1021"/>
      <c r="K883" s="1095"/>
      <c r="L883" s="1058"/>
      <c r="M883" s="1178"/>
      <c r="N883" s="1178"/>
      <c r="O883" s="1178"/>
      <c r="P883" s="1178"/>
      <c r="Q883" s="1168"/>
    </row>
    <row r="884" spans="1:17" ht="75" x14ac:dyDescent="0.25">
      <c r="A884" s="994"/>
      <c r="B884" s="650"/>
      <c r="C884" s="620" t="s">
        <v>43</v>
      </c>
      <c r="D884" s="302"/>
      <c r="E884" s="718" t="s">
        <v>1009</v>
      </c>
      <c r="F884" s="618">
        <v>7370.7</v>
      </c>
      <c r="G884" s="759">
        <v>8137.9</v>
      </c>
      <c r="H884" s="759">
        <v>8161.3</v>
      </c>
      <c r="I884" s="759">
        <v>8283</v>
      </c>
      <c r="J884" s="759">
        <v>8432.7999999999993</v>
      </c>
      <c r="K884" s="303" t="s">
        <v>1283</v>
      </c>
      <c r="L884" s="640"/>
      <c r="M884" s="640">
        <v>7370.7</v>
      </c>
      <c r="N884" s="304">
        <v>8137.9</v>
      </c>
      <c r="O884" s="304">
        <v>8161.3</v>
      </c>
      <c r="P884" s="304">
        <v>8283</v>
      </c>
      <c r="Q884" s="580">
        <v>8432.7999999999993</v>
      </c>
    </row>
    <row r="885" spans="1:17" ht="120" x14ac:dyDescent="0.25">
      <c r="A885" s="994"/>
      <c r="B885" s="650"/>
      <c r="C885" s="620" t="s">
        <v>48</v>
      </c>
      <c r="D885" s="302"/>
      <c r="E885" s="718" t="s">
        <v>1010</v>
      </c>
      <c r="F885" s="618">
        <v>4770.5</v>
      </c>
      <c r="G885" s="759">
        <v>4933.2</v>
      </c>
      <c r="H885" s="759">
        <v>6534.1</v>
      </c>
      <c r="I885" s="759">
        <v>6678.8</v>
      </c>
      <c r="J885" s="759">
        <v>6927.8</v>
      </c>
      <c r="K885" s="79" t="s">
        <v>1284</v>
      </c>
      <c r="L885" s="640"/>
      <c r="M885" s="640">
        <v>4770.5</v>
      </c>
      <c r="N885" s="304">
        <v>4933.2</v>
      </c>
      <c r="O885" s="304">
        <v>6534.1</v>
      </c>
      <c r="P885" s="304">
        <v>6678.8</v>
      </c>
      <c r="Q885" s="580">
        <v>6927.8</v>
      </c>
    </row>
    <row r="886" spans="1:17" ht="75" x14ac:dyDescent="0.25">
      <c r="A886" s="994"/>
      <c r="B886" s="650"/>
      <c r="C886" s="620" t="s">
        <v>37</v>
      </c>
      <c r="D886" s="302"/>
      <c r="E886" s="718" t="s">
        <v>1011</v>
      </c>
      <c r="F886" s="618">
        <v>5170.5</v>
      </c>
      <c r="G886" s="759">
        <v>4933.1000000000004</v>
      </c>
      <c r="H886" s="759">
        <v>6534.1</v>
      </c>
      <c r="I886" s="759">
        <v>6679.2</v>
      </c>
      <c r="J886" s="759">
        <v>6927.8</v>
      </c>
      <c r="K886" s="718" t="s">
        <v>1398</v>
      </c>
      <c r="L886" s="640"/>
      <c r="M886" s="641">
        <v>5170.5</v>
      </c>
      <c r="N886" s="304">
        <v>4933.1000000000004</v>
      </c>
      <c r="O886" s="304">
        <v>6534.1</v>
      </c>
      <c r="P886" s="304">
        <v>6679.2</v>
      </c>
      <c r="Q886" s="580">
        <v>6927.8</v>
      </c>
    </row>
    <row r="887" spans="1:17" ht="223.5" customHeight="1" x14ac:dyDescent="0.25">
      <c r="A887" s="994"/>
      <c r="B887" s="650"/>
      <c r="C887" s="620" t="s">
        <v>73</v>
      </c>
      <c r="D887" s="302"/>
      <c r="E887" s="79" t="s">
        <v>1397</v>
      </c>
      <c r="F887" s="759">
        <v>2531.8000000000002</v>
      </c>
      <c r="G887" s="759">
        <v>3420.6</v>
      </c>
      <c r="H887" s="759">
        <f>4195.3+16962.9</f>
        <v>21158.2</v>
      </c>
      <c r="I887" s="759">
        <f>4276.6+17074.3</f>
        <v>21350.9</v>
      </c>
      <c r="J887" s="759">
        <f>4404.5+17074.3</f>
        <v>21478.799999999999</v>
      </c>
      <c r="K887" s="718" t="s">
        <v>1285</v>
      </c>
      <c r="L887" s="640"/>
      <c r="M887" s="641">
        <v>2531.8000000000002</v>
      </c>
      <c r="N887" s="304">
        <v>3420.6</v>
      </c>
      <c r="O887" s="304">
        <v>4195.3</v>
      </c>
      <c r="P887" s="304">
        <v>4276.6000000000004</v>
      </c>
      <c r="Q887" s="580">
        <v>4404.5</v>
      </c>
    </row>
    <row r="888" spans="1:17" x14ac:dyDescent="0.25">
      <c r="A888" s="990" t="s">
        <v>23</v>
      </c>
      <c r="B888" s="991"/>
      <c r="C888" s="991"/>
      <c r="D888" s="991"/>
      <c r="E888" s="991"/>
      <c r="F888" s="305">
        <f>F882</f>
        <v>19843.5</v>
      </c>
      <c r="G888" s="305">
        <f>G882</f>
        <v>21424.799999999996</v>
      </c>
      <c r="H888" s="305">
        <f>H882</f>
        <v>42387.7</v>
      </c>
      <c r="I888" s="305">
        <f>I882</f>
        <v>42991.9</v>
      </c>
      <c r="J888" s="305">
        <f>J882</f>
        <v>43767.199999999997</v>
      </c>
      <c r="K888" s="306"/>
      <c r="L888" s="307"/>
      <c r="M888" s="306"/>
      <c r="N888" s="308"/>
      <c r="O888" s="308"/>
      <c r="P888" s="308"/>
      <c r="Q888" s="581"/>
    </row>
    <row r="889" spans="1:17" ht="26.25" customHeight="1" x14ac:dyDescent="0.25">
      <c r="A889" s="1041" t="s">
        <v>1012</v>
      </c>
      <c r="B889" s="1042"/>
      <c r="C889" s="1042"/>
      <c r="D889" s="1042"/>
      <c r="E889" s="1169"/>
      <c r="F889" s="1042"/>
      <c r="G889" s="1042"/>
      <c r="H889" s="1042"/>
      <c r="I889" s="1042"/>
      <c r="J889" s="1042"/>
      <c r="K889" s="1042"/>
      <c r="L889" s="1042"/>
      <c r="M889" s="1042"/>
      <c r="N889" s="1042"/>
      <c r="O889" s="1042"/>
      <c r="P889" s="1042"/>
      <c r="Q889" s="1043"/>
    </row>
    <row r="890" spans="1:17" x14ac:dyDescent="0.25">
      <c r="A890" s="994">
        <v>65</v>
      </c>
      <c r="B890" s="1022" t="s">
        <v>8</v>
      </c>
      <c r="C890" s="1024"/>
      <c r="D890" s="1170"/>
      <c r="E890" s="309" t="s">
        <v>1013</v>
      </c>
      <c r="F890" s="1164">
        <v>0</v>
      </c>
      <c r="G890" s="1165">
        <v>0</v>
      </c>
      <c r="H890" s="1165">
        <f>H892+H893</f>
        <v>257622.5</v>
      </c>
      <c r="I890" s="1165">
        <f>I892+I893</f>
        <v>260589.8</v>
      </c>
      <c r="J890" s="1165">
        <f>SUM(J892+J893)</f>
        <v>267257.09999999998</v>
      </c>
      <c r="K890" s="1171" t="s">
        <v>9</v>
      </c>
      <c r="L890" s="1171" t="s">
        <v>304</v>
      </c>
      <c r="M890" s="1172" t="s">
        <v>1014</v>
      </c>
      <c r="N890" s="1139" t="s">
        <v>1015</v>
      </c>
      <c r="O890" s="1173" t="s">
        <v>734</v>
      </c>
      <c r="P890" s="1173" t="s">
        <v>736</v>
      </c>
      <c r="Q890" s="1174" t="s">
        <v>1016</v>
      </c>
    </row>
    <row r="891" spans="1:17" ht="75" x14ac:dyDescent="0.25">
      <c r="A891" s="994"/>
      <c r="B891" s="1022"/>
      <c r="C891" s="1024"/>
      <c r="D891" s="1170"/>
      <c r="E891" s="310" t="s">
        <v>714</v>
      </c>
      <c r="F891" s="1164"/>
      <c r="G891" s="1165"/>
      <c r="H891" s="1165"/>
      <c r="I891" s="1165"/>
      <c r="J891" s="1165"/>
      <c r="K891" s="1171"/>
      <c r="L891" s="1171"/>
      <c r="M891" s="1172"/>
      <c r="N891" s="1139"/>
      <c r="O891" s="1173"/>
      <c r="P891" s="1173"/>
      <c r="Q891" s="1174"/>
    </row>
    <row r="892" spans="1:17" ht="30" x14ac:dyDescent="0.25">
      <c r="A892" s="994"/>
      <c r="B892" s="311"/>
      <c r="C892" s="694" t="s">
        <v>43</v>
      </c>
      <c r="D892" s="311"/>
      <c r="E892" s="705" t="s">
        <v>11</v>
      </c>
      <c r="F892" s="700">
        <v>0</v>
      </c>
      <c r="G892" s="701">
        <v>0</v>
      </c>
      <c r="H892" s="701">
        <v>72264.7</v>
      </c>
      <c r="I892" s="700">
        <v>74950.7</v>
      </c>
      <c r="J892" s="700">
        <v>76222.899999999994</v>
      </c>
      <c r="K892" s="796"/>
      <c r="L892" s="312"/>
      <c r="M892" s="312"/>
      <c r="N892" s="312"/>
      <c r="O892" s="312"/>
      <c r="P892" s="312"/>
      <c r="Q892" s="582"/>
    </row>
    <row r="893" spans="1:17" ht="30" x14ac:dyDescent="0.25">
      <c r="A893" s="994"/>
      <c r="B893" s="692"/>
      <c r="C893" s="694" t="s">
        <v>48</v>
      </c>
      <c r="D893" s="311"/>
      <c r="E893" s="409" t="s">
        <v>1017</v>
      </c>
      <c r="F893" s="697">
        <v>0</v>
      </c>
      <c r="G893" s="697">
        <v>0</v>
      </c>
      <c r="H893" s="697">
        <v>185357.8</v>
      </c>
      <c r="I893" s="697">
        <v>185639.1</v>
      </c>
      <c r="J893" s="697">
        <v>191034.2</v>
      </c>
      <c r="K893" s="797"/>
      <c r="L893" s="692"/>
      <c r="M893" s="692"/>
      <c r="N893" s="692"/>
      <c r="O893" s="692"/>
      <c r="P893" s="692"/>
      <c r="Q893" s="698"/>
    </row>
    <row r="894" spans="1:17" ht="42.75" x14ac:dyDescent="0.25">
      <c r="A894" s="994"/>
      <c r="B894" s="1022" t="s">
        <v>1018</v>
      </c>
      <c r="C894" s="1024"/>
      <c r="D894" s="1170"/>
      <c r="E894" s="313" t="s">
        <v>1019</v>
      </c>
      <c r="F894" s="1164">
        <v>0</v>
      </c>
      <c r="G894" s="1165">
        <v>0</v>
      </c>
      <c r="H894" s="1165">
        <f>H896+H899+H904+H907</f>
        <v>223046.5</v>
      </c>
      <c r="I894" s="1165">
        <f>I896+I899+I904+I907</f>
        <v>226646.8</v>
      </c>
      <c r="J894" s="1165">
        <f>SUM(J896:J907)</f>
        <v>232740.2</v>
      </c>
      <c r="K894" s="1149" t="s">
        <v>1020</v>
      </c>
      <c r="L894" s="1024" t="s">
        <v>690</v>
      </c>
      <c r="M894" s="1024">
        <v>105</v>
      </c>
      <c r="N894" s="1024">
        <v>105</v>
      </c>
      <c r="O894" s="1024">
        <v>105</v>
      </c>
      <c r="P894" s="1024">
        <v>85</v>
      </c>
      <c r="Q894" s="1166">
        <v>85</v>
      </c>
    </row>
    <row r="895" spans="1:17" ht="105" x14ac:dyDescent="0.25">
      <c r="A895" s="994"/>
      <c r="B895" s="1022"/>
      <c r="C895" s="1024"/>
      <c r="D895" s="1170"/>
      <c r="E895" s="314" t="s">
        <v>1021</v>
      </c>
      <c r="F895" s="1164"/>
      <c r="G895" s="1165"/>
      <c r="H895" s="1165"/>
      <c r="I895" s="1165"/>
      <c r="J895" s="1165"/>
      <c r="K895" s="1149"/>
      <c r="L895" s="1024"/>
      <c r="M895" s="1024"/>
      <c r="N895" s="1024"/>
      <c r="O895" s="1024"/>
      <c r="P895" s="1024"/>
      <c r="Q895" s="1166"/>
    </row>
    <row r="896" spans="1:17" ht="60" customHeight="1" x14ac:dyDescent="0.25">
      <c r="A896" s="994"/>
      <c r="B896" s="1022"/>
      <c r="C896" s="1023" t="s">
        <v>43</v>
      </c>
      <c r="D896" s="1024"/>
      <c r="E896" s="1167" t="s">
        <v>1022</v>
      </c>
      <c r="F896" s="1026">
        <v>0</v>
      </c>
      <c r="G896" s="1027">
        <v>0</v>
      </c>
      <c r="H896" s="1027">
        <v>20958.099999999999</v>
      </c>
      <c r="I896" s="1026">
        <v>20922.099999999999</v>
      </c>
      <c r="J896" s="1026">
        <v>21197.599999999999</v>
      </c>
      <c r="K896" s="648" t="s">
        <v>1023</v>
      </c>
      <c r="L896" s="700" t="s">
        <v>111</v>
      </c>
      <c r="M896" s="700">
        <v>323</v>
      </c>
      <c r="N896" s="700">
        <v>350</v>
      </c>
      <c r="O896" s="700">
        <v>355</v>
      </c>
      <c r="P896" s="700">
        <v>356</v>
      </c>
      <c r="Q896" s="583">
        <v>358</v>
      </c>
    </row>
    <row r="897" spans="1:17" ht="44.25" customHeight="1" x14ac:dyDescent="0.25">
      <c r="A897" s="994"/>
      <c r="B897" s="1022"/>
      <c r="C897" s="1023"/>
      <c r="D897" s="1024"/>
      <c r="E897" s="1025"/>
      <c r="F897" s="1026"/>
      <c r="G897" s="1027"/>
      <c r="H897" s="1027"/>
      <c r="I897" s="1026"/>
      <c r="J897" s="1026"/>
      <c r="K897" s="673" t="s">
        <v>1024</v>
      </c>
      <c r="L897" s="700" t="s">
        <v>625</v>
      </c>
      <c r="M897" s="700">
        <v>506</v>
      </c>
      <c r="N897" s="700">
        <v>500</v>
      </c>
      <c r="O897" s="700">
        <v>500</v>
      </c>
      <c r="P897" s="700">
        <v>499</v>
      </c>
      <c r="Q897" s="583">
        <v>499</v>
      </c>
    </row>
    <row r="898" spans="1:17" ht="48" customHeight="1" x14ac:dyDescent="0.25">
      <c r="A898" s="994"/>
      <c r="B898" s="1022"/>
      <c r="C898" s="1023"/>
      <c r="D898" s="1024"/>
      <c r="E898" s="1025"/>
      <c r="F898" s="1026"/>
      <c r="G898" s="1027"/>
      <c r="H898" s="1027"/>
      <c r="I898" s="1026"/>
      <c r="J898" s="1026"/>
      <c r="K898" s="696" t="s">
        <v>1025</v>
      </c>
      <c r="L898" s="700" t="s">
        <v>111</v>
      </c>
      <c r="M898" s="700">
        <v>50</v>
      </c>
      <c r="N898" s="700">
        <v>52</v>
      </c>
      <c r="O898" s="700">
        <v>56</v>
      </c>
      <c r="P898" s="723">
        <v>60</v>
      </c>
      <c r="Q898" s="583">
        <v>62</v>
      </c>
    </row>
    <row r="899" spans="1:17" ht="60" x14ac:dyDescent="0.25">
      <c r="A899" s="994"/>
      <c r="B899" s="1022"/>
      <c r="C899" s="1023" t="s">
        <v>48</v>
      </c>
      <c r="D899" s="1024"/>
      <c r="E899" s="1025" t="s">
        <v>1026</v>
      </c>
      <c r="F899" s="1026"/>
      <c r="G899" s="1027">
        <v>0</v>
      </c>
      <c r="H899" s="1027">
        <v>7443.1</v>
      </c>
      <c r="I899" s="1026">
        <v>8000</v>
      </c>
      <c r="J899" s="1026">
        <v>8300</v>
      </c>
      <c r="K899" s="236" t="s">
        <v>1027</v>
      </c>
      <c r="L899" s="704" t="s">
        <v>111</v>
      </c>
      <c r="M899" s="692">
        <v>4</v>
      </c>
      <c r="N899" s="692">
        <v>4</v>
      </c>
      <c r="O899" s="692">
        <v>4</v>
      </c>
      <c r="P899" s="692">
        <v>4</v>
      </c>
      <c r="Q899" s="698">
        <v>4</v>
      </c>
    </row>
    <row r="900" spans="1:17" ht="30" x14ac:dyDescent="0.25">
      <c r="A900" s="994"/>
      <c r="B900" s="1022"/>
      <c r="C900" s="1023"/>
      <c r="D900" s="1024"/>
      <c r="E900" s="1025"/>
      <c r="F900" s="1026"/>
      <c r="G900" s="1027"/>
      <c r="H900" s="1027"/>
      <c r="I900" s="1026"/>
      <c r="J900" s="1026"/>
      <c r="K900" s="696" t="s">
        <v>1028</v>
      </c>
      <c r="L900" s="704" t="s">
        <v>19</v>
      </c>
      <c r="M900" s="692">
        <v>92</v>
      </c>
      <c r="N900" s="692">
        <v>93</v>
      </c>
      <c r="O900" s="692">
        <v>94</v>
      </c>
      <c r="P900" s="692">
        <v>94</v>
      </c>
      <c r="Q900" s="698">
        <v>94</v>
      </c>
    </row>
    <row r="901" spans="1:17" x14ac:dyDescent="0.25">
      <c r="A901" s="994"/>
      <c r="B901" s="1022"/>
      <c r="C901" s="1023"/>
      <c r="D901" s="1024"/>
      <c r="E901" s="1025"/>
      <c r="F901" s="1026"/>
      <c r="G901" s="1027"/>
      <c r="H901" s="1027"/>
      <c r="I901" s="1026"/>
      <c r="J901" s="1026"/>
      <c r="K901" s="1025" t="s">
        <v>1029</v>
      </c>
      <c r="L901" s="1175" t="s">
        <v>19</v>
      </c>
      <c r="M901" s="1150">
        <v>92</v>
      </c>
      <c r="N901" s="1150">
        <v>93</v>
      </c>
      <c r="O901" s="1150">
        <v>92</v>
      </c>
      <c r="P901" s="1150">
        <v>93</v>
      </c>
      <c r="Q901" s="1157">
        <v>92</v>
      </c>
    </row>
    <row r="902" spans="1:17" x14ac:dyDescent="0.25">
      <c r="A902" s="994"/>
      <c r="B902" s="1022"/>
      <c r="C902" s="1023"/>
      <c r="D902" s="1024"/>
      <c r="E902" s="1025"/>
      <c r="F902" s="1026"/>
      <c r="G902" s="1027"/>
      <c r="H902" s="1027"/>
      <c r="I902" s="1026"/>
      <c r="J902" s="1026"/>
      <c r="K902" s="1025"/>
      <c r="L902" s="1175"/>
      <c r="M902" s="1150"/>
      <c r="N902" s="1150"/>
      <c r="O902" s="1150"/>
      <c r="P902" s="1150"/>
      <c r="Q902" s="1157"/>
    </row>
    <row r="903" spans="1:17" ht="36" customHeight="1" x14ac:dyDescent="0.25">
      <c r="A903" s="994"/>
      <c r="B903" s="1022"/>
      <c r="C903" s="1023"/>
      <c r="D903" s="1024"/>
      <c r="E903" s="1025"/>
      <c r="F903" s="1026"/>
      <c r="G903" s="1027"/>
      <c r="H903" s="1027"/>
      <c r="I903" s="1026"/>
      <c r="J903" s="1026"/>
      <c r="K903" s="1025"/>
      <c r="L903" s="1175"/>
      <c r="M903" s="1150"/>
      <c r="N903" s="1150"/>
      <c r="O903" s="1150"/>
      <c r="P903" s="1150"/>
      <c r="Q903" s="1157"/>
    </row>
    <row r="904" spans="1:17" ht="30" x14ac:dyDescent="0.25">
      <c r="A904" s="994"/>
      <c r="B904" s="1024"/>
      <c r="C904" s="1023" t="s">
        <v>37</v>
      </c>
      <c r="D904" s="1024"/>
      <c r="E904" s="1025" t="s">
        <v>1030</v>
      </c>
      <c r="F904" s="1026">
        <v>0</v>
      </c>
      <c r="G904" s="1027">
        <v>0</v>
      </c>
      <c r="H904" s="1027">
        <v>15476.9</v>
      </c>
      <c r="I904" s="1026">
        <v>18511.3</v>
      </c>
      <c r="J904" s="1026">
        <f>18281.7-0.1</f>
        <v>18281.600000000002</v>
      </c>
      <c r="K904" s="696" t="s">
        <v>1031</v>
      </c>
      <c r="L904" s="700" t="s">
        <v>111</v>
      </c>
      <c r="M904" s="694">
        <v>187</v>
      </c>
      <c r="N904" s="694">
        <v>190</v>
      </c>
      <c r="O904" s="694">
        <v>192</v>
      </c>
      <c r="P904" s="694">
        <v>194</v>
      </c>
      <c r="Q904" s="584">
        <v>195</v>
      </c>
    </row>
    <row r="905" spans="1:17" ht="30" x14ac:dyDescent="0.25">
      <c r="A905" s="994"/>
      <c r="B905" s="1024"/>
      <c r="C905" s="1023"/>
      <c r="D905" s="1024"/>
      <c r="E905" s="1025"/>
      <c r="F905" s="1026"/>
      <c r="G905" s="1027"/>
      <c r="H905" s="1027"/>
      <c r="I905" s="1026"/>
      <c r="J905" s="1026"/>
      <c r="K905" s="696" t="s">
        <v>1032</v>
      </c>
      <c r="L905" s="700" t="s">
        <v>111</v>
      </c>
      <c r="M905" s="694">
        <v>2500</v>
      </c>
      <c r="N905" s="694">
        <v>2505</v>
      </c>
      <c r="O905" s="694">
        <v>2507</v>
      </c>
      <c r="P905" s="694">
        <v>2508</v>
      </c>
      <c r="Q905" s="584">
        <v>2509</v>
      </c>
    </row>
    <row r="906" spans="1:17" ht="30" x14ac:dyDescent="0.25">
      <c r="A906" s="994"/>
      <c r="B906" s="1024"/>
      <c r="C906" s="1023"/>
      <c r="D906" s="1024"/>
      <c r="E906" s="1025"/>
      <c r="F906" s="1026"/>
      <c r="G906" s="1027"/>
      <c r="H906" s="1027"/>
      <c r="I906" s="1026"/>
      <c r="J906" s="1026"/>
      <c r="K906" s="696" t="s">
        <v>1033</v>
      </c>
      <c r="L906" s="700" t="s">
        <v>111</v>
      </c>
      <c r="M906" s="694">
        <v>100</v>
      </c>
      <c r="N906" s="694">
        <v>103</v>
      </c>
      <c r="O906" s="694">
        <v>104</v>
      </c>
      <c r="P906" s="694">
        <v>105</v>
      </c>
      <c r="Q906" s="584">
        <v>106</v>
      </c>
    </row>
    <row r="907" spans="1:17" ht="60" x14ac:dyDescent="0.25">
      <c r="A907" s="994"/>
      <c r="B907" s="702"/>
      <c r="C907" s="694" t="s">
        <v>73</v>
      </c>
      <c r="D907" s="699"/>
      <c r="E907" s="409" t="s">
        <v>1034</v>
      </c>
      <c r="F907" s="697">
        <v>0</v>
      </c>
      <c r="G907" s="701">
        <v>0</v>
      </c>
      <c r="H907" s="701">
        <v>179168.4</v>
      </c>
      <c r="I907" s="700">
        <v>179213.4</v>
      </c>
      <c r="J907" s="700">
        <v>184961</v>
      </c>
      <c r="K907" s="648" t="s">
        <v>1035</v>
      </c>
      <c r="L907" s="704" t="s">
        <v>1036</v>
      </c>
      <c r="M907" s="704">
        <v>5</v>
      </c>
      <c r="N907" s="704">
        <v>7</v>
      </c>
      <c r="O907" s="704">
        <v>10</v>
      </c>
      <c r="P907" s="704">
        <v>10</v>
      </c>
      <c r="Q907" s="717">
        <v>10</v>
      </c>
    </row>
    <row r="908" spans="1:17" ht="21.75" customHeight="1" x14ac:dyDescent="0.25">
      <c r="A908" s="994"/>
      <c r="B908" s="1022" t="s">
        <v>1037</v>
      </c>
      <c r="C908" s="1022"/>
      <c r="D908" s="1161"/>
      <c r="E908" s="1158" t="s">
        <v>1305</v>
      </c>
      <c r="F908" s="1162">
        <v>0</v>
      </c>
      <c r="G908" s="1163">
        <v>0</v>
      </c>
      <c r="H908" s="1163">
        <f>H911</f>
        <v>235204.8</v>
      </c>
      <c r="I908" s="1163">
        <f>I911</f>
        <v>237624</v>
      </c>
      <c r="J908" s="1163">
        <f>J911</f>
        <v>237699.9</v>
      </c>
      <c r="K908" s="1149" t="s">
        <v>1038</v>
      </c>
      <c r="L908" s="1150" t="s">
        <v>19</v>
      </c>
      <c r="M908" s="1145">
        <v>7.38</v>
      </c>
      <c r="N908" s="1145">
        <v>7.38</v>
      </c>
      <c r="O908" s="1145">
        <v>7.6</v>
      </c>
      <c r="P908" s="1145">
        <v>8</v>
      </c>
      <c r="Q908" s="1151">
        <v>10</v>
      </c>
    </row>
    <row r="909" spans="1:17" ht="15" customHeight="1" x14ac:dyDescent="0.25">
      <c r="A909" s="994"/>
      <c r="B909" s="1022"/>
      <c r="C909" s="1022"/>
      <c r="D909" s="1161"/>
      <c r="E909" s="1159"/>
      <c r="F909" s="1162"/>
      <c r="G909" s="1163"/>
      <c r="H909" s="1163"/>
      <c r="I909" s="1163"/>
      <c r="J909" s="1163"/>
      <c r="K909" s="1149"/>
      <c r="L909" s="1150"/>
      <c r="M909" s="1145"/>
      <c r="N909" s="1145"/>
      <c r="O909" s="1145"/>
      <c r="P909" s="1145"/>
      <c r="Q909" s="1151"/>
    </row>
    <row r="910" spans="1:17" ht="75" customHeight="1" x14ac:dyDescent="0.25">
      <c r="A910" s="994"/>
      <c r="B910" s="1022"/>
      <c r="C910" s="1022"/>
      <c r="D910" s="1161"/>
      <c r="E910" s="1160"/>
      <c r="F910" s="1162"/>
      <c r="G910" s="1163"/>
      <c r="H910" s="1163"/>
      <c r="I910" s="1163"/>
      <c r="J910" s="1163"/>
      <c r="K910" s="1149"/>
      <c r="L910" s="1150"/>
      <c r="M910" s="1145"/>
      <c r="N910" s="1145"/>
      <c r="O910" s="1145"/>
      <c r="P910" s="1145"/>
      <c r="Q910" s="1151"/>
    </row>
    <row r="911" spans="1:17" x14ac:dyDescent="0.25">
      <c r="A911" s="994"/>
      <c r="B911" s="1152"/>
      <c r="C911" s="1023" t="s">
        <v>43</v>
      </c>
      <c r="D911" s="1153"/>
      <c r="E911" s="1154" t="s">
        <v>1039</v>
      </c>
      <c r="F911" s="1156">
        <v>0</v>
      </c>
      <c r="G911" s="1156">
        <v>0</v>
      </c>
      <c r="H911" s="1156">
        <v>235204.8</v>
      </c>
      <c r="I911" s="1156">
        <v>237624</v>
      </c>
      <c r="J911" s="1156">
        <v>237699.9</v>
      </c>
      <c r="K911" s="1155" t="s">
        <v>1040</v>
      </c>
      <c r="L911" s="1150" t="s">
        <v>1041</v>
      </c>
      <c r="M911" s="1150">
        <v>1476121.6000000001</v>
      </c>
      <c r="N911" s="1150">
        <v>1476121.6000000001</v>
      </c>
      <c r="O911" s="1150">
        <v>1516121.6</v>
      </c>
      <c r="P911" s="1150">
        <v>1616121.6</v>
      </c>
      <c r="Q911" s="1157">
        <v>2119903.1</v>
      </c>
    </row>
    <row r="912" spans="1:17" x14ac:dyDescent="0.25">
      <c r="A912" s="994"/>
      <c r="B912" s="1152"/>
      <c r="C912" s="1023"/>
      <c r="D912" s="1153"/>
      <c r="E912" s="1155"/>
      <c r="F912" s="1156"/>
      <c r="G912" s="1156"/>
      <c r="H912" s="1156"/>
      <c r="I912" s="1156"/>
      <c r="J912" s="1156"/>
      <c r="K912" s="1155"/>
      <c r="L912" s="1150"/>
      <c r="M912" s="1150"/>
      <c r="N912" s="1150"/>
      <c r="O912" s="1150"/>
      <c r="P912" s="1150"/>
      <c r="Q912" s="1157"/>
    </row>
    <row r="913" spans="1:17" ht="30" x14ac:dyDescent="0.25">
      <c r="A913" s="994"/>
      <c r="B913" s="1152"/>
      <c r="C913" s="1023"/>
      <c r="D913" s="1153"/>
      <c r="E913" s="1155"/>
      <c r="F913" s="1156"/>
      <c r="G913" s="1156"/>
      <c r="H913" s="1156"/>
      <c r="I913" s="1156"/>
      <c r="J913" s="1156"/>
      <c r="K913" s="696" t="s">
        <v>1042</v>
      </c>
      <c r="L913" s="692" t="s">
        <v>14</v>
      </c>
      <c r="M913" s="692">
        <v>175</v>
      </c>
      <c r="N913" s="692">
        <v>220</v>
      </c>
      <c r="O913" s="692">
        <v>225</v>
      </c>
      <c r="P913" s="692">
        <v>225</v>
      </c>
      <c r="Q913" s="698">
        <v>225</v>
      </c>
    </row>
    <row r="914" spans="1:17" x14ac:dyDescent="0.25">
      <c r="A914" s="994"/>
      <c r="B914" s="1152"/>
      <c r="C914" s="1023"/>
      <c r="D914" s="1153"/>
      <c r="E914" s="1155"/>
      <c r="F914" s="1156"/>
      <c r="G914" s="1156"/>
      <c r="H914" s="1156"/>
      <c r="I914" s="1156"/>
      <c r="J914" s="1156"/>
      <c r="K914" s="696" t="s">
        <v>1043</v>
      </c>
      <c r="L914" s="692" t="s">
        <v>14</v>
      </c>
      <c r="M914" s="692">
        <v>14</v>
      </c>
      <c r="N914" s="692">
        <v>15</v>
      </c>
      <c r="O914" s="692">
        <v>16</v>
      </c>
      <c r="P914" s="692">
        <v>17</v>
      </c>
      <c r="Q914" s="698">
        <v>18</v>
      </c>
    </row>
    <row r="915" spans="1:17" ht="45" x14ac:dyDescent="0.25">
      <c r="A915" s="994"/>
      <c r="B915" s="1152"/>
      <c r="C915" s="1023"/>
      <c r="D915" s="1153"/>
      <c r="E915" s="1155"/>
      <c r="F915" s="1156"/>
      <c r="G915" s="1156"/>
      <c r="H915" s="1156"/>
      <c r="I915" s="1156"/>
      <c r="J915" s="1156"/>
      <c r="K915" s="696" t="s">
        <v>1044</v>
      </c>
      <c r="L915" s="692" t="s">
        <v>14</v>
      </c>
      <c r="M915" s="692">
        <v>0</v>
      </c>
      <c r="N915" s="692">
        <v>2</v>
      </c>
      <c r="O915" s="692">
        <v>4</v>
      </c>
      <c r="P915" s="692">
        <v>6</v>
      </c>
      <c r="Q915" s="698">
        <v>6</v>
      </c>
    </row>
    <row r="916" spans="1:17" ht="90" x14ac:dyDescent="0.25">
      <c r="A916" s="994"/>
      <c r="B916" s="1152"/>
      <c r="C916" s="1023"/>
      <c r="D916" s="1153"/>
      <c r="E916" s="1155"/>
      <c r="F916" s="1156"/>
      <c r="G916" s="1156"/>
      <c r="H916" s="1156"/>
      <c r="I916" s="1156"/>
      <c r="J916" s="1156"/>
      <c r="K916" s="696" t="s">
        <v>1045</v>
      </c>
      <c r="L916" s="692" t="s">
        <v>14</v>
      </c>
      <c r="M916" s="692" t="s">
        <v>1046</v>
      </c>
      <c r="N916" s="692" t="s">
        <v>1047</v>
      </c>
      <c r="O916" s="692" t="s">
        <v>1048</v>
      </c>
      <c r="P916" s="692" t="s">
        <v>1049</v>
      </c>
      <c r="Q916" s="698" t="s">
        <v>1049</v>
      </c>
    </row>
    <row r="917" spans="1:17" ht="60" x14ac:dyDescent="0.25">
      <c r="A917" s="994"/>
      <c r="B917" s="1152"/>
      <c r="C917" s="1023"/>
      <c r="D917" s="1153"/>
      <c r="E917" s="1155"/>
      <c r="F917" s="1156"/>
      <c r="G917" s="1156"/>
      <c r="H917" s="1156"/>
      <c r="I917" s="1156"/>
      <c r="J917" s="1156"/>
      <c r="K917" s="696" t="s">
        <v>1050</v>
      </c>
      <c r="L917" s="692" t="s">
        <v>371</v>
      </c>
      <c r="M917" s="140">
        <v>4000</v>
      </c>
      <c r="N917" s="140">
        <v>5000</v>
      </c>
      <c r="O917" s="140">
        <v>5000</v>
      </c>
      <c r="P917" s="140">
        <v>5500</v>
      </c>
      <c r="Q917" s="549">
        <v>6000</v>
      </c>
    </row>
    <row r="918" spans="1:17" ht="30" x14ac:dyDescent="0.25">
      <c r="A918" s="994"/>
      <c r="B918" s="693" t="s">
        <v>753</v>
      </c>
      <c r="C918" s="694" t="s">
        <v>1007</v>
      </c>
      <c r="D918" s="695"/>
      <c r="E918" s="113" t="s">
        <v>760</v>
      </c>
      <c r="F918" s="697"/>
      <c r="G918" s="697"/>
      <c r="H918" s="697">
        <v>80231.8</v>
      </c>
      <c r="I918" s="697"/>
      <c r="J918" s="697"/>
      <c r="K918" s="696"/>
      <c r="L918" s="692"/>
      <c r="M918" s="140"/>
      <c r="N918" s="140"/>
      <c r="O918" s="140"/>
      <c r="P918" s="140"/>
      <c r="Q918" s="549"/>
    </row>
    <row r="919" spans="1:17" x14ac:dyDescent="0.25">
      <c r="A919" s="990" t="s">
        <v>23</v>
      </c>
      <c r="B919" s="991"/>
      <c r="C919" s="991"/>
      <c r="D919" s="991"/>
      <c r="E919" s="991"/>
      <c r="F919" s="315">
        <v>0</v>
      </c>
      <c r="G919" s="316">
        <v>0</v>
      </c>
      <c r="H919" s="316">
        <f>H890+H894+H908+H918</f>
        <v>796105.60000000009</v>
      </c>
      <c r="I919" s="316">
        <f>SUM(I890+I894+I908)</f>
        <v>724860.6</v>
      </c>
      <c r="J919" s="316">
        <f>J908+J894+J890</f>
        <v>737697.2</v>
      </c>
      <c r="K919" s="317"/>
      <c r="L919" s="317"/>
      <c r="M919" s="317"/>
      <c r="N919" s="317"/>
      <c r="O919" s="317"/>
      <c r="P919" s="317"/>
      <c r="Q919" s="585"/>
    </row>
    <row r="920" spans="1:17" ht="25.5" customHeight="1" x14ac:dyDescent="0.25">
      <c r="A920" s="1041" t="s">
        <v>1311</v>
      </c>
      <c r="B920" s="1042"/>
      <c r="C920" s="1042"/>
      <c r="D920" s="1042"/>
      <c r="E920" s="1042"/>
      <c r="F920" s="1042"/>
      <c r="G920" s="1042"/>
      <c r="H920" s="1042"/>
      <c r="I920" s="1042"/>
      <c r="J920" s="1042"/>
      <c r="K920" s="1042"/>
      <c r="L920" s="1042"/>
      <c r="M920" s="1042"/>
      <c r="N920" s="1042"/>
      <c r="O920" s="1042"/>
      <c r="P920" s="1042"/>
      <c r="Q920" s="1043"/>
    </row>
    <row r="921" spans="1:17" ht="32.25" customHeight="1" x14ac:dyDescent="0.25">
      <c r="A921" s="994">
        <v>66</v>
      </c>
      <c r="B921" s="1044" t="s">
        <v>8</v>
      </c>
      <c r="C921" s="1045"/>
      <c r="D921" s="1046"/>
      <c r="E921" s="1020" t="s">
        <v>1248</v>
      </c>
      <c r="F921" s="1021">
        <f>F923</f>
        <v>8383.6509999999998</v>
      </c>
      <c r="G921" s="1021">
        <f>G923</f>
        <v>67364</v>
      </c>
      <c r="H921" s="1021">
        <f>H923</f>
        <v>944.2</v>
      </c>
      <c r="I921" s="1021">
        <f>I923</f>
        <v>850.9</v>
      </c>
      <c r="J921" s="1021">
        <f>J923</f>
        <v>1090.0999999999999</v>
      </c>
      <c r="K921" s="1095" t="s">
        <v>9</v>
      </c>
      <c r="L921" s="1058" t="s">
        <v>69</v>
      </c>
      <c r="M921" s="1095"/>
      <c r="N921" s="1147"/>
      <c r="O921" s="1147"/>
      <c r="P921" s="1147"/>
      <c r="Q921" s="1148"/>
    </row>
    <row r="922" spans="1:17" ht="57" customHeight="1" x14ac:dyDescent="0.25">
      <c r="A922" s="994"/>
      <c r="B922" s="1044"/>
      <c r="C922" s="1045"/>
      <c r="D922" s="1046"/>
      <c r="E922" s="1020"/>
      <c r="F922" s="1021"/>
      <c r="G922" s="1021"/>
      <c r="H922" s="1021"/>
      <c r="I922" s="1021"/>
      <c r="J922" s="1021"/>
      <c r="K922" s="1095"/>
      <c r="L922" s="1058"/>
      <c r="M922" s="1095"/>
      <c r="N922" s="1147"/>
      <c r="O922" s="1147"/>
      <c r="P922" s="1147"/>
      <c r="Q922" s="1148"/>
    </row>
    <row r="923" spans="1:17" ht="30" x14ac:dyDescent="0.25">
      <c r="A923" s="994"/>
      <c r="B923" s="620"/>
      <c r="C923" s="620" t="s">
        <v>43</v>
      </c>
      <c r="D923" s="639"/>
      <c r="E923" s="621" t="s">
        <v>11</v>
      </c>
      <c r="F923" s="618">
        <v>8383.6509999999998</v>
      </c>
      <c r="G923" s="618">
        <v>67364</v>
      </c>
      <c r="H923" s="618">
        <v>944.2</v>
      </c>
      <c r="I923" s="618">
        <v>850.9</v>
      </c>
      <c r="J923" s="618">
        <v>1090.0999999999999</v>
      </c>
      <c r="K923" s="648"/>
      <c r="L923" s="648"/>
      <c r="M923" s="648"/>
      <c r="N923" s="648"/>
      <c r="O923" s="648"/>
      <c r="P923" s="648"/>
      <c r="Q923" s="649"/>
    </row>
    <row r="924" spans="1:17" ht="85.5" x14ac:dyDescent="0.25">
      <c r="A924" s="994"/>
      <c r="B924" s="650" t="s">
        <v>1051</v>
      </c>
      <c r="C924" s="620"/>
      <c r="D924" s="639"/>
      <c r="E924" s="651" t="s">
        <v>1052</v>
      </c>
      <c r="F924" s="652">
        <f>F925</f>
        <v>80622.035000000003</v>
      </c>
      <c r="G924" s="652">
        <f>G925</f>
        <v>101075.3</v>
      </c>
      <c r="H924" s="652">
        <f>H925</f>
        <v>168281.4</v>
      </c>
      <c r="I924" s="652">
        <f>I925</f>
        <v>168333.3</v>
      </c>
      <c r="J924" s="652">
        <f>J925</f>
        <v>168351.4</v>
      </c>
      <c r="K924" s="641" t="s">
        <v>72</v>
      </c>
      <c r="L924" s="640" t="s">
        <v>14</v>
      </c>
      <c r="M924" s="185"/>
      <c r="N924" s="689" t="s">
        <v>1053</v>
      </c>
      <c r="O924" s="689" t="s">
        <v>1053</v>
      </c>
      <c r="P924" s="689" t="s">
        <v>1053</v>
      </c>
      <c r="Q924" s="690" t="s">
        <v>1053</v>
      </c>
    </row>
    <row r="925" spans="1:17" ht="45" x14ac:dyDescent="0.25">
      <c r="A925" s="994"/>
      <c r="B925" s="620"/>
      <c r="C925" s="620" t="s">
        <v>43</v>
      </c>
      <c r="D925" s="639"/>
      <c r="E925" s="621" t="s">
        <v>1054</v>
      </c>
      <c r="F925" s="618">
        <v>80622.035000000003</v>
      </c>
      <c r="G925" s="618">
        <v>101075.3</v>
      </c>
      <c r="H925" s="618">
        <v>168281.4</v>
      </c>
      <c r="I925" s="618">
        <v>168333.3</v>
      </c>
      <c r="J925" s="618">
        <v>168351.4</v>
      </c>
      <c r="K925" s="641" t="s">
        <v>1055</v>
      </c>
      <c r="L925" s="640" t="s">
        <v>14</v>
      </c>
      <c r="M925" s="641"/>
      <c r="N925" s="642" t="s">
        <v>1053</v>
      </c>
      <c r="O925" s="642" t="s">
        <v>1053</v>
      </c>
      <c r="P925" s="642" t="s">
        <v>1053</v>
      </c>
      <c r="Q925" s="643" t="s">
        <v>1053</v>
      </c>
    </row>
    <row r="926" spans="1:17" x14ac:dyDescent="0.25">
      <c r="A926" s="990" t="s">
        <v>23</v>
      </c>
      <c r="B926" s="991"/>
      <c r="C926" s="991"/>
      <c r="D926" s="991"/>
      <c r="E926" s="991"/>
      <c r="F926" s="305">
        <f>F921+F924</f>
        <v>89005.686000000002</v>
      </c>
      <c r="G926" s="305">
        <f>G921+G924</f>
        <v>168439.3</v>
      </c>
      <c r="H926" s="305">
        <f>H921+H924</f>
        <v>169225.60000000001</v>
      </c>
      <c r="I926" s="305">
        <f>I921+I924</f>
        <v>169184.19999999998</v>
      </c>
      <c r="J926" s="305">
        <f>J921+J924</f>
        <v>169441.5</v>
      </c>
      <c r="K926" s="306"/>
      <c r="L926" s="307"/>
      <c r="M926" s="306"/>
      <c r="N926" s="308"/>
      <c r="O926" s="308"/>
      <c r="P926" s="308"/>
      <c r="Q926" s="581"/>
    </row>
    <row r="927" spans="1:17" ht="28.5" customHeight="1" x14ac:dyDescent="0.25">
      <c r="A927" s="1041" t="s">
        <v>1056</v>
      </c>
      <c r="B927" s="1042"/>
      <c r="C927" s="1042"/>
      <c r="D927" s="1042"/>
      <c r="E927" s="1042"/>
      <c r="F927" s="1042"/>
      <c r="G927" s="1042"/>
      <c r="H927" s="1042"/>
      <c r="I927" s="1042"/>
      <c r="J927" s="1042"/>
      <c r="K927" s="1042"/>
      <c r="L927" s="1042"/>
      <c r="M927" s="1042"/>
      <c r="N927" s="1042"/>
      <c r="O927" s="1042"/>
      <c r="P927" s="1042"/>
      <c r="Q927" s="1043"/>
    </row>
    <row r="928" spans="1:17" ht="63" customHeight="1" x14ac:dyDescent="0.25">
      <c r="A928" s="994">
        <v>68</v>
      </c>
      <c r="B928" s="803" t="s">
        <v>8</v>
      </c>
      <c r="C928" s="795"/>
      <c r="D928" s="795"/>
      <c r="E928" s="804" t="s">
        <v>303</v>
      </c>
      <c r="F928" s="805">
        <f>F929</f>
        <v>2937</v>
      </c>
      <c r="G928" s="805">
        <f>G929</f>
        <v>2937</v>
      </c>
      <c r="H928" s="805">
        <f>H929</f>
        <v>3487</v>
      </c>
      <c r="I928" s="805">
        <f>I929</f>
        <v>3543.9</v>
      </c>
      <c r="J928" s="805">
        <f>J929</f>
        <v>3633.5</v>
      </c>
      <c r="K928" s="802" t="s">
        <v>224</v>
      </c>
      <c r="L928" s="798"/>
      <c r="M928" s="798"/>
      <c r="N928" s="799"/>
      <c r="O928" s="799"/>
      <c r="P928" s="799"/>
      <c r="Q928" s="800"/>
    </row>
    <row r="929" spans="1:17" ht="30" x14ac:dyDescent="0.25">
      <c r="A929" s="994"/>
      <c r="B929" s="620"/>
      <c r="C929" s="620" t="s">
        <v>43</v>
      </c>
      <c r="D929" s="620"/>
      <c r="E929" s="621" t="s">
        <v>11</v>
      </c>
      <c r="F929" s="145">
        <f>2329.6+607.4</f>
        <v>2937</v>
      </c>
      <c r="G929" s="145">
        <f>2329.6+607.4</f>
        <v>2937</v>
      </c>
      <c r="H929" s="145">
        <f>2339.5+597.5+550</f>
        <v>3487</v>
      </c>
      <c r="I929" s="640">
        <f>2993.9+550</f>
        <v>3543.9</v>
      </c>
      <c r="J929" s="640">
        <f>3083.5+550</f>
        <v>3633.5</v>
      </c>
      <c r="K929" s="761" t="s">
        <v>9</v>
      </c>
      <c r="L929" s="801" t="s">
        <v>19</v>
      </c>
      <c r="M929" s="806">
        <v>29</v>
      </c>
      <c r="N929" s="806">
        <v>29</v>
      </c>
      <c r="O929" s="806">
        <v>29</v>
      </c>
      <c r="P929" s="806">
        <v>29</v>
      </c>
      <c r="Q929" s="806">
        <v>29</v>
      </c>
    </row>
    <row r="930" spans="1:17" x14ac:dyDescent="0.25">
      <c r="A930" s="990" t="s">
        <v>23</v>
      </c>
      <c r="B930" s="991"/>
      <c r="C930" s="991"/>
      <c r="D930" s="991"/>
      <c r="E930" s="991"/>
      <c r="F930" s="305">
        <f>F928</f>
        <v>2937</v>
      </c>
      <c r="G930" s="305">
        <f>G928</f>
        <v>2937</v>
      </c>
      <c r="H930" s="305">
        <f>H928</f>
        <v>3487</v>
      </c>
      <c r="I930" s="305">
        <f>I928</f>
        <v>3543.9</v>
      </c>
      <c r="J930" s="305">
        <f>J928</f>
        <v>3633.5</v>
      </c>
      <c r="K930" s="306"/>
      <c r="L930" s="307"/>
      <c r="M930" s="306"/>
      <c r="N930" s="308"/>
      <c r="O930" s="308"/>
      <c r="P930" s="308"/>
      <c r="Q930" s="581"/>
    </row>
    <row r="931" spans="1:17" ht="30.75" customHeight="1" x14ac:dyDescent="0.25">
      <c r="A931" s="1041" t="s">
        <v>1057</v>
      </c>
      <c r="B931" s="1042"/>
      <c r="C931" s="1042"/>
      <c r="D931" s="1042"/>
      <c r="E931" s="1042"/>
      <c r="F931" s="1042"/>
      <c r="G931" s="1042"/>
      <c r="H931" s="1042"/>
      <c r="I931" s="1042"/>
      <c r="J931" s="1042"/>
      <c r="K931" s="1042"/>
      <c r="L931" s="1042"/>
      <c r="M931" s="1042"/>
      <c r="N931" s="1042"/>
      <c r="O931" s="1042"/>
      <c r="P931" s="1042"/>
      <c r="Q931" s="1043"/>
    </row>
    <row r="932" spans="1:17" ht="71.25" customHeight="1" x14ac:dyDescent="0.25">
      <c r="A932" s="994">
        <v>69</v>
      </c>
      <c r="B932" s="463">
        <v>1</v>
      </c>
      <c r="C932" s="683"/>
      <c r="D932" s="625"/>
      <c r="E932" s="691" t="s">
        <v>1249</v>
      </c>
      <c r="F932" s="318">
        <f>F933</f>
        <v>385849.9</v>
      </c>
      <c r="G932" s="318">
        <f>G933</f>
        <v>348861</v>
      </c>
      <c r="H932" s="318">
        <f>SUM(H933:H933)</f>
        <v>451539.6</v>
      </c>
      <c r="I932" s="318">
        <f>SUM(I933:I933)</f>
        <v>464816.1</v>
      </c>
      <c r="J932" s="318">
        <f>SUM(J933:J933)</f>
        <v>478246.9</v>
      </c>
      <c r="K932" s="760" t="s">
        <v>1058</v>
      </c>
      <c r="L932" s="760"/>
      <c r="M932" s="212"/>
      <c r="N932" s="319"/>
      <c r="O932" s="319"/>
      <c r="P932" s="319"/>
      <c r="Q932" s="586"/>
    </row>
    <row r="933" spans="1:17" ht="30" x14ac:dyDescent="0.25">
      <c r="A933" s="994"/>
      <c r="B933" s="463"/>
      <c r="C933" s="320">
        <v>1</v>
      </c>
      <c r="D933" s="762"/>
      <c r="E933" s="761" t="s">
        <v>11</v>
      </c>
      <c r="F933" s="659">
        <f>53320.3+116811.2+215718.4</f>
        <v>385849.9</v>
      </c>
      <c r="G933" s="659">
        <f>46335.2+51285.3+251240.5</f>
        <v>348861</v>
      </c>
      <c r="H933" s="659">
        <f>145299.9+340017.8-33778.1</f>
        <v>451539.6</v>
      </c>
      <c r="I933" s="214">
        <f>143127.6+355466.6-33778.1</f>
        <v>464816.1</v>
      </c>
      <c r="J933" s="214">
        <f>149656.2+362368.8-33778.1</f>
        <v>478246.9</v>
      </c>
      <c r="K933" s="761" t="s">
        <v>9</v>
      </c>
      <c r="L933" s="736" t="s">
        <v>19</v>
      </c>
      <c r="M933" s="410"/>
      <c r="N933" s="618"/>
      <c r="O933" s="618"/>
      <c r="P933" s="618"/>
      <c r="Q933" s="587"/>
    </row>
    <row r="934" spans="1:17" ht="86.25" customHeight="1" x14ac:dyDescent="0.25">
      <c r="A934" s="994"/>
      <c r="B934" s="463">
        <v>692</v>
      </c>
      <c r="C934" s="683"/>
      <c r="D934" s="625"/>
      <c r="E934" s="651" t="s">
        <v>1250</v>
      </c>
      <c r="F934" s="318">
        <v>610361.19999999995</v>
      </c>
      <c r="G934" s="318">
        <v>39487</v>
      </c>
      <c r="H934" s="318">
        <f>SUM(H935:H935)</f>
        <v>33778.1</v>
      </c>
      <c r="I934" s="318">
        <f>SUM(I935:I935)</f>
        <v>33778.1</v>
      </c>
      <c r="J934" s="318">
        <f>SUM(J935:J935)</f>
        <v>33778.1</v>
      </c>
      <c r="K934" s="256" t="s">
        <v>1059</v>
      </c>
      <c r="L934" s="321"/>
      <c r="M934" s="322"/>
      <c r="N934" s="322"/>
      <c r="O934" s="323"/>
      <c r="P934" s="323"/>
      <c r="Q934" s="588"/>
    </row>
    <row r="935" spans="1:17" ht="45" x14ac:dyDescent="0.25">
      <c r="A935" s="994"/>
      <c r="B935" s="463"/>
      <c r="C935" s="320">
        <v>1</v>
      </c>
      <c r="D935" s="762"/>
      <c r="E935" s="673" t="s">
        <v>1060</v>
      </c>
      <c r="F935" s="618">
        <v>39487</v>
      </c>
      <c r="G935" s="618">
        <v>33778.1</v>
      </c>
      <c r="H935" s="618">
        <v>33778.1</v>
      </c>
      <c r="I935" s="618">
        <v>33778.1</v>
      </c>
      <c r="J935" s="618">
        <v>33778.1</v>
      </c>
      <c r="K935" s="761" t="s">
        <v>1061</v>
      </c>
      <c r="L935" s="321" t="s">
        <v>14</v>
      </c>
      <c r="M935" s="637"/>
      <c r="N935" s="637"/>
      <c r="O935" s="637"/>
      <c r="P935" s="637"/>
      <c r="Q935" s="638"/>
    </row>
    <row r="936" spans="1:17" ht="113.25" customHeight="1" x14ac:dyDescent="0.25">
      <c r="A936" s="994"/>
      <c r="B936" s="463">
        <v>693</v>
      </c>
      <c r="C936" s="683"/>
      <c r="D936" s="650"/>
      <c r="E936" s="744" t="s">
        <v>1251</v>
      </c>
      <c r="F936" s="652">
        <v>104076.6</v>
      </c>
      <c r="G936" s="652">
        <v>256297.2</v>
      </c>
      <c r="H936" s="652">
        <f>SUM(H937:H939)</f>
        <v>212969.5</v>
      </c>
      <c r="I936" s="652">
        <f>SUM(I937:I939)</f>
        <v>218329.5</v>
      </c>
      <c r="J936" s="652">
        <f>SUM(J937:J939)</f>
        <v>218339.5</v>
      </c>
      <c r="K936" s="651" t="s">
        <v>1062</v>
      </c>
      <c r="L936" s="688" t="s">
        <v>19</v>
      </c>
      <c r="M936" s="688">
        <v>98.8</v>
      </c>
      <c r="N936" s="688">
        <v>98.9</v>
      </c>
      <c r="O936" s="168">
        <v>99</v>
      </c>
      <c r="P936" s="688">
        <v>99.1</v>
      </c>
      <c r="Q936" s="730">
        <v>99.2</v>
      </c>
    </row>
    <row r="937" spans="1:17" ht="38.25" customHeight="1" x14ac:dyDescent="0.25">
      <c r="A937" s="994"/>
      <c r="B937" s="463"/>
      <c r="C937" s="320">
        <v>1</v>
      </c>
      <c r="D937" s="620"/>
      <c r="E937" s="213" t="s">
        <v>1063</v>
      </c>
      <c r="F937" s="214">
        <v>71684.100000000006</v>
      </c>
      <c r="G937" s="214">
        <v>63692.4</v>
      </c>
      <c r="H937" s="214">
        <v>66169.5</v>
      </c>
      <c r="I937" s="214">
        <v>75519.5</v>
      </c>
      <c r="J937" s="214">
        <f>I937</f>
        <v>75519.5</v>
      </c>
      <c r="K937" s="213" t="s">
        <v>1064</v>
      </c>
      <c r="L937" s="410" t="s">
        <v>17</v>
      </c>
      <c r="M937" s="410">
        <v>323</v>
      </c>
      <c r="N937" s="324" t="s">
        <v>1065</v>
      </c>
      <c r="O937" s="324" t="s">
        <v>1066</v>
      </c>
      <c r="P937" s="620" t="s">
        <v>1067</v>
      </c>
      <c r="Q937" s="589" t="s">
        <v>496</v>
      </c>
    </row>
    <row r="938" spans="1:17" ht="30" x14ac:dyDescent="0.25">
      <c r="A938" s="994"/>
      <c r="B938" s="463"/>
      <c r="C938" s="320">
        <v>4</v>
      </c>
      <c r="D938" s="620"/>
      <c r="E938" s="621" t="s">
        <v>1068</v>
      </c>
      <c r="F938" s="214">
        <v>5100</v>
      </c>
      <c r="G938" s="214">
        <v>2500</v>
      </c>
      <c r="H938" s="214">
        <v>1800</v>
      </c>
      <c r="I938" s="214">
        <v>1810</v>
      </c>
      <c r="J938" s="214">
        <v>1820</v>
      </c>
      <c r="K938" s="761" t="s">
        <v>1069</v>
      </c>
      <c r="L938" s="677" t="s">
        <v>17</v>
      </c>
      <c r="M938" s="677">
        <v>450</v>
      </c>
      <c r="N938" s="677">
        <v>460</v>
      </c>
      <c r="O938" s="247">
        <v>290</v>
      </c>
      <c r="P938" s="683">
        <v>295</v>
      </c>
      <c r="Q938" s="486">
        <v>300</v>
      </c>
    </row>
    <row r="939" spans="1:17" ht="60" customHeight="1" x14ac:dyDescent="0.25">
      <c r="A939" s="994"/>
      <c r="B939" s="463"/>
      <c r="C939" s="320">
        <v>5</v>
      </c>
      <c r="D939" s="620"/>
      <c r="E939" s="621" t="s">
        <v>1070</v>
      </c>
      <c r="F939" s="214">
        <v>148500</v>
      </c>
      <c r="G939" s="214">
        <v>74300</v>
      </c>
      <c r="H939" s="214">
        <v>145000</v>
      </c>
      <c r="I939" s="214">
        <v>141000</v>
      </c>
      <c r="J939" s="214">
        <v>141000</v>
      </c>
      <c r="K939" s="761" t="s">
        <v>1071</v>
      </c>
      <c r="L939" s="410" t="s">
        <v>17</v>
      </c>
      <c r="M939" s="677">
        <v>24071</v>
      </c>
      <c r="N939" s="677">
        <v>25747</v>
      </c>
      <c r="O939" s="247">
        <v>25747</v>
      </c>
      <c r="P939" s="683">
        <v>25262</v>
      </c>
      <c r="Q939" s="486">
        <v>25585</v>
      </c>
    </row>
    <row r="940" spans="1:17" ht="28.5" x14ac:dyDescent="0.25">
      <c r="A940" s="994"/>
      <c r="B940" s="463">
        <v>694</v>
      </c>
      <c r="C940" s="683"/>
      <c r="D940" s="650"/>
      <c r="E940" s="744" t="s">
        <v>1072</v>
      </c>
      <c r="F940" s="325">
        <v>262556.7</v>
      </c>
      <c r="G940" s="325">
        <f>164299.2+158523.4</f>
        <v>322822.59999999998</v>
      </c>
      <c r="H940" s="325">
        <f>166716.9+208883.7</f>
        <v>375600.6</v>
      </c>
      <c r="I940" s="325">
        <f>166716.9+216082</f>
        <v>382798.9</v>
      </c>
      <c r="J940" s="325">
        <f>171715.7+220278</f>
        <v>391993.7</v>
      </c>
      <c r="K940" s="738" t="s">
        <v>1073</v>
      </c>
      <c r="L940" s="326"/>
      <c r="M940" s="731"/>
      <c r="N940" s="731"/>
      <c r="O940" s="327"/>
      <c r="P940" s="706"/>
      <c r="Q940" s="533"/>
    </row>
    <row r="941" spans="1:17" x14ac:dyDescent="0.25">
      <c r="A941" s="994"/>
      <c r="B941" s="463"/>
      <c r="C941" s="320">
        <v>1</v>
      </c>
      <c r="D941" s="620"/>
      <c r="E941" s="213" t="s">
        <v>1074</v>
      </c>
      <c r="F941" s="214">
        <f>F940*70%</f>
        <v>183789.69</v>
      </c>
      <c r="G941" s="214">
        <f>G940*70%</f>
        <v>225975.81999999998</v>
      </c>
      <c r="H941" s="214">
        <f>H940*70%</f>
        <v>262920.42</v>
      </c>
      <c r="I941" s="214">
        <f>I940*70%</f>
        <v>267959.23</v>
      </c>
      <c r="J941" s="214">
        <f>J940*70%</f>
        <v>274395.58999999997</v>
      </c>
      <c r="K941" s="761" t="s">
        <v>1075</v>
      </c>
      <c r="L941" s="677" t="s">
        <v>1076</v>
      </c>
      <c r="M941" s="96">
        <v>825</v>
      </c>
      <c r="N941" s="95">
        <v>907.5</v>
      </c>
      <c r="O941" s="95">
        <v>998</v>
      </c>
      <c r="P941" s="95">
        <v>998</v>
      </c>
      <c r="Q941" s="539">
        <v>998</v>
      </c>
    </row>
    <row r="942" spans="1:17" ht="30" x14ac:dyDescent="0.25">
      <c r="A942" s="994"/>
      <c r="B942" s="463"/>
      <c r="C942" s="320">
        <v>2</v>
      </c>
      <c r="D942" s="620"/>
      <c r="E942" s="621" t="s">
        <v>1077</v>
      </c>
      <c r="F942" s="214">
        <f>F940*30%</f>
        <v>78767.009999999995</v>
      </c>
      <c r="G942" s="214">
        <f>G940*30%</f>
        <v>96846.779999999984</v>
      </c>
      <c r="H942" s="214">
        <f>H940*30%</f>
        <v>112680.18</v>
      </c>
      <c r="I942" s="214">
        <f>I940*30%</f>
        <v>114839.67</v>
      </c>
      <c r="J942" s="214">
        <f>J940*30%</f>
        <v>117598.11</v>
      </c>
      <c r="K942" s="761" t="s">
        <v>1078</v>
      </c>
      <c r="L942" s="410" t="s">
        <v>1076</v>
      </c>
      <c r="M942" s="96">
        <v>426.6</v>
      </c>
      <c r="N942" s="95">
        <v>450</v>
      </c>
      <c r="O942" s="95">
        <v>450</v>
      </c>
      <c r="P942" s="95">
        <v>450</v>
      </c>
      <c r="Q942" s="539">
        <v>450</v>
      </c>
    </row>
    <row r="943" spans="1:17" ht="28.5" x14ac:dyDescent="0.25">
      <c r="A943" s="994"/>
      <c r="B943" s="463">
        <v>695</v>
      </c>
      <c r="C943" s="320"/>
      <c r="D943" s="650"/>
      <c r="E943" s="744" t="s">
        <v>1079</v>
      </c>
      <c r="F943" s="325">
        <v>54902.1</v>
      </c>
      <c r="G943" s="325">
        <f>188805.1+1220.3</f>
        <v>190025.4</v>
      </c>
      <c r="H943" s="325">
        <f>186552.3+1524.2</f>
        <v>188076.5</v>
      </c>
      <c r="I943" s="325">
        <f>203550.6+1524.2</f>
        <v>205074.80000000002</v>
      </c>
      <c r="J943" s="325">
        <f>221132.8+1569.9</f>
        <v>222702.69999999998</v>
      </c>
      <c r="K943" s="738" t="s">
        <v>1073</v>
      </c>
      <c r="L943" s="410"/>
      <c r="M943" s="677"/>
      <c r="N943" s="677"/>
      <c r="O943" s="247"/>
      <c r="P943" s="683"/>
      <c r="Q943" s="486"/>
    </row>
    <row r="944" spans="1:17" x14ac:dyDescent="0.25">
      <c r="A944" s="994"/>
      <c r="B944" s="463"/>
      <c r="C944" s="320">
        <v>1</v>
      </c>
      <c r="D944" s="620"/>
      <c r="E944" s="213" t="s">
        <v>1080</v>
      </c>
      <c r="F944" s="214">
        <f>F943*53%</f>
        <v>29098.113000000001</v>
      </c>
      <c r="G944" s="214">
        <f>G943*47%</f>
        <v>89311.937999999995</v>
      </c>
      <c r="H944" s="214">
        <f>H943*47%</f>
        <v>88395.955000000002</v>
      </c>
      <c r="I944" s="214">
        <f>I943*47%</f>
        <v>96385.156000000003</v>
      </c>
      <c r="J944" s="214">
        <f>J943*47%</f>
        <v>104670.26899999999</v>
      </c>
      <c r="K944" s="761" t="s">
        <v>1081</v>
      </c>
      <c r="L944" s="677" t="s">
        <v>14</v>
      </c>
      <c r="M944" s="96">
        <v>196808</v>
      </c>
      <c r="N944" s="96">
        <v>221803</v>
      </c>
      <c r="O944" s="260">
        <v>226239</v>
      </c>
      <c r="P944" s="165">
        <v>230764</v>
      </c>
      <c r="Q944" s="542">
        <v>235379.50440021392</v>
      </c>
    </row>
    <row r="945" spans="1:17" ht="26.25" customHeight="1" x14ac:dyDescent="0.25">
      <c r="A945" s="994"/>
      <c r="B945" s="463"/>
      <c r="C945" s="320">
        <v>2</v>
      </c>
      <c r="D945" s="620"/>
      <c r="E945" s="621" t="s">
        <v>1082</v>
      </c>
      <c r="F945" s="214">
        <f>F943*47%</f>
        <v>25803.986999999997</v>
      </c>
      <c r="G945" s="214">
        <f>G943*53%</f>
        <v>100713.462</v>
      </c>
      <c r="H945" s="214">
        <f>H943*53%</f>
        <v>99680.544999999998</v>
      </c>
      <c r="I945" s="214">
        <f>I943*53%</f>
        <v>108689.64400000001</v>
      </c>
      <c r="J945" s="214">
        <f>J943*53%</f>
        <v>118032.431</v>
      </c>
      <c r="K945" s="761" t="s">
        <v>1083</v>
      </c>
      <c r="L945" s="410" t="s">
        <v>17</v>
      </c>
      <c r="M945" s="96">
        <v>157592</v>
      </c>
      <c r="N945" s="96">
        <v>185764</v>
      </c>
      <c r="O945" s="260">
        <v>189479</v>
      </c>
      <c r="P945" s="165">
        <v>193268</v>
      </c>
      <c r="Q945" s="542">
        <v>197132.76840177539</v>
      </c>
    </row>
    <row r="946" spans="1:17" ht="63" customHeight="1" x14ac:dyDescent="0.25">
      <c r="A946" s="994"/>
      <c r="B946" s="463">
        <v>696</v>
      </c>
      <c r="C946" s="683"/>
      <c r="D946" s="650"/>
      <c r="E946" s="651" t="s">
        <v>1084</v>
      </c>
      <c r="F946" s="685">
        <f>F947+F948</f>
        <v>214969.19999999998</v>
      </c>
      <c r="G946" s="652">
        <f>SUM(G947:G948)</f>
        <v>228839.6</v>
      </c>
      <c r="H946" s="652">
        <f>SUM(H947:H948)</f>
        <v>225040.6</v>
      </c>
      <c r="I946" s="652">
        <f>SUM(I947:I948)</f>
        <v>229076.5</v>
      </c>
      <c r="J946" s="652">
        <f>SUM(J947:J948)-0.1</f>
        <v>235144</v>
      </c>
      <c r="K946" s="271" t="s">
        <v>1085</v>
      </c>
      <c r="L946" s="272" t="s">
        <v>1086</v>
      </c>
      <c r="M946" s="731">
        <f>M947+M948</f>
        <v>111315</v>
      </c>
      <c r="N946" s="731">
        <f>N947+N948</f>
        <v>83313</v>
      </c>
      <c r="O946" s="731">
        <f>O947+O948</f>
        <v>83313</v>
      </c>
      <c r="P946" s="328">
        <f>P947+P948</f>
        <v>84979.26</v>
      </c>
      <c r="Q946" s="590">
        <f>Q947+Q948</f>
        <v>87528.637799999997</v>
      </c>
    </row>
    <row r="947" spans="1:17" ht="30" x14ac:dyDescent="0.25">
      <c r="A947" s="994"/>
      <c r="B947" s="463"/>
      <c r="C947" s="320">
        <v>1</v>
      </c>
      <c r="D947" s="620"/>
      <c r="E947" s="329" t="s">
        <v>1087</v>
      </c>
      <c r="F947" s="464">
        <v>213934.9</v>
      </c>
      <c r="G947" s="733">
        <f>227598.6</f>
        <v>227598.6</v>
      </c>
      <c r="H947" s="733">
        <v>223761.2</v>
      </c>
      <c r="I947" s="733">
        <f>227541.4+0.1</f>
        <v>227541.5</v>
      </c>
      <c r="J947" s="733">
        <f>233302.1</f>
        <v>233302.1</v>
      </c>
      <c r="K947" s="236" t="s">
        <v>1088</v>
      </c>
      <c r="L947" s="272" t="s">
        <v>1089</v>
      </c>
      <c r="M947" s="677">
        <f>107614</f>
        <v>107614</v>
      </c>
      <c r="N947" s="644">
        <v>78134</v>
      </c>
      <c r="O947" s="644">
        <v>78134</v>
      </c>
      <c r="P947" s="644">
        <f>O947*102/100</f>
        <v>79696.679999999993</v>
      </c>
      <c r="Q947" s="645">
        <f>P947*103/100</f>
        <v>82087.580399999992</v>
      </c>
    </row>
    <row r="948" spans="1:17" ht="30" x14ac:dyDescent="0.25">
      <c r="A948" s="994"/>
      <c r="B948" s="463"/>
      <c r="C948" s="320">
        <v>2</v>
      </c>
      <c r="D948" s="620"/>
      <c r="E948" s="91" t="s">
        <v>1090</v>
      </c>
      <c r="F948" s="464">
        <v>1034.3</v>
      </c>
      <c r="G948" s="733">
        <v>1241</v>
      </c>
      <c r="H948" s="733">
        <v>1279.4000000000001</v>
      </c>
      <c r="I948" s="733">
        <f>1535</f>
        <v>1535</v>
      </c>
      <c r="J948" s="733">
        <f>1842</f>
        <v>1842</v>
      </c>
      <c r="K948" s="236" t="s">
        <v>1091</v>
      </c>
      <c r="L948" s="272" t="s">
        <v>1086</v>
      </c>
      <c r="M948" s="677">
        <v>3701</v>
      </c>
      <c r="N948" s="644">
        <v>5179</v>
      </c>
      <c r="O948" s="644">
        <v>5179</v>
      </c>
      <c r="P948" s="644">
        <f>O948*102/100</f>
        <v>5282.58</v>
      </c>
      <c r="Q948" s="645">
        <f>P948*103/100</f>
        <v>5441.0573999999997</v>
      </c>
    </row>
    <row r="949" spans="1:17" ht="28.5" x14ac:dyDescent="0.25">
      <c r="A949" s="994"/>
      <c r="B949" s="463">
        <v>694</v>
      </c>
      <c r="C949" s="320"/>
      <c r="D949" s="650"/>
      <c r="E949" s="651" t="s">
        <v>1447</v>
      </c>
      <c r="F949" s="652">
        <v>727679</v>
      </c>
      <c r="G949" s="652">
        <v>423000</v>
      </c>
      <c r="H949" s="652">
        <f>H950</f>
        <v>0</v>
      </c>
      <c r="I949" s="652">
        <f>I950</f>
        <v>0</v>
      </c>
      <c r="J949" s="652">
        <f>J950</f>
        <v>0</v>
      </c>
      <c r="K949" s="684"/>
      <c r="L949" s="688"/>
      <c r="M949" s="688"/>
      <c r="N949" s="688"/>
      <c r="O949" s="688"/>
      <c r="P949" s="688"/>
      <c r="Q949" s="730"/>
    </row>
    <row r="950" spans="1:17" ht="30" x14ac:dyDescent="0.25">
      <c r="A950" s="994"/>
      <c r="B950" s="463"/>
      <c r="C950" s="320">
        <v>1</v>
      </c>
      <c r="D950" s="620"/>
      <c r="E950" s="621" t="s">
        <v>1431</v>
      </c>
      <c r="F950" s="618">
        <v>423000</v>
      </c>
      <c r="G950" s="618">
        <v>630400</v>
      </c>
      <c r="H950" s="618"/>
      <c r="I950" s="618"/>
      <c r="J950" s="618"/>
      <c r="K950" s="684"/>
      <c r="L950" s="640" t="s">
        <v>1053</v>
      </c>
      <c r="M950" s="688"/>
      <c r="N950" s="688"/>
      <c r="O950" s="688"/>
      <c r="P950" s="688"/>
      <c r="Q950" s="730"/>
    </row>
    <row r="951" spans="1:17" x14ac:dyDescent="0.25">
      <c r="A951" s="1052" t="s">
        <v>23</v>
      </c>
      <c r="B951" s="1053"/>
      <c r="C951" s="1053"/>
      <c r="D951" s="1053"/>
      <c r="E951" s="1053"/>
      <c r="F951" s="331">
        <f>F932+F934+F936+F949</f>
        <v>1827966.7</v>
      </c>
      <c r="G951" s="331">
        <f>G932+G934+G936+G949</f>
        <v>1067645.2</v>
      </c>
      <c r="H951" s="331">
        <f>H932+H934+H936+H940+H943+H946+H949</f>
        <v>1487004.9</v>
      </c>
      <c r="I951" s="331">
        <f>I932+I934+I936+I940+I943+I946+I949</f>
        <v>1533873.9000000001</v>
      </c>
      <c r="J951" s="331">
        <f>J932+J934+J936+J940+J943+J946+J949</f>
        <v>1580204.9</v>
      </c>
      <c r="K951" s="332"/>
      <c r="L951" s="330"/>
      <c r="M951" s="330"/>
      <c r="N951" s="330"/>
      <c r="O951" s="330"/>
      <c r="P951" s="330"/>
      <c r="Q951" s="591"/>
    </row>
    <row r="952" spans="1:17" ht="30.75" customHeight="1" x14ac:dyDescent="0.25">
      <c r="A952" s="1041" t="s">
        <v>1092</v>
      </c>
      <c r="B952" s="1042"/>
      <c r="C952" s="1042"/>
      <c r="D952" s="1042"/>
      <c r="E952" s="1042"/>
      <c r="F952" s="1042"/>
      <c r="G952" s="1042"/>
      <c r="H952" s="1042"/>
      <c r="I952" s="1042"/>
      <c r="J952" s="1042"/>
      <c r="K952" s="1042"/>
      <c r="L952" s="1042"/>
      <c r="M952" s="1042"/>
      <c r="N952" s="1042"/>
      <c r="O952" s="1042"/>
      <c r="P952" s="1042"/>
      <c r="Q952" s="1043"/>
    </row>
    <row r="953" spans="1:17" ht="67.5" customHeight="1" x14ac:dyDescent="0.25">
      <c r="A953" s="994">
        <v>70</v>
      </c>
      <c r="B953" s="463">
        <v>1</v>
      </c>
      <c r="C953" s="683"/>
      <c r="D953" s="706"/>
      <c r="E953" s="24" t="s">
        <v>1246</v>
      </c>
      <c r="F953" s="731">
        <f>F954</f>
        <v>3010.1</v>
      </c>
      <c r="G953" s="731">
        <f>G954</f>
        <v>3010.1</v>
      </c>
      <c r="H953" s="731">
        <v>4461.3</v>
      </c>
      <c r="I953" s="121">
        <f>I954</f>
        <v>4461.3</v>
      </c>
      <c r="J953" s="731">
        <v>4461.3</v>
      </c>
      <c r="K953" s="684" t="s">
        <v>224</v>
      </c>
      <c r="L953" s="731" t="s">
        <v>19</v>
      </c>
      <c r="M953" s="731">
        <v>20</v>
      </c>
      <c r="N953" s="731">
        <v>20</v>
      </c>
      <c r="O953" s="731">
        <v>20</v>
      </c>
      <c r="P953" s="731">
        <v>20</v>
      </c>
      <c r="Q953" s="732">
        <v>20</v>
      </c>
    </row>
    <row r="954" spans="1:17" ht="47.25" customHeight="1" x14ac:dyDescent="0.25">
      <c r="A954" s="994"/>
      <c r="B954" s="463"/>
      <c r="C954" s="320">
        <v>1</v>
      </c>
      <c r="D954" s="683"/>
      <c r="E954" s="333" t="s">
        <v>11</v>
      </c>
      <c r="F954" s="677">
        <v>3010.1</v>
      </c>
      <c r="G954" s="677">
        <v>3010.1</v>
      </c>
      <c r="H954" s="677">
        <f>4461.3+278.9</f>
        <v>4740.2</v>
      </c>
      <c r="I954" s="96">
        <f>4261.3+200</f>
        <v>4461.3</v>
      </c>
      <c r="J954" s="677">
        <v>4461.3</v>
      </c>
      <c r="K954" s="673" t="s">
        <v>1093</v>
      </c>
      <c r="L954" s="677" t="s">
        <v>19</v>
      </c>
      <c r="M954" s="731">
        <v>100</v>
      </c>
      <c r="N954" s="731">
        <v>100</v>
      </c>
      <c r="O954" s="731">
        <v>100</v>
      </c>
      <c r="P954" s="731">
        <v>100</v>
      </c>
      <c r="Q954" s="732">
        <v>100</v>
      </c>
    </row>
    <row r="955" spans="1:17" ht="112.5" customHeight="1" x14ac:dyDescent="0.25">
      <c r="A955" s="994"/>
      <c r="B955" s="463">
        <v>702</v>
      </c>
      <c r="C955" s="320"/>
      <c r="D955" s="683"/>
      <c r="E955" s="283" t="s">
        <v>1094</v>
      </c>
      <c r="F955" s="731">
        <f>F956</f>
        <v>11380</v>
      </c>
      <c r="G955" s="731">
        <f>G956</f>
        <v>11380</v>
      </c>
      <c r="H955" s="731">
        <f>H956</f>
        <v>9928.7999999999993</v>
      </c>
      <c r="I955" s="731">
        <v>10207.700000000001</v>
      </c>
      <c r="J955" s="731">
        <v>10646.5</v>
      </c>
      <c r="K955" s="648" t="s">
        <v>1095</v>
      </c>
      <c r="L955" s="648"/>
      <c r="M955" s="731">
        <v>30</v>
      </c>
      <c r="N955" s="731">
        <v>30</v>
      </c>
      <c r="O955" s="731">
        <v>30</v>
      </c>
      <c r="P955" s="731">
        <v>30</v>
      </c>
      <c r="Q955" s="732">
        <v>30</v>
      </c>
    </row>
    <row r="956" spans="1:17" ht="103.5" customHeight="1" x14ac:dyDescent="0.25">
      <c r="A956" s="994"/>
      <c r="B956" s="465"/>
      <c r="C956" s="320">
        <v>1</v>
      </c>
      <c r="D956" s="683"/>
      <c r="E956" s="669" t="s">
        <v>1096</v>
      </c>
      <c r="F956" s="677">
        <v>11380</v>
      </c>
      <c r="G956" s="677">
        <v>11380</v>
      </c>
      <c r="H956" s="677">
        <v>9928.7999999999993</v>
      </c>
      <c r="I956" s="677">
        <v>10407.728999999999</v>
      </c>
      <c r="J956" s="677">
        <v>10646.5</v>
      </c>
      <c r="K956" s="648" t="s">
        <v>1286</v>
      </c>
      <c r="L956" s="648"/>
      <c r="M956" s="731">
        <v>30</v>
      </c>
      <c r="N956" s="731">
        <v>30</v>
      </c>
      <c r="O956" s="731">
        <v>30</v>
      </c>
      <c r="P956" s="731">
        <v>30</v>
      </c>
      <c r="Q956" s="732">
        <v>30</v>
      </c>
    </row>
    <row r="957" spans="1:17" x14ac:dyDescent="0.25">
      <c r="A957" s="990" t="s">
        <v>23</v>
      </c>
      <c r="B957" s="991"/>
      <c r="C957" s="991"/>
      <c r="D957" s="991"/>
      <c r="E957" s="991"/>
      <c r="F957" s="268">
        <f>F953+F955</f>
        <v>14390.1</v>
      </c>
      <c r="G957" s="268">
        <f>G953+G955</f>
        <v>14390.1</v>
      </c>
      <c r="H957" s="268">
        <f>H953+H955</f>
        <v>14390.099999999999</v>
      </c>
      <c r="I957" s="268">
        <f>I953+I955</f>
        <v>14669</v>
      </c>
      <c r="J957" s="268">
        <f>J953+J955</f>
        <v>15107.8</v>
      </c>
      <c r="K957" s="82"/>
      <c r="L957" s="1063"/>
      <c r="M957" s="1063"/>
      <c r="N957" s="1063"/>
      <c r="O957" s="1063"/>
      <c r="P957" s="1063"/>
      <c r="Q957" s="1064"/>
    </row>
    <row r="958" spans="1:17" ht="26.25" customHeight="1" x14ac:dyDescent="0.25">
      <c r="A958" s="1041" t="s">
        <v>1289</v>
      </c>
      <c r="B958" s="1042"/>
      <c r="C958" s="1042"/>
      <c r="D958" s="1042"/>
      <c r="E958" s="1042"/>
      <c r="F958" s="1042"/>
      <c r="G958" s="1042"/>
      <c r="H958" s="1042"/>
      <c r="I958" s="1042"/>
      <c r="J958" s="1042"/>
      <c r="K958" s="1042"/>
      <c r="L958" s="1042"/>
      <c r="M958" s="1042"/>
      <c r="N958" s="1042"/>
      <c r="O958" s="1042"/>
      <c r="P958" s="1042"/>
      <c r="Q958" s="1043"/>
    </row>
    <row r="959" spans="1:17" ht="28.5" x14ac:dyDescent="0.25">
      <c r="A959" s="994">
        <v>71</v>
      </c>
      <c r="B959" s="463">
        <v>1</v>
      </c>
      <c r="C959" s="466"/>
      <c r="D959" s="135"/>
      <c r="E959" s="24" t="s">
        <v>1097</v>
      </c>
      <c r="F959" s="685">
        <f>F960</f>
        <v>20795.3</v>
      </c>
      <c r="G959" s="685">
        <f>G960</f>
        <v>21223.7</v>
      </c>
      <c r="H959" s="685">
        <f>H960</f>
        <v>20909.5</v>
      </c>
      <c r="I959" s="686">
        <f>I960</f>
        <v>21090.28</v>
      </c>
      <c r="J959" s="686">
        <f>J960</f>
        <v>21510.959999999999</v>
      </c>
      <c r="K959" s="684" t="s">
        <v>1098</v>
      </c>
      <c r="L959" s="731" t="s">
        <v>19</v>
      </c>
      <c r="M959" s="731">
        <v>100</v>
      </c>
      <c r="N959" s="731">
        <v>100</v>
      </c>
      <c r="O959" s="731">
        <v>100</v>
      </c>
      <c r="P959" s="731">
        <v>100</v>
      </c>
      <c r="Q959" s="732">
        <v>100</v>
      </c>
    </row>
    <row r="960" spans="1:17" ht="30" x14ac:dyDescent="0.25">
      <c r="A960" s="994"/>
      <c r="B960" s="467"/>
      <c r="C960" s="682" t="s">
        <v>43</v>
      </c>
      <c r="D960" s="276"/>
      <c r="E960" s="289" t="s">
        <v>1099</v>
      </c>
      <c r="F960" s="619">
        <v>20795.3</v>
      </c>
      <c r="G960" s="619">
        <v>21223.7</v>
      </c>
      <c r="H960" s="677">
        <v>20909.5</v>
      </c>
      <c r="I960" s="677">
        <v>21090.28</v>
      </c>
      <c r="J960" s="468">
        <v>21510.959999999999</v>
      </c>
      <c r="K960" s="673" t="s">
        <v>1098</v>
      </c>
      <c r="L960" s="677" t="s">
        <v>19</v>
      </c>
      <c r="M960" s="677">
        <v>100</v>
      </c>
      <c r="N960" s="677">
        <v>100</v>
      </c>
      <c r="O960" s="677">
        <v>100</v>
      </c>
      <c r="P960" s="677">
        <v>100</v>
      </c>
      <c r="Q960" s="680">
        <v>100</v>
      </c>
    </row>
    <row r="961" spans="1:17" x14ac:dyDescent="0.25">
      <c r="A961" s="994"/>
      <c r="B961" s="1139" t="s">
        <v>1100</v>
      </c>
      <c r="C961" s="1140"/>
      <c r="D961" s="1141"/>
      <c r="E961" s="1142" t="s">
        <v>1101</v>
      </c>
      <c r="F961" s="1143">
        <f>F964+F967+F970</f>
        <v>15288.699999999999</v>
      </c>
      <c r="G961" s="1143">
        <f>G964+G967+G970</f>
        <v>14860.3</v>
      </c>
      <c r="H961" s="1143">
        <f>H964+H967+H970</f>
        <v>15174.5</v>
      </c>
      <c r="I961" s="1144">
        <f>I964+I967+I970</f>
        <v>15693.15</v>
      </c>
      <c r="J961" s="1144">
        <f>J964+J967+J970</f>
        <v>16372.8</v>
      </c>
      <c r="K961" s="1142" t="s">
        <v>1102</v>
      </c>
      <c r="L961" s="1145" t="s">
        <v>715</v>
      </c>
      <c r="M961" s="1143">
        <v>168458.6</v>
      </c>
      <c r="N961" s="1143">
        <v>177300.4</v>
      </c>
      <c r="O961" s="1143">
        <v>178000</v>
      </c>
      <c r="P961" s="1143">
        <v>179000</v>
      </c>
      <c r="Q961" s="1146">
        <v>180000</v>
      </c>
    </row>
    <row r="962" spans="1:17" x14ac:dyDescent="0.25">
      <c r="A962" s="994"/>
      <c r="B962" s="1139"/>
      <c r="C962" s="1140"/>
      <c r="D962" s="1141"/>
      <c r="E962" s="1142"/>
      <c r="F962" s="1143"/>
      <c r="G962" s="1143"/>
      <c r="H962" s="1143"/>
      <c r="I962" s="1144"/>
      <c r="J962" s="1144"/>
      <c r="K962" s="1142"/>
      <c r="L962" s="1145"/>
      <c r="M962" s="1143"/>
      <c r="N962" s="1143"/>
      <c r="O962" s="1143"/>
      <c r="P962" s="1143"/>
      <c r="Q962" s="1146"/>
    </row>
    <row r="963" spans="1:17" ht="44.25" customHeight="1" x14ac:dyDescent="0.25">
      <c r="A963" s="994"/>
      <c r="B963" s="1139"/>
      <c r="C963" s="1140"/>
      <c r="D963" s="1141"/>
      <c r="E963" s="1142"/>
      <c r="F963" s="1143"/>
      <c r="G963" s="1143"/>
      <c r="H963" s="1143"/>
      <c r="I963" s="1144"/>
      <c r="J963" s="1144"/>
      <c r="K963" s="1142"/>
      <c r="L963" s="1145"/>
      <c r="M963" s="1143"/>
      <c r="N963" s="1143"/>
      <c r="O963" s="1143"/>
      <c r="P963" s="1143"/>
      <c r="Q963" s="1146"/>
    </row>
    <row r="964" spans="1:17" ht="60" x14ac:dyDescent="0.25">
      <c r="A964" s="994"/>
      <c r="B964" s="1034"/>
      <c r="C964" s="1034" t="s">
        <v>43</v>
      </c>
      <c r="D964" s="1034"/>
      <c r="E964" s="1025" t="s">
        <v>1103</v>
      </c>
      <c r="F964" s="1035">
        <f>5500+726.4+1500+205+125+270.8+115.3+0.4</f>
        <v>8442.8999999999978</v>
      </c>
      <c r="G964" s="1035">
        <v>8373</v>
      </c>
      <c r="H964" s="1035">
        <v>3151.6</v>
      </c>
      <c r="I964" s="1035">
        <v>2907.3</v>
      </c>
      <c r="J964" s="1072">
        <v>3426.6</v>
      </c>
      <c r="K964" s="648" t="s">
        <v>1104</v>
      </c>
      <c r="L964" s="677" t="s">
        <v>495</v>
      </c>
      <c r="M964" s="677">
        <v>6</v>
      </c>
      <c r="N964" s="677">
        <v>7</v>
      </c>
      <c r="O964" s="678">
        <v>10</v>
      </c>
      <c r="P964" s="678">
        <v>11</v>
      </c>
      <c r="Q964" s="679">
        <v>11</v>
      </c>
    </row>
    <row r="965" spans="1:17" x14ac:dyDescent="0.25">
      <c r="A965" s="994"/>
      <c r="B965" s="1034"/>
      <c r="C965" s="1034"/>
      <c r="D965" s="1034"/>
      <c r="E965" s="1025"/>
      <c r="F965" s="1035"/>
      <c r="G965" s="1035"/>
      <c r="H965" s="1035"/>
      <c r="I965" s="1035"/>
      <c r="J965" s="1072"/>
      <c r="K965" s="1025" t="s">
        <v>1105</v>
      </c>
      <c r="L965" s="1136" t="s">
        <v>495</v>
      </c>
      <c r="M965" s="1136">
        <v>6</v>
      </c>
      <c r="N965" s="1136">
        <v>7</v>
      </c>
      <c r="O965" s="1137">
        <v>10</v>
      </c>
      <c r="P965" s="1137">
        <v>11</v>
      </c>
      <c r="Q965" s="1138">
        <v>11</v>
      </c>
    </row>
    <row r="966" spans="1:17" ht="42" customHeight="1" x14ac:dyDescent="0.25">
      <c r="A966" s="994"/>
      <c r="B966" s="1034"/>
      <c r="C966" s="1034"/>
      <c r="D966" s="1034"/>
      <c r="E966" s="1025"/>
      <c r="F966" s="1035"/>
      <c r="G966" s="1035"/>
      <c r="H966" s="1035"/>
      <c r="I966" s="1035"/>
      <c r="J966" s="1072"/>
      <c r="K966" s="1025"/>
      <c r="L966" s="1136"/>
      <c r="M966" s="1136"/>
      <c r="N966" s="1136"/>
      <c r="O966" s="1137"/>
      <c r="P966" s="1137"/>
      <c r="Q966" s="1138"/>
    </row>
    <row r="967" spans="1:17" ht="30" x14ac:dyDescent="0.25">
      <c r="A967" s="994"/>
      <c r="B967" s="1034"/>
      <c r="C967" s="1034" t="s">
        <v>48</v>
      </c>
      <c r="D967" s="1034"/>
      <c r="E967" s="1025" t="s">
        <v>1106</v>
      </c>
      <c r="F967" s="1035">
        <f>2466.6+319.9+496.7+79.3+50+108.3+79.3</f>
        <v>3600.1000000000004</v>
      </c>
      <c r="G967" s="1035">
        <v>3214.8</v>
      </c>
      <c r="H967" s="1035">
        <v>7552.8</v>
      </c>
      <c r="I967" s="1035">
        <v>7179.2</v>
      </c>
      <c r="J967" s="1072">
        <v>8043.5</v>
      </c>
      <c r="K967" s="648" t="s">
        <v>1107</v>
      </c>
      <c r="L967" s="692" t="s">
        <v>1108</v>
      </c>
      <c r="M967" s="644">
        <v>739.4</v>
      </c>
      <c r="N967" s="644">
        <v>542</v>
      </c>
      <c r="O967" s="334">
        <v>565</v>
      </c>
      <c r="P967" s="644">
        <v>566</v>
      </c>
      <c r="Q967" s="645">
        <v>568</v>
      </c>
    </row>
    <row r="968" spans="1:17" ht="30" x14ac:dyDescent="0.25">
      <c r="A968" s="994"/>
      <c r="B968" s="1034"/>
      <c r="C968" s="1034"/>
      <c r="D968" s="1034"/>
      <c r="E968" s="1025"/>
      <c r="F968" s="1035"/>
      <c r="G968" s="1035"/>
      <c r="H968" s="1035"/>
      <c r="I968" s="1035"/>
      <c r="J968" s="1072"/>
      <c r="K968" s="648" t="s">
        <v>1109</v>
      </c>
      <c r="L968" s="677" t="s">
        <v>495</v>
      </c>
      <c r="M968" s="677">
        <v>277</v>
      </c>
      <c r="N968" s="677">
        <v>297</v>
      </c>
      <c r="O968" s="678">
        <v>300</v>
      </c>
      <c r="P968" s="678">
        <v>310</v>
      </c>
      <c r="Q968" s="679">
        <v>315</v>
      </c>
    </row>
    <row r="969" spans="1:17" ht="65.25" customHeight="1" x14ac:dyDescent="0.25">
      <c r="A969" s="994"/>
      <c r="B969" s="1034"/>
      <c r="C969" s="1034"/>
      <c r="D969" s="1034"/>
      <c r="E969" s="1025"/>
      <c r="F969" s="1035"/>
      <c r="G969" s="1035"/>
      <c r="H969" s="1035"/>
      <c r="I969" s="1035"/>
      <c r="J969" s="1072"/>
      <c r="K969" s="648" t="s">
        <v>1110</v>
      </c>
      <c r="L969" s="677" t="s">
        <v>495</v>
      </c>
      <c r="M969" s="677">
        <v>90</v>
      </c>
      <c r="N969" s="677">
        <v>91</v>
      </c>
      <c r="O969" s="677">
        <v>92</v>
      </c>
      <c r="P969" s="677">
        <v>93</v>
      </c>
      <c r="Q969" s="680">
        <v>93</v>
      </c>
    </row>
    <row r="970" spans="1:17" ht="30" x14ac:dyDescent="0.25">
      <c r="A970" s="994"/>
      <c r="B970" s="672"/>
      <c r="C970" s="672" t="s">
        <v>37</v>
      </c>
      <c r="D970" s="35"/>
      <c r="E970" s="648" t="s">
        <v>1111</v>
      </c>
      <c r="F970" s="619">
        <f>2500+328.6+100.1+79.3+50+108.4+79.3</f>
        <v>3245.7000000000003</v>
      </c>
      <c r="G970" s="619">
        <v>3272.5</v>
      </c>
      <c r="H970" s="619">
        <v>4470.1000000000004</v>
      </c>
      <c r="I970" s="469">
        <v>5606.65</v>
      </c>
      <c r="J970" s="637">
        <v>4902.7</v>
      </c>
      <c r="K970" s="648" t="s">
        <v>1112</v>
      </c>
      <c r="L970" s="677" t="s">
        <v>495</v>
      </c>
      <c r="M970" s="677">
        <v>43</v>
      </c>
      <c r="N970" s="677">
        <v>48</v>
      </c>
      <c r="O970" s="678">
        <v>49</v>
      </c>
      <c r="P970" s="678">
        <v>50</v>
      </c>
      <c r="Q970" s="679">
        <v>50</v>
      </c>
    </row>
    <row r="971" spans="1:17" x14ac:dyDescent="0.25">
      <c r="A971" s="990" t="s">
        <v>23</v>
      </c>
      <c r="B971" s="991"/>
      <c r="C971" s="991"/>
      <c r="D971" s="991"/>
      <c r="E971" s="991"/>
      <c r="F971" s="714">
        <f>F961+F959</f>
        <v>36084</v>
      </c>
      <c r="G971" s="714">
        <f>G961+G959</f>
        <v>36084</v>
      </c>
      <c r="H971" s="714">
        <f>H961+H959</f>
        <v>36084</v>
      </c>
      <c r="I971" s="714">
        <f>I961+I959</f>
        <v>36783.43</v>
      </c>
      <c r="J971" s="714">
        <f>J961+J959</f>
        <v>37883.759999999995</v>
      </c>
      <c r="K971" s="82"/>
      <c r="L971" s="1063"/>
      <c r="M971" s="1063"/>
      <c r="N971" s="1063"/>
      <c r="O971" s="1063"/>
      <c r="P971" s="1063"/>
      <c r="Q971" s="1064"/>
    </row>
    <row r="972" spans="1:17" ht="25.5" customHeight="1" x14ac:dyDescent="0.25">
      <c r="A972" s="1041" t="s">
        <v>1113</v>
      </c>
      <c r="B972" s="1042"/>
      <c r="C972" s="1042"/>
      <c r="D972" s="1042"/>
      <c r="E972" s="1042"/>
      <c r="F972" s="1042"/>
      <c r="G972" s="1042"/>
      <c r="H972" s="1042"/>
      <c r="I972" s="1042"/>
      <c r="J972" s="1042"/>
      <c r="K972" s="1042"/>
      <c r="L972" s="1042"/>
      <c r="M972" s="1042"/>
      <c r="N972" s="1042"/>
      <c r="O972" s="1042"/>
      <c r="P972" s="1042"/>
      <c r="Q972" s="1043"/>
    </row>
    <row r="973" spans="1:17" ht="59.25" x14ac:dyDescent="0.25">
      <c r="A973" s="994">
        <v>74</v>
      </c>
      <c r="B973" s="622">
        <v>1</v>
      </c>
      <c r="C973" s="623"/>
      <c r="D973" s="624"/>
      <c r="E973" s="335" t="s">
        <v>1252</v>
      </c>
      <c r="F973" s="336">
        <f>F974+F975</f>
        <v>321768.80000000005</v>
      </c>
      <c r="G973" s="336">
        <f>G974+G975</f>
        <v>321557.8</v>
      </c>
      <c r="H973" s="336">
        <f>H974+H975</f>
        <v>318178.59999999998</v>
      </c>
      <c r="I973" s="336">
        <f>I974+I975</f>
        <v>320096.2</v>
      </c>
      <c r="J973" s="336">
        <f>J974+J975</f>
        <v>330048.8</v>
      </c>
      <c r="K973" s="335" t="s">
        <v>1114</v>
      </c>
      <c r="L973" s="335" t="s">
        <v>19</v>
      </c>
      <c r="M973" s="337">
        <v>25</v>
      </c>
      <c r="N973" s="335">
        <v>26</v>
      </c>
      <c r="O973" s="335">
        <v>26</v>
      </c>
      <c r="P973" s="335">
        <v>26</v>
      </c>
      <c r="Q973" s="592">
        <v>26</v>
      </c>
    </row>
    <row r="974" spans="1:17" ht="30" x14ac:dyDescent="0.25">
      <c r="A974" s="994"/>
      <c r="B974" s="674"/>
      <c r="C974" s="623">
        <v>1</v>
      </c>
      <c r="D974" s="675"/>
      <c r="E974" s="338" t="s">
        <v>1115</v>
      </c>
      <c r="F974" s="676">
        <v>73960.600000000006</v>
      </c>
      <c r="G974" s="676">
        <v>90743.5</v>
      </c>
      <c r="H974" s="676">
        <v>64761.8</v>
      </c>
      <c r="I974" s="676">
        <v>66483.600000000006</v>
      </c>
      <c r="J974" s="676">
        <v>69423.7</v>
      </c>
      <c r="K974" s="339"/>
      <c r="L974" s="339"/>
      <c r="M974" s="339"/>
      <c r="N974" s="339"/>
      <c r="O974" s="339"/>
      <c r="P974" s="339"/>
      <c r="Q974" s="593"/>
    </row>
    <row r="975" spans="1:17" ht="30" x14ac:dyDescent="0.25">
      <c r="A975" s="994"/>
      <c r="B975" s="674"/>
      <c r="C975" s="623">
        <v>2</v>
      </c>
      <c r="D975" s="675"/>
      <c r="E975" s="340" t="s">
        <v>1116</v>
      </c>
      <c r="F975" s="676">
        <v>247808.2</v>
      </c>
      <c r="G975" s="676">
        <v>230814.3</v>
      </c>
      <c r="H975" s="676">
        <v>253416.8</v>
      </c>
      <c r="I975" s="676">
        <v>253612.6</v>
      </c>
      <c r="J975" s="676">
        <v>260625.1</v>
      </c>
      <c r="K975" s="339"/>
      <c r="L975" s="339"/>
      <c r="M975" s="339"/>
      <c r="N975" s="339"/>
      <c r="O975" s="339"/>
      <c r="P975" s="339"/>
      <c r="Q975" s="593"/>
    </row>
    <row r="976" spans="1:17" ht="88.5" x14ac:dyDescent="0.25">
      <c r="A976" s="994"/>
      <c r="B976" s="341">
        <v>742</v>
      </c>
      <c r="C976" s="341"/>
      <c r="D976" s="341"/>
      <c r="E976" s="342" t="s">
        <v>1253</v>
      </c>
      <c r="F976" s="343">
        <f>F977+F979</f>
        <v>400176</v>
      </c>
      <c r="G976" s="343">
        <f>G977+G979</f>
        <v>52376.5</v>
      </c>
      <c r="H976" s="343">
        <f>H977+H979</f>
        <v>356531.1</v>
      </c>
      <c r="I976" s="343">
        <f>I977+I979</f>
        <v>45526</v>
      </c>
      <c r="J976" s="343">
        <f>J977+J979</f>
        <v>45409.9</v>
      </c>
      <c r="K976" s="342" t="s">
        <v>1117</v>
      </c>
      <c r="L976" s="344" t="s">
        <v>494</v>
      </c>
      <c r="M976" s="345">
        <v>55.8</v>
      </c>
      <c r="N976" s="345">
        <v>55.8</v>
      </c>
      <c r="O976" s="345">
        <v>61.5</v>
      </c>
      <c r="P976" s="345">
        <v>62.5</v>
      </c>
      <c r="Q976" s="594">
        <v>63.5</v>
      </c>
    </row>
    <row r="977" spans="1:17" ht="105" x14ac:dyDescent="0.25">
      <c r="A977" s="994"/>
      <c r="B977" s="1133"/>
      <c r="C977" s="1101">
        <v>1</v>
      </c>
      <c r="D977" s="1134"/>
      <c r="E977" s="1031" t="s">
        <v>1118</v>
      </c>
      <c r="F977" s="1135">
        <v>42794.2</v>
      </c>
      <c r="G977" s="1135">
        <v>41501.9</v>
      </c>
      <c r="H977" s="1135">
        <v>34687.5</v>
      </c>
      <c r="I977" s="1135">
        <v>35259.599999999999</v>
      </c>
      <c r="J977" s="1135">
        <v>39273.9</v>
      </c>
      <c r="K977" s="346" t="s">
        <v>1287</v>
      </c>
      <c r="L977" s="344" t="s">
        <v>1119</v>
      </c>
      <c r="M977" s="347">
        <v>880.4</v>
      </c>
      <c r="N977" s="345">
        <v>895.2</v>
      </c>
      <c r="O977" s="345">
        <v>926.1</v>
      </c>
      <c r="P977" s="345">
        <v>950.1</v>
      </c>
      <c r="Q977" s="594">
        <v>974.1</v>
      </c>
    </row>
    <row r="978" spans="1:17" ht="60" x14ac:dyDescent="0.25">
      <c r="A978" s="994"/>
      <c r="B978" s="1133"/>
      <c r="C978" s="1101"/>
      <c r="D978" s="1134"/>
      <c r="E978" s="1031"/>
      <c r="F978" s="1135"/>
      <c r="G978" s="1135"/>
      <c r="H978" s="1135"/>
      <c r="I978" s="1135"/>
      <c r="J978" s="1135"/>
      <c r="K978" s="346" t="s">
        <v>1120</v>
      </c>
      <c r="L978" s="344" t="s">
        <v>19</v>
      </c>
      <c r="M978" s="347">
        <v>2.5</v>
      </c>
      <c r="N978" s="345">
        <v>3.5</v>
      </c>
      <c r="O978" s="345">
        <v>3.6</v>
      </c>
      <c r="P978" s="345">
        <v>3.6</v>
      </c>
      <c r="Q978" s="594">
        <v>3.6</v>
      </c>
    </row>
    <row r="979" spans="1:17" ht="45" x14ac:dyDescent="0.25">
      <c r="A979" s="994"/>
      <c r="B979" s="470"/>
      <c r="C979" s="623">
        <v>2</v>
      </c>
      <c r="D979" s="341"/>
      <c r="E979" s="289" t="s">
        <v>1121</v>
      </c>
      <c r="F979" s="348">
        <v>357381.8</v>
      </c>
      <c r="G979" s="348">
        <v>10874.6</v>
      </c>
      <c r="H979" s="676">
        <f>328585.6-6742</f>
        <v>321843.59999999998</v>
      </c>
      <c r="I979" s="676">
        <v>10266.4</v>
      </c>
      <c r="J979" s="676">
        <v>6136</v>
      </c>
      <c r="K979" s="340" t="s">
        <v>1122</v>
      </c>
      <c r="L979" s="340" t="s">
        <v>1123</v>
      </c>
      <c r="M979" s="345">
        <v>6000</v>
      </c>
      <c r="N979" s="345">
        <v>6000</v>
      </c>
      <c r="O979" s="345">
        <v>6600</v>
      </c>
      <c r="P979" s="345">
        <v>6700</v>
      </c>
      <c r="Q979" s="594">
        <v>6800</v>
      </c>
    </row>
    <row r="980" spans="1:17" ht="85.5" customHeight="1" x14ac:dyDescent="0.25">
      <c r="A980" s="994"/>
      <c r="B980" s="341">
        <v>743</v>
      </c>
      <c r="C980" s="341"/>
      <c r="D980" s="341"/>
      <c r="E980" s="340" t="s">
        <v>1254</v>
      </c>
      <c r="F980" s="343">
        <f>F981+F982</f>
        <v>6852.1</v>
      </c>
      <c r="G980" s="343">
        <f>G981+G982</f>
        <v>7862.1</v>
      </c>
      <c r="H980" s="343">
        <f>H981+H982</f>
        <v>6523.6</v>
      </c>
      <c r="I980" s="343">
        <f>I981+I982</f>
        <v>6690.7000000000007</v>
      </c>
      <c r="J980" s="343">
        <f>J981+J982</f>
        <v>7011.6</v>
      </c>
      <c r="K980" s="338" t="s">
        <v>1124</v>
      </c>
      <c r="L980" s="344"/>
      <c r="M980" s="349"/>
      <c r="N980" s="349"/>
      <c r="O980" s="349"/>
      <c r="P980" s="349"/>
      <c r="Q980" s="595"/>
    </row>
    <row r="981" spans="1:17" ht="70.5" customHeight="1" x14ac:dyDescent="0.25">
      <c r="A981" s="994"/>
      <c r="B981" s="667"/>
      <c r="C981" s="623">
        <v>1</v>
      </c>
      <c r="D981" s="668"/>
      <c r="E981" s="289" t="s">
        <v>1125</v>
      </c>
      <c r="F981" s="670">
        <v>5610.5</v>
      </c>
      <c r="G981" s="670">
        <v>6620.5</v>
      </c>
      <c r="H981" s="670">
        <v>5232</v>
      </c>
      <c r="I981" s="670">
        <v>5449.1</v>
      </c>
      <c r="J981" s="670">
        <v>5770</v>
      </c>
      <c r="K981" s="338" t="s">
        <v>1126</v>
      </c>
      <c r="L981" s="344" t="s">
        <v>19</v>
      </c>
      <c r="M981" s="350">
        <v>30.7</v>
      </c>
      <c r="N981" s="350">
        <v>30.7</v>
      </c>
      <c r="O981" s="350">
        <v>31.2</v>
      </c>
      <c r="P981" s="350">
        <v>31.2</v>
      </c>
      <c r="Q981" s="596">
        <v>31.2</v>
      </c>
    </row>
    <row r="982" spans="1:17" x14ac:dyDescent="0.25">
      <c r="A982" s="994"/>
      <c r="B982" s="1029"/>
      <c r="C982" s="1101">
        <v>2</v>
      </c>
      <c r="D982" s="1038"/>
      <c r="E982" s="1031" t="s">
        <v>1127</v>
      </c>
      <c r="F982" s="1033">
        <v>1241.5999999999999</v>
      </c>
      <c r="G982" s="1033">
        <v>1241.5999999999999</v>
      </c>
      <c r="H982" s="1033">
        <f>1241.6+50</f>
        <v>1291.5999999999999</v>
      </c>
      <c r="I982" s="1033">
        <v>1241.5999999999999</v>
      </c>
      <c r="J982" s="1033">
        <v>1241.5999999999999</v>
      </c>
      <c r="K982" s="1129" t="s">
        <v>1400</v>
      </c>
      <c r="L982" s="1130" t="s">
        <v>19</v>
      </c>
      <c r="M982" s="1131">
        <v>33</v>
      </c>
      <c r="N982" s="1131">
        <v>68.8</v>
      </c>
      <c r="O982" s="1131">
        <v>79</v>
      </c>
      <c r="P982" s="1131">
        <v>79</v>
      </c>
      <c r="Q982" s="1132">
        <v>79</v>
      </c>
    </row>
    <row r="983" spans="1:17" ht="58.5" customHeight="1" x14ac:dyDescent="0.25">
      <c r="A983" s="994"/>
      <c r="B983" s="1029"/>
      <c r="C983" s="1101"/>
      <c r="D983" s="1038"/>
      <c r="E983" s="1031"/>
      <c r="F983" s="1033"/>
      <c r="G983" s="1033"/>
      <c r="H983" s="1033"/>
      <c r="I983" s="1033"/>
      <c r="J983" s="1033"/>
      <c r="K983" s="1129"/>
      <c r="L983" s="1130"/>
      <c r="M983" s="1131"/>
      <c r="N983" s="1131"/>
      <c r="O983" s="1131"/>
      <c r="P983" s="1131"/>
      <c r="Q983" s="1132"/>
    </row>
    <row r="984" spans="1:17" ht="147.75" x14ac:dyDescent="0.25">
      <c r="A984" s="994"/>
      <c r="B984" s="622">
        <v>744</v>
      </c>
      <c r="C984" s="623"/>
      <c r="D984" s="668"/>
      <c r="E984" s="340" t="s">
        <v>1399</v>
      </c>
      <c r="F984" s="351">
        <f>F985</f>
        <v>0</v>
      </c>
      <c r="G984" s="351">
        <f>G985</f>
        <v>39400</v>
      </c>
      <c r="H984" s="351">
        <f>H985</f>
        <v>260196.6</v>
      </c>
      <c r="I984" s="351">
        <f>I985</f>
        <v>446436.4</v>
      </c>
      <c r="J984" s="351">
        <f>J985</f>
        <v>616187.5</v>
      </c>
      <c r="K984" s="352" t="s">
        <v>1255</v>
      </c>
      <c r="L984" s="344"/>
      <c r="M984" s="353"/>
      <c r="N984" s="353"/>
      <c r="O984" s="353"/>
      <c r="P984" s="353"/>
      <c r="Q984" s="597"/>
    </row>
    <row r="985" spans="1:17" ht="60" x14ac:dyDescent="0.25">
      <c r="A985" s="994"/>
      <c r="B985" s="674"/>
      <c r="C985" s="623">
        <v>1</v>
      </c>
      <c r="D985" s="668"/>
      <c r="E985" s="338" t="s">
        <v>1128</v>
      </c>
      <c r="F985" s="670">
        <v>0</v>
      </c>
      <c r="G985" s="670">
        <v>39400</v>
      </c>
      <c r="H985" s="670">
        <v>260196.6</v>
      </c>
      <c r="I985" s="670">
        <f>446436.4</f>
        <v>446436.4</v>
      </c>
      <c r="J985" s="670">
        <v>616187.5</v>
      </c>
      <c r="K985" s="338" t="s">
        <v>1129</v>
      </c>
      <c r="L985" s="344" t="s">
        <v>19</v>
      </c>
      <c r="M985" s="353">
        <v>0</v>
      </c>
      <c r="N985" s="353">
        <v>5</v>
      </c>
      <c r="O985" s="353">
        <v>15</v>
      </c>
      <c r="P985" s="353">
        <v>30</v>
      </c>
      <c r="Q985" s="597">
        <v>30</v>
      </c>
    </row>
    <row r="986" spans="1:17" x14ac:dyDescent="0.25">
      <c r="A986" s="990" t="s">
        <v>23</v>
      </c>
      <c r="B986" s="991"/>
      <c r="C986" s="991"/>
      <c r="D986" s="991"/>
      <c r="E986" s="991"/>
      <c r="F986" s="354">
        <f>F973+F976+F980+F984</f>
        <v>728796.9</v>
      </c>
      <c r="G986" s="354">
        <f>G973+G976+G980+G984</f>
        <v>421196.39999999997</v>
      </c>
      <c r="H986" s="354">
        <f>H973+H976+H980+H984</f>
        <v>941429.89999999991</v>
      </c>
      <c r="I986" s="354">
        <f>I973+I976+I980+I984</f>
        <v>818749.3</v>
      </c>
      <c r="J986" s="354">
        <f>J973+J976+J980+J984</f>
        <v>998657.8</v>
      </c>
      <c r="K986" s="82"/>
      <c r="L986" s="82"/>
      <c r="M986" s="82"/>
      <c r="N986" s="82"/>
      <c r="O986" s="82"/>
      <c r="P986" s="82"/>
      <c r="Q986" s="598"/>
    </row>
    <row r="987" spans="1:17" ht="24.75" customHeight="1" x14ac:dyDescent="0.25">
      <c r="A987" s="1041" t="s">
        <v>1312</v>
      </c>
      <c r="B987" s="1042"/>
      <c r="C987" s="1042"/>
      <c r="D987" s="1042"/>
      <c r="E987" s="1042"/>
      <c r="F987" s="1042"/>
      <c r="G987" s="1042"/>
      <c r="H987" s="1042"/>
      <c r="I987" s="1042"/>
      <c r="J987" s="1042"/>
      <c r="K987" s="1042"/>
      <c r="L987" s="1042"/>
      <c r="M987" s="1042"/>
      <c r="N987" s="1042"/>
      <c r="O987" s="1042"/>
      <c r="P987" s="1042"/>
      <c r="Q987" s="1043"/>
    </row>
    <row r="988" spans="1:17" ht="73.5" x14ac:dyDescent="0.25">
      <c r="A988" s="994">
        <v>77</v>
      </c>
      <c r="B988" s="441">
        <v>1</v>
      </c>
      <c r="C988" s="158"/>
      <c r="D988" s="636"/>
      <c r="E988" s="402" t="s">
        <v>1256</v>
      </c>
      <c r="F988" s="355">
        <v>2623.7</v>
      </c>
      <c r="G988" s="355">
        <v>2806.9</v>
      </c>
      <c r="H988" s="440">
        <v>3077</v>
      </c>
      <c r="I988" s="440">
        <v>3077</v>
      </c>
      <c r="J988" s="440">
        <v>3235</v>
      </c>
      <c r="K988" s="633" t="s">
        <v>224</v>
      </c>
      <c r="L988" s="355" t="s">
        <v>19</v>
      </c>
      <c r="M988" s="355">
        <v>27.5</v>
      </c>
      <c r="N988" s="355">
        <v>27.5</v>
      </c>
      <c r="O988" s="355">
        <v>28.7</v>
      </c>
      <c r="P988" s="355">
        <v>28.7</v>
      </c>
      <c r="Q988" s="599">
        <v>28.7</v>
      </c>
    </row>
    <row r="989" spans="1:17" ht="111" customHeight="1" x14ac:dyDescent="0.25">
      <c r="A989" s="994"/>
      <c r="B989" s="441"/>
      <c r="C989" s="152">
        <v>1</v>
      </c>
      <c r="D989" s="158"/>
      <c r="E989" s="628" t="s">
        <v>11</v>
      </c>
      <c r="F989" s="355" t="s">
        <v>1130</v>
      </c>
      <c r="G989" s="355" t="s">
        <v>1130</v>
      </c>
      <c r="H989" s="102">
        <v>3077</v>
      </c>
      <c r="I989" s="102">
        <v>3077</v>
      </c>
      <c r="J989" s="102">
        <v>3235</v>
      </c>
      <c r="K989" s="57" t="s">
        <v>1131</v>
      </c>
      <c r="L989" s="635" t="s">
        <v>19</v>
      </c>
      <c r="M989" s="355">
        <v>100</v>
      </c>
      <c r="N989" s="355">
        <v>100</v>
      </c>
      <c r="O989" s="355">
        <v>100</v>
      </c>
      <c r="P989" s="355">
        <v>100</v>
      </c>
      <c r="Q989" s="599">
        <v>100</v>
      </c>
    </row>
    <row r="990" spans="1:17" ht="30" x14ac:dyDescent="0.25">
      <c r="A990" s="994"/>
      <c r="B990" s="441"/>
      <c r="C990" s="152">
        <v>1</v>
      </c>
      <c r="D990" s="403"/>
      <c r="E990" s="107" t="s">
        <v>888</v>
      </c>
      <c r="F990" s="635">
        <v>1549.2</v>
      </c>
      <c r="G990" s="635">
        <v>1706.4</v>
      </c>
      <c r="H990" s="635">
        <v>0</v>
      </c>
      <c r="I990" s="635">
        <v>0</v>
      </c>
      <c r="J990" s="635">
        <v>0</v>
      </c>
      <c r="K990" s="57" t="s">
        <v>99</v>
      </c>
      <c r="L990" s="635" t="s">
        <v>19</v>
      </c>
      <c r="M990" s="355">
        <v>100</v>
      </c>
      <c r="N990" s="355">
        <v>100</v>
      </c>
      <c r="O990" s="355" t="s">
        <v>1130</v>
      </c>
      <c r="P990" s="355" t="s">
        <v>1130</v>
      </c>
      <c r="Q990" s="599" t="s">
        <v>1130</v>
      </c>
    </row>
    <row r="991" spans="1:17" ht="88.5" customHeight="1" x14ac:dyDescent="0.25">
      <c r="A991" s="994"/>
      <c r="B991" s="441"/>
      <c r="C991" s="152">
        <v>2</v>
      </c>
      <c r="D991" s="403"/>
      <c r="E991" s="107" t="s">
        <v>71</v>
      </c>
      <c r="F991" s="635">
        <v>475.7</v>
      </c>
      <c r="G991" s="635">
        <v>438.9</v>
      </c>
      <c r="H991" s="635">
        <v>0</v>
      </c>
      <c r="I991" s="635">
        <v>0</v>
      </c>
      <c r="J991" s="635">
        <v>0</v>
      </c>
      <c r="K991" s="57" t="s">
        <v>1132</v>
      </c>
      <c r="L991" s="635" t="s">
        <v>19</v>
      </c>
      <c r="M991" s="355">
        <v>100</v>
      </c>
      <c r="N991" s="355">
        <v>100</v>
      </c>
      <c r="O991" s="355" t="s">
        <v>1130</v>
      </c>
      <c r="P991" s="355" t="s">
        <v>1130</v>
      </c>
      <c r="Q991" s="599" t="s">
        <v>1130</v>
      </c>
    </row>
    <row r="992" spans="1:17" ht="60" x14ac:dyDescent="0.25">
      <c r="A992" s="994"/>
      <c r="B992" s="441"/>
      <c r="C992" s="152">
        <v>3</v>
      </c>
      <c r="D992" s="403"/>
      <c r="E992" s="107" t="s">
        <v>74</v>
      </c>
      <c r="F992" s="635">
        <v>598.79999999999995</v>
      </c>
      <c r="G992" s="635">
        <v>661.6</v>
      </c>
      <c r="H992" s="635">
        <v>0</v>
      </c>
      <c r="I992" s="635">
        <v>0</v>
      </c>
      <c r="J992" s="635">
        <v>0</v>
      </c>
      <c r="K992" s="57" t="s">
        <v>1133</v>
      </c>
      <c r="L992" s="635" t="s">
        <v>1134</v>
      </c>
      <c r="M992" s="356" t="s">
        <v>1135</v>
      </c>
      <c r="N992" s="356" t="s">
        <v>1136</v>
      </c>
      <c r="O992" s="355" t="s">
        <v>1130</v>
      </c>
      <c r="P992" s="355" t="s">
        <v>1130</v>
      </c>
      <c r="Q992" s="599" t="s">
        <v>1130</v>
      </c>
    </row>
    <row r="993" spans="1:17" x14ac:dyDescent="0.25">
      <c r="A993" s="994"/>
      <c r="B993" s="999" t="s">
        <v>1137</v>
      </c>
      <c r="C993" s="1000"/>
      <c r="D993" s="1000"/>
      <c r="E993" s="1066" t="s">
        <v>1257</v>
      </c>
      <c r="F993" s="1067">
        <v>8831.6</v>
      </c>
      <c r="G993" s="1067">
        <v>8516.1</v>
      </c>
      <c r="H993" s="1067">
        <v>8246</v>
      </c>
      <c r="I993" s="1067">
        <v>8397.6</v>
      </c>
      <c r="J993" s="1067">
        <v>8478.2000000000007</v>
      </c>
      <c r="K993" s="1069" t="s">
        <v>1258</v>
      </c>
      <c r="L993" s="1070" t="s">
        <v>19</v>
      </c>
      <c r="M993" s="1071">
        <v>100</v>
      </c>
      <c r="N993" s="1071">
        <v>100</v>
      </c>
      <c r="O993" s="1071">
        <v>100</v>
      </c>
      <c r="P993" s="1071">
        <v>100</v>
      </c>
      <c r="Q993" s="1073">
        <v>100</v>
      </c>
    </row>
    <row r="994" spans="1:17" ht="138" customHeight="1" x14ac:dyDescent="0.25">
      <c r="A994" s="994"/>
      <c r="B994" s="999"/>
      <c r="C994" s="1000"/>
      <c r="D994" s="1000"/>
      <c r="E994" s="1066"/>
      <c r="F994" s="1068"/>
      <c r="G994" s="1068"/>
      <c r="H994" s="1068"/>
      <c r="I994" s="1068"/>
      <c r="J994" s="1068"/>
      <c r="K994" s="1069"/>
      <c r="L994" s="1070"/>
      <c r="M994" s="1072"/>
      <c r="N994" s="1072"/>
      <c r="O994" s="1072"/>
      <c r="P994" s="1071"/>
      <c r="Q994" s="1073"/>
    </row>
    <row r="995" spans="1:17" x14ac:dyDescent="0.25">
      <c r="A995" s="994"/>
      <c r="B995" s="999"/>
      <c r="C995" s="1000" t="s">
        <v>43</v>
      </c>
      <c r="D995" s="1000"/>
      <c r="E995" s="1001" t="s">
        <v>1138</v>
      </c>
      <c r="F995" s="1003">
        <v>6889.4</v>
      </c>
      <c r="G995" s="1003">
        <v>6679.3</v>
      </c>
      <c r="H995" s="1003">
        <v>6835.5</v>
      </c>
      <c r="I995" s="1003">
        <v>6987.1</v>
      </c>
      <c r="J995" s="1003">
        <v>7067.7</v>
      </c>
      <c r="K995" s="1069" t="s">
        <v>1139</v>
      </c>
      <c r="L995" s="1069" t="s">
        <v>19</v>
      </c>
      <c r="M995" s="1126">
        <v>100</v>
      </c>
      <c r="N995" s="1126">
        <v>100</v>
      </c>
      <c r="O995" s="1126">
        <v>100</v>
      </c>
      <c r="P995" s="1126">
        <v>100</v>
      </c>
      <c r="Q995" s="1127">
        <v>100</v>
      </c>
    </row>
    <row r="996" spans="1:17" ht="60" customHeight="1" x14ac:dyDescent="0.25">
      <c r="A996" s="994"/>
      <c r="B996" s="999"/>
      <c r="C996" s="1000"/>
      <c r="D996" s="1000"/>
      <c r="E996" s="1001"/>
      <c r="F996" s="1003"/>
      <c r="G996" s="1003"/>
      <c r="H996" s="1003"/>
      <c r="I996" s="1003"/>
      <c r="J996" s="1003"/>
      <c r="K996" s="1069"/>
      <c r="L996" s="1069"/>
      <c r="M996" s="1126"/>
      <c r="N996" s="1126"/>
      <c r="O996" s="1126"/>
      <c r="P996" s="1126"/>
      <c r="Q996" s="1127"/>
    </row>
    <row r="997" spans="1:17" x14ac:dyDescent="0.25">
      <c r="A997" s="994"/>
      <c r="B997" s="999"/>
      <c r="C997" s="1000" t="s">
        <v>48</v>
      </c>
      <c r="D997" s="1000"/>
      <c r="E997" s="1001" t="s">
        <v>1140</v>
      </c>
      <c r="F997" s="1003">
        <v>663.2</v>
      </c>
      <c r="G997" s="1003">
        <v>792.9</v>
      </c>
      <c r="H997" s="1003">
        <v>685.9</v>
      </c>
      <c r="I997" s="1003">
        <v>685.9</v>
      </c>
      <c r="J997" s="1003">
        <v>685.9</v>
      </c>
      <c r="K997" s="1069" t="s">
        <v>1141</v>
      </c>
      <c r="L997" s="1069" t="s">
        <v>371</v>
      </c>
      <c r="M997" s="1126">
        <v>1</v>
      </c>
      <c r="N997" s="1126">
        <v>3</v>
      </c>
      <c r="O997" s="1126">
        <v>2</v>
      </c>
      <c r="P997" s="1126">
        <v>2</v>
      </c>
      <c r="Q997" s="1127">
        <v>2</v>
      </c>
    </row>
    <row r="998" spans="1:17" ht="43.5" customHeight="1" x14ac:dyDescent="0.25">
      <c r="A998" s="994"/>
      <c r="B998" s="999"/>
      <c r="C998" s="1000"/>
      <c r="D998" s="1000"/>
      <c r="E998" s="1001"/>
      <c r="F998" s="1003"/>
      <c r="G998" s="1003"/>
      <c r="H998" s="1003"/>
      <c r="I998" s="1003"/>
      <c r="J998" s="1003"/>
      <c r="K998" s="1069"/>
      <c r="L998" s="1069"/>
      <c r="M998" s="1068"/>
      <c r="N998" s="1068"/>
      <c r="O998" s="1068"/>
      <c r="P998" s="1126"/>
      <c r="Q998" s="1127"/>
    </row>
    <row r="999" spans="1:17" x14ac:dyDescent="0.25">
      <c r="A999" s="994"/>
      <c r="B999" s="999"/>
      <c r="C999" s="1000" t="s">
        <v>37</v>
      </c>
      <c r="D999" s="1000"/>
      <c r="E999" s="1001" t="s">
        <v>1401</v>
      </c>
      <c r="F999" s="1003">
        <v>1279</v>
      </c>
      <c r="G999" s="1003">
        <v>1043.9000000000001</v>
      </c>
      <c r="H999" s="1003">
        <v>724.6</v>
      </c>
      <c r="I999" s="1003">
        <v>724.6</v>
      </c>
      <c r="J999" s="1003">
        <v>724.6</v>
      </c>
      <c r="K999" s="1069" t="s">
        <v>1432</v>
      </c>
      <c r="L999" s="1069" t="s">
        <v>1142</v>
      </c>
      <c r="M999" s="1125">
        <v>2900</v>
      </c>
      <c r="N999" s="1126" t="s">
        <v>1143</v>
      </c>
      <c r="O999" s="1126" t="s">
        <v>1143</v>
      </c>
      <c r="P999" s="1126" t="s">
        <v>1143</v>
      </c>
      <c r="Q999" s="1127" t="s">
        <v>1143</v>
      </c>
    </row>
    <row r="1000" spans="1:17" ht="99" customHeight="1" x14ac:dyDescent="0.25">
      <c r="A1000" s="994"/>
      <c r="B1000" s="999"/>
      <c r="C1000" s="1000"/>
      <c r="D1000" s="1000"/>
      <c r="E1000" s="1001"/>
      <c r="F1000" s="1003"/>
      <c r="G1000" s="1003"/>
      <c r="H1000" s="1003"/>
      <c r="I1000" s="1003"/>
      <c r="J1000" s="1003"/>
      <c r="K1000" s="1069"/>
      <c r="L1000" s="1069"/>
      <c r="M1000" s="1072"/>
      <c r="N1000" s="1068"/>
      <c r="O1000" s="1068"/>
      <c r="P1000" s="1068"/>
      <c r="Q1000" s="1128"/>
    </row>
    <row r="1001" spans="1:17" x14ac:dyDescent="0.25">
      <c r="A1001" s="992" t="s">
        <v>23</v>
      </c>
      <c r="B1001" s="993"/>
      <c r="C1001" s="993"/>
      <c r="D1001" s="993"/>
      <c r="E1001" s="993"/>
      <c r="F1001" s="357">
        <v>11455.3</v>
      </c>
      <c r="G1001" s="357">
        <v>11323</v>
      </c>
      <c r="H1001" s="357">
        <v>11323</v>
      </c>
      <c r="I1001" s="357">
        <v>11474.6</v>
      </c>
      <c r="J1001" s="357">
        <v>11713.2</v>
      </c>
      <c r="K1001" s="82"/>
      <c r="L1001" s="1118"/>
      <c r="M1001" s="1118"/>
      <c r="N1001" s="1118"/>
      <c r="O1001" s="1118"/>
      <c r="P1001" s="1118"/>
      <c r="Q1001" s="1119"/>
    </row>
    <row r="1002" spans="1:17" ht="23.25" customHeight="1" x14ac:dyDescent="0.25">
      <c r="A1002" s="1041" t="s">
        <v>1144</v>
      </c>
      <c r="B1002" s="1042"/>
      <c r="C1002" s="1042"/>
      <c r="D1002" s="1042"/>
      <c r="E1002" s="1042"/>
      <c r="F1002" s="1042"/>
      <c r="G1002" s="1042"/>
      <c r="H1002" s="1042"/>
      <c r="I1002" s="1042"/>
      <c r="J1002" s="1042"/>
      <c r="K1002" s="1042"/>
      <c r="L1002" s="1042"/>
      <c r="M1002" s="1042"/>
      <c r="N1002" s="1042"/>
      <c r="O1002" s="1042"/>
      <c r="P1002" s="1042"/>
      <c r="Q1002" s="1043"/>
    </row>
    <row r="1003" spans="1:17" x14ac:dyDescent="0.25">
      <c r="A1003" s="994">
        <v>79</v>
      </c>
      <c r="B1003" s="471">
        <v>792</v>
      </c>
      <c r="C1003" s="358"/>
      <c r="D1003" s="688"/>
      <c r="E1003" s="651" t="s">
        <v>1145</v>
      </c>
      <c r="F1003" s="652">
        <f>F1004</f>
        <v>580</v>
      </c>
      <c r="G1003" s="652">
        <f>G1004</f>
        <v>15432.9</v>
      </c>
      <c r="H1003" s="652">
        <f>H1004</f>
        <v>15432.9</v>
      </c>
      <c r="I1003" s="652">
        <f>I1004</f>
        <v>15732.041999999999</v>
      </c>
      <c r="J1003" s="652">
        <f>J1004</f>
        <v>16202.6</v>
      </c>
      <c r="K1003" s="688"/>
      <c r="L1003" s="688"/>
      <c r="M1003" s="688"/>
      <c r="N1003" s="688"/>
      <c r="O1003" s="688"/>
      <c r="P1003" s="688"/>
      <c r="Q1003" s="730"/>
    </row>
    <row r="1004" spans="1:17" ht="30" x14ac:dyDescent="0.25">
      <c r="A1004" s="994"/>
      <c r="B1004" s="1120"/>
      <c r="C1004" s="1121">
        <v>1</v>
      </c>
      <c r="D1004" s="1122"/>
      <c r="E1004" s="1057" t="s">
        <v>1146</v>
      </c>
      <c r="F1004" s="1050">
        <v>580</v>
      </c>
      <c r="G1004" s="1050">
        <v>15432.9</v>
      </c>
      <c r="H1004" s="1050">
        <v>15432.9</v>
      </c>
      <c r="I1004" s="1050">
        <v>15732.041999999999</v>
      </c>
      <c r="J1004" s="1050">
        <v>16202.6</v>
      </c>
      <c r="K1004" s="621" t="s">
        <v>1147</v>
      </c>
      <c r="L1004" s="119" t="s">
        <v>14</v>
      </c>
      <c r="M1004" s="168">
        <v>4</v>
      </c>
      <c r="N1004" s="168">
        <v>4</v>
      </c>
      <c r="O1004" s="168">
        <v>4</v>
      </c>
      <c r="P1004" s="168">
        <v>4</v>
      </c>
      <c r="Q1004" s="548">
        <v>4</v>
      </c>
    </row>
    <row r="1005" spans="1:17" ht="45" x14ac:dyDescent="0.25">
      <c r="A1005" s="994"/>
      <c r="B1005" s="1120"/>
      <c r="C1005" s="1121"/>
      <c r="D1005" s="1122"/>
      <c r="E1005" s="1057"/>
      <c r="F1005" s="1050"/>
      <c r="G1005" s="1050"/>
      <c r="H1005" s="1050"/>
      <c r="I1005" s="1050"/>
      <c r="J1005" s="1050"/>
      <c r="K1005" s="621" t="s">
        <v>1148</v>
      </c>
      <c r="L1005" s="119" t="s">
        <v>14</v>
      </c>
      <c r="M1005" s="168">
        <v>8</v>
      </c>
      <c r="N1005" s="168">
        <v>8</v>
      </c>
      <c r="O1005" s="168">
        <v>8</v>
      </c>
      <c r="P1005" s="168">
        <v>8</v>
      </c>
      <c r="Q1005" s="548">
        <v>8</v>
      </c>
    </row>
    <row r="1006" spans="1:17" x14ac:dyDescent="0.25">
      <c r="A1006" s="992" t="s">
        <v>23</v>
      </c>
      <c r="B1006" s="993"/>
      <c r="C1006" s="993"/>
      <c r="D1006" s="993"/>
      <c r="E1006" s="993"/>
      <c r="F1006" s="357">
        <f>F1003</f>
        <v>580</v>
      </c>
      <c r="G1006" s="357">
        <f>G1003</f>
        <v>15432.9</v>
      </c>
      <c r="H1006" s="357">
        <f>H1003</f>
        <v>15432.9</v>
      </c>
      <c r="I1006" s="357">
        <f>I1003</f>
        <v>15732.041999999999</v>
      </c>
      <c r="J1006" s="357">
        <f>J1003</f>
        <v>16202.6</v>
      </c>
      <c r="K1006" s="82"/>
      <c r="L1006" s="664"/>
      <c r="M1006" s="664"/>
      <c r="N1006" s="664"/>
      <c r="O1006" s="664"/>
      <c r="P1006" s="664"/>
      <c r="Q1006" s="665"/>
    </row>
    <row r="1007" spans="1:17" ht="23.25" customHeight="1" x14ac:dyDescent="0.25">
      <c r="A1007" s="1041" t="s">
        <v>1149</v>
      </c>
      <c r="B1007" s="1042"/>
      <c r="C1007" s="1042"/>
      <c r="D1007" s="1042"/>
      <c r="E1007" s="1042"/>
      <c r="F1007" s="1042"/>
      <c r="G1007" s="1042"/>
      <c r="H1007" s="1042"/>
      <c r="I1007" s="1042"/>
      <c r="J1007" s="1042"/>
      <c r="K1007" s="1042"/>
      <c r="L1007" s="1042"/>
      <c r="M1007" s="1042"/>
      <c r="N1007" s="1042"/>
      <c r="O1007" s="1042"/>
      <c r="P1007" s="1042"/>
      <c r="Q1007" s="1043"/>
    </row>
    <row r="1008" spans="1:17" x14ac:dyDescent="0.25">
      <c r="A1008" s="994">
        <v>80</v>
      </c>
      <c r="B1008" s="995" t="s">
        <v>8</v>
      </c>
      <c r="C1008" s="997"/>
      <c r="D1008" s="997"/>
      <c r="E1008" s="998" t="s">
        <v>303</v>
      </c>
      <c r="F1008" s="1002">
        <f>F1010+F1011</f>
        <v>35842.699999999997</v>
      </c>
      <c r="G1008" s="1002">
        <f>G1010+G1011</f>
        <v>75641.5</v>
      </c>
      <c r="H1008" s="1002">
        <f>H1010+H1011</f>
        <v>77906.8</v>
      </c>
      <c r="I1008" s="1002">
        <f>I1010+I1011</f>
        <v>84822.7</v>
      </c>
      <c r="J1008" s="1002">
        <f>J1010+J1011</f>
        <v>95602.6</v>
      </c>
      <c r="K1008" s="1112" t="s">
        <v>9</v>
      </c>
      <c r="L1008" s="1103" t="s">
        <v>304</v>
      </c>
      <c r="M1008" s="1112"/>
      <c r="N1008" s="1123"/>
      <c r="O1008" s="1123"/>
      <c r="P1008" s="1123"/>
      <c r="Q1008" s="1124"/>
    </row>
    <row r="1009" spans="1:17" x14ac:dyDescent="0.25">
      <c r="A1009" s="994"/>
      <c r="B1009" s="995"/>
      <c r="C1009" s="997"/>
      <c r="D1009" s="997"/>
      <c r="E1009" s="998"/>
      <c r="F1009" s="1109"/>
      <c r="G1009" s="1109"/>
      <c r="H1009" s="1002"/>
      <c r="I1009" s="1002"/>
      <c r="J1009" s="1002"/>
      <c r="K1009" s="1112"/>
      <c r="L1009" s="1103"/>
      <c r="M1009" s="1112"/>
      <c r="N1009" s="1123"/>
      <c r="O1009" s="1123"/>
      <c r="P1009" s="1123"/>
      <c r="Q1009" s="1124"/>
    </row>
    <row r="1010" spans="1:17" ht="37.5" customHeight="1" x14ac:dyDescent="0.25">
      <c r="A1010" s="994"/>
      <c r="B1010" s="657"/>
      <c r="C1010" s="657" t="s">
        <v>43</v>
      </c>
      <c r="D1010" s="657"/>
      <c r="E1010" s="765" t="s">
        <v>1150</v>
      </c>
      <c r="F1010" s="359">
        <v>21979.200000000001</v>
      </c>
      <c r="G1010" s="359">
        <v>40213.9</v>
      </c>
      <c r="H1010" s="659">
        <v>77906.8</v>
      </c>
      <c r="I1010" s="659">
        <v>84822.7</v>
      </c>
      <c r="J1010" s="659">
        <v>95602.6</v>
      </c>
      <c r="K1010" s="807"/>
      <c r="L1010" s="808"/>
      <c r="M1010" s="808"/>
      <c r="N1010" s="808"/>
      <c r="O1010" s="808"/>
      <c r="P1010" s="808"/>
      <c r="Q1010" s="809"/>
    </row>
    <row r="1011" spans="1:17" ht="37.5" customHeight="1" x14ac:dyDescent="0.25">
      <c r="A1011" s="994"/>
      <c r="B1011" s="657"/>
      <c r="C1011" s="657" t="s">
        <v>48</v>
      </c>
      <c r="D1011" s="657"/>
      <c r="E1011" s="765" t="s">
        <v>1151</v>
      </c>
      <c r="F1011" s="359">
        <v>13863.5</v>
      </c>
      <c r="G1011" s="359">
        <v>35427.599999999999</v>
      </c>
      <c r="H1011" s="659"/>
      <c r="I1011" s="659"/>
      <c r="J1011" s="659"/>
      <c r="K1011" s="807"/>
      <c r="L1011" s="808"/>
      <c r="M1011" s="808"/>
      <c r="N1011" s="808"/>
      <c r="O1011" s="808"/>
      <c r="P1011" s="808"/>
      <c r="Q1011" s="809"/>
    </row>
    <row r="1012" spans="1:17" x14ac:dyDescent="0.25">
      <c r="A1012" s="994"/>
      <c r="B1012" s="995" t="s">
        <v>1152</v>
      </c>
      <c r="C1012" s="997"/>
      <c r="D1012" s="997"/>
      <c r="E1012" s="998" t="s">
        <v>1153</v>
      </c>
      <c r="F1012" s="1002">
        <f>F1014+F1016+F1018+F1020</f>
        <v>117008.4</v>
      </c>
      <c r="G1012" s="1002">
        <f>G1014+G1016+G1018+G1020</f>
        <v>119277.40000000001</v>
      </c>
      <c r="H1012" s="1002">
        <f>H1014+H1016+H1018+H1020</f>
        <v>122005.8</v>
      </c>
      <c r="I1012" s="1002">
        <f>I1014+I1016+I1018+I1020</f>
        <v>122255.8</v>
      </c>
      <c r="J1012" s="1002">
        <f>J1014+J1016+J1018+J1020</f>
        <v>122255.8</v>
      </c>
      <c r="K1012" s="1110" t="s">
        <v>1154</v>
      </c>
      <c r="L1012" s="1115" t="s">
        <v>495</v>
      </c>
      <c r="M1012" s="1116"/>
      <c r="N1012" s="1116"/>
      <c r="O1012" s="1116"/>
      <c r="P1012" s="1116"/>
      <c r="Q1012" s="1117"/>
    </row>
    <row r="1013" spans="1:17" ht="39.75" customHeight="1" x14ac:dyDescent="0.25">
      <c r="A1013" s="994"/>
      <c r="B1013" s="995"/>
      <c r="C1013" s="997"/>
      <c r="D1013" s="997"/>
      <c r="E1013" s="998"/>
      <c r="F1013" s="1002"/>
      <c r="G1013" s="1002"/>
      <c r="H1013" s="1002"/>
      <c r="I1013" s="1002"/>
      <c r="J1013" s="1002"/>
      <c r="K1013" s="1110"/>
      <c r="L1013" s="1115"/>
      <c r="M1013" s="1116"/>
      <c r="N1013" s="1116"/>
      <c r="O1013" s="1116"/>
      <c r="P1013" s="1116"/>
      <c r="Q1013" s="1117"/>
    </row>
    <row r="1014" spans="1:17" x14ac:dyDescent="0.25">
      <c r="A1014" s="994"/>
      <c r="B1014" s="997"/>
      <c r="C1014" s="997" t="s">
        <v>43</v>
      </c>
      <c r="D1014" s="997"/>
      <c r="E1014" s="1037" t="s">
        <v>1402</v>
      </c>
      <c r="F1014" s="1106">
        <v>31250.2</v>
      </c>
      <c r="G1014" s="1106">
        <v>33130.300000000003</v>
      </c>
      <c r="H1014" s="1106">
        <f>31733+600</f>
        <v>32333</v>
      </c>
      <c r="I1014" s="1106">
        <f>31733+650</f>
        <v>32383</v>
      </c>
      <c r="J1014" s="1106">
        <f>31733+650</f>
        <v>32383</v>
      </c>
      <c r="K1014" s="1112" t="s">
        <v>1155</v>
      </c>
      <c r="L1014" s="1103" t="s">
        <v>495</v>
      </c>
      <c r="M1014" s="1113">
        <v>8751</v>
      </c>
      <c r="N1014" s="1113">
        <v>8751</v>
      </c>
      <c r="O1014" s="1113">
        <v>9000</v>
      </c>
      <c r="P1014" s="1113">
        <v>9000</v>
      </c>
      <c r="Q1014" s="1114">
        <v>9000</v>
      </c>
    </row>
    <row r="1015" spans="1:17" ht="46.5" customHeight="1" x14ac:dyDescent="0.25">
      <c r="A1015" s="994"/>
      <c r="B1015" s="997"/>
      <c r="C1015" s="997"/>
      <c r="D1015" s="997"/>
      <c r="E1015" s="1037"/>
      <c r="F1015" s="1106"/>
      <c r="G1015" s="1106"/>
      <c r="H1015" s="1106"/>
      <c r="I1015" s="1106"/>
      <c r="J1015" s="1106"/>
      <c r="K1015" s="1112"/>
      <c r="L1015" s="1103"/>
      <c r="M1015" s="1113"/>
      <c r="N1015" s="1113"/>
      <c r="O1015" s="1113"/>
      <c r="P1015" s="1113"/>
      <c r="Q1015" s="1114"/>
    </row>
    <row r="1016" spans="1:17" x14ac:dyDescent="0.25">
      <c r="A1016" s="994"/>
      <c r="B1016" s="997"/>
      <c r="C1016" s="997" t="s">
        <v>48</v>
      </c>
      <c r="D1016" s="997"/>
      <c r="E1016" s="1037" t="s">
        <v>1156</v>
      </c>
      <c r="F1016" s="1106">
        <v>14938</v>
      </c>
      <c r="G1016" s="1106">
        <v>13077</v>
      </c>
      <c r="H1016" s="1106">
        <f>8587.1+4408.5+3000+288.6</f>
        <v>16284.2</v>
      </c>
      <c r="I1016" s="1106">
        <f>8587.1+4408.5+3000+288.6</f>
        <v>16284.2</v>
      </c>
      <c r="J1016" s="1106">
        <f>8587.1+4408.5+3000+288.6</f>
        <v>16284.2</v>
      </c>
      <c r="K1016" s="1112" t="s">
        <v>1157</v>
      </c>
      <c r="L1016" s="1113" t="s">
        <v>495</v>
      </c>
      <c r="M1016" s="1113">
        <v>20</v>
      </c>
      <c r="N1016" s="1113">
        <v>20</v>
      </c>
      <c r="O1016" s="1113">
        <v>25</v>
      </c>
      <c r="P1016" s="1113">
        <v>25</v>
      </c>
      <c r="Q1016" s="1114">
        <v>26</v>
      </c>
    </row>
    <row r="1017" spans="1:17" ht="69.75" customHeight="1" x14ac:dyDescent="0.25">
      <c r="A1017" s="994"/>
      <c r="B1017" s="997"/>
      <c r="C1017" s="997"/>
      <c r="D1017" s="997"/>
      <c r="E1017" s="1037"/>
      <c r="F1017" s="1106"/>
      <c r="G1017" s="1106"/>
      <c r="H1017" s="1106"/>
      <c r="I1017" s="1106"/>
      <c r="J1017" s="1106"/>
      <c r="K1017" s="1112"/>
      <c r="L1017" s="1113"/>
      <c r="M1017" s="1113"/>
      <c r="N1017" s="1113"/>
      <c r="O1017" s="1113"/>
      <c r="P1017" s="1113"/>
      <c r="Q1017" s="1114"/>
    </row>
    <row r="1018" spans="1:17" x14ac:dyDescent="0.25">
      <c r="A1018" s="994"/>
      <c r="B1018" s="997"/>
      <c r="C1018" s="997" t="s">
        <v>37</v>
      </c>
      <c r="D1018" s="997"/>
      <c r="E1018" s="1037" t="s">
        <v>1158</v>
      </c>
      <c r="F1018" s="1010">
        <v>47534.1</v>
      </c>
      <c r="G1018" s="1010">
        <v>49632.800000000003</v>
      </c>
      <c r="H1018" s="1106">
        <f>19802.7+8745.4+20157.7+150</f>
        <v>48855.8</v>
      </c>
      <c r="I1018" s="1106">
        <f>19802.7+8745.4+20157.7+150</f>
        <v>48855.8</v>
      </c>
      <c r="J1018" s="1106">
        <f>19802.7+8745.4+20157.7+150</f>
        <v>48855.8</v>
      </c>
      <c r="K1018" s="1112" t="s">
        <v>1159</v>
      </c>
      <c r="L1018" s="1113" t="s">
        <v>495</v>
      </c>
      <c r="M1018" s="1113">
        <v>5</v>
      </c>
      <c r="N1018" s="1113">
        <v>5</v>
      </c>
      <c r="O1018" s="1113">
        <v>7</v>
      </c>
      <c r="P1018" s="1113">
        <v>7</v>
      </c>
      <c r="Q1018" s="1114">
        <v>8</v>
      </c>
    </row>
    <row r="1019" spans="1:17" ht="93" customHeight="1" x14ac:dyDescent="0.25">
      <c r="A1019" s="994"/>
      <c r="B1019" s="997"/>
      <c r="C1019" s="997"/>
      <c r="D1019" s="997"/>
      <c r="E1019" s="1037"/>
      <c r="F1019" s="1011"/>
      <c r="G1019" s="1011"/>
      <c r="H1019" s="1106"/>
      <c r="I1019" s="1106"/>
      <c r="J1019" s="1106"/>
      <c r="K1019" s="1112"/>
      <c r="L1019" s="1113"/>
      <c r="M1019" s="1113"/>
      <c r="N1019" s="1113"/>
      <c r="O1019" s="1113"/>
      <c r="P1019" s="1113"/>
      <c r="Q1019" s="1114"/>
    </row>
    <row r="1020" spans="1:17" ht="60" x14ac:dyDescent="0.25">
      <c r="A1020" s="994"/>
      <c r="B1020" s="657"/>
      <c r="C1020" s="657" t="s">
        <v>73</v>
      </c>
      <c r="D1020" s="657"/>
      <c r="E1020" s="658" t="s">
        <v>1403</v>
      </c>
      <c r="F1020" s="359">
        <v>23286.1</v>
      </c>
      <c r="G1020" s="359">
        <v>23437.3</v>
      </c>
      <c r="H1020" s="659">
        <f>11969.8+11763+800</f>
        <v>24532.799999999999</v>
      </c>
      <c r="I1020" s="659">
        <f>11969.8+11763+1000</f>
        <v>24732.799999999999</v>
      </c>
      <c r="J1020" s="659">
        <f>11969.8+11763+1000</f>
        <v>24732.799999999999</v>
      </c>
      <c r="K1020" s="663" t="s">
        <v>1160</v>
      </c>
      <c r="L1020" s="660" t="s">
        <v>495</v>
      </c>
      <c r="M1020" s="660">
        <v>15</v>
      </c>
      <c r="N1020" s="660">
        <v>15</v>
      </c>
      <c r="O1020" s="661">
        <v>20</v>
      </c>
      <c r="P1020" s="661">
        <v>20</v>
      </c>
      <c r="Q1020" s="662">
        <v>20</v>
      </c>
    </row>
    <row r="1021" spans="1:17" x14ac:dyDescent="0.25">
      <c r="A1021" s="994"/>
      <c r="B1021" s="995" t="s">
        <v>1161</v>
      </c>
      <c r="C1021" s="997"/>
      <c r="D1021" s="997"/>
      <c r="E1021" s="998" t="s">
        <v>1162</v>
      </c>
      <c r="F1021" s="1002">
        <f>F1023+F1025+F1027</f>
        <v>99122</v>
      </c>
      <c r="G1021" s="1002">
        <f>G1023+G1025+G1027</f>
        <v>103530.2</v>
      </c>
      <c r="H1021" s="1002">
        <f>H1023+H1025+H1027</f>
        <v>124242.40000000001</v>
      </c>
      <c r="I1021" s="1002">
        <f>I1023+I1025+I1027</f>
        <v>124240.5</v>
      </c>
      <c r="J1021" s="1002">
        <f>J1023+J1025+J1027</f>
        <v>124290.50000000001</v>
      </c>
      <c r="K1021" s="1112" t="s">
        <v>1163</v>
      </c>
      <c r="L1021" s="1103" t="s">
        <v>111</v>
      </c>
      <c r="M1021" s="1103"/>
      <c r="N1021" s="1103"/>
      <c r="O1021" s="1104"/>
      <c r="P1021" s="1104"/>
      <c r="Q1021" s="1105"/>
    </row>
    <row r="1022" spans="1:17" ht="60.75" customHeight="1" x14ac:dyDescent="0.25">
      <c r="A1022" s="994"/>
      <c r="B1022" s="995"/>
      <c r="C1022" s="997"/>
      <c r="D1022" s="997"/>
      <c r="E1022" s="998"/>
      <c r="F1022" s="1002"/>
      <c r="G1022" s="1002"/>
      <c r="H1022" s="1002"/>
      <c r="I1022" s="1002"/>
      <c r="J1022" s="1002"/>
      <c r="K1022" s="1112"/>
      <c r="L1022" s="1103"/>
      <c r="M1022" s="1103"/>
      <c r="N1022" s="1103"/>
      <c r="O1022" s="1104"/>
      <c r="P1022" s="1104"/>
      <c r="Q1022" s="1105"/>
    </row>
    <row r="1023" spans="1:17" ht="15" customHeight="1" x14ac:dyDescent="0.25">
      <c r="A1023" s="994"/>
      <c r="B1023" s="1315"/>
      <c r="C1023" s="1315" t="s">
        <v>43</v>
      </c>
      <c r="D1023" s="1315"/>
      <c r="E1023" s="1313" t="s">
        <v>1404</v>
      </c>
      <c r="F1023" s="1010">
        <v>33694.400000000001</v>
      </c>
      <c r="G1023" s="1010">
        <v>41838.6</v>
      </c>
      <c r="H1023" s="1010">
        <f>20790.3+10000+12524.2+8857.2+1684.8+850+800+3715+7500</f>
        <v>66721.5</v>
      </c>
      <c r="I1023" s="1010">
        <f>20790.3+10000+12524.2+8857.2+1684.8+3500+7600+881.5+800</f>
        <v>66638</v>
      </c>
      <c r="J1023" s="1010">
        <f>20790.3+10000+12524.2+8857.2+1684.8+3500+7600+800+881.6</f>
        <v>66638.100000000006</v>
      </c>
      <c r="K1023" s="1311" t="s">
        <v>1164</v>
      </c>
      <c r="L1023" s="1309" t="s">
        <v>533</v>
      </c>
      <c r="M1023" s="1309">
        <v>2041.5</v>
      </c>
      <c r="N1023" s="1309">
        <v>2041.5</v>
      </c>
      <c r="O1023" s="1307">
        <v>2500</v>
      </c>
      <c r="P1023" s="1307">
        <v>2600</v>
      </c>
      <c r="Q1023" s="1305">
        <v>2600</v>
      </c>
    </row>
    <row r="1024" spans="1:17" ht="120" customHeight="1" x14ac:dyDescent="0.25">
      <c r="A1024" s="994"/>
      <c r="B1024" s="1316"/>
      <c r="C1024" s="1316"/>
      <c r="D1024" s="1316"/>
      <c r="E1024" s="1314"/>
      <c r="F1024" s="1011"/>
      <c r="G1024" s="1011"/>
      <c r="H1024" s="1011"/>
      <c r="I1024" s="1011"/>
      <c r="J1024" s="1011"/>
      <c r="K1024" s="1312"/>
      <c r="L1024" s="1310"/>
      <c r="M1024" s="1310"/>
      <c r="N1024" s="1310"/>
      <c r="O1024" s="1308"/>
      <c r="P1024" s="1308"/>
      <c r="Q1024" s="1306"/>
    </row>
    <row r="1025" spans="1:17" ht="35.25" customHeight="1" x14ac:dyDescent="0.25">
      <c r="A1025" s="994"/>
      <c r="B1025" s="997"/>
      <c r="C1025" s="997" t="s">
        <v>48</v>
      </c>
      <c r="D1025" s="997"/>
      <c r="E1025" s="1037" t="s">
        <v>1405</v>
      </c>
      <c r="F1025" s="1010">
        <v>40057</v>
      </c>
      <c r="G1025" s="1010">
        <v>36948.400000000001</v>
      </c>
      <c r="H1025" s="1106">
        <f>10980.4+11431.7+4500+3600+1700</f>
        <v>32212.1</v>
      </c>
      <c r="I1025" s="1106">
        <f>10980.4+11431.7+4500+3650+1700</f>
        <v>32262.1</v>
      </c>
      <c r="J1025" s="1106">
        <f>10980.4+11431.7+4500+3700+1700</f>
        <v>32312.1</v>
      </c>
      <c r="K1025" s="1108" t="s">
        <v>1165</v>
      </c>
      <c r="L1025" s="660" t="s">
        <v>495</v>
      </c>
      <c r="M1025" s="660">
        <v>180</v>
      </c>
      <c r="N1025" s="660">
        <v>180</v>
      </c>
      <c r="O1025" s="661">
        <v>200</v>
      </c>
      <c r="P1025" s="661">
        <v>200</v>
      </c>
      <c r="Q1025" s="662">
        <v>200</v>
      </c>
    </row>
    <row r="1026" spans="1:17" ht="66" customHeight="1" x14ac:dyDescent="0.25">
      <c r="A1026" s="994"/>
      <c r="B1026" s="997"/>
      <c r="C1026" s="997"/>
      <c r="D1026" s="997"/>
      <c r="E1026" s="1037"/>
      <c r="F1026" s="1011"/>
      <c r="G1026" s="1011"/>
      <c r="H1026" s="1106"/>
      <c r="I1026" s="1106"/>
      <c r="J1026" s="1106"/>
      <c r="K1026" s="1108"/>
      <c r="L1026" s="660"/>
      <c r="M1026" s="660">
        <v>19</v>
      </c>
      <c r="N1026" s="660">
        <v>19</v>
      </c>
      <c r="O1026" s="661">
        <v>20</v>
      </c>
      <c r="P1026" s="661">
        <v>20</v>
      </c>
      <c r="Q1026" s="662">
        <v>25</v>
      </c>
    </row>
    <row r="1027" spans="1:17" x14ac:dyDescent="0.25">
      <c r="A1027" s="994"/>
      <c r="B1027" s="997"/>
      <c r="C1027" s="997" t="s">
        <v>37</v>
      </c>
      <c r="D1027" s="997"/>
      <c r="E1027" s="1037" t="s">
        <v>1166</v>
      </c>
      <c r="F1027" s="1010">
        <v>25370.6</v>
      </c>
      <c r="G1027" s="1010">
        <v>24743.200000000001</v>
      </c>
      <c r="H1027" s="1106">
        <f>4586.7+12524.2+7347.9+850</f>
        <v>25308.800000000003</v>
      </c>
      <c r="I1027" s="1106">
        <f>4586.7+12524.2+7347.9+881.6</f>
        <v>25340.400000000001</v>
      </c>
      <c r="J1027" s="1106">
        <f>4586.7+12524.2+7347.9+881.5</f>
        <v>25340.300000000003</v>
      </c>
      <c r="K1027" s="1108" t="s">
        <v>1167</v>
      </c>
      <c r="L1027" s="1103" t="s">
        <v>495</v>
      </c>
      <c r="M1027" s="1103">
        <v>18</v>
      </c>
      <c r="N1027" s="1103">
        <v>18</v>
      </c>
      <c r="O1027" s="1104">
        <v>25</v>
      </c>
      <c r="P1027" s="1104">
        <v>25</v>
      </c>
      <c r="Q1027" s="1105">
        <v>26</v>
      </c>
    </row>
    <row r="1028" spans="1:17" ht="102" customHeight="1" x14ac:dyDescent="0.25">
      <c r="A1028" s="994"/>
      <c r="B1028" s="997"/>
      <c r="C1028" s="997"/>
      <c r="D1028" s="997"/>
      <c r="E1028" s="1037"/>
      <c r="F1028" s="1011"/>
      <c r="G1028" s="1011"/>
      <c r="H1028" s="1106"/>
      <c r="I1028" s="1106"/>
      <c r="J1028" s="1106"/>
      <c r="K1028" s="1108"/>
      <c r="L1028" s="1103"/>
      <c r="M1028" s="1103"/>
      <c r="N1028" s="1103"/>
      <c r="O1028" s="1104"/>
      <c r="P1028" s="1104"/>
      <c r="Q1028" s="1105"/>
    </row>
    <row r="1029" spans="1:17" x14ac:dyDescent="0.25">
      <c r="A1029" s="994"/>
      <c r="B1029" s="995" t="s">
        <v>699</v>
      </c>
      <c r="C1029" s="997"/>
      <c r="D1029" s="997"/>
      <c r="E1029" s="998" t="s">
        <v>1168</v>
      </c>
      <c r="F1029" s="1002">
        <f>F1031+F1033+F1035</f>
        <v>58509.8</v>
      </c>
      <c r="G1029" s="1002">
        <f>G1031+G1033+G1035</f>
        <v>54476.2</v>
      </c>
      <c r="H1029" s="1002">
        <f>H1031+H1033+H1035</f>
        <v>61177.799999999996</v>
      </c>
      <c r="I1029" s="1002">
        <f>I1031+I1033+I1035</f>
        <v>61177.799999999996</v>
      </c>
      <c r="J1029" s="1002">
        <f>J1031+J1033+J1035</f>
        <v>61277.799999999996</v>
      </c>
      <c r="K1029" s="1110" t="s">
        <v>1169</v>
      </c>
      <c r="L1029" s="1103" t="s">
        <v>495</v>
      </c>
      <c r="M1029" s="1103"/>
      <c r="N1029" s="1103"/>
      <c r="O1029" s="1104"/>
      <c r="P1029" s="1104"/>
      <c r="Q1029" s="1105"/>
    </row>
    <row r="1030" spans="1:17" x14ac:dyDescent="0.25">
      <c r="A1030" s="994"/>
      <c r="B1030" s="995"/>
      <c r="C1030" s="997"/>
      <c r="D1030" s="997"/>
      <c r="E1030" s="998"/>
      <c r="F1030" s="1109"/>
      <c r="G1030" s="1109"/>
      <c r="H1030" s="1002"/>
      <c r="I1030" s="1002"/>
      <c r="J1030" s="1002"/>
      <c r="K1030" s="1111"/>
      <c r="L1030" s="1103"/>
      <c r="M1030" s="1103"/>
      <c r="N1030" s="1103"/>
      <c r="O1030" s="1104"/>
      <c r="P1030" s="1104"/>
      <c r="Q1030" s="1105"/>
    </row>
    <row r="1031" spans="1:17" x14ac:dyDescent="0.25">
      <c r="A1031" s="994"/>
      <c r="B1031" s="997"/>
      <c r="C1031" s="997" t="s">
        <v>43</v>
      </c>
      <c r="D1031" s="997"/>
      <c r="E1031" s="1037" t="s">
        <v>1170</v>
      </c>
      <c r="F1031" s="1106">
        <v>16730.599999999999</v>
      </c>
      <c r="G1031" s="1106">
        <v>15560</v>
      </c>
      <c r="H1031" s="1106">
        <f>7433.6+8104.3+3000</f>
        <v>18537.900000000001</v>
      </c>
      <c r="I1031" s="1106">
        <f>7433.6+8104.3+3000</f>
        <v>18537.900000000001</v>
      </c>
      <c r="J1031" s="1106">
        <f>7433.6+8104.3+3000</f>
        <v>18537.900000000001</v>
      </c>
      <c r="K1031" s="1037" t="s">
        <v>1171</v>
      </c>
      <c r="L1031" s="1103" t="s">
        <v>495</v>
      </c>
      <c r="M1031" s="1103">
        <v>30</v>
      </c>
      <c r="N1031" s="1103">
        <v>30</v>
      </c>
      <c r="O1031" s="1104">
        <v>35</v>
      </c>
      <c r="P1031" s="1104">
        <v>35</v>
      </c>
      <c r="Q1031" s="1105">
        <v>40</v>
      </c>
    </row>
    <row r="1032" spans="1:17" ht="105.75" customHeight="1" x14ac:dyDescent="0.25">
      <c r="A1032" s="994"/>
      <c r="B1032" s="997"/>
      <c r="C1032" s="997"/>
      <c r="D1032" s="997"/>
      <c r="E1032" s="1037"/>
      <c r="F1032" s="1106"/>
      <c r="G1032" s="1106"/>
      <c r="H1032" s="1106"/>
      <c r="I1032" s="1106"/>
      <c r="J1032" s="1106"/>
      <c r="K1032" s="1037"/>
      <c r="L1032" s="1103"/>
      <c r="M1032" s="1103"/>
      <c r="N1032" s="1103"/>
      <c r="O1032" s="1104"/>
      <c r="P1032" s="1104"/>
      <c r="Q1032" s="1105"/>
    </row>
    <row r="1033" spans="1:17" x14ac:dyDescent="0.25">
      <c r="A1033" s="994"/>
      <c r="B1033" s="997"/>
      <c r="C1033" s="997" t="s">
        <v>48</v>
      </c>
      <c r="D1033" s="997"/>
      <c r="E1033" s="1037" t="s">
        <v>1172</v>
      </c>
      <c r="F1033" s="1106">
        <v>23832.7</v>
      </c>
      <c r="G1033" s="1106">
        <v>19304.2</v>
      </c>
      <c r="H1033" s="1106">
        <f>14814.6+4382+3869.1</f>
        <v>23065.699999999997</v>
      </c>
      <c r="I1033" s="1106">
        <f>14814.6+4382+3869.1</f>
        <v>23065.699999999997</v>
      </c>
      <c r="J1033" s="1106">
        <f>14814.6+4382+3869.1</f>
        <v>23065.699999999997</v>
      </c>
      <c r="K1033" s="1037" t="s">
        <v>1433</v>
      </c>
      <c r="L1033" s="1103" t="s">
        <v>495</v>
      </c>
      <c r="M1033" s="1103">
        <v>6</v>
      </c>
      <c r="N1033" s="1103">
        <v>6</v>
      </c>
      <c r="O1033" s="1104">
        <v>8</v>
      </c>
      <c r="P1033" s="1104">
        <v>8</v>
      </c>
      <c r="Q1033" s="1105">
        <v>9</v>
      </c>
    </row>
    <row r="1034" spans="1:17" ht="65.25" customHeight="1" x14ac:dyDescent="0.25">
      <c r="A1034" s="994"/>
      <c r="B1034" s="997"/>
      <c r="C1034" s="997"/>
      <c r="D1034" s="997"/>
      <c r="E1034" s="1037"/>
      <c r="F1034" s="1106"/>
      <c r="G1034" s="1106"/>
      <c r="H1034" s="1106"/>
      <c r="I1034" s="1106"/>
      <c r="J1034" s="1106"/>
      <c r="K1034" s="1037"/>
      <c r="L1034" s="1103"/>
      <c r="M1034" s="1103"/>
      <c r="N1034" s="1103"/>
      <c r="O1034" s="1104"/>
      <c r="P1034" s="1104"/>
      <c r="Q1034" s="1105"/>
    </row>
    <row r="1035" spans="1:17" x14ac:dyDescent="0.25">
      <c r="A1035" s="994"/>
      <c r="B1035" s="997"/>
      <c r="C1035" s="997" t="s">
        <v>37</v>
      </c>
      <c r="D1035" s="997"/>
      <c r="E1035" s="1037" t="s">
        <v>1173</v>
      </c>
      <c r="F1035" s="1106">
        <v>17946.5</v>
      </c>
      <c r="G1035" s="1106">
        <v>19612</v>
      </c>
      <c r="H1035" s="1106">
        <f>7366.9+6798.4+2110.4+3298.5</f>
        <v>19574.199999999997</v>
      </c>
      <c r="I1035" s="1106">
        <f>7366.9+6798.4+2110.4+3298.5</f>
        <v>19574.199999999997</v>
      </c>
      <c r="J1035" s="1106">
        <f>7366.9+6798.4+2110.4+3298.5+100</f>
        <v>19674.199999999997</v>
      </c>
      <c r="K1035" s="1037" t="s">
        <v>1174</v>
      </c>
      <c r="L1035" s="660" t="s">
        <v>495</v>
      </c>
      <c r="M1035" s="660">
        <v>18</v>
      </c>
      <c r="N1035" s="660">
        <v>18</v>
      </c>
      <c r="O1035" s="661">
        <v>20</v>
      </c>
      <c r="P1035" s="661">
        <v>20</v>
      </c>
      <c r="Q1035" s="662">
        <v>21</v>
      </c>
    </row>
    <row r="1036" spans="1:17" ht="47.25" customHeight="1" x14ac:dyDescent="0.25">
      <c r="A1036" s="994"/>
      <c r="B1036" s="997"/>
      <c r="C1036" s="997"/>
      <c r="D1036" s="997"/>
      <c r="E1036" s="1037"/>
      <c r="F1036" s="1106"/>
      <c r="G1036" s="1106"/>
      <c r="H1036" s="1106"/>
      <c r="I1036" s="1106"/>
      <c r="J1036" s="1106"/>
      <c r="K1036" s="1037"/>
      <c r="L1036" s="660" t="s">
        <v>495</v>
      </c>
      <c r="M1036" s="660">
        <v>22</v>
      </c>
      <c r="N1036" s="660">
        <v>22</v>
      </c>
      <c r="O1036" s="661">
        <v>25</v>
      </c>
      <c r="P1036" s="661">
        <v>25</v>
      </c>
      <c r="Q1036" s="662">
        <v>30</v>
      </c>
    </row>
    <row r="1037" spans="1:17" x14ac:dyDescent="0.25">
      <c r="A1037" s="992" t="s">
        <v>23</v>
      </c>
      <c r="B1037" s="993"/>
      <c r="C1037" s="993"/>
      <c r="D1037" s="993"/>
      <c r="E1037" s="993"/>
      <c r="F1037" s="360">
        <f>F1008+F1012+F1021+F1029</f>
        <v>310482.89999999997</v>
      </c>
      <c r="G1037" s="360">
        <f>G1008+G1012+G1021+G1029</f>
        <v>352925.30000000005</v>
      </c>
      <c r="H1037" s="360">
        <f>H1008+H1012+H1029+H1021</f>
        <v>385332.8</v>
      </c>
      <c r="I1037" s="360">
        <f>I1008+I1012+I1029+I1021</f>
        <v>392496.8</v>
      </c>
      <c r="J1037" s="360">
        <f>J1008+J1012+J1029+J1021</f>
        <v>403426.7</v>
      </c>
      <c r="K1037" s="361"/>
      <c r="L1037" s="361"/>
      <c r="M1037" s="361"/>
      <c r="N1037" s="362"/>
      <c r="O1037" s="362"/>
      <c r="P1037" s="362"/>
      <c r="Q1037" s="600"/>
    </row>
    <row r="1038" spans="1:17" ht="26.25" customHeight="1" x14ac:dyDescent="0.25">
      <c r="A1038" s="1041" t="s">
        <v>1313</v>
      </c>
      <c r="B1038" s="1042"/>
      <c r="C1038" s="1042"/>
      <c r="D1038" s="1042"/>
      <c r="E1038" s="1042"/>
      <c r="F1038" s="1042"/>
      <c r="G1038" s="1042"/>
      <c r="H1038" s="1042"/>
      <c r="I1038" s="1042"/>
      <c r="J1038" s="1042"/>
      <c r="K1038" s="1042"/>
      <c r="L1038" s="1042"/>
      <c r="M1038" s="1042"/>
      <c r="N1038" s="1042"/>
      <c r="O1038" s="1042"/>
      <c r="P1038" s="1042"/>
      <c r="Q1038" s="1043"/>
    </row>
    <row r="1039" spans="1:17" x14ac:dyDescent="0.25">
      <c r="A1039" s="994">
        <v>81</v>
      </c>
      <c r="B1039" s="1044" t="s">
        <v>1175</v>
      </c>
      <c r="C1039" s="1046"/>
      <c r="D1039" s="1046"/>
      <c r="E1039" s="1107" t="s">
        <v>1306</v>
      </c>
      <c r="F1039" s="1021">
        <f>F1041</f>
        <v>156607.27575</v>
      </c>
      <c r="G1039" s="1021">
        <f>G1041</f>
        <v>152233.20000000001</v>
      </c>
      <c r="H1039" s="1021">
        <f>H1041</f>
        <v>289741.8</v>
      </c>
      <c r="I1039" s="1021">
        <f>I1041</f>
        <v>287257.7</v>
      </c>
      <c r="J1039" s="1021">
        <f>J1041</f>
        <v>293932.79999999999</v>
      </c>
      <c r="K1039" s="1057" t="s">
        <v>1176</v>
      </c>
      <c r="L1039" s="1058" t="s">
        <v>123</v>
      </c>
      <c r="M1039" s="1058">
        <v>4281</v>
      </c>
      <c r="N1039" s="1059">
        <v>5800</v>
      </c>
      <c r="O1039" s="1059">
        <v>7135</v>
      </c>
      <c r="P1039" s="1059">
        <v>7200</v>
      </c>
      <c r="Q1039" s="1060">
        <v>7450</v>
      </c>
    </row>
    <row r="1040" spans="1:17" ht="33.75" customHeight="1" x14ac:dyDescent="0.25">
      <c r="A1040" s="994"/>
      <c r="B1040" s="1044"/>
      <c r="C1040" s="1046"/>
      <c r="D1040" s="1046"/>
      <c r="E1040" s="1020"/>
      <c r="F1040" s="1021"/>
      <c r="G1040" s="1021"/>
      <c r="H1040" s="1021"/>
      <c r="I1040" s="1021"/>
      <c r="J1040" s="1021"/>
      <c r="K1040" s="1057"/>
      <c r="L1040" s="1058"/>
      <c r="M1040" s="1058"/>
      <c r="N1040" s="1059"/>
      <c r="O1040" s="1059"/>
      <c r="P1040" s="1059"/>
      <c r="Q1040" s="1060"/>
    </row>
    <row r="1041" spans="1:17" ht="15" customHeight="1" x14ac:dyDescent="0.25">
      <c r="A1041" s="994"/>
      <c r="B1041" s="984"/>
      <c r="C1041" s="891" t="s">
        <v>43</v>
      </c>
      <c r="D1041" s="984"/>
      <c r="E1041" s="802" t="s">
        <v>1177</v>
      </c>
      <c r="F1041" s="985">
        <v>156607.27575</v>
      </c>
      <c r="G1041" s="985">
        <v>152233.20000000001</v>
      </c>
      <c r="H1041" s="985">
        <f>212341.8+70200+7200</f>
        <v>289741.8</v>
      </c>
      <c r="I1041" s="985">
        <f>216457.7+70800</f>
        <v>287257.7</v>
      </c>
      <c r="J1041" s="985">
        <f>222932.7+71000+0.1</f>
        <v>293932.79999999999</v>
      </c>
      <c r="K1041" s="802" t="s">
        <v>1176</v>
      </c>
      <c r="L1041" s="986" t="s">
        <v>123</v>
      </c>
      <c r="M1041" s="986">
        <v>4281</v>
      </c>
      <c r="N1041" s="987">
        <v>5800</v>
      </c>
      <c r="O1041" s="987">
        <v>7135</v>
      </c>
      <c r="P1041" s="987">
        <v>7200</v>
      </c>
      <c r="Q1041" s="988">
        <v>7450</v>
      </c>
    </row>
    <row r="1042" spans="1:17" x14ac:dyDescent="0.25">
      <c r="A1042" s="992" t="s">
        <v>23</v>
      </c>
      <c r="B1042" s="993"/>
      <c r="C1042" s="993"/>
      <c r="D1042" s="993"/>
      <c r="E1042" s="993"/>
      <c r="F1042" s="360">
        <f>F1039</f>
        <v>156607.27575</v>
      </c>
      <c r="G1042" s="360">
        <f>G1039</f>
        <v>152233.20000000001</v>
      </c>
      <c r="H1042" s="360">
        <f>H1039</f>
        <v>289741.8</v>
      </c>
      <c r="I1042" s="360">
        <f>I1039</f>
        <v>287257.7</v>
      </c>
      <c r="J1042" s="360">
        <f>J1039</f>
        <v>293932.79999999999</v>
      </c>
      <c r="K1042" s="361"/>
      <c r="L1042" s="361"/>
      <c r="M1042" s="361"/>
      <c r="N1042" s="362"/>
      <c r="O1042" s="362"/>
      <c r="P1042" s="362"/>
      <c r="Q1042" s="600"/>
    </row>
    <row r="1043" spans="1:17" ht="26.25" customHeight="1" x14ac:dyDescent="0.25">
      <c r="A1043" s="1041" t="s">
        <v>1178</v>
      </c>
      <c r="B1043" s="1042"/>
      <c r="C1043" s="1042"/>
      <c r="D1043" s="1042"/>
      <c r="E1043" s="1042"/>
      <c r="F1043" s="1042"/>
      <c r="G1043" s="1042"/>
      <c r="H1043" s="1042"/>
      <c r="I1043" s="1042"/>
      <c r="J1043" s="1042"/>
      <c r="K1043" s="1042"/>
      <c r="L1043" s="1042"/>
      <c r="M1043" s="1042"/>
      <c r="N1043" s="1042"/>
      <c r="O1043" s="1042"/>
      <c r="P1043" s="1042"/>
      <c r="Q1043" s="1043"/>
    </row>
    <row r="1044" spans="1:17" ht="59.25" x14ac:dyDescent="0.25">
      <c r="A1044" s="994">
        <v>82</v>
      </c>
      <c r="B1044" s="622">
        <v>1</v>
      </c>
      <c r="C1044" s="623"/>
      <c r="D1044" s="624"/>
      <c r="E1044" s="363" t="s">
        <v>1406</v>
      </c>
      <c r="F1044" s="242">
        <f>F1045+F1046+F1047+F1048+F1049+F1050+F1051+F1052</f>
        <v>12238</v>
      </c>
      <c r="G1044" s="242">
        <f>G1045+G1046+G1047+G1048+G1049+G1050+G1051+G1052</f>
        <v>11753.8</v>
      </c>
      <c r="H1044" s="242">
        <f>H1045+H1046+H1047+H1048+H1049+H1050+H1051+H1052</f>
        <v>13174.2</v>
      </c>
      <c r="I1044" s="242">
        <f>I1045+I1046+I1047+I1048+I1049+I1050+I1051+I1052</f>
        <v>13443.4</v>
      </c>
      <c r="J1044" s="242">
        <f>J1045+J1046+J1047+J1048+J1049+J1050+J1051+J1052</f>
        <v>13866.9</v>
      </c>
      <c r="K1044" s="364" t="s">
        <v>224</v>
      </c>
      <c r="L1044" s="365" t="s">
        <v>19</v>
      </c>
      <c r="M1044" s="366">
        <v>1</v>
      </c>
      <c r="N1044" s="366">
        <v>1</v>
      </c>
      <c r="O1044" s="366">
        <v>1</v>
      </c>
      <c r="P1044" s="366">
        <v>1</v>
      </c>
      <c r="Q1044" s="601">
        <v>1</v>
      </c>
    </row>
    <row r="1045" spans="1:17" ht="30" x14ac:dyDescent="0.25">
      <c r="A1045" s="994"/>
      <c r="B1045" s="622"/>
      <c r="C1045" s="623">
        <v>1</v>
      </c>
      <c r="D1045" s="624"/>
      <c r="E1045" s="718" t="s">
        <v>11</v>
      </c>
      <c r="F1045" s="367">
        <v>1362.4</v>
      </c>
      <c r="G1045" s="368">
        <v>1386.5</v>
      </c>
      <c r="H1045" s="368">
        <v>7701.3</v>
      </c>
      <c r="I1045" s="368">
        <v>7970.5</v>
      </c>
      <c r="J1045" s="368">
        <v>8394</v>
      </c>
      <c r="K1045" s="654" t="s">
        <v>9</v>
      </c>
      <c r="L1045" s="365" t="s">
        <v>69</v>
      </c>
      <c r="M1045" s="369" t="s">
        <v>687</v>
      </c>
      <c r="N1045" s="370" t="s">
        <v>687</v>
      </c>
      <c r="O1045" s="370" t="s">
        <v>687</v>
      </c>
      <c r="P1045" s="370" t="s">
        <v>687</v>
      </c>
      <c r="Q1045" s="602" t="s">
        <v>687</v>
      </c>
    </row>
    <row r="1046" spans="1:17" x14ac:dyDescent="0.25">
      <c r="A1046" s="994"/>
      <c r="B1046" s="622"/>
      <c r="C1046" s="623">
        <v>2</v>
      </c>
      <c r="D1046" s="624"/>
      <c r="E1046" s="718" t="s">
        <v>1179</v>
      </c>
      <c r="F1046" s="367">
        <v>859.2</v>
      </c>
      <c r="G1046" s="368">
        <v>1443.2</v>
      </c>
      <c r="H1046" s="368">
        <v>5472.9</v>
      </c>
      <c r="I1046" s="368">
        <v>5472.9</v>
      </c>
      <c r="J1046" s="368">
        <v>5472.9</v>
      </c>
      <c r="K1046" s="654" t="s">
        <v>99</v>
      </c>
      <c r="L1046" s="365" t="s">
        <v>19</v>
      </c>
      <c r="M1046" s="371">
        <v>1</v>
      </c>
      <c r="N1046" s="371">
        <v>1</v>
      </c>
      <c r="O1046" s="371">
        <v>1</v>
      </c>
      <c r="P1046" s="371">
        <v>1</v>
      </c>
      <c r="Q1046" s="603">
        <v>1</v>
      </c>
    </row>
    <row r="1047" spans="1:17" ht="30" x14ac:dyDescent="0.25">
      <c r="A1047" s="994"/>
      <c r="B1047" s="622"/>
      <c r="C1047" s="623">
        <v>3</v>
      </c>
      <c r="D1047" s="624" t="s">
        <v>70</v>
      </c>
      <c r="E1047" s="718" t="s">
        <v>71</v>
      </c>
      <c r="F1047" s="367">
        <v>581</v>
      </c>
      <c r="G1047" s="368">
        <v>371</v>
      </c>
      <c r="H1047" s="368">
        <v>0</v>
      </c>
      <c r="I1047" s="368">
        <v>0</v>
      </c>
      <c r="J1047" s="368">
        <v>0</v>
      </c>
      <c r="K1047" s="372" t="s">
        <v>229</v>
      </c>
      <c r="L1047" s="365"/>
      <c r="M1047" s="371">
        <v>1</v>
      </c>
      <c r="N1047" s="371">
        <v>1</v>
      </c>
      <c r="O1047" s="371">
        <v>1</v>
      </c>
      <c r="P1047" s="371">
        <v>1</v>
      </c>
      <c r="Q1047" s="603">
        <v>1</v>
      </c>
    </row>
    <row r="1048" spans="1:17" ht="30" x14ac:dyDescent="0.25">
      <c r="A1048" s="994"/>
      <c r="B1048" s="622"/>
      <c r="C1048" s="623">
        <v>4</v>
      </c>
      <c r="D1048" s="624"/>
      <c r="E1048" s="718" t="s">
        <v>74</v>
      </c>
      <c r="F1048" s="367">
        <v>567</v>
      </c>
      <c r="G1048" s="368">
        <v>417</v>
      </c>
      <c r="H1048" s="368">
        <v>0</v>
      </c>
      <c r="I1048" s="368">
        <v>0</v>
      </c>
      <c r="J1048" s="368">
        <v>0</v>
      </c>
      <c r="K1048" s="372" t="s">
        <v>72</v>
      </c>
      <c r="L1048" s="365"/>
      <c r="M1048" s="369">
        <v>0</v>
      </c>
      <c r="N1048" s="373">
        <v>0</v>
      </c>
      <c r="O1048" s="373">
        <v>0</v>
      </c>
      <c r="P1048" s="373">
        <v>0</v>
      </c>
      <c r="Q1048" s="604">
        <v>0</v>
      </c>
    </row>
    <row r="1049" spans="1:17" ht="30" x14ac:dyDescent="0.25">
      <c r="A1049" s="994"/>
      <c r="B1049" s="622"/>
      <c r="C1049" s="623">
        <v>5</v>
      </c>
      <c r="D1049" s="624" t="s">
        <v>70</v>
      </c>
      <c r="E1049" s="718" t="s">
        <v>168</v>
      </c>
      <c r="F1049" s="367">
        <v>500</v>
      </c>
      <c r="G1049" s="368">
        <v>370</v>
      </c>
      <c r="H1049" s="368">
        <v>0</v>
      </c>
      <c r="I1049" s="368">
        <v>0</v>
      </c>
      <c r="J1049" s="368">
        <v>0</v>
      </c>
      <c r="K1049" s="372" t="s">
        <v>78</v>
      </c>
      <c r="L1049" s="365"/>
      <c r="M1049" s="369">
        <v>47</v>
      </c>
      <c r="N1049" s="374">
        <v>42</v>
      </c>
      <c r="O1049" s="374">
        <v>55</v>
      </c>
      <c r="P1049" s="374">
        <v>60</v>
      </c>
      <c r="Q1049" s="605">
        <v>53</v>
      </c>
    </row>
    <row r="1050" spans="1:17" ht="45" x14ac:dyDescent="0.25">
      <c r="A1050" s="994"/>
      <c r="B1050" s="622"/>
      <c r="C1050" s="623">
        <v>6</v>
      </c>
      <c r="D1050" s="624"/>
      <c r="E1050" s="718" t="s">
        <v>169</v>
      </c>
      <c r="F1050" s="367">
        <v>1520</v>
      </c>
      <c r="G1050" s="368">
        <v>1722.7</v>
      </c>
      <c r="H1050" s="368">
        <v>0</v>
      </c>
      <c r="I1050" s="368">
        <v>0</v>
      </c>
      <c r="J1050" s="368">
        <v>0</v>
      </c>
      <c r="K1050" s="372" t="s">
        <v>170</v>
      </c>
      <c r="L1050" s="365"/>
      <c r="M1050" s="369">
        <v>7.6</v>
      </c>
      <c r="N1050" s="375">
        <v>7.1</v>
      </c>
      <c r="O1050" s="375">
        <v>7.4</v>
      </c>
      <c r="P1050" s="375">
        <v>6.8</v>
      </c>
      <c r="Q1050" s="606">
        <v>7.1</v>
      </c>
    </row>
    <row r="1051" spans="1:17" ht="78.75" customHeight="1" x14ac:dyDescent="0.25">
      <c r="A1051" s="994"/>
      <c r="B1051" s="622"/>
      <c r="C1051" s="623">
        <v>7</v>
      </c>
      <c r="D1051" s="624"/>
      <c r="E1051" s="718" t="s">
        <v>1180</v>
      </c>
      <c r="F1051" s="367">
        <v>2339.4</v>
      </c>
      <c r="G1051" s="368">
        <v>2032.7</v>
      </c>
      <c r="H1051" s="368">
        <v>0</v>
      </c>
      <c r="I1051" s="368">
        <v>0</v>
      </c>
      <c r="J1051" s="368">
        <v>0</v>
      </c>
      <c r="K1051" s="372" t="s">
        <v>1181</v>
      </c>
      <c r="L1051" s="365"/>
      <c r="M1051" s="371">
        <v>1</v>
      </c>
      <c r="N1051" s="376">
        <v>1</v>
      </c>
      <c r="O1051" s="376">
        <v>1</v>
      </c>
      <c r="P1051" s="376">
        <v>1</v>
      </c>
      <c r="Q1051" s="607">
        <v>1</v>
      </c>
    </row>
    <row r="1052" spans="1:17" ht="45" x14ac:dyDescent="0.25">
      <c r="A1052" s="994"/>
      <c r="B1052" s="622"/>
      <c r="C1052" s="623">
        <v>8</v>
      </c>
      <c r="D1052" s="624"/>
      <c r="E1052" s="718" t="s">
        <v>165</v>
      </c>
      <c r="F1052" s="367">
        <v>4509</v>
      </c>
      <c r="G1052" s="368">
        <v>4010.7</v>
      </c>
      <c r="H1052" s="368">
        <v>0</v>
      </c>
      <c r="I1052" s="368">
        <v>0</v>
      </c>
      <c r="J1052" s="368">
        <v>0</v>
      </c>
      <c r="K1052" s="372" t="s">
        <v>1182</v>
      </c>
      <c r="L1052" s="365"/>
      <c r="M1052" s="377">
        <v>0.80510000000000004</v>
      </c>
      <c r="N1052" s="378">
        <v>0.85509999999999997</v>
      </c>
      <c r="O1052" s="376">
        <v>0.9</v>
      </c>
      <c r="P1052" s="378">
        <v>0.89100000000000001</v>
      </c>
      <c r="Q1052" s="607">
        <v>0.92</v>
      </c>
    </row>
    <row r="1053" spans="1:17" ht="132.75" x14ac:dyDescent="0.25">
      <c r="A1053" s="994"/>
      <c r="B1053" s="622">
        <v>822</v>
      </c>
      <c r="C1053" s="623"/>
      <c r="D1053" s="624"/>
      <c r="E1053" s="364" t="s">
        <v>1259</v>
      </c>
      <c r="F1053" s="379">
        <f>F1054+F1055+F1056+F1057+F1059</f>
        <v>516.9</v>
      </c>
      <c r="G1053" s="379">
        <f>G1054+G1055+G1056+G1057+G1059</f>
        <v>714</v>
      </c>
      <c r="H1053" s="379">
        <f>H1054+H1055+H1056+H1057+H1059</f>
        <v>714</v>
      </c>
      <c r="I1053" s="379">
        <f>I1054+I1055+I1056+I1057+I1059</f>
        <v>714</v>
      </c>
      <c r="J1053" s="379">
        <f>J1054+J1055+J1056+J1057+J1059</f>
        <v>714</v>
      </c>
      <c r="K1053" s="380" t="s">
        <v>1183</v>
      </c>
      <c r="L1053" s="381" t="s">
        <v>19</v>
      </c>
      <c r="M1053" s="382">
        <v>100</v>
      </c>
      <c r="N1053" s="382">
        <v>100</v>
      </c>
      <c r="O1053" s="382">
        <v>100</v>
      </c>
      <c r="P1053" s="382">
        <v>100</v>
      </c>
      <c r="Q1053" s="608">
        <v>100</v>
      </c>
    </row>
    <row r="1054" spans="1:17" ht="43.5" customHeight="1" x14ac:dyDescent="0.25">
      <c r="A1054" s="994"/>
      <c r="B1054" s="622"/>
      <c r="C1054" s="623" t="s">
        <v>43</v>
      </c>
      <c r="D1054" s="624"/>
      <c r="E1054" s="383" t="s">
        <v>1184</v>
      </c>
      <c r="F1054" s="655">
        <v>133.9</v>
      </c>
      <c r="G1054" s="656">
        <v>238</v>
      </c>
      <c r="H1054" s="656">
        <v>238</v>
      </c>
      <c r="I1054" s="656">
        <v>238</v>
      </c>
      <c r="J1054" s="656">
        <v>238</v>
      </c>
      <c r="K1054" s="383" t="s">
        <v>1185</v>
      </c>
      <c r="L1054" s="384" t="s">
        <v>14</v>
      </c>
      <c r="M1054" s="365">
        <v>54</v>
      </c>
      <c r="N1054" s="375">
        <v>55</v>
      </c>
      <c r="O1054" s="375">
        <v>50</v>
      </c>
      <c r="P1054" s="375">
        <v>48</v>
      </c>
      <c r="Q1054" s="606">
        <v>53</v>
      </c>
    </row>
    <row r="1055" spans="1:17" ht="60" x14ac:dyDescent="0.25">
      <c r="A1055" s="994"/>
      <c r="B1055" s="622"/>
      <c r="C1055" s="623" t="s">
        <v>48</v>
      </c>
      <c r="D1055" s="624"/>
      <c r="E1055" s="383" t="s">
        <v>1186</v>
      </c>
      <c r="F1055" s="655">
        <v>132</v>
      </c>
      <c r="G1055" s="656">
        <v>132</v>
      </c>
      <c r="H1055" s="656">
        <v>132</v>
      </c>
      <c r="I1055" s="656">
        <v>132</v>
      </c>
      <c r="J1055" s="656">
        <v>132</v>
      </c>
      <c r="K1055" s="383" t="s">
        <v>1407</v>
      </c>
      <c r="L1055" s="384" t="s">
        <v>14</v>
      </c>
      <c r="M1055" s="365">
        <v>66</v>
      </c>
      <c r="N1055" s="375">
        <v>59</v>
      </c>
      <c r="O1055" s="375">
        <v>55</v>
      </c>
      <c r="P1055" s="375">
        <v>61</v>
      </c>
      <c r="Q1055" s="606">
        <v>49</v>
      </c>
    </row>
    <row r="1056" spans="1:17" ht="75" x14ac:dyDescent="0.25">
      <c r="A1056" s="994"/>
      <c r="B1056" s="622"/>
      <c r="C1056" s="623" t="s">
        <v>37</v>
      </c>
      <c r="D1056" s="624"/>
      <c r="E1056" s="383" t="s">
        <v>1187</v>
      </c>
      <c r="F1056" s="655">
        <v>131</v>
      </c>
      <c r="G1056" s="656">
        <v>131</v>
      </c>
      <c r="H1056" s="656">
        <v>131</v>
      </c>
      <c r="I1056" s="656">
        <v>131</v>
      </c>
      <c r="J1056" s="656">
        <v>131</v>
      </c>
      <c r="K1056" s="383" t="s">
        <v>1408</v>
      </c>
      <c r="L1056" s="385" t="s">
        <v>19</v>
      </c>
      <c r="M1056" s="371">
        <v>1</v>
      </c>
      <c r="N1056" s="376">
        <v>1</v>
      </c>
      <c r="O1056" s="376">
        <v>1</v>
      </c>
      <c r="P1056" s="376">
        <v>1</v>
      </c>
      <c r="Q1056" s="607">
        <v>1</v>
      </c>
    </row>
    <row r="1057" spans="1:17" ht="48" customHeight="1" x14ac:dyDescent="0.25">
      <c r="A1057" s="994"/>
      <c r="B1057" s="1051"/>
      <c r="C1057" s="1101" t="s">
        <v>73</v>
      </c>
      <c r="D1057" s="1102"/>
      <c r="E1057" s="1036" t="s">
        <v>1188</v>
      </c>
      <c r="F1057" s="1039">
        <v>0</v>
      </c>
      <c r="G1057" s="1040">
        <v>93</v>
      </c>
      <c r="H1057" s="1040">
        <v>93</v>
      </c>
      <c r="I1057" s="1040">
        <v>93</v>
      </c>
      <c r="J1057" s="1040">
        <v>93</v>
      </c>
      <c r="K1057" s="383" t="s">
        <v>1189</v>
      </c>
      <c r="L1057" s="384" t="s">
        <v>14</v>
      </c>
      <c r="M1057" s="365">
        <v>795</v>
      </c>
      <c r="N1057" s="386">
        <v>810</v>
      </c>
      <c r="O1057" s="386">
        <v>750</v>
      </c>
      <c r="P1057" s="386">
        <v>850</v>
      </c>
      <c r="Q1057" s="609">
        <v>690</v>
      </c>
    </row>
    <row r="1058" spans="1:17" ht="48" customHeight="1" x14ac:dyDescent="0.25">
      <c r="A1058" s="994"/>
      <c r="B1058" s="1051"/>
      <c r="C1058" s="1101"/>
      <c r="D1058" s="1102"/>
      <c r="E1058" s="1036"/>
      <c r="F1058" s="1039"/>
      <c r="G1058" s="1040"/>
      <c r="H1058" s="1040"/>
      <c r="I1058" s="1040"/>
      <c r="J1058" s="1040"/>
      <c r="K1058" s="383" t="s">
        <v>1190</v>
      </c>
      <c r="L1058" s="384" t="s">
        <v>111</v>
      </c>
      <c r="M1058" s="373">
        <v>0</v>
      </c>
      <c r="N1058" s="386">
        <v>100</v>
      </c>
      <c r="O1058" s="386">
        <v>80</v>
      </c>
      <c r="P1058" s="386">
        <v>95</v>
      </c>
      <c r="Q1058" s="609">
        <v>70</v>
      </c>
    </row>
    <row r="1059" spans="1:17" ht="60" x14ac:dyDescent="0.25">
      <c r="A1059" s="994"/>
      <c r="B1059" s="622"/>
      <c r="C1059" s="623" t="s">
        <v>76</v>
      </c>
      <c r="D1059" s="624"/>
      <c r="E1059" s="383" t="s">
        <v>1191</v>
      </c>
      <c r="F1059" s="655">
        <v>120</v>
      </c>
      <c r="G1059" s="656">
        <v>120</v>
      </c>
      <c r="H1059" s="656">
        <v>120</v>
      </c>
      <c r="I1059" s="656">
        <v>120</v>
      </c>
      <c r="J1059" s="656">
        <v>120</v>
      </c>
      <c r="K1059" s="383" t="s">
        <v>1192</v>
      </c>
      <c r="L1059" s="384" t="s">
        <v>19</v>
      </c>
      <c r="M1059" s="371">
        <v>1</v>
      </c>
      <c r="N1059" s="376">
        <v>1</v>
      </c>
      <c r="O1059" s="376">
        <v>1</v>
      </c>
      <c r="P1059" s="376">
        <v>1</v>
      </c>
      <c r="Q1059" s="607">
        <v>1</v>
      </c>
    </row>
    <row r="1060" spans="1:17" x14ac:dyDescent="0.25">
      <c r="A1060" s="990" t="s">
        <v>23</v>
      </c>
      <c r="B1060" s="991"/>
      <c r="C1060" s="991"/>
      <c r="D1060" s="991"/>
      <c r="E1060" s="991"/>
      <c r="F1060" s="714">
        <f>F1044+F1053</f>
        <v>12754.9</v>
      </c>
      <c r="G1060" s="714">
        <f>G1044+G1053</f>
        <v>12467.8</v>
      </c>
      <c r="H1060" s="714">
        <f>H1044+H1053</f>
        <v>13888.2</v>
      </c>
      <c r="I1060" s="714">
        <f>I1044+I1053</f>
        <v>14157.4</v>
      </c>
      <c r="J1060" s="714">
        <f>J1044+J1053</f>
        <v>14580.9</v>
      </c>
      <c r="K1060" s="387" t="s">
        <v>70</v>
      </c>
      <c r="L1060" s="387" t="s">
        <v>70</v>
      </c>
      <c r="M1060" s="387"/>
      <c r="N1060" s="387"/>
      <c r="O1060" s="387"/>
      <c r="P1060" s="387"/>
      <c r="Q1060" s="610"/>
    </row>
    <row r="1061" spans="1:17" ht="28.5" customHeight="1" x14ac:dyDescent="0.25">
      <c r="A1061" s="1041" t="s">
        <v>1490</v>
      </c>
      <c r="B1061" s="1042"/>
      <c r="C1061" s="1042"/>
      <c r="D1061" s="1042"/>
      <c r="E1061" s="1042"/>
      <c r="F1061" s="1042"/>
      <c r="G1061" s="1042"/>
      <c r="H1061" s="1042"/>
      <c r="I1061" s="1042"/>
      <c r="J1061" s="1042"/>
      <c r="K1061" s="1042"/>
      <c r="L1061" s="1042"/>
      <c r="M1061" s="1042"/>
      <c r="N1061" s="1042"/>
      <c r="O1061" s="1042"/>
      <c r="P1061" s="1042"/>
      <c r="Q1061" s="1043"/>
    </row>
    <row r="1062" spans="1:17" x14ac:dyDescent="0.25">
      <c r="A1062" s="994">
        <v>84</v>
      </c>
      <c r="B1062" s="463">
        <v>842</v>
      </c>
      <c r="C1062" s="223"/>
      <c r="D1062" s="223"/>
      <c r="E1062" s="684" t="s">
        <v>1434</v>
      </c>
      <c r="F1062" s="388">
        <f>F1063</f>
        <v>472.9</v>
      </c>
      <c r="G1062" s="388">
        <f>G1063</f>
        <v>481.3</v>
      </c>
      <c r="H1062" s="388">
        <f>H1063</f>
        <v>481.3</v>
      </c>
      <c r="I1062" s="388">
        <f>I1063</f>
        <v>490.6</v>
      </c>
      <c r="J1062" s="388">
        <f>J1063</f>
        <v>505.3</v>
      </c>
      <c r="K1062" s="389"/>
      <c r="L1062" s="389"/>
      <c r="M1062" s="389"/>
      <c r="N1062" s="389"/>
      <c r="O1062" s="389"/>
      <c r="P1062" s="389"/>
      <c r="Q1062" s="611"/>
    </row>
    <row r="1063" spans="1:17" ht="66" customHeight="1" x14ac:dyDescent="0.25">
      <c r="A1063" s="994"/>
      <c r="B1063" s="463"/>
      <c r="C1063" s="320">
        <v>1</v>
      </c>
      <c r="D1063" s="683"/>
      <c r="E1063" s="669" t="s">
        <v>1435</v>
      </c>
      <c r="F1063" s="390">
        <v>472.9</v>
      </c>
      <c r="G1063" s="390">
        <v>481.3</v>
      </c>
      <c r="H1063" s="390">
        <v>481.3</v>
      </c>
      <c r="I1063" s="390">
        <v>490.6</v>
      </c>
      <c r="J1063" s="390">
        <v>505.3</v>
      </c>
      <c r="K1063" s="673" t="s">
        <v>1409</v>
      </c>
      <c r="L1063" s="677" t="s">
        <v>19</v>
      </c>
      <c r="M1063" s="731">
        <v>100</v>
      </c>
      <c r="N1063" s="731">
        <v>100</v>
      </c>
      <c r="O1063" s="731">
        <v>100</v>
      </c>
      <c r="P1063" s="731">
        <v>100</v>
      </c>
      <c r="Q1063" s="732">
        <v>100</v>
      </c>
    </row>
    <row r="1064" spans="1:17" x14ac:dyDescent="0.25">
      <c r="A1064" s="990" t="s">
        <v>23</v>
      </c>
      <c r="B1064" s="991"/>
      <c r="C1064" s="991"/>
      <c r="D1064" s="991"/>
      <c r="E1064" s="991"/>
      <c r="F1064" s="714">
        <f>F1062</f>
        <v>472.9</v>
      </c>
      <c r="G1064" s="714">
        <f>G1062</f>
        <v>481.3</v>
      </c>
      <c r="H1064" s="714">
        <f>H1062</f>
        <v>481.3</v>
      </c>
      <c r="I1064" s="714">
        <f>I1062</f>
        <v>490.6</v>
      </c>
      <c r="J1064" s="714">
        <f>J1062</f>
        <v>505.3</v>
      </c>
      <c r="K1064" s="387"/>
      <c r="L1064" s="387"/>
      <c r="M1064" s="387"/>
      <c r="N1064" s="387"/>
      <c r="O1064" s="387"/>
      <c r="P1064" s="387"/>
      <c r="Q1064" s="610"/>
    </row>
    <row r="1065" spans="1:17" ht="24.75" customHeight="1" x14ac:dyDescent="0.25">
      <c r="A1065" s="1041" t="s">
        <v>1492</v>
      </c>
      <c r="B1065" s="1042"/>
      <c r="C1065" s="1042"/>
      <c r="D1065" s="1042"/>
      <c r="E1065" s="1042"/>
      <c r="F1065" s="1042"/>
      <c r="G1065" s="1042"/>
      <c r="H1065" s="1042"/>
      <c r="I1065" s="1042"/>
      <c r="J1065" s="1042"/>
      <c r="K1065" s="1042"/>
      <c r="L1065" s="1042"/>
      <c r="M1065" s="1042"/>
      <c r="N1065" s="1042"/>
      <c r="O1065" s="1042"/>
      <c r="P1065" s="1042"/>
      <c r="Q1065" s="1043"/>
    </row>
    <row r="1066" spans="1:17" ht="18.75" customHeight="1" x14ac:dyDescent="0.25">
      <c r="A1066" s="1041" t="s">
        <v>1491</v>
      </c>
      <c r="B1066" s="1042"/>
      <c r="C1066" s="1042"/>
      <c r="D1066" s="1042"/>
      <c r="E1066" s="1042"/>
      <c r="F1066" s="1042"/>
      <c r="G1066" s="1042"/>
      <c r="H1066" s="1042"/>
      <c r="I1066" s="1042"/>
      <c r="J1066" s="1042"/>
      <c r="K1066" s="1042"/>
      <c r="L1066" s="1042"/>
      <c r="M1066" s="1042"/>
      <c r="N1066" s="1042"/>
      <c r="O1066" s="1042"/>
      <c r="P1066" s="1042"/>
      <c r="Q1066" s="1043"/>
    </row>
    <row r="1067" spans="1:17" x14ac:dyDescent="0.25">
      <c r="A1067" s="994">
        <v>85</v>
      </c>
      <c r="B1067" s="34" t="s">
        <v>8</v>
      </c>
      <c r="C1067" s="637"/>
      <c r="D1067" s="752"/>
      <c r="E1067" s="391" t="s">
        <v>303</v>
      </c>
      <c r="F1067" s="297">
        <f>F1068</f>
        <v>16468</v>
      </c>
      <c r="G1067" s="297">
        <f>G1068</f>
        <v>17137.8</v>
      </c>
      <c r="H1067" s="379">
        <f>H1068</f>
        <v>18617.8</v>
      </c>
      <c r="I1067" s="379">
        <f>I1068</f>
        <v>17517.8</v>
      </c>
      <c r="J1067" s="379">
        <f>J1068</f>
        <v>17517.8</v>
      </c>
      <c r="K1067" s="741" t="s">
        <v>9</v>
      </c>
      <c r="L1067" s="637" t="s">
        <v>19</v>
      </c>
      <c r="M1067" s="637">
        <v>76</v>
      </c>
      <c r="N1067" s="637">
        <v>85</v>
      </c>
      <c r="O1067" s="637">
        <v>90</v>
      </c>
      <c r="P1067" s="637">
        <v>95</v>
      </c>
      <c r="Q1067" s="638">
        <v>100</v>
      </c>
    </row>
    <row r="1068" spans="1:17" x14ac:dyDescent="0.25">
      <c r="A1068" s="994"/>
      <c r="B1068" s="1044"/>
      <c r="C1068" s="1045" t="s">
        <v>43</v>
      </c>
      <c r="D1068" s="1045"/>
      <c r="E1068" s="1057" t="s">
        <v>11</v>
      </c>
      <c r="F1068" s="1050">
        <v>16468</v>
      </c>
      <c r="G1068" s="1050">
        <v>17137.8</v>
      </c>
      <c r="H1068" s="1050">
        <f>17152+1100+365.8</f>
        <v>18617.8</v>
      </c>
      <c r="I1068" s="1050">
        <f>17152+365.8</f>
        <v>17517.8</v>
      </c>
      <c r="J1068" s="1050">
        <f>17152+365.8</f>
        <v>17517.8</v>
      </c>
      <c r="K1068" s="1057" t="s">
        <v>9</v>
      </c>
      <c r="L1068" s="1058" t="s">
        <v>19</v>
      </c>
      <c r="M1068" s="1058">
        <v>76</v>
      </c>
      <c r="N1068" s="1059">
        <v>85</v>
      </c>
      <c r="O1068" s="1059">
        <v>90</v>
      </c>
      <c r="P1068" s="1059">
        <v>95</v>
      </c>
      <c r="Q1068" s="1060">
        <v>100</v>
      </c>
    </row>
    <row r="1069" spans="1:17" x14ac:dyDescent="0.25">
      <c r="A1069" s="994"/>
      <c r="B1069" s="1044"/>
      <c r="C1069" s="1045"/>
      <c r="D1069" s="1045"/>
      <c r="E1069" s="1057"/>
      <c r="F1069" s="1050"/>
      <c r="G1069" s="1050"/>
      <c r="H1069" s="1050"/>
      <c r="I1069" s="1050"/>
      <c r="J1069" s="1050"/>
      <c r="K1069" s="1057"/>
      <c r="L1069" s="1058"/>
      <c r="M1069" s="1058"/>
      <c r="N1069" s="1059"/>
      <c r="O1069" s="1059"/>
      <c r="P1069" s="1059"/>
      <c r="Q1069" s="1060"/>
    </row>
    <row r="1070" spans="1:17" x14ac:dyDescent="0.25">
      <c r="A1070" s="994"/>
      <c r="B1070" s="1044" t="s">
        <v>1193</v>
      </c>
      <c r="C1070" s="1045"/>
      <c r="D1070" s="1045"/>
      <c r="E1070" s="1020" t="s">
        <v>1260</v>
      </c>
      <c r="F1070" s="1021">
        <f>F1072+F1074</f>
        <v>228473.5</v>
      </c>
      <c r="G1070" s="1021">
        <f>G1072+G1074</f>
        <v>226906.1</v>
      </c>
      <c r="H1070" s="1021">
        <f>H1072+H1074</f>
        <v>237407.19999999998</v>
      </c>
      <c r="I1070" s="1021">
        <f>I1072+I1074</f>
        <v>243857.69999999998</v>
      </c>
      <c r="J1070" s="1021">
        <f>J1072+J1074</f>
        <v>252177.4</v>
      </c>
      <c r="K1070" s="1057"/>
      <c r="L1070" s="1058"/>
      <c r="M1070" s="1058"/>
      <c r="N1070" s="1099"/>
      <c r="O1070" s="1099"/>
      <c r="P1070" s="1099"/>
      <c r="Q1070" s="1100"/>
    </row>
    <row r="1071" spans="1:17" ht="39.75" customHeight="1" x14ac:dyDescent="0.25">
      <c r="A1071" s="994"/>
      <c r="B1071" s="1044"/>
      <c r="C1071" s="1045"/>
      <c r="D1071" s="1045"/>
      <c r="E1071" s="1020"/>
      <c r="F1071" s="1021"/>
      <c r="G1071" s="1021"/>
      <c r="H1071" s="1021"/>
      <c r="I1071" s="1021"/>
      <c r="J1071" s="1021"/>
      <c r="K1071" s="1057"/>
      <c r="L1071" s="1058"/>
      <c r="M1071" s="1058"/>
      <c r="N1071" s="1099"/>
      <c r="O1071" s="1099"/>
      <c r="P1071" s="1099"/>
      <c r="Q1071" s="1100"/>
    </row>
    <row r="1072" spans="1:17" x14ac:dyDescent="0.25">
      <c r="A1072" s="994"/>
      <c r="B1072" s="1098"/>
      <c r="C1072" s="1045" t="s">
        <v>43</v>
      </c>
      <c r="D1072" s="1045"/>
      <c r="E1072" s="1057" t="s">
        <v>1194</v>
      </c>
      <c r="F1072" s="1050">
        <v>120911.3</v>
      </c>
      <c r="G1072" s="1050">
        <v>112709.3</v>
      </c>
      <c r="H1072" s="1050">
        <f>112728.9+10526.4</f>
        <v>123255.29999999999</v>
      </c>
      <c r="I1072" s="1050">
        <f>112728.9+10526.4</f>
        <v>123255.29999999999</v>
      </c>
      <c r="J1072" s="1050">
        <f>112728.9+10526.4</f>
        <v>123255.29999999999</v>
      </c>
      <c r="K1072" s="1057" t="s">
        <v>1195</v>
      </c>
      <c r="L1072" s="1058" t="s">
        <v>1196</v>
      </c>
      <c r="M1072" s="1058">
        <v>49410</v>
      </c>
      <c r="N1072" s="1059">
        <v>49275</v>
      </c>
      <c r="O1072" s="1059">
        <v>49275</v>
      </c>
      <c r="P1072" s="1059">
        <v>49275</v>
      </c>
      <c r="Q1072" s="1060">
        <v>49410</v>
      </c>
    </row>
    <row r="1073" spans="1:17" x14ac:dyDescent="0.25">
      <c r="A1073" s="994"/>
      <c r="B1073" s="1098"/>
      <c r="C1073" s="1045"/>
      <c r="D1073" s="1045"/>
      <c r="E1073" s="1057"/>
      <c r="F1073" s="1050"/>
      <c r="G1073" s="1050"/>
      <c r="H1073" s="1050"/>
      <c r="I1073" s="1050"/>
      <c r="J1073" s="1050"/>
      <c r="K1073" s="1057"/>
      <c r="L1073" s="1058"/>
      <c r="M1073" s="1058"/>
      <c r="N1073" s="1059"/>
      <c r="O1073" s="1059"/>
      <c r="P1073" s="1059"/>
      <c r="Q1073" s="1060"/>
    </row>
    <row r="1074" spans="1:17" x14ac:dyDescent="0.25">
      <c r="A1074" s="994"/>
      <c r="B1074" s="1098"/>
      <c r="C1074" s="1045" t="s">
        <v>48</v>
      </c>
      <c r="D1074" s="1045"/>
      <c r="E1074" s="1057" t="s">
        <v>1688</v>
      </c>
      <c r="F1074" s="1050">
        <v>107562.2</v>
      </c>
      <c r="G1074" s="1050">
        <v>114196.8</v>
      </c>
      <c r="H1074" s="1050">
        <v>114151.9</v>
      </c>
      <c r="I1074" s="1050">
        <v>120602.4</v>
      </c>
      <c r="J1074" s="1050">
        <v>128922.1</v>
      </c>
      <c r="K1074" s="1057" t="s">
        <v>1197</v>
      </c>
      <c r="L1074" s="1058" t="s">
        <v>19</v>
      </c>
      <c r="M1074" s="1058">
        <v>100</v>
      </c>
      <c r="N1074" s="1059">
        <v>100</v>
      </c>
      <c r="O1074" s="1059">
        <v>100</v>
      </c>
      <c r="P1074" s="1059">
        <v>100</v>
      </c>
      <c r="Q1074" s="1060">
        <v>100</v>
      </c>
    </row>
    <row r="1075" spans="1:17" x14ac:dyDescent="0.25">
      <c r="A1075" s="994"/>
      <c r="B1075" s="1098"/>
      <c r="C1075" s="1045"/>
      <c r="D1075" s="1045"/>
      <c r="E1075" s="1057"/>
      <c r="F1075" s="1050"/>
      <c r="G1075" s="1050"/>
      <c r="H1075" s="1050"/>
      <c r="I1075" s="1050"/>
      <c r="J1075" s="1050"/>
      <c r="K1075" s="1057"/>
      <c r="L1075" s="1058"/>
      <c r="M1075" s="1058"/>
      <c r="N1075" s="1059"/>
      <c r="O1075" s="1059"/>
      <c r="P1075" s="1059"/>
      <c r="Q1075" s="1060"/>
    </row>
    <row r="1076" spans="1:17" x14ac:dyDescent="0.25">
      <c r="A1076" s="994"/>
      <c r="B1076" s="1044" t="s">
        <v>1198</v>
      </c>
      <c r="C1076" s="1045"/>
      <c r="D1076" s="1045"/>
      <c r="E1076" s="1020" t="s">
        <v>1261</v>
      </c>
      <c r="F1076" s="1021">
        <f>F1078+F1079+F1080</f>
        <v>141928.70000000001</v>
      </c>
      <c r="G1076" s="1021">
        <f>G1078+G1079+G1080</f>
        <v>129023.7</v>
      </c>
      <c r="H1076" s="1021">
        <f>H1078+H1079+H1080</f>
        <v>130835.79999999999</v>
      </c>
      <c r="I1076" s="1021">
        <f>I1078+I1079+I1080</f>
        <v>130835.79999999999</v>
      </c>
      <c r="J1076" s="1021">
        <f>J1078+J1079+J1080</f>
        <v>132235.9</v>
      </c>
      <c r="K1076" s="1057" t="s">
        <v>70</v>
      </c>
      <c r="L1076" s="1058"/>
      <c r="M1076" s="641"/>
      <c r="N1076" s="721"/>
      <c r="O1076" s="721"/>
      <c r="P1076" s="721"/>
      <c r="Q1076" s="722"/>
    </row>
    <row r="1077" spans="1:17" ht="45" customHeight="1" x14ac:dyDescent="0.25">
      <c r="A1077" s="994"/>
      <c r="B1077" s="1044"/>
      <c r="C1077" s="1045"/>
      <c r="D1077" s="1045"/>
      <c r="E1077" s="1020"/>
      <c r="F1077" s="1021"/>
      <c r="G1077" s="1021"/>
      <c r="H1077" s="1021"/>
      <c r="I1077" s="1021"/>
      <c r="J1077" s="1021"/>
      <c r="K1077" s="1057"/>
      <c r="L1077" s="1058"/>
      <c r="M1077" s="641"/>
      <c r="N1077" s="721"/>
      <c r="O1077" s="721"/>
      <c r="P1077" s="721"/>
      <c r="Q1077" s="722"/>
    </row>
    <row r="1078" spans="1:17" ht="19.5" customHeight="1" x14ac:dyDescent="0.25">
      <c r="A1078" s="994"/>
      <c r="B1078" s="472"/>
      <c r="C1078" s="682" t="s">
        <v>43</v>
      </c>
      <c r="D1078" s="682"/>
      <c r="E1078" s="392" t="s">
        <v>1199</v>
      </c>
      <c r="F1078" s="151">
        <v>33592.800000000003</v>
      </c>
      <c r="G1078" s="151">
        <v>32320.2</v>
      </c>
      <c r="H1078" s="151">
        <f>32386.4+1801</f>
        <v>34187.4</v>
      </c>
      <c r="I1078" s="151">
        <f>32386.4+1801</f>
        <v>34187.4</v>
      </c>
      <c r="J1078" s="151">
        <f>32386.4+0.1+1801</f>
        <v>34187.5</v>
      </c>
      <c r="K1078" s="394" t="s">
        <v>1195</v>
      </c>
      <c r="L1078" s="637" t="s">
        <v>1196</v>
      </c>
      <c r="M1078" s="637">
        <v>21960</v>
      </c>
      <c r="N1078" s="637">
        <v>21900</v>
      </c>
      <c r="O1078" s="637">
        <v>21900</v>
      </c>
      <c r="P1078" s="637">
        <v>21900</v>
      </c>
      <c r="Q1078" s="638">
        <v>21960</v>
      </c>
    </row>
    <row r="1079" spans="1:17" ht="30" x14ac:dyDescent="0.25">
      <c r="A1079" s="994"/>
      <c r="B1079" s="472"/>
      <c r="C1079" s="682" t="s">
        <v>48</v>
      </c>
      <c r="D1079" s="682"/>
      <c r="E1079" s="393" t="s">
        <v>1200</v>
      </c>
      <c r="F1079" s="719">
        <v>81569.8</v>
      </c>
      <c r="G1079" s="719">
        <v>72858.5</v>
      </c>
      <c r="H1079" s="151">
        <v>77100</v>
      </c>
      <c r="I1079" s="151">
        <v>77100</v>
      </c>
      <c r="J1079" s="151">
        <v>78500</v>
      </c>
      <c r="K1079" s="394" t="s">
        <v>1201</v>
      </c>
      <c r="L1079" s="637" t="s">
        <v>19</v>
      </c>
      <c r="M1079" s="637">
        <v>90</v>
      </c>
      <c r="N1079" s="637">
        <v>95</v>
      </c>
      <c r="O1079" s="637">
        <v>98</v>
      </c>
      <c r="P1079" s="637">
        <v>100</v>
      </c>
      <c r="Q1079" s="638">
        <v>100</v>
      </c>
    </row>
    <row r="1080" spans="1:17" ht="30" x14ac:dyDescent="0.25">
      <c r="A1080" s="994"/>
      <c r="B1080" s="472"/>
      <c r="C1080" s="682" t="s">
        <v>37</v>
      </c>
      <c r="D1080" s="682"/>
      <c r="E1080" s="393" t="s">
        <v>1202</v>
      </c>
      <c r="F1080" s="719">
        <v>26766.1</v>
      </c>
      <c r="G1080" s="719">
        <v>23845</v>
      </c>
      <c r="H1080" s="151">
        <v>19548.400000000001</v>
      </c>
      <c r="I1080" s="151">
        <v>19548.400000000001</v>
      </c>
      <c r="J1080" s="151">
        <v>19548.400000000001</v>
      </c>
      <c r="K1080" s="621" t="s">
        <v>1197</v>
      </c>
      <c r="L1080" s="637" t="s">
        <v>19</v>
      </c>
      <c r="M1080" s="637">
        <v>100</v>
      </c>
      <c r="N1080" s="637">
        <v>100</v>
      </c>
      <c r="O1080" s="637">
        <v>100</v>
      </c>
      <c r="P1080" s="637">
        <v>100</v>
      </c>
      <c r="Q1080" s="638">
        <v>100</v>
      </c>
    </row>
    <row r="1081" spans="1:17" ht="44.25" x14ac:dyDescent="0.25">
      <c r="A1081" s="994"/>
      <c r="B1081" s="473" t="s">
        <v>1203</v>
      </c>
      <c r="C1081" s="682"/>
      <c r="D1081" s="682"/>
      <c r="E1081" s="395" t="s">
        <v>1262</v>
      </c>
      <c r="F1081" s="297">
        <f>F1082</f>
        <v>11263.8</v>
      </c>
      <c r="G1081" s="297">
        <f>G1082</f>
        <v>11263.8</v>
      </c>
      <c r="H1081" s="379">
        <f>H1082</f>
        <v>11263.8</v>
      </c>
      <c r="I1081" s="379">
        <f>I1082</f>
        <v>12262.9</v>
      </c>
      <c r="J1081" s="379">
        <f>J1082</f>
        <v>14262.8</v>
      </c>
      <c r="K1081" s="394"/>
      <c r="L1081" s="101"/>
      <c r="M1081" s="101"/>
      <c r="N1081" s="101"/>
      <c r="O1081" s="101"/>
      <c r="P1081" s="101"/>
      <c r="Q1081" s="612"/>
    </row>
    <row r="1082" spans="1:17" ht="42" customHeight="1" x14ac:dyDescent="0.25">
      <c r="A1082" s="994"/>
      <c r="B1082" s="472"/>
      <c r="C1082" s="682" t="s">
        <v>43</v>
      </c>
      <c r="D1082" s="167"/>
      <c r="E1082" s="393" t="s">
        <v>1204</v>
      </c>
      <c r="F1082" s="719">
        <v>11263.8</v>
      </c>
      <c r="G1082" s="719">
        <v>11263.8</v>
      </c>
      <c r="H1082" s="151">
        <v>11263.8</v>
      </c>
      <c r="I1082" s="151">
        <v>12262.9</v>
      </c>
      <c r="J1082" s="151">
        <f>14262.9-0.1</f>
        <v>14262.8</v>
      </c>
      <c r="K1082" s="396" t="s">
        <v>1205</v>
      </c>
      <c r="L1082" s="637" t="s">
        <v>17</v>
      </c>
      <c r="M1082" s="637">
        <v>37</v>
      </c>
      <c r="N1082" s="637">
        <v>75</v>
      </c>
      <c r="O1082" s="637">
        <v>37</v>
      </c>
      <c r="P1082" s="637">
        <v>37</v>
      </c>
      <c r="Q1082" s="638">
        <v>37</v>
      </c>
    </row>
    <row r="1083" spans="1:17" x14ac:dyDescent="0.25">
      <c r="A1083" s="990" t="s">
        <v>23</v>
      </c>
      <c r="B1083" s="991"/>
      <c r="C1083" s="991"/>
      <c r="D1083" s="991"/>
      <c r="E1083" s="991"/>
      <c r="F1083" s="714">
        <f>F1067+F1070+F1076+F1081</f>
        <v>398134</v>
      </c>
      <c r="G1083" s="714">
        <f>G1067+G1070+G1076+G1081</f>
        <v>384331.39999999997</v>
      </c>
      <c r="H1083" s="268">
        <f>H1067+H1070+H1076+H1081</f>
        <v>398124.59999999992</v>
      </c>
      <c r="I1083" s="268">
        <f>I1067+I1070+I1076+I1081</f>
        <v>404474.19999999995</v>
      </c>
      <c r="J1083" s="268">
        <f>J1067+J1070+J1076+J1081</f>
        <v>416193.89999999997</v>
      </c>
      <c r="K1083" s="397"/>
      <c r="L1083" s="387"/>
      <c r="M1083" s="387"/>
      <c r="N1083" s="387"/>
      <c r="O1083" s="387"/>
      <c r="P1083" s="387"/>
      <c r="Q1083" s="610"/>
    </row>
    <row r="1084" spans="1:17" x14ac:dyDescent="0.25">
      <c r="A1084" s="1041" t="s">
        <v>1436</v>
      </c>
      <c r="B1084" s="1042"/>
      <c r="C1084" s="1042"/>
      <c r="D1084" s="1042"/>
      <c r="E1084" s="1042"/>
      <c r="F1084" s="1042"/>
      <c r="G1084" s="1042"/>
      <c r="H1084" s="1042"/>
      <c r="I1084" s="1042"/>
      <c r="J1084" s="1042"/>
      <c r="K1084" s="1042"/>
      <c r="L1084" s="1042"/>
      <c r="M1084" s="1042"/>
      <c r="N1084" s="1042"/>
      <c r="O1084" s="1042"/>
      <c r="P1084" s="1042"/>
      <c r="Q1084" s="1043"/>
    </row>
    <row r="1085" spans="1:17" ht="59.25" x14ac:dyDescent="0.25">
      <c r="A1085" s="994">
        <v>85</v>
      </c>
      <c r="B1085" s="474">
        <v>1</v>
      </c>
      <c r="C1085" s="677"/>
      <c r="D1085" s="731"/>
      <c r="E1085" s="24" t="s">
        <v>1246</v>
      </c>
      <c r="F1085" s="398">
        <f>F1086</f>
        <v>18855.099999999999</v>
      </c>
      <c r="G1085" s="398">
        <f>G1086</f>
        <v>17516.900000000001</v>
      </c>
      <c r="H1085" s="398">
        <f>H1086</f>
        <v>16824.2</v>
      </c>
      <c r="I1085" s="398">
        <f>I1086</f>
        <v>17024.2</v>
      </c>
      <c r="J1085" s="398">
        <f>J1086</f>
        <v>17670.599999999999</v>
      </c>
      <c r="K1085" s="684" t="s">
        <v>224</v>
      </c>
      <c r="L1085" s="731" t="s">
        <v>19</v>
      </c>
      <c r="M1085" s="731"/>
      <c r="N1085" s="731"/>
      <c r="O1085" s="731"/>
      <c r="P1085" s="731"/>
      <c r="Q1085" s="732"/>
    </row>
    <row r="1086" spans="1:17" ht="30" x14ac:dyDescent="0.25">
      <c r="A1086" s="994"/>
      <c r="B1086" s="474"/>
      <c r="C1086" s="475">
        <v>1</v>
      </c>
      <c r="D1086" s="677"/>
      <c r="E1086" s="289" t="s">
        <v>1206</v>
      </c>
      <c r="F1086" s="399">
        <v>18855.099999999999</v>
      </c>
      <c r="G1086" s="400">
        <v>17516.900000000001</v>
      </c>
      <c r="H1086" s="399">
        <v>16824.2</v>
      </c>
      <c r="I1086" s="399">
        <v>17024.2</v>
      </c>
      <c r="J1086" s="399">
        <v>17670.599999999999</v>
      </c>
      <c r="K1086" s="673" t="s">
        <v>9</v>
      </c>
      <c r="L1086" s="677" t="s">
        <v>69</v>
      </c>
      <c r="M1086" s="731"/>
      <c r="N1086" s="731"/>
      <c r="O1086" s="731"/>
      <c r="P1086" s="731"/>
      <c r="Q1086" s="732"/>
    </row>
    <row r="1087" spans="1:17" ht="87.75" x14ac:dyDescent="0.25">
      <c r="A1087" s="994"/>
      <c r="B1087" s="34" t="s">
        <v>1207</v>
      </c>
      <c r="C1087" s="746"/>
      <c r="D1087" s="746"/>
      <c r="E1087" s="684" t="s">
        <v>1263</v>
      </c>
      <c r="F1087" s="685">
        <f>SUM(F1088:F1089)</f>
        <v>66776.399999999994</v>
      </c>
      <c r="G1087" s="685">
        <f>SUM(G1088:G1089)</f>
        <v>70726.8</v>
      </c>
      <c r="H1087" s="685">
        <f>SUM(H1088:H1089)</f>
        <v>85591.299999999988</v>
      </c>
      <c r="I1087" s="685">
        <f>SUM(I1088:I1089)</f>
        <v>77182.599999999991</v>
      </c>
      <c r="J1087" s="685">
        <f>SUM(J1088:J1089)</f>
        <v>79354.3</v>
      </c>
      <c r="K1087" s="24" t="s">
        <v>1208</v>
      </c>
      <c r="L1087" s="677" t="s">
        <v>19</v>
      </c>
      <c r="M1087" s="27">
        <v>1</v>
      </c>
      <c r="N1087" s="27">
        <v>1</v>
      </c>
      <c r="O1087" s="27">
        <v>1</v>
      </c>
      <c r="P1087" s="27">
        <v>1</v>
      </c>
      <c r="Q1087" s="613">
        <v>1</v>
      </c>
    </row>
    <row r="1088" spans="1:17" ht="30" x14ac:dyDescent="0.25">
      <c r="A1088" s="994"/>
      <c r="B1088" s="34"/>
      <c r="C1088" s="746" t="s">
        <v>43</v>
      </c>
      <c r="D1088" s="746"/>
      <c r="E1088" s="648" t="s">
        <v>1209</v>
      </c>
      <c r="F1088" s="399">
        <v>57501.1</v>
      </c>
      <c r="G1088" s="401">
        <v>61500.5</v>
      </c>
      <c r="H1088" s="399">
        <v>66091.899999999994</v>
      </c>
      <c r="I1088" s="399">
        <v>66191.899999999994</v>
      </c>
      <c r="J1088" s="399">
        <v>66745.5</v>
      </c>
      <c r="K1088" s="648" t="s">
        <v>1210</v>
      </c>
      <c r="L1088" s="677" t="s">
        <v>19</v>
      </c>
      <c r="M1088" s="27">
        <v>0.9</v>
      </c>
      <c r="N1088" s="27">
        <v>0.9</v>
      </c>
      <c r="O1088" s="27">
        <v>0.9</v>
      </c>
      <c r="P1088" s="27">
        <v>0.9</v>
      </c>
      <c r="Q1088" s="613">
        <v>0.9</v>
      </c>
    </row>
    <row r="1089" spans="1:17" ht="30" x14ac:dyDescent="0.25">
      <c r="A1089" s="994"/>
      <c r="B1089" s="34"/>
      <c r="C1089" s="746" t="s">
        <v>48</v>
      </c>
      <c r="D1089" s="746"/>
      <c r="E1089" s="648" t="s">
        <v>1211</v>
      </c>
      <c r="F1089" s="677">
        <v>9275.2999999999993</v>
      </c>
      <c r="G1089" s="637">
        <v>9226.2999999999993</v>
      </c>
      <c r="H1089" s="619">
        <f>9499.4+10000</f>
        <v>19499.400000000001</v>
      </c>
      <c r="I1089" s="619">
        <v>10990.7</v>
      </c>
      <c r="J1089" s="619">
        <v>12608.8</v>
      </c>
      <c r="K1089" s="648" t="s">
        <v>1212</v>
      </c>
      <c r="L1089" s="677" t="s">
        <v>19</v>
      </c>
      <c r="M1089" s="27">
        <v>0.95</v>
      </c>
      <c r="N1089" s="27">
        <v>0.95</v>
      </c>
      <c r="O1089" s="27">
        <v>0.95</v>
      </c>
      <c r="P1089" s="27">
        <v>0.95</v>
      </c>
      <c r="Q1089" s="613">
        <v>0.95</v>
      </c>
    </row>
    <row r="1090" spans="1:17" x14ac:dyDescent="0.25">
      <c r="A1090" s="990" t="s">
        <v>23</v>
      </c>
      <c r="B1090" s="991"/>
      <c r="C1090" s="991"/>
      <c r="D1090" s="991"/>
      <c r="E1090" s="991"/>
      <c r="F1090" s="714">
        <f>F1085+F1087</f>
        <v>85631.5</v>
      </c>
      <c r="G1090" s="714">
        <f>G1085+G1087</f>
        <v>88243.700000000012</v>
      </c>
      <c r="H1090" s="714">
        <f>H1085+H1087</f>
        <v>102415.49999999999</v>
      </c>
      <c r="I1090" s="714">
        <f>I1085+I1087</f>
        <v>94206.799999999988</v>
      </c>
      <c r="J1090" s="714">
        <f>J1085+J1087</f>
        <v>97024.9</v>
      </c>
      <c r="K1090" s="82"/>
      <c r="L1090" s="1063"/>
      <c r="M1090" s="1063"/>
      <c r="N1090" s="1063"/>
      <c r="O1090" s="1063"/>
      <c r="P1090" s="1063"/>
      <c r="Q1090" s="1064"/>
    </row>
    <row r="1091" spans="1:17" x14ac:dyDescent="0.25">
      <c r="A1091" s="1041" t="s">
        <v>1437</v>
      </c>
      <c r="B1091" s="1042"/>
      <c r="C1091" s="1042"/>
      <c r="D1091" s="1042"/>
      <c r="E1091" s="1042"/>
      <c r="F1091" s="1042"/>
      <c r="G1091" s="1042"/>
      <c r="H1091" s="1042"/>
      <c r="I1091" s="1042"/>
      <c r="J1091" s="1042"/>
      <c r="K1091" s="1042"/>
      <c r="L1091" s="1042"/>
      <c r="M1091" s="1042"/>
      <c r="N1091" s="1042"/>
      <c r="O1091" s="1042"/>
      <c r="P1091" s="1042"/>
      <c r="Q1091" s="1043"/>
    </row>
    <row r="1092" spans="1:17" x14ac:dyDescent="0.25">
      <c r="A1092" s="994">
        <v>85</v>
      </c>
      <c r="B1092" s="1044" t="s">
        <v>8</v>
      </c>
      <c r="C1092" s="1045"/>
      <c r="D1092" s="1045"/>
      <c r="E1092" s="1020" t="s">
        <v>303</v>
      </c>
      <c r="F1092" s="1021">
        <f>F1094+F1095+F1096+F1097+F1098</f>
        <v>6243.8</v>
      </c>
      <c r="G1092" s="1021">
        <f>G1094+G1095+G1096+G1097+G1098</f>
        <v>7661.5</v>
      </c>
      <c r="H1092" s="1021"/>
      <c r="I1092" s="1021"/>
      <c r="J1092" s="1021"/>
      <c r="K1092" s="1095" t="s">
        <v>1213</v>
      </c>
      <c r="L1092" s="1058" t="s">
        <v>304</v>
      </c>
      <c r="M1092" s="1058">
        <v>98</v>
      </c>
      <c r="N1092" s="1059">
        <v>98</v>
      </c>
      <c r="O1092" s="1059">
        <v>98</v>
      </c>
      <c r="P1092" s="1059">
        <v>98</v>
      </c>
      <c r="Q1092" s="1060">
        <v>98</v>
      </c>
    </row>
    <row r="1093" spans="1:17" x14ac:dyDescent="0.25">
      <c r="A1093" s="994"/>
      <c r="B1093" s="1044"/>
      <c r="C1093" s="1045"/>
      <c r="D1093" s="1045"/>
      <c r="E1093" s="1020"/>
      <c r="F1093" s="1021"/>
      <c r="G1093" s="1021"/>
      <c r="H1093" s="1021"/>
      <c r="I1093" s="1021"/>
      <c r="J1093" s="1021"/>
      <c r="K1093" s="1095"/>
      <c r="L1093" s="1058"/>
      <c r="M1093" s="1058"/>
      <c r="N1093" s="1059"/>
      <c r="O1093" s="1059"/>
      <c r="P1093" s="1059"/>
      <c r="Q1093" s="1060"/>
    </row>
    <row r="1094" spans="1:17" ht="30" x14ac:dyDescent="0.25">
      <c r="A1094" s="994"/>
      <c r="B1094" s="620"/>
      <c r="C1094" s="620" t="s">
        <v>43</v>
      </c>
      <c r="D1094" s="620"/>
      <c r="E1094" s="621" t="s">
        <v>11</v>
      </c>
      <c r="F1094" s="618">
        <v>1507.2</v>
      </c>
      <c r="G1094" s="618">
        <v>1574.2</v>
      </c>
      <c r="H1094" s="618"/>
      <c r="I1094" s="618"/>
      <c r="J1094" s="618"/>
      <c r="K1094" s="618"/>
      <c r="L1094" s="618"/>
      <c r="M1094" s="618"/>
      <c r="N1094" s="618"/>
      <c r="O1094" s="618"/>
      <c r="P1094" s="618"/>
      <c r="Q1094" s="587"/>
    </row>
    <row r="1095" spans="1:17" x14ac:dyDescent="0.25">
      <c r="A1095" s="994"/>
      <c r="B1095" s="620"/>
      <c r="C1095" s="620" t="s">
        <v>48</v>
      </c>
      <c r="D1095" s="620"/>
      <c r="E1095" s="621" t="s">
        <v>12</v>
      </c>
      <c r="F1095" s="618">
        <v>1130.3</v>
      </c>
      <c r="G1095" s="618">
        <v>1187.3</v>
      </c>
      <c r="H1095" s="618"/>
      <c r="I1095" s="618"/>
      <c r="J1095" s="618"/>
      <c r="K1095" s="618"/>
      <c r="L1095" s="618"/>
      <c r="M1095" s="618"/>
      <c r="N1095" s="618"/>
      <c r="O1095" s="618"/>
      <c r="P1095" s="618"/>
      <c r="Q1095" s="587"/>
    </row>
    <row r="1096" spans="1:17" x14ac:dyDescent="0.25">
      <c r="A1096" s="994"/>
      <c r="B1096" s="620"/>
      <c r="C1096" s="620" t="s">
        <v>37</v>
      </c>
      <c r="D1096" s="620"/>
      <c r="E1096" s="765" t="s">
        <v>71</v>
      </c>
      <c r="F1096" s="618">
        <v>456.5</v>
      </c>
      <c r="G1096" s="618">
        <v>460</v>
      </c>
      <c r="H1096" s="618"/>
      <c r="I1096" s="618"/>
      <c r="J1096" s="618"/>
      <c r="K1096" s="618"/>
      <c r="L1096" s="618"/>
      <c r="M1096" s="618"/>
      <c r="N1096" s="618"/>
      <c r="O1096" s="618"/>
      <c r="P1096" s="618"/>
      <c r="Q1096" s="587"/>
    </row>
    <row r="1097" spans="1:17" x14ac:dyDescent="0.25">
      <c r="A1097" s="994"/>
      <c r="B1097" s="620"/>
      <c r="C1097" s="620" t="s">
        <v>73</v>
      </c>
      <c r="D1097" s="620"/>
      <c r="E1097" s="765" t="s">
        <v>74</v>
      </c>
      <c r="F1097" s="618">
        <v>352</v>
      </c>
      <c r="G1097" s="618">
        <v>352</v>
      </c>
      <c r="H1097" s="618"/>
      <c r="I1097" s="618"/>
      <c r="J1097" s="618"/>
      <c r="K1097" s="618"/>
      <c r="L1097" s="618"/>
      <c r="M1097" s="618"/>
      <c r="N1097" s="618"/>
      <c r="O1097" s="618"/>
      <c r="P1097" s="618"/>
      <c r="Q1097" s="587"/>
    </row>
    <row r="1098" spans="1:17" ht="30" x14ac:dyDescent="0.25">
      <c r="A1098" s="994"/>
      <c r="B1098" s="620"/>
      <c r="C1098" s="620" t="s">
        <v>79</v>
      </c>
      <c r="D1098" s="620"/>
      <c r="E1098" s="765" t="s">
        <v>1214</v>
      </c>
      <c r="F1098" s="618">
        <v>2797.8</v>
      </c>
      <c r="G1098" s="618">
        <v>4088</v>
      </c>
      <c r="H1098" s="618"/>
      <c r="I1098" s="618"/>
      <c r="J1098" s="618"/>
      <c r="K1098" s="618"/>
      <c r="L1098" s="618"/>
      <c r="M1098" s="618"/>
      <c r="N1098" s="618"/>
      <c r="O1098" s="618"/>
      <c r="P1098" s="618"/>
      <c r="Q1098" s="587"/>
    </row>
    <row r="1099" spans="1:17" x14ac:dyDescent="0.25">
      <c r="A1099" s="994"/>
      <c r="B1099" s="1044" t="s">
        <v>1207</v>
      </c>
      <c r="C1099" s="1045"/>
      <c r="D1099" s="1045"/>
      <c r="E1099" s="1020" t="s">
        <v>1215</v>
      </c>
      <c r="F1099" s="1021">
        <f>F1101+F1103+F1105</f>
        <v>13865.3</v>
      </c>
      <c r="G1099" s="1021">
        <f>G1101+G1103+G1105</f>
        <v>27273.7</v>
      </c>
      <c r="H1099" s="1021"/>
      <c r="I1099" s="1021"/>
      <c r="J1099" s="1021"/>
      <c r="K1099" s="1095" t="s">
        <v>1440</v>
      </c>
      <c r="L1099" s="1058" t="s">
        <v>1196</v>
      </c>
      <c r="M1099" s="1093" t="s">
        <v>1216</v>
      </c>
      <c r="N1099" s="1093" t="s">
        <v>1216</v>
      </c>
      <c r="O1099" s="1093" t="s">
        <v>1216</v>
      </c>
      <c r="P1099" s="1093" t="s">
        <v>1216</v>
      </c>
      <c r="Q1099" s="1094" t="s">
        <v>1216</v>
      </c>
    </row>
    <row r="1100" spans="1:17" ht="33" customHeight="1" x14ac:dyDescent="0.25">
      <c r="A1100" s="994"/>
      <c r="B1100" s="1044"/>
      <c r="C1100" s="1045"/>
      <c r="D1100" s="1045"/>
      <c r="E1100" s="1020"/>
      <c r="F1100" s="1021"/>
      <c r="G1100" s="1021"/>
      <c r="H1100" s="1021"/>
      <c r="I1100" s="1021"/>
      <c r="J1100" s="1021"/>
      <c r="K1100" s="1095"/>
      <c r="L1100" s="1058"/>
      <c r="M1100" s="1093"/>
      <c r="N1100" s="1093"/>
      <c r="O1100" s="1093"/>
      <c r="P1100" s="1093"/>
      <c r="Q1100" s="1094"/>
    </row>
    <row r="1101" spans="1:17" x14ac:dyDescent="0.25">
      <c r="A1101" s="994"/>
      <c r="B1101" s="1045"/>
      <c r="C1101" s="1045" t="s">
        <v>43</v>
      </c>
      <c r="D1101" s="1045"/>
      <c r="E1101" s="1057" t="s">
        <v>1217</v>
      </c>
      <c r="F1101" s="1050">
        <v>5464</v>
      </c>
      <c r="G1101" s="1050">
        <v>5960.7</v>
      </c>
      <c r="H1101" s="1050"/>
      <c r="I1101" s="1050"/>
      <c r="J1101" s="1050"/>
      <c r="K1101" s="1095" t="s">
        <v>1438</v>
      </c>
      <c r="L1101" s="1058" t="s">
        <v>1196</v>
      </c>
      <c r="M1101" s="1093" t="s">
        <v>1218</v>
      </c>
      <c r="N1101" s="1093" t="s">
        <v>1218</v>
      </c>
      <c r="O1101" s="1093" t="s">
        <v>1218</v>
      </c>
      <c r="P1101" s="1093" t="s">
        <v>1218</v>
      </c>
      <c r="Q1101" s="1094" t="s">
        <v>1218</v>
      </c>
    </row>
    <row r="1102" spans="1:17" ht="18.75" customHeight="1" x14ac:dyDescent="0.25">
      <c r="A1102" s="994"/>
      <c r="B1102" s="1045"/>
      <c r="C1102" s="1045"/>
      <c r="D1102" s="1045"/>
      <c r="E1102" s="1057"/>
      <c r="F1102" s="1050"/>
      <c r="G1102" s="1050"/>
      <c r="H1102" s="1050"/>
      <c r="I1102" s="1050"/>
      <c r="J1102" s="1050"/>
      <c r="K1102" s="1095"/>
      <c r="L1102" s="1058"/>
      <c r="M1102" s="1093"/>
      <c r="N1102" s="1093"/>
      <c r="O1102" s="1093"/>
      <c r="P1102" s="1093"/>
      <c r="Q1102" s="1094"/>
    </row>
    <row r="1103" spans="1:17" x14ac:dyDescent="0.25">
      <c r="A1103" s="994"/>
      <c r="B1103" s="1045"/>
      <c r="C1103" s="1045" t="s">
        <v>48</v>
      </c>
      <c r="D1103" s="1045"/>
      <c r="E1103" s="1057" t="s">
        <v>1219</v>
      </c>
      <c r="F1103" s="1050">
        <v>1108</v>
      </c>
      <c r="G1103" s="1050">
        <v>1138</v>
      </c>
      <c r="H1103" s="1050"/>
      <c r="I1103" s="1050"/>
      <c r="J1103" s="1050"/>
      <c r="K1103" s="1095" t="s">
        <v>1439</v>
      </c>
      <c r="L1103" s="1058" t="s">
        <v>1196</v>
      </c>
      <c r="M1103" s="1058">
        <v>501</v>
      </c>
      <c r="N1103" s="1059">
        <v>501</v>
      </c>
      <c r="O1103" s="1059">
        <v>501</v>
      </c>
      <c r="P1103" s="1059">
        <v>501</v>
      </c>
      <c r="Q1103" s="1060">
        <v>501</v>
      </c>
    </row>
    <row r="1104" spans="1:17" x14ac:dyDescent="0.25">
      <c r="A1104" s="994"/>
      <c r="B1104" s="1045"/>
      <c r="C1104" s="1045"/>
      <c r="D1104" s="1045"/>
      <c r="E1104" s="1057"/>
      <c r="F1104" s="1050"/>
      <c r="G1104" s="1050"/>
      <c r="H1104" s="1050"/>
      <c r="I1104" s="1050"/>
      <c r="J1104" s="1050"/>
      <c r="K1104" s="1095"/>
      <c r="L1104" s="1058"/>
      <c r="M1104" s="1058"/>
      <c r="N1104" s="1059"/>
      <c r="O1104" s="1059"/>
      <c r="P1104" s="1059"/>
      <c r="Q1104" s="1060"/>
    </row>
    <row r="1105" spans="1:17" x14ac:dyDescent="0.25">
      <c r="A1105" s="994"/>
      <c r="B1105" s="1045"/>
      <c r="C1105" s="1045" t="s">
        <v>37</v>
      </c>
      <c r="D1105" s="1045"/>
      <c r="E1105" s="1057" t="s">
        <v>1220</v>
      </c>
      <c r="F1105" s="1050">
        <v>7293.3</v>
      </c>
      <c r="G1105" s="1050">
        <v>20175</v>
      </c>
      <c r="H1105" s="1050"/>
      <c r="I1105" s="1050"/>
      <c r="J1105" s="1050"/>
      <c r="K1105" s="1095" t="s">
        <v>1213</v>
      </c>
      <c r="L1105" s="1058" t="s">
        <v>19</v>
      </c>
      <c r="M1105" s="1058">
        <v>98</v>
      </c>
      <c r="N1105" s="1059">
        <v>98</v>
      </c>
      <c r="O1105" s="1059">
        <v>98</v>
      </c>
      <c r="P1105" s="1059">
        <v>98</v>
      </c>
      <c r="Q1105" s="1060">
        <v>98</v>
      </c>
    </row>
    <row r="1106" spans="1:17" x14ac:dyDescent="0.25">
      <c r="A1106" s="994"/>
      <c r="B1106" s="1045"/>
      <c r="C1106" s="1045"/>
      <c r="D1106" s="1045"/>
      <c r="E1106" s="1057"/>
      <c r="F1106" s="1050"/>
      <c r="G1106" s="1050"/>
      <c r="H1106" s="1050"/>
      <c r="I1106" s="1050"/>
      <c r="J1106" s="1050"/>
      <c r="K1106" s="1095"/>
      <c r="L1106" s="1058"/>
      <c r="M1106" s="1058"/>
      <c r="N1106" s="1059"/>
      <c r="O1106" s="1059"/>
      <c r="P1106" s="1059"/>
      <c r="Q1106" s="1060"/>
    </row>
    <row r="1107" spans="1:17" ht="36.75" customHeight="1" x14ac:dyDescent="0.25">
      <c r="A1107" s="994"/>
      <c r="B1107" s="650" t="s">
        <v>1221</v>
      </c>
      <c r="C1107" s="620"/>
      <c r="D1107" s="620"/>
      <c r="E1107" s="651" t="s">
        <v>1222</v>
      </c>
      <c r="F1107" s="618"/>
      <c r="G1107" s="618"/>
      <c r="H1107" s="652">
        <f>H1108</f>
        <v>34935.199999999997</v>
      </c>
      <c r="I1107" s="652">
        <f>I1108</f>
        <v>35612.400000000001</v>
      </c>
      <c r="J1107" s="652">
        <f>J1108</f>
        <v>36677.699999999997</v>
      </c>
      <c r="K1107" s="641" t="s">
        <v>9</v>
      </c>
      <c r="L1107" s="640" t="s">
        <v>304</v>
      </c>
      <c r="M1107" s="640">
        <v>98</v>
      </c>
      <c r="N1107" s="646">
        <v>98</v>
      </c>
      <c r="O1107" s="646">
        <v>98</v>
      </c>
      <c r="P1107" s="646">
        <v>98</v>
      </c>
      <c r="Q1107" s="647">
        <v>98</v>
      </c>
    </row>
    <row r="1108" spans="1:17" ht="45" x14ac:dyDescent="0.25">
      <c r="A1108" s="994"/>
      <c r="B1108" s="620"/>
      <c r="C1108" s="620" t="s">
        <v>43</v>
      </c>
      <c r="D1108" s="620"/>
      <c r="E1108" s="621" t="s">
        <v>1223</v>
      </c>
      <c r="F1108" s="618"/>
      <c r="G1108" s="618"/>
      <c r="H1108" s="618">
        <v>34935.199999999997</v>
      </c>
      <c r="I1108" s="618">
        <v>35612.400000000001</v>
      </c>
      <c r="J1108" s="618">
        <f>36677.7</f>
        <v>36677.699999999997</v>
      </c>
      <c r="K1108" s="641" t="s">
        <v>1440</v>
      </c>
      <c r="L1108" s="640" t="s">
        <v>1196</v>
      </c>
      <c r="M1108" s="648" t="s">
        <v>1216</v>
      </c>
      <c r="N1108" s="648" t="s">
        <v>1216</v>
      </c>
      <c r="O1108" s="648" t="s">
        <v>1216</v>
      </c>
      <c r="P1108" s="648" t="s">
        <v>1216</v>
      </c>
      <c r="Q1108" s="649" t="s">
        <v>1216</v>
      </c>
    </row>
    <row r="1109" spans="1:17" x14ac:dyDescent="0.25">
      <c r="A1109" s="990" t="s">
        <v>23</v>
      </c>
      <c r="B1109" s="991"/>
      <c r="C1109" s="991"/>
      <c r="D1109" s="991"/>
      <c r="E1109" s="991"/>
      <c r="F1109" s="268">
        <f>F1092+F1099</f>
        <v>20109.099999999999</v>
      </c>
      <c r="G1109" s="268">
        <f>G1092+G1099</f>
        <v>34935.199999999997</v>
      </c>
      <c r="H1109" s="268">
        <f>H1107</f>
        <v>34935.199999999997</v>
      </c>
      <c r="I1109" s="268">
        <f>I1107</f>
        <v>35612.400000000001</v>
      </c>
      <c r="J1109" s="268">
        <f>J1107</f>
        <v>36677.699999999997</v>
      </c>
      <c r="K1109" s="82"/>
      <c r="L1109" s="1063"/>
      <c r="M1109" s="1063"/>
      <c r="N1109" s="1063"/>
      <c r="O1109" s="1063"/>
      <c r="P1109" s="1063"/>
      <c r="Q1109" s="1064"/>
    </row>
    <row r="1110" spans="1:17" x14ac:dyDescent="0.25">
      <c r="A1110" s="990" t="s">
        <v>219</v>
      </c>
      <c r="B1110" s="991"/>
      <c r="C1110" s="991"/>
      <c r="D1110" s="991"/>
      <c r="E1110" s="991"/>
      <c r="F1110" s="268">
        <f>F1083+F1090+F1109</f>
        <v>503874.6</v>
      </c>
      <c r="G1110" s="268">
        <f>G1083+G1090+G1109</f>
        <v>507510.3</v>
      </c>
      <c r="H1110" s="268">
        <f>H1083+H1090+H1109</f>
        <v>535475.29999999993</v>
      </c>
      <c r="I1110" s="268">
        <f>I1083+I1090+I1109</f>
        <v>534293.39999999991</v>
      </c>
      <c r="J1110" s="268">
        <f>J1083+J1090+J1109</f>
        <v>549896.49999999988</v>
      </c>
      <c r="K1110" s="82"/>
      <c r="L1110" s="631"/>
      <c r="M1110" s="631"/>
      <c r="N1110" s="631"/>
      <c r="O1110" s="631"/>
      <c r="P1110" s="631"/>
      <c r="Q1110" s="632"/>
    </row>
    <row r="1111" spans="1:17" ht="23.25" customHeight="1" x14ac:dyDescent="0.25">
      <c r="A1111" s="1041" t="s">
        <v>1441</v>
      </c>
      <c r="B1111" s="1042"/>
      <c r="C1111" s="1042"/>
      <c r="D1111" s="1042"/>
      <c r="E1111" s="1042"/>
      <c r="F1111" s="1042"/>
      <c r="G1111" s="1042"/>
      <c r="H1111" s="1042"/>
      <c r="I1111" s="1042"/>
      <c r="J1111" s="1042"/>
      <c r="K1111" s="1042"/>
      <c r="L1111" s="1042"/>
      <c r="M1111" s="1042"/>
      <c r="N1111" s="1042"/>
      <c r="O1111" s="1042"/>
      <c r="P1111" s="1042"/>
      <c r="Q1111" s="1043"/>
    </row>
    <row r="1112" spans="1:17" x14ac:dyDescent="0.25">
      <c r="A1112" s="994">
        <v>87</v>
      </c>
      <c r="B1112" s="1044" t="s">
        <v>8</v>
      </c>
      <c r="C1112" s="1045"/>
      <c r="D1112" s="1046"/>
      <c r="E1112" s="1020" t="s">
        <v>303</v>
      </c>
      <c r="F1112" s="1021">
        <f>F1114</f>
        <v>3092.3</v>
      </c>
      <c r="G1112" s="1021">
        <f>G1114</f>
        <v>3092.3</v>
      </c>
      <c r="H1112" s="1021">
        <f>H1114</f>
        <v>3092.3</v>
      </c>
      <c r="I1112" s="1021">
        <f>I1114</f>
        <v>3092.3</v>
      </c>
      <c r="J1112" s="1021">
        <f>J1114</f>
        <v>3092.3</v>
      </c>
      <c r="K1112" s="1057" t="s">
        <v>9</v>
      </c>
      <c r="L1112" s="1058" t="s">
        <v>304</v>
      </c>
      <c r="M1112" s="1095">
        <v>100</v>
      </c>
      <c r="N1112" s="1096">
        <v>100</v>
      </c>
      <c r="O1112" s="1096">
        <v>100</v>
      </c>
      <c r="P1112" s="1096">
        <v>100</v>
      </c>
      <c r="Q1112" s="1097">
        <v>100</v>
      </c>
    </row>
    <row r="1113" spans="1:17" x14ac:dyDescent="0.25">
      <c r="A1113" s="994"/>
      <c r="B1113" s="1044"/>
      <c r="C1113" s="1045"/>
      <c r="D1113" s="1046"/>
      <c r="E1113" s="1020"/>
      <c r="F1113" s="1021"/>
      <c r="G1113" s="1021"/>
      <c r="H1113" s="1021"/>
      <c r="I1113" s="1021"/>
      <c r="J1113" s="1021"/>
      <c r="K1113" s="1057"/>
      <c r="L1113" s="1058"/>
      <c r="M1113" s="1095"/>
      <c r="N1113" s="1096"/>
      <c r="O1113" s="1096"/>
      <c r="P1113" s="1096"/>
      <c r="Q1113" s="1097"/>
    </row>
    <row r="1114" spans="1:17" ht="30" x14ac:dyDescent="0.25">
      <c r="A1114" s="523"/>
      <c r="B1114" s="620"/>
      <c r="C1114" s="620" t="s">
        <v>43</v>
      </c>
      <c r="D1114" s="639"/>
      <c r="E1114" s="621" t="s">
        <v>11</v>
      </c>
      <c r="F1114" s="618">
        <v>3092.3</v>
      </c>
      <c r="G1114" s="618">
        <v>3092.3</v>
      </c>
      <c r="H1114" s="618">
        <v>3092.3</v>
      </c>
      <c r="I1114" s="618">
        <v>3092.3</v>
      </c>
      <c r="J1114" s="618">
        <v>3092.3</v>
      </c>
      <c r="K1114" s="1093"/>
      <c r="L1114" s="1093"/>
      <c r="M1114" s="1093"/>
      <c r="N1114" s="1093"/>
      <c r="O1114" s="1093"/>
      <c r="P1114" s="1093"/>
      <c r="Q1114" s="1094"/>
    </row>
    <row r="1115" spans="1:17" x14ac:dyDescent="0.25">
      <c r="A1115" s="1056"/>
      <c r="B1115" s="1044" t="s">
        <v>1224</v>
      </c>
      <c r="C1115" s="1045"/>
      <c r="D1115" s="1046"/>
      <c r="E1115" s="1020" t="s">
        <v>1225</v>
      </c>
      <c r="F1115" s="1021">
        <f>F1117+F1119+F1121+F1123+F1125+F1127+F1129</f>
        <v>9147.7999999999993</v>
      </c>
      <c r="G1115" s="1021">
        <f>G1117+G1119+G1121+G1123+G1125+G1127+G1129</f>
        <v>9147.7999999999993</v>
      </c>
      <c r="H1115" s="1021">
        <f>H1117+H1119+H1121+H1123+H1125+H1127+H1129</f>
        <v>15071.199999999999</v>
      </c>
      <c r="I1115" s="1021">
        <f>I1117+I1119+I1121+I1123+I1125+I1127+I1129</f>
        <v>15508.499999999998</v>
      </c>
      <c r="J1115" s="1021">
        <f>J1117+J1119+J1121+J1123+J1125+J1127+J1129</f>
        <v>16181.699999999999</v>
      </c>
      <c r="K1115" s="1057"/>
      <c r="L1115" s="1058"/>
      <c r="M1115" s="1058"/>
      <c r="N1115" s="1058"/>
      <c r="O1115" s="1058"/>
      <c r="P1115" s="1058"/>
      <c r="Q1115" s="1062"/>
    </row>
    <row r="1116" spans="1:17" ht="79.5" customHeight="1" x14ac:dyDescent="0.25">
      <c r="A1116" s="1056"/>
      <c r="B1116" s="1044"/>
      <c r="C1116" s="1045"/>
      <c r="D1116" s="1046"/>
      <c r="E1116" s="1057"/>
      <c r="F1116" s="1021"/>
      <c r="G1116" s="1021"/>
      <c r="H1116" s="1021"/>
      <c r="I1116" s="1021"/>
      <c r="J1116" s="1021"/>
      <c r="K1116" s="1057"/>
      <c r="L1116" s="1058"/>
      <c r="M1116" s="1058"/>
      <c r="N1116" s="1058"/>
      <c r="O1116" s="1058"/>
      <c r="P1116" s="1058"/>
      <c r="Q1116" s="1062"/>
    </row>
    <row r="1117" spans="1:17" x14ac:dyDescent="0.25">
      <c r="A1117" s="1056"/>
      <c r="B1117" s="1045"/>
      <c r="C1117" s="1045" t="s">
        <v>43</v>
      </c>
      <c r="D1117" s="1046"/>
      <c r="E1117" s="1057" t="s">
        <v>1226</v>
      </c>
      <c r="F1117" s="1050">
        <v>3086.4</v>
      </c>
      <c r="G1117" s="1050">
        <v>3086.4</v>
      </c>
      <c r="H1117" s="1050">
        <f>3107.7+350+3450</f>
        <v>6907.7</v>
      </c>
      <c r="I1117" s="1050">
        <f>4564+350+3450</f>
        <v>8364</v>
      </c>
      <c r="J1117" s="1050">
        <f>4937.6+525+3450</f>
        <v>8912.6</v>
      </c>
      <c r="K1117" s="1057" t="s">
        <v>1227</v>
      </c>
      <c r="L1117" s="1058" t="s">
        <v>414</v>
      </c>
      <c r="M1117" s="1058">
        <v>4000</v>
      </c>
      <c r="N1117" s="1059">
        <v>5000</v>
      </c>
      <c r="O1117" s="1059">
        <v>7000</v>
      </c>
      <c r="P1117" s="1059">
        <v>10000</v>
      </c>
      <c r="Q1117" s="1060">
        <v>15000</v>
      </c>
    </row>
    <row r="1118" spans="1:17" x14ac:dyDescent="0.25">
      <c r="A1118" s="1056"/>
      <c r="B1118" s="1045"/>
      <c r="C1118" s="1045"/>
      <c r="D1118" s="1046"/>
      <c r="E1118" s="1057"/>
      <c r="F1118" s="1050"/>
      <c r="G1118" s="1050"/>
      <c r="H1118" s="1050"/>
      <c r="I1118" s="1050"/>
      <c r="J1118" s="1050"/>
      <c r="K1118" s="1057"/>
      <c r="L1118" s="1058"/>
      <c r="M1118" s="1058"/>
      <c r="N1118" s="1059"/>
      <c r="O1118" s="1059"/>
      <c r="P1118" s="1059"/>
      <c r="Q1118" s="1060"/>
    </row>
    <row r="1119" spans="1:17" ht="15" customHeight="1" x14ac:dyDescent="0.25">
      <c r="A1119" s="1077"/>
      <c r="B1119" s="1079"/>
      <c r="C1119" s="1079" t="s">
        <v>48</v>
      </c>
      <c r="D1119" s="1081"/>
      <c r="E1119" s="1083" t="s">
        <v>1228</v>
      </c>
      <c r="F1119" s="1085">
        <v>1562.3</v>
      </c>
      <c r="G1119" s="1085">
        <v>1562.3</v>
      </c>
      <c r="H1119" s="1085">
        <f>1541+40+550</f>
        <v>2131</v>
      </c>
      <c r="I1119" s="1085">
        <f>0+75+550</f>
        <v>625</v>
      </c>
      <c r="J1119" s="1085">
        <f>0+75+550</f>
        <v>625</v>
      </c>
      <c r="K1119" s="1083" t="s">
        <v>1288</v>
      </c>
      <c r="L1119" s="1087" t="s">
        <v>17</v>
      </c>
      <c r="M1119" s="1087">
        <v>0</v>
      </c>
      <c r="N1119" s="1089">
        <v>2</v>
      </c>
      <c r="O1119" s="1089">
        <v>2</v>
      </c>
      <c r="P1119" s="1089">
        <v>2</v>
      </c>
      <c r="Q1119" s="1091">
        <v>2</v>
      </c>
    </row>
    <row r="1120" spans="1:17" ht="51" customHeight="1" x14ac:dyDescent="0.25">
      <c r="A1120" s="1078"/>
      <c r="B1120" s="1080"/>
      <c r="C1120" s="1080"/>
      <c r="D1120" s="1082"/>
      <c r="E1120" s="1084"/>
      <c r="F1120" s="1086"/>
      <c r="G1120" s="1086"/>
      <c r="H1120" s="1086"/>
      <c r="I1120" s="1086"/>
      <c r="J1120" s="1086"/>
      <c r="K1120" s="1084"/>
      <c r="L1120" s="1088"/>
      <c r="M1120" s="1088"/>
      <c r="N1120" s="1090"/>
      <c r="O1120" s="1090"/>
      <c r="P1120" s="1090"/>
      <c r="Q1120" s="1092"/>
    </row>
    <row r="1121" spans="1:17" x14ac:dyDescent="0.25">
      <c r="A1121" s="1056"/>
      <c r="B1121" s="1045"/>
      <c r="C1121" s="1045" t="s">
        <v>37</v>
      </c>
      <c r="D1121" s="1046"/>
      <c r="E1121" s="1057" t="s">
        <v>1229</v>
      </c>
      <c r="F1121" s="1050">
        <v>1878.3</v>
      </c>
      <c r="G1121" s="1050">
        <v>1878.3</v>
      </c>
      <c r="H1121" s="1050">
        <f>1878.3+100+300</f>
        <v>2278.3000000000002</v>
      </c>
      <c r="I1121" s="1050">
        <f>2198.3+210+300</f>
        <v>2708.3</v>
      </c>
      <c r="J1121" s="1050">
        <f>2197.9+235+300</f>
        <v>2732.9</v>
      </c>
      <c r="K1121" s="1057" t="s">
        <v>1410</v>
      </c>
      <c r="L1121" s="1058" t="s">
        <v>17</v>
      </c>
      <c r="M1121" s="1075">
        <v>7000</v>
      </c>
      <c r="N1121" s="1075">
        <v>7000</v>
      </c>
      <c r="O1121" s="1075">
        <v>7000</v>
      </c>
      <c r="P1121" s="1075">
        <v>7000</v>
      </c>
      <c r="Q1121" s="1076">
        <v>7000</v>
      </c>
    </row>
    <row r="1122" spans="1:17" ht="36.75" customHeight="1" x14ac:dyDescent="0.25">
      <c r="A1122" s="1056"/>
      <c r="B1122" s="1045"/>
      <c r="C1122" s="1045"/>
      <c r="D1122" s="1046"/>
      <c r="E1122" s="1057"/>
      <c r="F1122" s="1050"/>
      <c r="G1122" s="1050"/>
      <c r="H1122" s="1050"/>
      <c r="I1122" s="1050"/>
      <c r="J1122" s="1050"/>
      <c r="K1122" s="1057"/>
      <c r="L1122" s="1058"/>
      <c r="M1122" s="1075"/>
      <c r="N1122" s="1075"/>
      <c r="O1122" s="1075"/>
      <c r="P1122" s="1075"/>
      <c r="Q1122" s="1076"/>
    </row>
    <row r="1123" spans="1:17" x14ac:dyDescent="0.25">
      <c r="A1123" s="1056"/>
      <c r="B1123" s="1045"/>
      <c r="C1123" s="1045" t="s">
        <v>73</v>
      </c>
      <c r="D1123" s="1046"/>
      <c r="E1123" s="1057" t="s">
        <v>1230</v>
      </c>
      <c r="F1123" s="1050">
        <v>1272.5</v>
      </c>
      <c r="G1123" s="1050">
        <v>1272.5</v>
      </c>
      <c r="H1123" s="1050">
        <f>1272.5+380</f>
        <v>1652.5</v>
      </c>
      <c r="I1123" s="1050">
        <f>1172.5+380</f>
        <v>1552.5</v>
      </c>
      <c r="J1123" s="1050">
        <f>1172.5+380</f>
        <v>1552.5</v>
      </c>
      <c r="K1123" s="1057" t="s">
        <v>1231</v>
      </c>
      <c r="L1123" s="1058" t="s">
        <v>17</v>
      </c>
      <c r="M1123" s="1058">
        <v>1</v>
      </c>
      <c r="N1123" s="1059">
        <v>1</v>
      </c>
      <c r="O1123" s="1059">
        <v>1</v>
      </c>
      <c r="P1123" s="1059">
        <v>1</v>
      </c>
      <c r="Q1123" s="1060">
        <v>1</v>
      </c>
    </row>
    <row r="1124" spans="1:17" ht="28.5" customHeight="1" x14ac:dyDescent="0.25">
      <c r="A1124" s="1056"/>
      <c r="B1124" s="1045"/>
      <c r="C1124" s="1045"/>
      <c r="D1124" s="1046"/>
      <c r="E1124" s="1057"/>
      <c r="F1124" s="1050"/>
      <c r="G1124" s="1050"/>
      <c r="H1124" s="1050"/>
      <c r="I1124" s="1050"/>
      <c r="J1124" s="1050"/>
      <c r="K1124" s="1057"/>
      <c r="L1124" s="1058"/>
      <c r="M1124" s="1058"/>
      <c r="N1124" s="1059"/>
      <c r="O1124" s="1059"/>
      <c r="P1124" s="1059"/>
      <c r="Q1124" s="1060"/>
    </row>
    <row r="1125" spans="1:17" x14ac:dyDescent="0.25">
      <c r="A1125" s="1056"/>
      <c r="B1125" s="1045"/>
      <c r="C1125" s="1045" t="s">
        <v>76</v>
      </c>
      <c r="D1125" s="1046"/>
      <c r="E1125" s="1057" t="s">
        <v>1442</v>
      </c>
      <c r="F1125" s="1050">
        <v>1172.5</v>
      </c>
      <c r="G1125" s="1050">
        <v>1172.5</v>
      </c>
      <c r="H1125" s="1050">
        <f>1172.5+10+593.4</f>
        <v>1775.9</v>
      </c>
      <c r="I1125" s="1050">
        <f>1172.5+10+593.4</f>
        <v>1775.9</v>
      </c>
      <c r="J1125" s="1050">
        <f>1172.5+65+593.4</f>
        <v>1830.9</v>
      </c>
      <c r="K1125" s="1057" t="s">
        <v>1232</v>
      </c>
      <c r="L1125" s="1058" t="s">
        <v>1233</v>
      </c>
      <c r="M1125" s="1058">
        <v>1</v>
      </c>
      <c r="N1125" s="1059">
        <v>1</v>
      </c>
      <c r="O1125" s="1059">
        <v>1</v>
      </c>
      <c r="P1125" s="1059">
        <v>1</v>
      </c>
      <c r="Q1125" s="1060">
        <v>1</v>
      </c>
    </row>
    <row r="1126" spans="1:17" ht="60.75" customHeight="1" x14ac:dyDescent="0.25">
      <c r="A1126" s="1056"/>
      <c r="B1126" s="1045"/>
      <c r="C1126" s="1045"/>
      <c r="D1126" s="1046"/>
      <c r="E1126" s="1057"/>
      <c r="F1126" s="1050"/>
      <c r="G1126" s="1050"/>
      <c r="H1126" s="1050"/>
      <c r="I1126" s="1050"/>
      <c r="J1126" s="1050"/>
      <c r="K1126" s="1057"/>
      <c r="L1126" s="1058"/>
      <c r="M1126" s="1058"/>
      <c r="N1126" s="1059"/>
      <c r="O1126" s="1059"/>
      <c r="P1126" s="1059"/>
      <c r="Q1126" s="1060"/>
    </row>
    <row r="1127" spans="1:17" x14ac:dyDescent="0.25">
      <c r="A1127" s="1056"/>
      <c r="B1127" s="1045"/>
      <c r="C1127" s="1061" t="s">
        <v>79</v>
      </c>
      <c r="D1127" s="1046"/>
      <c r="E1127" s="1057" t="s">
        <v>1234</v>
      </c>
      <c r="F1127" s="1050">
        <v>0</v>
      </c>
      <c r="G1127" s="1050">
        <v>0</v>
      </c>
      <c r="H1127" s="1050"/>
      <c r="I1127" s="1050">
        <v>102</v>
      </c>
      <c r="J1127" s="1050">
        <v>102</v>
      </c>
      <c r="K1127" s="1057" t="s">
        <v>1227</v>
      </c>
      <c r="L1127" s="1058" t="s">
        <v>414</v>
      </c>
      <c r="M1127" s="1058">
        <v>2000</v>
      </c>
      <c r="N1127" s="1058">
        <v>3000</v>
      </c>
      <c r="O1127" s="1058">
        <v>4000</v>
      </c>
      <c r="P1127" s="1058">
        <v>5000</v>
      </c>
      <c r="Q1127" s="1062">
        <v>6000</v>
      </c>
    </row>
    <row r="1128" spans="1:17" ht="39.75" customHeight="1" x14ac:dyDescent="0.25">
      <c r="A1128" s="1056"/>
      <c r="B1128" s="1045"/>
      <c r="C1128" s="1061"/>
      <c r="D1128" s="1046"/>
      <c r="E1128" s="1057"/>
      <c r="F1128" s="1050"/>
      <c r="G1128" s="1050"/>
      <c r="H1128" s="1050"/>
      <c r="I1128" s="1050"/>
      <c r="J1128" s="1050"/>
      <c r="K1128" s="1057"/>
      <c r="L1128" s="1058"/>
      <c r="M1128" s="1058"/>
      <c r="N1128" s="1058"/>
      <c r="O1128" s="1058"/>
      <c r="P1128" s="1058"/>
      <c r="Q1128" s="1062"/>
    </row>
    <row r="1129" spans="1:17" x14ac:dyDescent="0.25">
      <c r="A1129" s="1056"/>
      <c r="B1129" s="1045"/>
      <c r="C1129" s="1045" t="s">
        <v>82</v>
      </c>
      <c r="D1129" s="1046"/>
      <c r="E1129" s="1057" t="s">
        <v>1443</v>
      </c>
      <c r="F1129" s="1050">
        <v>175.8</v>
      </c>
      <c r="G1129" s="1050">
        <v>175.8</v>
      </c>
      <c r="H1129" s="1050">
        <f>175.8+150</f>
        <v>325.8</v>
      </c>
      <c r="I1129" s="1050">
        <f>175.8+55+150</f>
        <v>380.8</v>
      </c>
      <c r="J1129" s="1050">
        <f>175.8+100+150</f>
        <v>425.8</v>
      </c>
      <c r="K1129" s="1057" t="s">
        <v>1411</v>
      </c>
      <c r="L1129" s="1058" t="s">
        <v>19</v>
      </c>
      <c r="M1129" s="1058">
        <v>30</v>
      </c>
      <c r="N1129" s="1059">
        <v>50</v>
      </c>
      <c r="O1129" s="1059">
        <v>70</v>
      </c>
      <c r="P1129" s="1059">
        <v>100</v>
      </c>
      <c r="Q1129" s="1060">
        <v>100</v>
      </c>
    </row>
    <row r="1130" spans="1:17" ht="39" customHeight="1" x14ac:dyDescent="0.25">
      <c r="A1130" s="1056"/>
      <c r="B1130" s="1045"/>
      <c r="C1130" s="1045"/>
      <c r="D1130" s="1046"/>
      <c r="E1130" s="1057"/>
      <c r="F1130" s="1050"/>
      <c r="G1130" s="1050"/>
      <c r="H1130" s="1050"/>
      <c r="I1130" s="1050"/>
      <c r="J1130" s="1050"/>
      <c r="K1130" s="1057"/>
      <c r="L1130" s="1058"/>
      <c r="M1130" s="1058"/>
      <c r="N1130" s="1059"/>
      <c r="O1130" s="1059"/>
      <c r="P1130" s="1059"/>
      <c r="Q1130" s="1060"/>
    </row>
    <row r="1131" spans="1:17" x14ac:dyDescent="0.25">
      <c r="A1131" s="990" t="s">
        <v>23</v>
      </c>
      <c r="B1131" s="991"/>
      <c r="C1131" s="991"/>
      <c r="D1131" s="991"/>
      <c r="E1131" s="991"/>
      <c r="F1131" s="268">
        <f>F1112+F1115</f>
        <v>12240.099999999999</v>
      </c>
      <c r="G1131" s="268">
        <f>G1112+G1115</f>
        <v>12240.099999999999</v>
      </c>
      <c r="H1131" s="268">
        <f>H1112+H1115</f>
        <v>18163.5</v>
      </c>
      <c r="I1131" s="268">
        <f>I1112+I1115</f>
        <v>18600.8</v>
      </c>
      <c r="J1131" s="268">
        <f>J1112+J1115</f>
        <v>19274</v>
      </c>
      <c r="K1131" s="739"/>
      <c r="L1131" s="1063"/>
      <c r="M1131" s="1063"/>
      <c r="N1131" s="1063"/>
      <c r="O1131" s="1063"/>
      <c r="P1131" s="1063"/>
      <c r="Q1131" s="1064"/>
    </row>
    <row r="1132" spans="1:17" ht="25.5" customHeight="1" x14ac:dyDescent="0.25">
      <c r="A1132" s="1041" t="s">
        <v>1444</v>
      </c>
      <c r="B1132" s="1042"/>
      <c r="C1132" s="1042"/>
      <c r="D1132" s="1042"/>
      <c r="E1132" s="1042"/>
      <c r="F1132" s="1042"/>
      <c r="G1132" s="1042"/>
      <c r="H1132" s="1042"/>
      <c r="I1132" s="1042"/>
      <c r="J1132" s="1042"/>
      <c r="K1132" s="1042"/>
      <c r="L1132" s="1042"/>
      <c r="M1132" s="1042"/>
      <c r="N1132" s="1042"/>
      <c r="O1132" s="1042"/>
      <c r="P1132" s="1042"/>
      <c r="Q1132" s="1043"/>
    </row>
    <row r="1133" spans="1:17" ht="73.5" x14ac:dyDescent="0.25">
      <c r="A1133" s="617">
        <v>88</v>
      </c>
      <c r="B1133" s="441">
        <v>1</v>
      </c>
      <c r="C1133" s="158"/>
      <c r="D1133" s="636"/>
      <c r="E1133" s="402" t="s">
        <v>1256</v>
      </c>
      <c r="F1133" s="355">
        <f>F1134+F1135</f>
        <v>6006.1</v>
      </c>
      <c r="G1133" s="355">
        <f>G1134+G1135</f>
        <v>8303.8130000000001</v>
      </c>
      <c r="H1133" s="355">
        <f>H1134+H1135</f>
        <v>7699.1</v>
      </c>
      <c r="I1133" s="355">
        <f>I1134+I1135</f>
        <v>7899.1</v>
      </c>
      <c r="J1133" s="355">
        <f>J1134+J1135</f>
        <v>5464.1</v>
      </c>
      <c r="K1133" s="633" t="s">
        <v>224</v>
      </c>
      <c r="L1133" s="355" t="s">
        <v>19</v>
      </c>
      <c r="M1133" s="355">
        <v>100</v>
      </c>
      <c r="N1133" s="355">
        <v>100</v>
      </c>
      <c r="O1133" s="355">
        <v>100</v>
      </c>
      <c r="P1133" s="355">
        <v>100</v>
      </c>
      <c r="Q1133" s="599">
        <v>100</v>
      </c>
    </row>
    <row r="1134" spans="1:17" ht="30" x14ac:dyDescent="0.25">
      <c r="A1134" s="523"/>
      <c r="B1134" s="441"/>
      <c r="C1134" s="620" t="s">
        <v>43</v>
      </c>
      <c r="D1134" s="403"/>
      <c r="E1134" s="107" t="s">
        <v>1235</v>
      </c>
      <c r="F1134" s="635">
        <f>864.6+149.2+2200+155.3+48.5+1532.3</f>
        <v>4949.9000000000005</v>
      </c>
      <c r="G1134" s="635">
        <f>1973.6+340.5+3377.4+410.847+101.505+480</f>
        <v>6683.8519999999999</v>
      </c>
      <c r="H1134" s="635">
        <f>1973.6+340.5+200+25+460+3400+300+200+200+300+300</f>
        <v>7699.1</v>
      </c>
      <c r="I1134" s="635">
        <f>1973.6+340.5+200+25+460+3400+300+200+300+300+400</f>
        <v>7899.1</v>
      </c>
      <c r="J1134" s="635">
        <f>1973.6+340.5+200+350+500+500+300+200+300+500+300</f>
        <v>5464.1</v>
      </c>
      <c r="K1134" s="57" t="s">
        <v>99</v>
      </c>
      <c r="L1134" s="635" t="s">
        <v>19</v>
      </c>
      <c r="M1134" s="635">
        <v>78</v>
      </c>
      <c r="N1134" s="635">
        <v>80</v>
      </c>
      <c r="O1134" s="635">
        <v>100</v>
      </c>
      <c r="P1134" s="635">
        <v>100</v>
      </c>
      <c r="Q1134" s="518">
        <v>100</v>
      </c>
    </row>
    <row r="1135" spans="1:17" x14ac:dyDescent="0.25">
      <c r="A1135" s="523"/>
      <c r="B1135" s="441"/>
      <c r="C1135" s="620" t="s">
        <v>48</v>
      </c>
      <c r="D1135" s="403"/>
      <c r="E1135" s="107" t="s">
        <v>71</v>
      </c>
      <c r="F1135" s="635">
        <v>1056.2</v>
      </c>
      <c r="G1135" s="635">
        <f>251.3+43.3+994.7+136.826+33.835+160</f>
        <v>1619.9610000000002</v>
      </c>
      <c r="H1135" s="635">
        <v>0</v>
      </c>
      <c r="I1135" s="635">
        <v>0</v>
      </c>
      <c r="J1135" s="635">
        <v>0</v>
      </c>
      <c r="K1135" s="57" t="s">
        <v>99</v>
      </c>
      <c r="L1135" s="635" t="s">
        <v>19</v>
      </c>
      <c r="M1135" s="635">
        <v>22</v>
      </c>
      <c r="N1135" s="635">
        <v>20</v>
      </c>
      <c r="O1135" s="635">
        <v>0</v>
      </c>
      <c r="P1135" s="635">
        <v>0</v>
      </c>
      <c r="Q1135" s="518">
        <v>0</v>
      </c>
    </row>
    <row r="1136" spans="1:17" x14ac:dyDescent="0.25">
      <c r="A1136" s="1056"/>
      <c r="B1136" s="999" t="s">
        <v>1236</v>
      </c>
      <c r="C1136" s="1065"/>
      <c r="D1136" s="1000"/>
      <c r="E1136" s="1066" t="s">
        <v>1412</v>
      </c>
      <c r="F1136" s="1067">
        <f>F1138</f>
        <v>12878.4</v>
      </c>
      <c r="G1136" s="1067">
        <f>G1138</f>
        <v>27625.287</v>
      </c>
      <c r="H1136" s="1067">
        <f>H1138</f>
        <v>28230.000000000004</v>
      </c>
      <c r="I1136" s="1067">
        <f>I1138</f>
        <v>28726.428000000004</v>
      </c>
      <c r="J1136" s="1067">
        <f>J1138</f>
        <v>32257.034</v>
      </c>
      <c r="K1136" s="1069" t="s">
        <v>99</v>
      </c>
      <c r="L1136" s="1070" t="s">
        <v>19</v>
      </c>
      <c r="M1136" s="1071">
        <v>100</v>
      </c>
      <c r="N1136" s="1071">
        <v>100</v>
      </c>
      <c r="O1136" s="1071">
        <v>100</v>
      </c>
      <c r="P1136" s="1071">
        <v>100</v>
      </c>
      <c r="Q1136" s="1073">
        <v>100</v>
      </c>
    </row>
    <row r="1137" spans="1:17" ht="105.75" customHeight="1" x14ac:dyDescent="0.25">
      <c r="A1137" s="1056"/>
      <c r="B1137" s="999"/>
      <c r="C1137" s="1065"/>
      <c r="D1137" s="1000"/>
      <c r="E1137" s="1066"/>
      <c r="F1137" s="1067"/>
      <c r="G1137" s="1067"/>
      <c r="H1137" s="1067"/>
      <c r="I1137" s="1068"/>
      <c r="J1137" s="1068"/>
      <c r="K1137" s="1069"/>
      <c r="L1137" s="1070"/>
      <c r="M1137" s="1071"/>
      <c r="N1137" s="1071"/>
      <c r="O1137" s="1071"/>
      <c r="P1137" s="1072"/>
      <c r="Q1137" s="1074"/>
    </row>
    <row r="1138" spans="1:17" ht="106.5" customHeight="1" x14ac:dyDescent="0.25">
      <c r="A1138" s="976"/>
      <c r="B1138" s="977"/>
      <c r="C1138" s="891" t="s">
        <v>43</v>
      </c>
      <c r="D1138" s="978"/>
      <c r="E1138" s="979" t="s">
        <v>1445</v>
      </c>
      <c r="F1138" s="980">
        <v>12878.4</v>
      </c>
      <c r="G1138" s="980">
        <f>5325.9+918.7+15589+2690.327+541.36+2560</f>
        <v>27625.287</v>
      </c>
      <c r="H1138" s="980">
        <f>5577.2+962+2000+520.7+488+15212.9+700+469.2+600+1000+700</f>
        <v>28230.000000000004</v>
      </c>
      <c r="I1138" s="980">
        <f>5577.2+962+2000+620.7+500+15212.9+800+450+700+1000+903.628</f>
        <v>28726.428000000004</v>
      </c>
      <c r="J1138" s="980">
        <f>5577.2+962+2000+700+600+17500+700+600+700+2000+917.834</f>
        <v>32257.034</v>
      </c>
      <c r="K1138" s="981" t="s">
        <v>99</v>
      </c>
      <c r="L1138" s="981" t="s">
        <v>19</v>
      </c>
      <c r="M1138" s="982">
        <v>100</v>
      </c>
      <c r="N1138" s="982">
        <v>100</v>
      </c>
      <c r="O1138" s="982">
        <v>100</v>
      </c>
      <c r="P1138" s="982">
        <v>100</v>
      </c>
      <c r="Q1138" s="983">
        <v>100</v>
      </c>
    </row>
    <row r="1139" spans="1:17" ht="15.75" thickBot="1" x14ac:dyDescent="0.3">
      <c r="A1139" s="1054" t="s">
        <v>23</v>
      </c>
      <c r="B1139" s="1055"/>
      <c r="C1139" s="1055"/>
      <c r="D1139" s="1055"/>
      <c r="E1139" s="1055"/>
      <c r="F1139" s="614">
        <f>F1133+F1136</f>
        <v>18884.5</v>
      </c>
      <c r="G1139" s="614">
        <f>G1133+G1136</f>
        <v>35929.1</v>
      </c>
      <c r="H1139" s="614">
        <f>H1133+H1136</f>
        <v>35929.100000000006</v>
      </c>
      <c r="I1139" s="614">
        <f>I1133+I1136</f>
        <v>36625.528000000006</v>
      </c>
      <c r="J1139" s="614">
        <f>J1133+J1136</f>
        <v>37721.133999999998</v>
      </c>
      <c r="K1139" s="615"/>
      <c r="L1139" s="1047"/>
      <c r="M1139" s="1047"/>
      <c r="N1139" s="1047"/>
      <c r="O1139" s="1047"/>
      <c r="P1139" s="1047"/>
      <c r="Q1139" s="1048"/>
    </row>
  </sheetData>
  <mergeCells count="4344">
    <mergeCell ref="K1:Q1"/>
    <mergeCell ref="A503:A539"/>
    <mergeCell ref="A502:O502"/>
    <mergeCell ref="A540:E540"/>
    <mergeCell ref="J496:J498"/>
    <mergeCell ref="A501:E501"/>
    <mergeCell ref="I492:I495"/>
    <mergeCell ref="J492:J495"/>
    <mergeCell ref="B496:B498"/>
    <mergeCell ref="C496:C498"/>
    <mergeCell ref="D496:D498"/>
    <mergeCell ref="E496:E498"/>
    <mergeCell ref="F496:F498"/>
    <mergeCell ref="G496:G498"/>
    <mergeCell ref="H496:H498"/>
    <mergeCell ref="I496:I498"/>
    <mergeCell ref="H489:H491"/>
    <mergeCell ref="I489:I491"/>
    <mergeCell ref="J489:J491"/>
    <mergeCell ref="B492:B495"/>
    <mergeCell ref="C492:C495"/>
    <mergeCell ref="D492:D495"/>
    <mergeCell ref="E492:E495"/>
    <mergeCell ref="F492:F495"/>
    <mergeCell ref="G492:G495"/>
    <mergeCell ref="H492:H495"/>
    <mergeCell ref="B489:B491"/>
    <mergeCell ref="C489:C491"/>
    <mergeCell ref="D489:D491"/>
    <mergeCell ref="E489:E491"/>
    <mergeCell ref="F489:F491"/>
    <mergeCell ref="G489:G491"/>
    <mergeCell ref="J477:J478"/>
    <mergeCell ref="B479:B482"/>
    <mergeCell ref="C479:C482"/>
    <mergeCell ref="D479:D482"/>
    <mergeCell ref="E479:E482"/>
    <mergeCell ref="F479:F482"/>
    <mergeCell ref="G479:G482"/>
    <mergeCell ref="H479:H482"/>
    <mergeCell ref="I479:I482"/>
    <mergeCell ref="J479:J482"/>
    <mergeCell ref="I475:I476"/>
    <mergeCell ref="J475:J476"/>
    <mergeCell ref="B477:B478"/>
    <mergeCell ref="C477:C478"/>
    <mergeCell ref="D477:D478"/>
    <mergeCell ref="E477:E478"/>
    <mergeCell ref="F477:F478"/>
    <mergeCell ref="G477:G478"/>
    <mergeCell ref="H477:H478"/>
    <mergeCell ref="I477:I478"/>
    <mergeCell ref="H472:H474"/>
    <mergeCell ref="I472:I474"/>
    <mergeCell ref="J472:J474"/>
    <mergeCell ref="B475:B476"/>
    <mergeCell ref="C475:C476"/>
    <mergeCell ref="D475:D476"/>
    <mergeCell ref="E475:E476"/>
    <mergeCell ref="F475:F476"/>
    <mergeCell ref="G475:G476"/>
    <mergeCell ref="H475:H476"/>
    <mergeCell ref="B472:B474"/>
    <mergeCell ref="C472:C474"/>
    <mergeCell ref="D472:D474"/>
    <mergeCell ref="E472:E474"/>
    <mergeCell ref="F472:F474"/>
    <mergeCell ref="G472:G474"/>
    <mergeCell ref="J466:J467"/>
    <mergeCell ref="B468:B469"/>
    <mergeCell ref="C468:C469"/>
    <mergeCell ref="D468:D469"/>
    <mergeCell ref="E468:E469"/>
    <mergeCell ref="F468:F469"/>
    <mergeCell ref="G468:G469"/>
    <mergeCell ref="H468:H469"/>
    <mergeCell ref="I468:I469"/>
    <mergeCell ref="J468:J469"/>
    <mergeCell ref="P464:P465"/>
    <mergeCell ref="Q464:Q465"/>
    <mergeCell ref="B466:B467"/>
    <mergeCell ref="C466:C467"/>
    <mergeCell ref="D466:D467"/>
    <mergeCell ref="E466:E467"/>
    <mergeCell ref="F466:F467"/>
    <mergeCell ref="G466:G467"/>
    <mergeCell ref="H466:H467"/>
    <mergeCell ref="I466:I467"/>
    <mergeCell ref="J464:J465"/>
    <mergeCell ref="K464:K465"/>
    <mergeCell ref="L464:L465"/>
    <mergeCell ref="M464:M465"/>
    <mergeCell ref="N464:N465"/>
    <mergeCell ref="O464:O465"/>
    <mergeCell ref="I458:I460"/>
    <mergeCell ref="J458:J460"/>
    <mergeCell ref="B464:B465"/>
    <mergeCell ref="C464:C465"/>
    <mergeCell ref="D464:D465"/>
    <mergeCell ref="E464:E465"/>
    <mergeCell ref="F464:F465"/>
    <mergeCell ref="G464:G465"/>
    <mergeCell ref="H464:H465"/>
    <mergeCell ref="I464:I465"/>
    <mergeCell ref="I455:I456"/>
    <mergeCell ref="J455:J456"/>
    <mergeCell ref="L455:L456"/>
    <mergeCell ref="B458:B460"/>
    <mergeCell ref="C458:C460"/>
    <mergeCell ref="D458:D460"/>
    <mergeCell ref="E458:E460"/>
    <mergeCell ref="F458:F460"/>
    <mergeCell ref="G458:G460"/>
    <mergeCell ref="H458:H460"/>
    <mergeCell ref="H453:H454"/>
    <mergeCell ref="I453:I454"/>
    <mergeCell ref="J453:J454"/>
    <mergeCell ref="B455:B456"/>
    <mergeCell ref="C455:C456"/>
    <mergeCell ref="D455:D456"/>
    <mergeCell ref="E455:E456"/>
    <mergeCell ref="F455:F456"/>
    <mergeCell ref="G455:G456"/>
    <mergeCell ref="H455:H456"/>
    <mergeCell ref="N448:N449"/>
    <mergeCell ref="O448:O449"/>
    <mergeCell ref="P448:P449"/>
    <mergeCell ref="Q448:Q449"/>
    <mergeCell ref="B453:B454"/>
    <mergeCell ref="C453:C454"/>
    <mergeCell ref="D453:D454"/>
    <mergeCell ref="E453:E454"/>
    <mergeCell ref="F453:F454"/>
    <mergeCell ref="G453:G454"/>
    <mergeCell ref="H448:H449"/>
    <mergeCell ref="I448:I449"/>
    <mergeCell ref="J448:J449"/>
    <mergeCell ref="K448:K449"/>
    <mergeCell ref="L448:L449"/>
    <mergeCell ref="M448:M449"/>
    <mergeCell ref="N443:N444"/>
    <mergeCell ref="O443:O444"/>
    <mergeCell ref="P443:P444"/>
    <mergeCell ref="Q443:Q444"/>
    <mergeCell ref="B448:B449"/>
    <mergeCell ref="C448:C449"/>
    <mergeCell ref="D448:D449"/>
    <mergeCell ref="E448:E449"/>
    <mergeCell ref="F448:F449"/>
    <mergeCell ref="G448:G449"/>
    <mergeCell ref="H443:H444"/>
    <mergeCell ref="I443:I444"/>
    <mergeCell ref="J443:J444"/>
    <mergeCell ref="K443:K444"/>
    <mergeCell ref="L443:L444"/>
    <mergeCell ref="M443:M444"/>
    <mergeCell ref="B443:B444"/>
    <mergeCell ref="C443:C444"/>
    <mergeCell ref="D443:D444"/>
    <mergeCell ref="E443:E444"/>
    <mergeCell ref="F443:F444"/>
    <mergeCell ref="G443:G444"/>
    <mergeCell ref="Q433:Q434"/>
    <mergeCell ref="B436:B440"/>
    <mergeCell ref="C436:C440"/>
    <mergeCell ref="D436:D440"/>
    <mergeCell ref="E436:E440"/>
    <mergeCell ref="F436:F440"/>
    <mergeCell ref="G436:G440"/>
    <mergeCell ref="H436:H440"/>
    <mergeCell ref="I436:I440"/>
    <mergeCell ref="J436:J440"/>
    <mergeCell ref="K433:K434"/>
    <mergeCell ref="L433:L434"/>
    <mergeCell ref="M433:M434"/>
    <mergeCell ref="N433:N434"/>
    <mergeCell ref="O433:O434"/>
    <mergeCell ref="P433:P434"/>
    <mergeCell ref="Q431:Q432"/>
    <mergeCell ref="B433:B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N429:N430"/>
    <mergeCell ref="O429:O430"/>
    <mergeCell ref="P429:P430"/>
    <mergeCell ref="Q429:Q430"/>
    <mergeCell ref="K431:K432"/>
    <mergeCell ref="L431:L432"/>
    <mergeCell ref="M431:M432"/>
    <mergeCell ref="N431:N432"/>
    <mergeCell ref="O431:O432"/>
    <mergeCell ref="P431:P432"/>
    <mergeCell ref="H429:H430"/>
    <mergeCell ref="I429:I430"/>
    <mergeCell ref="J429:J430"/>
    <mergeCell ref="K429:K430"/>
    <mergeCell ref="L429:L430"/>
    <mergeCell ref="M429:M430"/>
    <mergeCell ref="B429:B430"/>
    <mergeCell ref="C429:C430"/>
    <mergeCell ref="D429:D430"/>
    <mergeCell ref="E429:E430"/>
    <mergeCell ref="F429:F430"/>
    <mergeCell ref="G429:G430"/>
    <mergeCell ref="J413:J415"/>
    <mergeCell ref="B419:B420"/>
    <mergeCell ref="C419:C420"/>
    <mergeCell ref="D419:D420"/>
    <mergeCell ref="E419:E420"/>
    <mergeCell ref="F419:F420"/>
    <mergeCell ref="G419:G420"/>
    <mergeCell ref="H419:H420"/>
    <mergeCell ref="A408:O408"/>
    <mergeCell ref="A409:A500"/>
    <mergeCell ref="K410:Q410"/>
    <mergeCell ref="K411:Q411"/>
    <mergeCell ref="B413:B415"/>
    <mergeCell ref="C413:C415"/>
    <mergeCell ref="D413:D415"/>
    <mergeCell ref="E413:E415"/>
    <mergeCell ref="F413:F415"/>
    <mergeCell ref="G413:G415"/>
    <mergeCell ref="J421:J424"/>
    <mergeCell ref="B425:B427"/>
    <mergeCell ref="C425:C427"/>
    <mergeCell ref="D425:D427"/>
    <mergeCell ref="E425:E427"/>
    <mergeCell ref="F425:F427"/>
    <mergeCell ref="G425:G427"/>
    <mergeCell ref="H425:H427"/>
    <mergeCell ref="I425:I427"/>
    <mergeCell ref="J425:J427"/>
    <mergeCell ref="I419:I420"/>
    <mergeCell ref="J419:J420"/>
    <mergeCell ref="B421:B424"/>
    <mergeCell ref="C421:C424"/>
    <mergeCell ref="K726:K727"/>
    <mergeCell ref="Q1023:Q1024"/>
    <mergeCell ref="P1023:P1024"/>
    <mergeCell ref="O1023:O1024"/>
    <mergeCell ref="N1023:N1024"/>
    <mergeCell ref="M1023:M1024"/>
    <mergeCell ref="L1023:L1024"/>
    <mergeCell ref="K1023:K1024"/>
    <mergeCell ref="J1023:J1024"/>
    <mergeCell ref="I1023:I1024"/>
    <mergeCell ref="H1023:H1024"/>
    <mergeCell ref="E1023:E1024"/>
    <mergeCell ref="D1023:D1024"/>
    <mergeCell ref="C1023:C1024"/>
    <mergeCell ref="B1023:B1024"/>
    <mergeCell ref="A406:E406"/>
    <mergeCell ref="D690:D695"/>
    <mergeCell ref="A761:E761"/>
    <mergeCell ref="A750:A752"/>
    <mergeCell ref="A755:A759"/>
    <mergeCell ref="K743:Q743"/>
    <mergeCell ref="C741:C742"/>
    <mergeCell ref="D741:D742"/>
    <mergeCell ref="E741:E742"/>
    <mergeCell ref="B738:B739"/>
    <mergeCell ref="C738:C739"/>
    <mergeCell ref="D738:D739"/>
    <mergeCell ref="E738:E739"/>
    <mergeCell ref="B735:B737"/>
    <mergeCell ref="C735:C737"/>
    <mergeCell ref="D735:D737"/>
    <mergeCell ref="E735:E737"/>
    <mergeCell ref="A593:A721"/>
    <mergeCell ref="F325:F328"/>
    <mergeCell ref="G325:G328"/>
    <mergeCell ref="H325:H328"/>
    <mergeCell ref="I325:I328"/>
    <mergeCell ref="F349:F353"/>
    <mergeCell ref="G349:G353"/>
    <mergeCell ref="H349:H353"/>
    <mergeCell ref="I349:I353"/>
    <mergeCell ref="I354:I358"/>
    <mergeCell ref="F334:F337"/>
    <mergeCell ref="G334:G337"/>
    <mergeCell ref="H334:H337"/>
    <mergeCell ref="C331:C333"/>
    <mergeCell ref="D331:D333"/>
    <mergeCell ref="E331:E333"/>
    <mergeCell ref="B325:B328"/>
    <mergeCell ref="C325:C328"/>
    <mergeCell ref="D325:D328"/>
    <mergeCell ref="B349:B353"/>
    <mergeCell ref="C349:C353"/>
    <mergeCell ref="D349:D353"/>
    <mergeCell ref="G344:G347"/>
    <mergeCell ref="H344:H347"/>
    <mergeCell ref="H413:H415"/>
    <mergeCell ref="I413:I415"/>
    <mergeCell ref="D421:D424"/>
    <mergeCell ref="E421:E424"/>
    <mergeCell ref="F421:F424"/>
    <mergeCell ref="G421:G424"/>
    <mergeCell ref="H421:H424"/>
    <mergeCell ref="I421:I424"/>
    <mergeCell ref="E329:E330"/>
    <mergeCell ref="F329:F330"/>
    <mergeCell ref="G329:G330"/>
    <mergeCell ref="H329:H330"/>
    <mergeCell ref="H44:H52"/>
    <mergeCell ref="I44:I52"/>
    <mergeCell ref="A748:E748"/>
    <mergeCell ref="A724:A747"/>
    <mergeCell ref="B732:B734"/>
    <mergeCell ref="C732:C734"/>
    <mergeCell ref="D732:D734"/>
    <mergeCell ref="E732:E734"/>
    <mergeCell ref="B294:B295"/>
    <mergeCell ref="C294:C295"/>
    <mergeCell ref="D294:D295"/>
    <mergeCell ref="E294:E295"/>
    <mergeCell ref="F294:F295"/>
    <mergeCell ref="G294:G295"/>
    <mergeCell ref="H294:H295"/>
    <mergeCell ref="D239:D240"/>
    <mergeCell ref="E239:E240"/>
    <mergeCell ref="B745:B746"/>
    <mergeCell ref="C745:C746"/>
    <mergeCell ref="D745:D746"/>
    <mergeCell ref="E745:E746"/>
    <mergeCell ref="B741:B742"/>
    <mergeCell ref="I738:I739"/>
    <mergeCell ref="I329:I330"/>
    <mergeCell ref="I331:I333"/>
    <mergeCell ref="A325:A365"/>
    <mergeCell ref="A542:A573"/>
    <mergeCell ref="A576:A585"/>
    <mergeCell ref="J331:J333"/>
    <mergeCell ref="J334:J337"/>
    <mergeCell ref="J344:J347"/>
    <mergeCell ref="J354:J358"/>
    <mergeCell ref="I334:I337"/>
    <mergeCell ref="I344:I347"/>
    <mergeCell ref="J325:J328"/>
    <mergeCell ref="J349:J353"/>
    <mergeCell ref="J329:J330"/>
    <mergeCell ref="E325:E328"/>
    <mergeCell ref="B329:B330"/>
    <mergeCell ref="B331:B333"/>
    <mergeCell ref="D354:D358"/>
    <mergeCell ref="E354:E358"/>
    <mergeCell ref="E349:E353"/>
    <mergeCell ref="F344:F347"/>
    <mergeCell ref="B344:B347"/>
    <mergeCell ref="C344:C347"/>
    <mergeCell ref="D344:D347"/>
    <mergeCell ref="E344:E347"/>
    <mergeCell ref="F331:F333"/>
    <mergeCell ref="G331:G333"/>
    <mergeCell ref="H331:H333"/>
    <mergeCell ref="B334:B337"/>
    <mergeCell ref="C334:C337"/>
    <mergeCell ref="D334:D337"/>
    <mergeCell ref="E334:E337"/>
    <mergeCell ref="F354:F358"/>
    <mergeCell ref="G354:G358"/>
    <mergeCell ref="H354:H358"/>
    <mergeCell ref="C329:C330"/>
    <mergeCell ref="D329:D330"/>
    <mergeCell ref="J738:J739"/>
    <mergeCell ref="F741:F742"/>
    <mergeCell ref="G741:G742"/>
    <mergeCell ref="H741:H742"/>
    <mergeCell ref="I741:I742"/>
    <mergeCell ref="J741:J742"/>
    <mergeCell ref="F745:F746"/>
    <mergeCell ref="G745:G746"/>
    <mergeCell ref="H745:H746"/>
    <mergeCell ref="I745:I746"/>
    <mergeCell ref="J745:J746"/>
    <mergeCell ref="B729:B731"/>
    <mergeCell ref="C729:C731"/>
    <mergeCell ref="D729:D731"/>
    <mergeCell ref="E729:E731"/>
    <mergeCell ref="F44:F52"/>
    <mergeCell ref="G44:G52"/>
    <mergeCell ref="H310:H311"/>
    <mergeCell ref="I310:I311"/>
    <mergeCell ref="J310:J311"/>
    <mergeCell ref="A313:E313"/>
    <mergeCell ref="J235:J236"/>
    <mergeCell ref="B237:B238"/>
    <mergeCell ref="C237:C238"/>
    <mergeCell ref="J150:J152"/>
    <mergeCell ref="J148:J149"/>
    <mergeCell ref="F231:F234"/>
    <mergeCell ref="G231:G234"/>
    <mergeCell ref="B229:B230"/>
    <mergeCell ref="C229:C230"/>
    <mergeCell ref="D229:D230"/>
    <mergeCell ref="E229:E230"/>
    <mergeCell ref="P724:P725"/>
    <mergeCell ref="Q724:Q725"/>
    <mergeCell ref="H724:H725"/>
    <mergeCell ref="I724:I725"/>
    <mergeCell ref="J724:J725"/>
    <mergeCell ref="K724:K725"/>
    <mergeCell ref="L724:L725"/>
    <mergeCell ref="E724:E725"/>
    <mergeCell ref="F724:F725"/>
    <mergeCell ref="G724:G725"/>
    <mergeCell ref="B724:B725"/>
    <mergeCell ref="C724:C725"/>
    <mergeCell ref="D724:D725"/>
    <mergeCell ref="A587:E587"/>
    <mergeCell ref="M724:M725"/>
    <mergeCell ref="N724:N725"/>
    <mergeCell ref="O724:O725"/>
    <mergeCell ref="J597:J602"/>
    <mergeCell ref="B603:B605"/>
    <mergeCell ref="C603:C605"/>
    <mergeCell ref="E603:E605"/>
    <mergeCell ref="F603:F605"/>
    <mergeCell ref="G603:G605"/>
    <mergeCell ref="H603:H605"/>
    <mergeCell ref="I603:I605"/>
    <mergeCell ref="J603:J605"/>
    <mergeCell ref="I636:I641"/>
    <mergeCell ref="G606:G608"/>
    <mergeCell ref="H606:H608"/>
    <mergeCell ref="I606:I608"/>
    <mergeCell ref="A591:E591"/>
    <mergeCell ref="H597:H602"/>
    <mergeCell ref="K301:K302"/>
    <mergeCell ref="L301:L302"/>
    <mergeCell ref="M301:M302"/>
    <mergeCell ref="N301:N302"/>
    <mergeCell ref="O301:O302"/>
    <mergeCell ref="K149:K152"/>
    <mergeCell ref="L149:L152"/>
    <mergeCell ref="M149:M152"/>
    <mergeCell ref="H148:H149"/>
    <mergeCell ref="I148:I149"/>
    <mergeCell ref="D226:D227"/>
    <mergeCell ref="E226:E227"/>
    <mergeCell ref="F226:F227"/>
    <mergeCell ref="G226:G227"/>
    <mergeCell ref="H226:H227"/>
    <mergeCell ref="I226:I227"/>
    <mergeCell ref="J226:J227"/>
    <mergeCell ref="K226:K227"/>
    <mergeCell ref="K228:Q228"/>
    <mergeCell ref="P301:P302"/>
    <mergeCell ref="Q301:Q302"/>
    <mergeCell ref="H231:H234"/>
    <mergeCell ref="I231:I234"/>
    <mergeCell ref="J231:J234"/>
    <mergeCell ref="A243:E243"/>
    <mergeCell ref="A292:A297"/>
    <mergeCell ref="H235:H236"/>
    <mergeCell ref="I235:I236"/>
    <mergeCell ref="B231:B234"/>
    <mergeCell ref="A301:A312"/>
    <mergeCell ref="H301:H302"/>
    <mergeCell ref="I301:I302"/>
    <mergeCell ref="J301:J302"/>
    <mergeCell ref="B310:B311"/>
    <mergeCell ref="C310:C311"/>
    <mergeCell ref="D310:D311"/>
    <mergeCell ref="E310:E311"/>
    <mergeCell ref="F310:F311"/>
    <mergeCell ref="G310:G311"/>
    <mergeCell ref="I229:I230"/>
    <mergeCell ref="J229:J230"/>
    <mergeCell ref="K229:K230"/>
    <mergeCell ref="L229:L230"/>
    <mergeCell ref="K235:K236"/>
    <mergeCell ref="L235:L236"/>
    <mergeCell ref="M235:M236"/>
    <mergeCell ref="M229:M230"/>
    <mergeCell ref="C231:C234"/>
    <mergeCell ref="D231:D234"/>
    <mergeCell ref="E231:E234"/>
    <mergeCell ref="D237:D238"/>
    <mergeCell ref="E237:E238"/>
    <mergeCell ref="F237:F238"/>
    <mergeCell ref="K237:K238"/>
    <mergeCell ref="I294:I295"/>
    <mergeCell ref="J294:J295"/>
    <mergeCell ref="A298:E298"/>
    <mergeCell ref="G237:G238"/>
    <mergeCell ref="H237:H238"/>
    <mergeCell ref="I237:I238"/>
    <mergeCell ref="J237:J238"/>
    <mergeCell ref="A299:E299"/>
    <mergeCell ref="C292:C293"/>
    <mergeCell ref="D292:D293"/>
    <mergeCell ref="K567:K568"/>
    <mergeCell ref="B568:B569"/>
    <mergeCell ref="G597:G602"/>
    <mergeCell ref="A87:E87"/>
    <mergeCell ref="L87:Q87"/>
    <mergeCell ref="C568:C569"/>
    <mergeCell ref="D568:D569"/>
    <mergeCell ref="E568:E569"/>
    <mergeCell ref="D557:D567"/>
    <mergeCell ref="E557:E567"/>
    <mergeCell ref="D555:D556"/>
    <mergeCell ref="E555:E556"/>
    <mergeCell ref="B557:B567"/>
    <mergeCell ref="C557:C567"/>
    <mergeCell ref="B555:B556"/>
    <mergeCell ref="C555:C556"/>
    <mergeCell ref="A588:O588"/>
    <mergeCell ref="A574:E574"/>
    <mergeCell ref="A575:O575"/>
    <mergeCell ref="G557:G567"/>
    <mergeCell ref="H557:H566"/>
    <mergeCell ref="I557:I566"/>
    <mergeCell ref="J557:J566"/>
    <mergeCell ref="F568:F569"/>
    <mergeCell ref="G568:G569"/>
    <mergeCell ref="H568:H569"/>
    <mergeCell ref="I568:I569"/>
    <mergeCell ref="J568:J569"/>
    <mergeCell ref="F557:F567"/>
    <mergeCell ref="F555:F556"/>
    <mergeCell ref="J555:J556"/>
    <mergeCell ref="F543:F553"/>
    <mergeCell ref="C543:C553"/>
    <mergeCell ref="D543:D553"/>
    <mergeCell ref="E543:E553"/>
    <mergeCell ref="C142:C147"/>
    <mergeCell ref="B142:B147"/>
    <mergeCell ref="G543:G553"/>
    <mergeCell ref="H543:H553"/>
    <mergeCell ref="I543:I553"/>
    <mergeCell ref="J543:J553"/>
    <mergeCell ref="G555:G556"/>
    <mergeCell ref="H555:H556"/>
    <mergeCell ref="I555:I556"/>
    <mergeCell ref="A324:O324"/>
    <mergeCell ref="O229:O230"/>
    <mergeCell ref="B235:B236"/>
    <mergeCell ref="C235:C236"/>
    <mergeCell ref="D235:D236"/>
    <mergeCell ref="E235:E236"/>
    <mergeCell ref="F235:F236"/>
    <mergeCell ref="G235:G236"/>
    <mergeCell ref="J142:J147"/>
    <mergeCell ref="F229:F230"/>
    <mergeCell ref="G229:G230"/>
    <mergeCell ref="H229:H230"/>
    <mergeCell ref="A190:E190"/>
    <mergeCell ref="A323:O323"/>
    <mergeCell ref="B301:B302"/>
    <mergeCell ref="C301:C302"/>
    <mergeCell ref="D301:D302"/>
    <mergeCell ref="E301:E302"/>
    <mergeCell ref="F301:F302"/>
    <mergeCell ref="G301:G302"/>
    <mergeCell ref="A205:E205"/>
    <mergeCell ref="A192:A204"/>
    <mergeCell ref="A153:E153"/>
    <mergeCell ref="A154:O154"/>
    <mergeCell ref="A159:E159"/>
    <mergeCell ref="A160:O160"/>
    <mergeCell ref="A155:A158"/>
    <mergeCell ref="A141:A152"/>
    <mergeCell ref="A97:A130"/>
    <mergeCell ref="A89:A94"/>
    <mergeCell ref="B12:B13"/>
    <mergeCell ref="C12:C13"/>
    <mergeCell ref="D12:D13"/>
    <mergeCell ref="K38:K43"/>
    <mergeCell ref="E44:E52"/>
    <mergeCell ref="N149:N152"/>
    <mergeCell ref="K104:K106"/>
    <mergeCell ref="D142:D147"/>
    <mergeCell ref="D148:D149"/>
    <mergeCell ref="E148:E149"/>
    <mergeCell ref="J44:J52"/>
    <mergeCell ref="D44:D52"/>
    <mergeCell ref="A30:A58"/>
    <mergeCell ref="A161:A189"/>
    <mergeCell ref="A191:O191"/>
    <mergeCell ref="H12:H13"/>
    <mergeCell ref="I12:I13"/>
    <mergeCell ref="J12:J13"/>
    <mergeCell ref="B38:B43"/>
    <mergeCell ref="D38:D43"/>
    <mergeCell ref="C38:C43"/>
    <mergeCell ref="C44:C52"/>
    <mergeCell ref="N5:Q5"/>
    <mergeCell ref="L5:L6"/>
    <mergeCell ref="K5:K6"/>
    <mergeCell ref="E5:E6"/>
    <mergeCell ref="D5:D6"/>
    <mergeCell ref="C5:C6"/>
    <mergeCell ref="O149:O152"/>
    <mergeCell ref="P149:P152"/>
    <mergeCell ref="Q149:Q152"/>
    <mergeCell ref="C150:C152"/>
    <mergeCell ref="D150:D152"/>
    <mergeCell ref="E150:E152"/>
    <mergeCell ref="F150:F152"/>
    <mergeCell ref="G150:G152"/>
    <mergeCell ref="F142:F147"/>
    <mergeCell ref="E12:E13"/>
    <mergeCell ref="F12:F13"/>
    <mergeCell ref="A27:E27"/>
    <mergeCell ref="L27:Q27"/>
    <mergeCell ref="A28:O28"/>
    <mergeCell ref="A59:E59"/>
    <mergeCell ref="L59:Q59"/>
    <mergeCell ref="A60:O60"/>
    <mergeCell ref="A70:E70"/>
    <mergeCell ref="L70:Q70"/>
    <mergeCell ref="A71:O71"/>
    <mergeCell ref="J9:J11"/>
    <mergeCell ref="L22:Q22"/>
    <mergeCell ref="E37:E43"/>
    <mergeCell ref="G12:G13"/>
    <mergeCell ref="A24:A26"/>
    <mergeCell ref="L14:Q14"/>
    <mergeCell ref="A5:A6"/>
    <mergeCell ref="F5:J5"/>
    <mergeCell ref="E142:E147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B5:B6"/>
    <mergeCell ref="B9:B11"/>
    <mergeCell ref="C9:C11"/>
    <mergeCell ref="D9:D11"/>
    <mergeCell ref="E9:E11"/>
    <mergeCell ref="F9:F11"/>
    <mergeCell ref="G9:G11"/>
    <mergeCell ref="H9:H11"/>
    <mergeCell ref="I9:I11"/>
    <mergeCell ref="A61:A62"/>
    <mergeCell ref="A16:A20"/>
    <mergeCell ref="A88:O88"/>
    <mergeCell ref="A95:E95"/>
    <mergeCell ref="L95:Q95"/>
    <mergeCell ref="A7:O7"/>
    <mergeCell ref="A15:O15"/>
    <mergeCell ref="A22:E22"/>
    <mergeCell ref="A14:E14"/>
    <mergeCell ref="A8:A13"/>
    <mergeCell ref="A23:O23"/>
    <mergeCell ref="I597:I602"/>
    <mergeCell ref="E610:E614"/>
    <mergeCell ref="F610:F614"/>
    <mergeCell ref="G610:G614"/>
    <mergeCell ref="H610:H614"/>
    <mergeCell ref="I610:I614"/>
    <mergeCell ref="C618:C623"/>
    <mergeCell ref="D618:D623"/>
    <mergeCell ref="E618:E623"/>
    <mergeCell ref="F618:F623"/>
    <mergeCell ref="G618:G623"/>
    <mergeCell ref="H618:H623"/>
    <mergeCell ref="D610:D614"/>
    <mergeCell ref="D606:D608"/>
    <mergeCell ref="D603:D605"/>
    <mergeCell ref="D624:D632"/>
    <mergeCell ref="D633:D635"/>
    <mergeCell ref="F597:F602"/>
    <mergeCell ref="D636:D641"/>
    <mergeCell ref="J624:J632"/>
    <mergeCell ref="B633:B635"/>
    <mergeCell ref="C633:C635"/>
    <mergeCell ref="E633:E635"/>
    <mergeCell ref="F633:F635"/>
    <mergeCell ref="G633:G635"/>
    <mergeCell ref="H633:H635"/>
    <mergeCell ref="I633:I635"/>
    <mergeCell ref="J633:J635"/>
    <mergeCell ref="B624:B632"/>
    <mergeCell ref="C624:C632"/>
    <mergeCell ref="E624:E632"/>
    <mergeCell ref="F624:F632"/>
    <mergeCell ref="G624:G632"/>
    <mergeCell ref="H624:H632"/>
    <mergeCell ref="A592:O592"/>
    <mergeCell ref="B606:B608"/>
    <mergeCell ref="J606:J608"/>
    <mergeCell ref="J610:J614"/>
    <mergeCell ref="B618:B623"/>
    <mergeCell ref="I618:I623"/>
    <mergeCell ref="J618:J623"/>
    <mergeCell ref="B610:B614"/>
    <mergeCell ref="C610:C614"/>
    <mergeCell ref="C606:C608"/>
    <mergeCell ref="E606:E608"/>
    <mergeCell ref="F606:F608"/>
    <mergeCell ref="B597:B602"/>
    <mergeCell ref="C597:C602"/>
    <mergeCell ref="D597:D602"/>
    <mergeCell ref="E597:E602"/>
    <mergeCell ref="J647:J648"/>
    <mergeCell ref="B649:B651"/>
    <mergeCell ref="C649:C651"/>
    <mergeCell ref="E649:E651"/>
    <mergeCell ref="F649:F651"/>
    <mergeCell ref="G649:G651"/>
    <mergeCell ref="H649:H651"/>
    <mergeCell ref="I649:I651"/>
    <mergeCell ref="J649:J651"/>
    <mergeCell ref="B647:B648"/>
    <mergeCell ref="C647:C648"/>
    <mergeCell ref="E647:E648"/>
    <mergeCell ref="F647:F648"/>
    <mergeCell ref="G647:G648"/>
    <mergeCell ref="H647:H648"/>
    <mergeCell ref="I647:I648"/>
    <mergeCell ref="I624:I632"/>
    <mergeCell ref="J636:J641"/>
    <mergeCell ref="B642:B646"/>
    <mergeCell ref="C642:C646"/>
    <mergeCell ref="E642:E646"/>
    <mergeCell ref="F642:F646"/>
    <mergeCell ref="G642:G646"/>
    <mergeCell ref="H642:H646"/>
    <mergeCell ref="I642:I646"/>
    <mergeCell ref="J642:J646"/>
    <mergeCell ref="B636:B641"/>
    <mergeCell ref="C636:C641"/>
    <mergeCell ref="E636:E641"/>
    <mergeCell ref="F636:F641"/>
    <mergeCell ref="G636:G641"/>
    <mergeCell ref="H636:H641"/>
    <mergeCell ref="L655:L659"/>
    <mergeCell ref="M655:M659"/>
    <mergeCell ref="N655:N659"/>
    <mergeCell ref="O655:O659"/>
    <mergeCell ref="P655:P659"/>
    <mergeCell ref="Q655:Q659"/>
    <mergeCell ref="B660:B661"/>
    <mergeCell ref="C660:C661"/>
    <mergeCell ref="E660:E661"/>
    <mergeCell ref="F660:F661"/>
    <mergeCell ref="G660:G661"/>
    <mergeCell ref="H660:H661"/>
    <mergeCell ref="I660:I661"/>
    <mergeCell ref="J660:J661"/>
    <mergeCell ref="J653:J654"/>
    <mergeCell ref="B655:B659"/>
    <mergeCell ref="C655:C659"/>
    <mergeCell ref="D655:D659"/>
    <mergeCell ref="E655:E659"/>
    <mergeCell ref="F655:F659"/>
    <mergeCell ref="G655:G659"/>
    <mergeCell ref="H655:H659"/>
    <mergeCell ref="I655:I659"/>
    <mergeCell ref="J655:J659"/>
    <mergeCell ref="B653:B654"/>
    <mergeCell ref="C653:C654"/>
    <mergeCell ref="E653:E654"/>
    <mergeCell ref="F653:F654"/>
    <mergeCell ref="G653:G654"/>
    <mergeCell ref="H653:H654"/>
    <mergeCell ref="I653:I654"/>
    <mergeCell ref="D653:D654"/>
    <mergeCell ref="B662:B663"/>
    <mergeCell ref="C662:C663"/>
    <mergeCell ref="E662:E663"/>
    <mergeCell ref="F662:F663"/>
    <mergeCell ref="G662:G663"/>
    <mergeCell ref="H662:H663"/>
    <mergeCell ref="I662:I663"/>
    <mergeCell ref="J662:J663"/>
    <mergeCell ref="E664:E668"/>
    <mergeCell ref="F664:F668"/>
    <mergeCell ref="G664:G668"/>
    <mergeCell ref="H664:H668"/>
    <mergeCell ref="I664:I668"/>
    <mergeCell ref="J664:J668"/>
    <mergeCell ref="K655:K659"/>
    <mergeCell ref="D660:D661"/>
    <mergeCell ref="D662:D663"/>
    <mergeCell ref="B664:B668"/>
    <mergeCell ref="C664:C668"/>
    <mergeCell ref="D664:D668"/>
    <mergeCell ref="I680:I682"/>
    <mergeCell ref="J680:J682"/>
    <mergeCell ref="B684:B687"/>
    <mergeCell ref="C684:C687"/>
    <mergeCell ref="E684:E687"/>
    <mergeCell ref="F684:F687"/>
    <mergeCell ref="G684:G687"/>
    <mergeCell ref="H684:H687"/>
    <mergeCell ref="I684:I687"/>
    <mergeCell ref="J684:J687"/>
    <mergeCell ref="B680:B682"/>
    <mergeCell ref="C680:C682"/>
    <mergeCell ref="E680:E682"/>
    <mergeCell ref="F680:F682"/>
    <mergeCell ref="G680:G682"/>
    <mergeCell ref="H680:H682"/>
    <mergeCell ref="B670:B672"/>
    <mergeCell ref="C670:C672"/>
    <mergeCell ref="D670:D672"/>
    <mergeCell ref="E670:E672"/>
    <mergeCell ref="F670:F672"/>
    <mergeCell ref="G670:G672"/>
    <mergeCell ref="H670:H672"/>
    <mergeCell ref="I670:I672"/>
    <mergeCell ref="J670:J672"/>
    <mergeCell ref="C674:C679"/>
    <mergeCell ref="E674:E679"/>
    <mergeCell ref="F674:F679"/>
    <mergeCell ref="G674:G679"/>
    <mergeCell ref="H674:H679"/>
    <mergeCell ref="I674:I679"/>
    <mergeCell ref="J674:J679"/>
    <mergeCell ref="J688:J689"/>
    <mergeCell ref="J690:J695"/>
    <mergeCell ref="B696:B698"/>
    <mergeCell ref="C696:C698"/>
    <mergeCell ref="E696:E698"/>
    <mergeCell ref="F696:F698"/>
    <mergeCell ref="G696:G698"/>
    <mergeCell ref="H696:H698"/>
    <mergeCell ref="I696:I698"/>
    <mergeCell ref="J696:J698"/>
    <mergeCell ref="B690:B695"/>
    <mergeCell ref="C690:C695"/>
    <mergeCell ref="E690:E695"/>
    <mergeCell ref="F690:F695"/>
    <mergeCell ref="G690:G695"/>
    <mergeCell ref="H690:H695"/>
    <mergeCell ref="I690:I695"/>
    <mergeCell ref="A140:O140"/>
    <mergeCell ref="I710:I714"/>
    <mergeCell ref="J710:J714"/>
    <mergeCell ref="B705:B707"/>
    <mergeCell ref="C705:C707"/>
    <mergeCell ref="E705:E707"/>
    <mergeCell ref="F705:F707"/>
    <mergeCell ref="G705:G707"/>
    <mergeCell ref="H705:H707"/>
    <mergeCell ref="I705:I707"/>
    <mergeCell ref="J716:J719"/>
    <mergeCell ref="B543:B553"/>
    <mergeCell ref="B674:B679"/>
    <mergeCell ref="B716:B719"/>
    <mergeCell ref="C716:C719"/>
    <mergeCell ref="E716:E719"/>
    <mergeCell ref="F716:F719"/>
    <mergeCell ref="G716:G719"/>
    <mergeCell ref="H716:H719"/>
    <mergeCell ref="I716:I719"/>
    <mergeCell ref="J705:J707"/>
    <mergeCell ref="B710:B714"/>
    <mergeCell ref="C710:C714"/>
    <mergeCell ref="D710:D714"/>
    <mergeCell ref="E710:E714"/>
    <mergeCell ref="I699:I700"/>
    <mergeCell ref="F148:F149"/>
    <mergeCell ref="G148:G149"/>
    <mergeCell ref="H688:H689"/>
    <mergeCell ref="N292:N293"/>
    <mergeCell ref="O292:O293"/>
    <mergeCell ref="I688:I689"/>
    <mergeCell ref="B44:B52"/>
    <mergeCell ref="B150:B152"/>
    <mergeCell ref="F710:F714"/>
    <mergeCell ref="G710:G714"/>
    <mergeCell ref="H710:H714"/>
    <mergeCell ref="J699:J700"/>
    <mergeCell ref="B702:B704"/>
    <mergeCell ref="C702:C704"/>
    <mergeCell ref="E702:E704"/>
    <mergeCell ref="F702:F704"/>
    <mergeCell ref="G702:G704"/>
    <mergeCell ref="H702:H704"/>
    <mergeCell ref="I702:I704"/>
    <mergeCell ref="J702:J704"/>
    <mergeCell ref="B699:B700"/>
    <mergeCell ref="C699:C700"/>
    <mergeCell ref="D699:D700"/>
    <mergeCell ref="E699:E700"/>
    <mergeCell ref="C226:C227"/>
    <mergeCell ref="F699:F700"/>
    <mergeCell ref="A541:O541"/>
    <mergeCell ref="A367:O367"/>
    <mergeCell ref="A322:E322"/>
    <mergeCell ref="A407:E407"/>
    <mergeCell ref="G699:G700"/>
    <mergeCell ref="H699:H700"/>
    <mergeCell ref="K685:K686"/>
    <mergeCell ref="B688:B689"/>
    <mergeCell ref="C688:C689"/>
    <mergeCell ref="E688:E689"/>
    <mergeCell ref="F688:F689"/>
    <mergeCell ref="G688:G689"/>
    <mergeCell ref="Q226:Q227"/>
    <mergeCell ref="M226:M227"/>
    <mergeCell ref="N226:N227"/>
    <mergeCell ref="O226:O227"/>
    <mergeCell ref="P226:P227"/>
    <mergeCell ref="P235:P236"/>
    <mergeCell ref="Q235:Q236"/>
    <mergeCell ref="Q237:Q238"/>
    <mergeCell ref="A72:A86"/>
    <mergeCell ref="A96:O96"/>
    <mergeCell ref="A138:E138"/>
    <mergeCell ref="A139:E139"/>
    <mergeCell ref="G142:G147"/>
    <mergeCell ref="H142:H147"/>
    <mergeCell ref="I142:I147"/>
    <mergeCell ref="H150:H152"/>
    <mergeCell ref="I150:I152"/>
    <mergeCell ref="B148:B149"/>
    <mergeCell ref="C148:C149"/>
    <mergeCell ref="A206:O206"/>
    <mergeCell ref="A224:E224"/>
    <mergeCell ref="A207:A223"/>
    <mergeCell ref="A225:O225"/>
    <mergeCell ref="M237:M238"/>
    <mergeCell ref="N237:N238"/>
    <mergeCell ref="O237:O238"/>
    <mergeCell ref="N235:N236"/>
    <mergeCell ref="O235:O236"/>
    <mergeCell ref="L237:L238"/>
    <mergeCell ref="P229:P230"/>
    <mergeCell ref="Q229:Q230"/>
    <mergeCell ref="B226:B227"/>
    <mergeCell ref="Q292:Q293"/>
    <mergeCell ref="P239:P240"/>
    <mergeCell ref="Q239:Q240"/>
    <mergeCell ref="B241:B242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K241:K242"/>
    <mergeCell ref="L241:L242"/>
    <mergeCell ref="M241:M242"/>
    <mergeCell ref="N241:N242"/>
    <mergeCell ref="O241:O242"/>
    <mergeCell ref="P241:P242"/>
    <mergeCell ref="Q241:Q242"/>
    <mergeCell ref="B239:B240"/>
    <mergeCell ref="C239:C240"/>
    <mergeCell ref="L239:L240"/>
    <mergeCell ref="M239:M240"/>
    <mergeCell ref="N239:N240"/>
    <mergeCell ref="O239:O240"/>
    <mergeCell ref="A291:O291"/>
    <mergeCell ref="A250:E250"/>
    <mergeCell ref="A276:D276"/>
    <mergeCell ref="K282:Q282"/>
    <mergeCell ref="A290:E290"/>
    <mergeCell ref="B292:B293"/>
    <mergeCell ref="L292:L293"/>
    <mergeCell ref="E292:E293"/>
    <mergeCell ref="F292:F293"/>
    <mergeCell ref="G292:G293"/>
    <mergeCell ref="H292:H293"/>
    <mergeCell ref="I292:I293"/>
    <mergeCell ref="J292:J293"/>
    <mergeCell ref="K292:K293"/>
    <mergeCell ref="P237:P238"/>
    <mergeCell ref="F239:F240"/>
    <mergeCell ref="G239:G240"/>
    <mergeCell ref="K239:K240"/>
    <mergeCell ref="H239:H240"/>
    <mergeCell ref="I239:I240"/>
    <mergeCell ref="J239:J240"/>
    <mergeCell ref="A226:A242"/>
    <mergeCell ref="P292:P293"/>
    <mergeCell ref="L226:L227"/>
    <mergeCell ref="N229:N230"/>
    <mergeCell ref="M292:M293"/>
    <mergeCell ref="R291:AB291"/>
    <mergeCell ref="AC291:AS291"/>
    <mergeCell ref="AT291:BJ291"/>
    <mergeCell ref="BK291:CA291"/>
    <mergeCell ref="CB291:CR291"/>
    <mergeCell ref="CS291:DI291"/>
    <mergeCell ref="DJ291:DZ291"/>
    <mergeCell ref="EA291:EQ291"/>
    <mergeCell ref="ER291:FH291"/>
    <mergeCell ref="FI291:FY291"/>
    <mergeCell ref="FZ291:GP291"/>
    <mergeCell ref="GQ291:HG291"/>
    <mergeCell ref="HH291:HX291"/>
    <mergeCell ref="HY291:IO291"/>
    <mergeCell ref="IP291:JF291"/>
    <mergeCell ref="A251:O251"/>
    <mergeCell ref="R251:AB251"/>
    <mergeCell ref="AC251:AS251"/>
    <mergeCell ref="AT251:BJ251"/>
    <mergeCell ref="BK251:CA251"/>
    <mergeCell ref="CB251:CR251"/>
    <mergeCell ref="CS251:DI251"/>
    <mergeCell ref="DJ251:DZ251"/>
    <mergeCell ref="EA251:EQ251"/>
    <mergeCell ref="ER251:FH251"/>
    <mergeCell ref="FI251:FY251"/>
    <mergeCell ref="FZ251:GP251"/>
    <mergeCell ref="GQ251:HG251"/>
    <mergeCell ref="HH251:HX251"/>
    <mergeCell ref="HY251:IO251"/>
    <mergeCell ref="JG291:JW291"/>
    <mergeCell ref="JX291:KN291"/>
    <mergeCell ref="KO291:LE291"/>
    <mergeCell ref="LF291:LV291"/>
    <mergeCell ref="LW291:MM291"/>
    <mergeCell ref="MN291:ND291"/>
    <mergeCell ref="NE291:NU291"/>
    <mergeCell ref="NV291:OL291"/>
    <mergeCell ref="OM291:PC291"/>
    <mergeCell ref="PD291:PT291"/>
    <mergeCell ref="PU291:QK291"/>
    <mergeCell ref="QL291:RB291"/>
    <mergeCell ref="RC291:RS291"/>
    <mergeCell ref="RT291:SJ291"/>
    <mergeCell ref="SK291:TA291"/>
    <mergeCell ref="TB291:TR291"/>
    <mergeCell ref="TS291:UI291"/>
    <mergeCell ref="UJ291:UZ291"/>
    <mergeCell ref="VA291:VQ291"/>
    <mergeCell ref="VR291:WH291"/>
    <mergeCell ref="WI291:WY291"/>
    <mergeCell ref="WZ291:XP291"/>
    <mergeCell ref="XQ291:YG291"/>
    <mergeCell ref="YH291:YX291"/>
    <mergeCell ref="YY291:ZO291"/>
    <mergeCell ref="ZP291:AAF291"/>
    <mergeCell ref="AAG291:AAW291"/>
    <mergeCell ref="AAX291:ABN291"/>
    <mergeCell ref="ABO291:ACE291"/>
    <mergeCell ref="ACF291:ACV291"/>
    <mergeCell ref="ACW291:ADM291"/>
    <mergeCell ref="ADN291:AED291"/>
    <mergeCell ref="AEE291:AEU291"/>
    <mergeCell ref="AEV291:AFL291"/>
    <mergeCell ref="AFM291:AGC291"/>
    <mergeCell ref="AGD291:AGT291"/>
    <mergeCell ref="AGU291:AHK291"/>
    <mergeCell ref="AHL291:AIB291"/>
    <mergeCell ref="AIC291:AIS291"/>
    <mergeCell ref="AIT291:AJJ291"/>
    <mergeCell ref="AJK291:AKA291"/>
    <mergeCell ref="AKB291:AKR291"/>
    <mergeCell ref="AKS291:ALI291"/>
    <mergeCell ref="ALJ291:ALZ291"/>
    <mergeCell ref="AMA291:AMQ291"/>
    <mergeCell ref="AMR291:ANH291"/>
    <mergeCell ref="ANI291:ANY291"/>
    <mergeCell ref="ANZ291:AOP291"/>
    <mergeCell ref="AOQ291:APG291"/>
    <mergeCell ref="APH291:APX291"/>
    <mergeCell ref="APY291:AQO291"/>
    <mergeCell ref="AQP291:ARF291"/>
    <mergeCell ref="ARG291:ARW291"/>
    <mergeCell ref="ARX291:ASN291"/>
    <mergeCell ref="ASO291:ATE291"/>
    <mergeCell ref="ATF291:ATV291"/>
    <mergeCell ref="ATW291:AUM291"/>
    <mergeCell ref="AUN291:AVD291"/>
    <mergeCell ref="AVE291:AVU291"/>
    <mergeCell ref="AVV291:AWL291"/>
    <mergeCell ref="AWM291:AXC291"/>
    <mergeCell ref="AXD291:AXT291"/>
    <mergeCell ref="AXU291:AYK291"/>
    <mergeCell ref="AYL291:AZB291"/>
    <mergeCell ref="AZC291:AZS291"/>
    <mergeCell ref="AZT291:BAJ291"/>
    <mergeCell ref="BAK291:BBA291"/>
    <mergeCell ref="BBB291:BBR291"/>
    <mergeCell ref="BBS291:BCI291"/>
    <mergeCell ref="BCJ291:BCZ291"/>
    <mergeCell ref="BDA291:BDQ291"/>
    <mergeCell ref="BDR291:BEH291"/>
    <mergeCell ref="BEI291:BEY291"/>
    <mergeCell ref="BEZ291:BFP291"/>
    <mergeCell ref="BFQ291:BGG291"/>
    <mergeCell ref="BGH291:BGX291"/>
    <mergeCell ref="BGY291:BHO291"/>
    <mergeCell ref="BHP291:BIF291"/>
    <mergeCell ref="BIG291:BIW291"/>
    <mergeCell ref="BIX291:BJN291"/>
    <mergeCell ref="BJO291:BKE291"/>
    <mergeCell ref="BKF291:BKV291"/>
    <mergeCell ref="BKW291:BLM291"/>
    <mergeCell ref="BLN291:BMD291"/>
    <mergeCell ref="BME291:BMU291"/>
    <mergeCell ref="BMV291:BNL291"/>
    <mergeCell ref="BNM291:BOC291"/>
    <mergeCell ref="BOD291:BOT291"/>
    <mergeCell ref="BOU291:BPK291"/>
    <mergeCell ref="BPL291:BQB291"/>
    <mergeCell ref="BQC291:BQS291"/>
    <mergeCell ref="BQT291:BRJ291"/>
    <mergeCell ref="BRK291:BSA291"/>
    <mergeCell ref="BSB291:BSR291"/>
    <mergeCell ref="BSS291:BTI291"/>
    <mergeCell ref="BTJ291:BTZ291"/>
    <mergeCell ref="BUA291:BUQ291"/>
    <mergeCell ref="BUR291:BVH291"/>
    <mergeCell ref="BVI291:BVY291"/>
    <mergeCell ref="BVZ291:BWP291"/>
    <mergeCell ref="BWQ291:BXG291"/>
    <mergeCell ref="BXH291:BXX291"/>
    <mergeCell ref="BXY291:BYO291"/>
    <mergeCell ref="BYP291:BZF291"/>
    <mergeCell ref="BZG291:BZW291"/>
    <mergeCell ref="BZX291:CAN291"/>
    <mergeCell ref="CAO291:CBE291"/>
    <mergeCell ref="CBF291:CBV291"/>
    <mergeCell ref="CBW291:CCM291"/>
    <mergeCell ref="CCN291:CDD291"/>
    <mergeCell ref="CDE291:CDU291"/>
    <mergeCell ref="CDV291:CEL291"/>
    <mergeCell ref="CEM291:CFC291"/>
    <mergeCell ref="CFD291:CFT291"/>
    <mergeCell ref="CFU291:CGK291"/>
    <mergeCell ref="CGL291:CHB291"/>
    <mergeCell ref="CHC291:CHS291"/>
    <mergeCell ref="CHT291:CIJ291"/>
    <mergeCell ref="CIK291:CJA291"/>
    <mergeCell ref="CJB291:CJR291"/>
    <mergeCell ref="CJS291:CKI291"/>
    <mergeCell ref="CKJ291:CKZ291"/>
    <mergeCell ref="CLA291:CLQ291"/>
    <mergeCell ref="CLR291:CMH291"/>
    <mergeCell ref="CMI291:CMY291"/>
    <mergeCell ref="CMZ291:CNP291"/>
    <mergeCell ref="CNQ291:COG291"/>
    <mergeCell ref="COH291:COX291"/>
    <mergeCell ref="COY291:CPO291"/>
    <mergeCell ref="CPP291:CQF291"/>
    <mergeCell ref="CQG291:CQW291"/>
    <mergeCell ref="CQX291:CRN291"/>
    <mergeCell ref="CRO291:CSE291"/>
    <mergeCell ref="CSF291:CSV291"/>
    <mergeCell ref="CSW291:CTM291"/>
    <mergeCell ref="CTN291:CUD291"/>
    <mergeCell ref="CUE291:CUU291"/>
    <mergeCell ref="CUV291:CVL291"/>
    <mergeCell ref="CVM291:CWC291"/>
    <mergeCell ref="CWD291:CWT291"/>
    <mergeCell ref="CWU291:CXK291"/>
    <mergeCell ref="CXL291:CYB291"/>
    <mergeCell ref="CYC291:CYS291"/>
    <mergeCell ref="CYT291:CZJ291"/>
    <mergeCell ref="CZK291:DAA291"/>
    <mergeCell ref="DAB291:DAR291"/>
    <mergeCell ref="DAS291:DBI291"/>
    <mergeCell ref="DBJ291:DBZ291"/>
    <mergeCell ref="DCA291:DCQ291"/>
    <mergeCell ref="DCR291:DDH291"/>
    <mergeCell ref="DDI291:DDY291"/>
    <mergeCell ref="DDZ291:DEP291"/>
    <mergeCell ref="DEQ291:DFG291"/>
    <mergeCell ref="DFH291:DFX291"/>
    <mergeCell ref="DFY291:DGO291"/>
    <mergeCell ref="DGP291:DHF291"/>
    <mergeCell ref="DHG291:DHW291"/>
    <mergeCell ref="DHX291:DIN291"/>
    <mergeCell ref="DIO291:DJE291"/>
    <mergeCell ref="DJF291:DJV291"/>
    <mergeCell ref="DJW291:DKM291"/>
    <mergeCell ref="DKN291:DLD291"/>
    <mergeCell ref="DLE291:DLU291"/>
    <mergeCell ref="DLV291:DML291"/>
    <mergeCell ref="DMM291:DNC291"/>
    <mergeCell ref="DND291:DNT291"/>
    <mergeCell ref="DNU291:DOK291"/>
    <mergeCell ref="DOL291:DPB291"/>
    <mergeCell ref="DPC291:DPS291"/>
    <mergeCell ref="DPT291:DQJ291"/>
    <mergeCell ref="DQK291:DRA291"/>
    <mergeCell ref="DRB291:DRR291"/>
    <mergeCell ref="DRS291:DSI291"/>
    <mergeCell ref="DSJ291:DSZ291"/>
    <mergeCell ref="DTA291:DTQ291"/>
    <mergeCell ref="DTR291:DUH291"/>
    <mergeCell ref="DUI291:DUY291"/>
    <mergeCell ref="DUZ291:DVP291"/>
    <mergeCell ref="DVQ291:DWG291"/>
    <mergeCell ref="DWH291:DWX291"/>
    <mergeCell ref="DWY291:DXO291"/>
    <mergeCell ref="DXP291:DYF291"/>
    <mergeCell ref="DYG291:DYW291"/>
    <mergeCell ref="DYX291:DZN291"/>
    <mergeCell ref="DZO291:EAE291"/>
    <mergeCell ref="EAF291:EAV291"/>
    <mergeCell ref="EAW291:EBM291"/>
    <mergeCell ref="EBN291:ECD291"/>
    <mergeCell ref="ECE291:ECU291"/>
    <mergeCell ref="ECV291:EDL291"/>
    <mergeCell ref="EDM291:EEC291"/>
    <mergeCell ref="EED291:EET291"/>
    <mergeCell ref="EEU291:EFK291"/>
    <mergeCell ref="EFL291:EGB291"/>
    <mergeCell ref="EGC291:EGS291"/>
    <mergeCell ref="EGT291:EHJ291"/>
    <mergeCell ref="EHK291:EIA291"/>
    <mergeCell ref="EIB291:EIR291"/>
    <mergeCell ref="EIS291:EJI291"/>
    <mergeCell ref="EJJ291:EJZ291"/>
    <mergeCell ref="EKA291:EKQ291"/>
    <mergeCell ref="EKR291:ELH291"/>
    <mergeCell ref="ELI291:ELY291"/>
    <mergeCell ref="ELZ291:EMP291"/>
    <mergeCell ref="EMQ291:ENG291"/>
    <mergeCell ref="ENH291:ENX291"/>
    <mergeCell ref="ENY291:EOO291"/>
    <mergeCell ref="EOP291:EPF291"/>
    <mergeCell ref="EPG291:EPW291"/>
    <mergeCell ref="EPX291:EQN291"/>
    <mergeCell ref="EQO291:ERE291"/>
    <mergeCell ref="ERF291:ERV291"/>
    <mergeCell ref="ERW291:ESM291"/>
    <mergeCell ref="ESN291:ETD291"/>
    <mergeCell ref="ETE291:ETU291"/>
    <mergeCell ref="ETV291:EUL291"/>
    <mergeCell ref="EUM291:EVC291"/>
    <mergeCell ref="EVD291:EVT291"/>
    <mergeCell ref="EVU291:EWK291"/>
    <mergeCell ref="EWL291:EXB291"/>
    <mergeCell ref="EXC291:EXS291"/>
    <mergeCell ref="EXT291:EYJ291"/>
    <mergeCell ref="EYK291:EZA291"/>
    <mergeCell ref="EZB291:EZR291"/>
    <mergeCell ref="EZS291:FAI291"/>
    <mergeCell ref="FAJ291:FAZ291"/>
    <mergeCell ref="FBA291:FBQ291"/>
    <mergeCell ref="FBR291:FCH291"/>
    <mergeCell ref="FCI291:FCY291"/>
    <mergeCell ref="FCZ291:FDP291"/>
    <mergeCell ref="FDQ291:FEG291"/>
    <mergeCell ref="FEH291:FEX291"/>
    <mergeCell ref="FEY291:FFO291"/>
    <mergeCell ref="FFP291:FGF291"/>
    <mergeCell ref="FGG291:FGW291"/>
    <mergeCell ref="FGX291:FHN291"/>
    <mergeCell ref="FHO291:FIE291"/>
    <mergeCell ref="FIF291:FIV291"/>
    <mergeCell ref="FIW291:FJM291"/>
    <mergeCell ref="FJN291:FKD291"/>
    <mergeCell ref="FKE291:FKU291"/>
    <mergeCell ref="FKV291:FLL291"/>
    <mergeCell ref="FLM291:FMC291"/>
    <mergeCell ref="FMD291:FMT291"/>
    <mergeCell ref="FMU291:FNK291"/>
    <mergeCell ref="FNL291:FOB291"/>
    <mergeCell ref="FOC291:FOS291"/>
    <mergeCell ref="FOT291:FPJ291"/>
    <mergeCell ref="FPK291:FQA291"/>
    <mergeCell ref="FQB291:FQR291"/>
    <mergeCell ref="FQS291:FRI291"/>
    <mergeCell ref="FRJ291:FRZ291"/>
    <mergeCell ref="FSA291:FSQ291"/>
    <mergeCell ref="FSR291:FTH291"/>
    <mergeCell ref="FTI291:FTY291"/>
    <mergeCell ref="FTZ291:FUP291"/>
    <mergeCell ref="FUQ291:FVG291"/>
    <mergeCell ref="FVH291:FVX291"/>
    <mergeCell ref="FVY291:FWO291"/>
    <mergeCell ref="FWP291:FXF291"/>
    <mergeCell ref="FXG291:FXW291"/>
    <mergeCell ref="FXX291:FYN291"/>
    <mergeCell ref="FYO291:FZE291"/>
    <mergeCell ref="FZF291:FZV291"/>
    <mergeCell ref="FZW291:GAM291"/>
    <mergeCell ref="GAN291:GBD291"/>
    <mergeCell ref="GBE291:GBU291"/>
    <mergeCell ref="GBV291:GCL291"/>
    <mergeCell ref="GCM291:GDC291"/>
    <mergeCell ref="GDD291:GDT291"/>
    <mergeCell ref="GDU291:GEK291"/>
    <mergeCell ref="GEL291:GFB291"/>
    <mergeCell ref="GFC291:GFS291"/>
    <mergeCell ref="GFT291:GGJ291"/>
    <mergeCell ref="GGK291:GHA291"/>
    <mergeCell ref="GHB291:GHR291"/>
    <mergeCell ref="GHS291:GII291"/>
    <mergeCell ref="GIJ291:GIZ291"/>
    <mergeCell ref="GJA291:GJQ291"/>
    <mergeCell ref="GJR291:GKH291"/>
    <mergeCell ref="GKI291:GKY291"/>
    <mergeCell ref="GKZ291:GLP291"/>
    <mergeCell ref="GLQ291:GMG291"/>
    <mergeCell ref="GMH291:GMX291"/>
    <mergeCell ref="GMY291:GNO291"/>
    <mergeCell ref="GNP291:GOF291"/>
    <mergeCell ref="GOG291:GOW291"/>
    <mergeCell ref="GOX291:GPN291"/>
    <mergeCell ref="GPO291:GQE291"/>
    <mergeCell ref="GQF291:GQV291"/>
    <mergeCell ref="GQW291:GRM291"/>
    <mergeCell ref="GRN291:GSD291"/>
    <mergeCell ref="GSE291:GSU291"/>
    <mergeCell ref="GSV291:GTL291"/>
    <mergeCell ref="GTM291:GUC291"/>
    <mergeCell ref="GUD291:GUT291"/>
    <mergeCell ref="GUU291:GVK291"/>
    <mergeCell ref="GVL291:GWB291"/>
    <mergeCell ref="GWC291:GWS291"/>
    <mergeCell ref="GWT291:GXJ291"/>
    <mergeCell ref="GXK291:GYA291"/>
    <mergeCell ref="GYB291:GYR291"/>
    <mergeCell ref="GYS291:GZI291"/>
    <mergeCell ref="GZJ291:GZZ291"/>
    <mergeCell ref="HAA291:HAQ291"/>
    <mergeCell ref="HAR291:HBH291"/>
    <mergeCell ref="HBI291:HBY291"/>
    <mergeCell ref="HBZ291:HCP291"/>
    <mergeCell ref="HCQ291:HDG291"/>
    <mergeCell ref="HDH291:HDX291"/>
    <mergeCell ref="HDY291:HEO291"/>
    <mergeCell ref="HEP291:HFF291"/>
    <mergeCell ref="HFG291:HFW291"/>
    <mergeCell ref="HFX291:HGN291"/>
    <mergeCell ref="HGO291:HHE291"/>
    <mergeCell ref="HHF291:HHV291"/>
    <mergeCell ref="HHW291:HIM291"/>
    <mergeCell ref="HIN291:HJD291"/>
    <mergeCell ref="HJE291:HJU291"/>
    <mergeCell ref="HJV291:HKL291"/>
    <mergeCell ref="HKM291:HLC291"/>
    <mergeCell ref="HLD291:HLT291"/>
    <mergeCell ref="HLU291:HMK291"/>
    <mergeCell ref="HML291:HNB291"/>
    <mergeCell ref="HNC291:HNS291"/>
    <mergeCell ref="HNT291:HOJ291"/>
    <mergeCell ref="HOK291:HPA291"/>
    <mergeCell ref="HPB291:HPR291"/>
    <mergeCell ref="HPS291:HQI291"/>
    <mergeCell ref="HQJ291:HQZ291"/>
    <mergeCell ref="HRA291:HRQ291"/>
    <mergeCell ref="HRR291:HSH291"/>
    <mergeCell ref="HSI291:HSY291"/>
    <mergeCell ref="HSZ291:HTP291"/>
    <mergeCell ref="HTQ291:HUG291"/>
    <mergeCell ref="HUH291:HUX291"/>
    <mergeCell ref="HUY291:HVO291"/>
    <mergeCell ref="HVP291:HWF291"/>
    <mergeCell ref="HWG291:HWW291"/>
    <mergeCell ref="HWX291:HXN291"/>
    <mergeCell ref="HXO291:HYE291"/>
    <mergeCell ref="HYF291:HYV291"/>
    <mergeCell ref="HYW291:HZM291"/>
    <mergeCell ref="HZN291:IAD291"/>
    <mergeCell ref="IAE291:IAU291"/>
    <mergeCell ref="IAV291:IBL291"/>
    <mergeCell ref="IBM291:ICC291"/>
    <mergeCell ref="ICD291:ICT291"/>
    <mergeCell ref="ICU291:IDK291"/>
    <mergeCell ref="IDL291:IEB291"/>
    <mergeCell ref="IEC291:IES291"/>
    <mergeCell ref="IET291:IFJ291"/>
    <mergeCell ref="IFK291:IGA291"/>
    <mergeCell ref="IGB291:IGR291"/>
    <mergeCell ref="IGS291:IHI291"/>
    <mergeCell ref="IHJ291:IHZ291"/>
    <mergeCell ref="IIA291:IIQ291"/>
    <mergeCell ref="IIR291:IJH291"/>
    <mergeCell ref="IJI291:IJY291"/>
    <mergeCell ref="IJZ291:IKP291"/>
    <mergeCell ref="IKQ291:ILG291"/>
    <mergeCell ref="ILH291:ILX291"/>
    <mergeCell ref="ILY291:IMO291"/>
    <mergeCell ref="IMP291:INF291"/>
    <mergeCell ref="ING291:INW291"/>
    <mergeCell ref="INX291:ION291"/>
    <mergeCell ref="IOO291:IPE291"/>
    <mergeCell ref="IPF291:IPV291"/>
    <mergeCell ref="IPW291:IQM291"/>
    <mergeCell ref="IQN291:IRD291"/>
    <mergeCell ref="IRE291:IRU291"/>
    <mergeCell ref="IRV291:ISL291"/>
    <mergeCell ref="ISM291:ITC291"/>
    <mergeCell ref="ITD291:ITT291"/>
    <mergeCell ref="ITU291:IUK291"/>
    <mergeCell ref="IUL291:IVB291"/>
    <mergeCell ref="IVC291:IVS291"/>
    <mergeCell ref="IVT291:IWJ291"/>
    <mergeCell ref="IWK291:IXA291"/>
    <mergeCell ref="IXB291:IXR291"/>
    <mergeCell ref="IXS291:IYI291"/>
    <mergeCell ref="IYJ291:IYZ291"/>
    <mergeCell ref="IZA291:IZQ291"/>
    <mergeCell ref="IZR291:JAH291"/>
    <mergeCell ref="JAI291:JAY291"/>
    <mergeCell ref="JAZ291:JBP291"/>
    <mergeCell ref="JBQ291:JCG291"/>
    <mergeCell ref="JCH291:JCX291"/>
    <mergeCell ref="JCY291:JDO291"/>
    <mergeCell ref="JDP291:JEF291"/>
    <mergeCell ref="JEG291:JEW291"/>
    <mergeCell ref="JEX291:JFN291"/>
    <mergeCell ref="JFO291:JGE291"/>
    <mergeCell ref="JGF291:JGV291"/>
    <mergeCell ref="JGW291:JHM291"/>
    <mergeCell ref="JHN291:JID291"/>
    <mergeCell ref="JIE291:JIU291"/>
    <mergeCell ref="JIV291:JJL291"/>
    <mergeCell ref="JJM291:JKC291"/>
    <mergeCell ref="JKD291:JKT291"/>
    <mergeCell ref="JKU291:JLK291"/>
    <mergeCell ref="JLL291:JMB291"/>
    <mergeCell ref="JMC291:JMS291"/>
    <mergeCell ref="JMT291:JNJ291"/>
    <mergeCell ref="JNK291:JOA291"/>
    <mergeCell ref="JOB291:JOR291"/>
    <mergeCell ref="JOS291:JPI291"/>
    <mergeCell ref="JPJ291:JPZ291"/>
    <mergeCell ref="JQA291:JQQ291"/>
    <mergeCell ref="JQR291:JRH291"/>
    <mergeCell ref="JRI291:JRY291"/>
    <mergeCell ref="JRZ291:JSP291"/>
    <mergeCell ref="JSQ291:JTG291"/>
    <mergeCell ref="JTH291:JTX291"/>
    <mergeCell ref="JTY291:JUO291"/>
    <mergeCell ref="JUP291:JVF291"/>
    <mergeCell ref="JVG291:JVW291"/>
    <mergeCell ref="JVX291:JWN291"/>
    <mergeCell ref="JWO291:JXE291"/>
    <mergeCell ref="JXF291:JXV291"/>
    <mergeCell ref="JXW291:JYM291"/>
    <mergeCell ref="JYN291:JZD291"/>
    <mergeCell ref="JZE291:JZU291"/>
    <mergeCell ref="JZV291:KAL291"/>
    <mergeCell ref="KAM291:KBC291"/>
    <mergeCell ref="KBD291:KBT291"/>
    <mergeCell ref="KBU291:KCK291"/>
    <mergeCell ref="KCL291:KDB291"/>
    <mergeCell ref="KDC291:KDS291"/>
    <mergeCell ref="KDT291:KEJ291"/>
    <mergeCell ref="KEK291:KFA291"/>
    <mergeCell ref="KFB291:KFR291"/>
    <mergeCell ref="KFS291:KGI291"/>
    <mergeCell ref="KGJ291:KGZ291"/>
    <mergeCell ref="KHA291:KHQ291"/>
    <mergeCell ref="KHR291:KIH291"/>
    <mergeCell ref="KII291:KIY291"/>
    <mergeCell ref="KIZ291:KJP291"/>
    <mergeCell ref="KJQ291:KKG291"/>
    <mergeCell ref="KKH291:KKX291"/>
    <mergeCell ref="KKY291:KLO291"/>
    <mergeCell ref="KLP291:KMF291"/>
    <mergeCell ref="KMG291:KMW291"/>
    <mergeCell ref="KMX291:KNN291"/>
    <mergeCell ref="KNO291:KOE291"/>
    <mergeCell ref="KOF291:KOV291"/>
    <mergeCell ref="KOW291:KPM291"/>
    <mergeCell ref="KPN291:KQD291"/>
    <mergeCell ref="KQE291:KQU291"/>
    <mergeCell ref="KQV291:KRL291"/>
    <mergeCell ref="KRM291:KSC291"/>
    <mergeCell ref="KSD291:KST291"/>
    <mergeCell ref="KSU291:KTK291"/>
    <mergeCell ref="KTL291:KUB291"/>
    <mergeCell ref="KUC291:KUS291"/>
    <mergeCell ref="KUT291:KVJ291"/>
    <mergeCell ref="KVK291:KWA291"/>
    <mergeCell ref="KWB291:KWR291"/>
    <mergeCell ref="KWS291:KXI291"/>
    <mergeCell ref="KXJ291:KXZ291"/>
    <mergeCell ref="KYA291:KYQ291"/>
    <mergeCell ref="KYR291:KZH291"/>
    <mergeCell ref="KZI291:KZY291"/>
    <mergeCell ref="KZZ291:LAP291"/>
    <mergeCell ref="LAQ291:LBG291"/>
    <mergeCell ref="LBH291:LBX291"/>
    <mergeCell ref="LBY291:LCO291"/>
    <mergeCell ref="LCP291:LDF291"/>
    <mergeCell ref="LDG291:LDW291"/>
    <mergeCell ref="LDX291:LEN291"/>
    <mergeCell ref="LEO291:LFE291"/>
    <mergeCell ref="LFF291:LFV291"/>
    <mergeCell ref="LFW291:LGM291"/>
    <mergeCell ref="LGN291:LHD291"/>
    <mergeCell ref="LHE291:LHU291"/>
    <mergeCell ref="LHV291:LIL291"/>
    <mergeCell ref="LIM291:LJC291"/>
    <mergeCell ref="LJD291:LJT291"/>
    <mergeCell ref="LJU291:LKK291"/>
    <mergeCell ref="LKL291:LLB291"/>
    <mergeCell ref="LLC291:LLS291"/>
    <mergeCell ref="LLT291:LMJ291"/>
    <mergeCell ref="LMK291:LNA291"/>
    <mergeCell ref="LNB291:LNR291"/>
    <mergeCell ref="LNS291:LOI291"/>
    <mergeCell ref="LOJ291:LOZ291"/>
    <mergeCell ref="LPA291:LPQ291"/>
    <mergeCell ref="LPR291:LQH291"/>
    <mergeCell ref="LQI291:LQY291"/>
    <mergeCell ref="LQZ291:LRP291"/>
    <mergeCell ref="LRQ291:LSG291"/>
    <mergeCell ref="LSH291:LSX291"/>
    <mergeCell ref="LSY291:LTO291"/>
    <mergeCell ref="LTP291:LUF291"/>
    <mergeCell ref="LUG291:LUW291"/>
    <mergeCell ref="LUX291:LVN291"/>
    <mergeCell ref="LVO291:LWE291"/>
    <mergeCell ref="LWF291:LWV291"/>
    <mergeCell ref="LWW291:LXM291"/>
    <mergeCell ref="LXN291:LYD291"/>
    <mergeCell ref="LYE291:LYU291"/>
    <mergeCell ref="LYV291:LZL291"/>
    <mergeCell ref="LZM291:MAC291"/>
    <mergeCell ref="MAD291:MAT291"/>
    <mergeCell ref="MAU291:MBK291"/>
    <mergeCell ref="MBL291:MCB291"/>
    <mergeCell ref="MCC291:MCS291"/>
    <mergeCell ref="MCT291:MDJ291"/>
    <mergeCell ref="MDK291:MEA291"/>
    <mergeCell ref="MEB291:MER291"/>
    <mergeCell ref="MES291:MFI291"/>
    <mergeCell ref="MFJ291:MFZ291"/>
    <mergeCell ref="MGA291:MGQ291"/>
    <mergeCell ref="MGR291:MHH291"/>
    <mergeCell ref="MHI291:MHY291"/>
    <mergeCell ref="MHZ291:MIP291"/>
    <mergeCell ref="MIQ291:MJG291"/>
    <mergeCell ref="MJH291:MJX291"/>
    <mergeCell ref="MJY291:MKO291"/>
    <mergeCell ref="MKP291:MLF291"/>
    <mergeCell ref="MLG291:MLW291"/>
    <mergeCell ref="MLX291:MMN291"/>
    <mergeCell ref="MMO291:MNE291"/>
    <mergeCell ref="MNF291:MNV291"/>
    <mergeCell ref="MNW291:MOM291"/>
    <mergeCell ref="MON291:MPD291"/>
    <mergeCell ref="MPE291:MPU291"/>
    <mergeCell ref="MPV291:MQL291"/>
    <mergeCell ref="MQM291:MRC291"/>
    <mergeCell ref="MRD291:MRT291"/>
    <mergeCell ref="MRU291:MSK291"/>
    <mergeCell ref="MSL291:MTB291"/>
    <mergeCell ref="MTC291:MTS291"/>
    <mergeCell ref="MTT291:MUJ291"/>
    <mergeCell ref="MUK291:MVA291"/>
    <mergeCell ref="MVB291:MVR291"/>
    <mergeCell ref="MVS291:MWI291"/>
    <mergeCell ref="MWJ291:MWZ291"/>
    <mergeCell ref="MXA291:MXQ291"/>
    <mergeCell ref="MXR291:MYH291"/>
    <mergeCell ref="MYI291:MYY291"/>
    <mergeCell ref="MYZ291:MZP291"/>
    <mergeCell ref="MZQ291:NAG291"/>
    <mergeCell ref="NAH291:NAX291"/>
    <mergeCell ref="NAY291:NBO291"/>
    <mergeCell ref="NBP291:NCF291"/>
    <mergeCell ref="NCG291:NCW291"/>
    <mergeCell ref="NCX291:NDN291"/>
    <mergeCell ref="NDO291:NEE291"/>
    <mergeCell ref="NEF291:NEV291"/>
    <mergeCell ref="NEW291:NFM291"/>
    <mergeCell ref="NFN291:NGD291"/>
    <mergeCell ref="NGE291:NGU291"/>
    <mergeCell ref="NGV291:NHL291"/>
    <mergeCell ref="NHM291:NIC291"/>
    <mergeCell ref="NID291:NIT291"/>
    <mergeCell ref="NIU291:NJK291"/>
    <mergeCell ref="NJL291:NKB291"/>
    <mergeCell ref="NKC291:NKS291"/>
    <mergeCell ref="NKT291:NLJ291"/>
    <mergeCell ref="NLK291:NMA291"/>
    <mergeCell ref="NMB291:NMR291"/>
    <mergeCell ref="NMS291:NNI291"/>
    <mergeCell ref="NNJ291:NNZ291"/>
    <mergeCell ref="NOA291:NOQ291"/>
    <mergeCell ref="NOR291:NPH291"/>
    <mergeCell ref="NPI291:NPY291"/>
    <mergeCell ref="NPZ291:NQP291"/>
    <mergeCell ref="NQQ291:NRG291"/>
    <mergeCell ref="NRH291:NRX291"/>
    <mergeCell ref="NRY291:NSO291"/>
    <mergeCell ref="NSP291:NTF291"/>
    <mergeCell ref="NTG291:NTW291"/>
    <mergeCell ref="NTX291:NUN291"/>
    <mergeCell ref="NUO291:NVE291"/>
    <mergeCell ref="NVF291:NVV291"/>
    <mergeCell ref="NVW291:NWM291"/>
    <mergeCell ref="NWN291:NXD291"/>
    <mergeCell ref="NXE291:NXU291"/>
    <mergeCell ref="NXV291:NYL291"/>
    <mergeCell ref="NYM291:NZC291"/>
    <mergeCell ref="NZD291:NZT291"/>
    <mergeCell ref="NZU291:OAK291"/>
    <mergeCell ref="OAL291:OBB291"/>
    <mergeCell ref="OBC291:OBS291"/>
    <mergeCell ref="OBT291:OCJ291"/>
    <mergeCell ref="OCK291:ODA291"/>
    <mergeCell ref="ODB291:ODR291"/>
    <mergeCell ref="ODS291:OEI291"/>
    <mergeCell ref="OEJ291:OEZ291"/>
    <mergeCell ref="OFA291:OFQ291"/>
    <mergeCell ref="OFR291:OGH291"/>
    <mergeCell ref="OGI291:OGY291"/>
    <mergeCell ref="OGZ291:OHP291"/>
    <mergeCell ref="OHQ291:OIG291"/>
    <mergeCell ref="OIH291:OIX291"/>
    <mergeCell ref="OIY291:OJO291"/>
    <mergeCell ref="OJP291:OKF291"/>
    <mergeCell ref="OKG291:OKW291"/>
    <mergeCell ref="OKX291:OLN291"/>
    <mergeCell ref="OLO291:OME291"/>
    <mergeCell ref="OMF291:OMV291"/>
    <mergeCell ref="OMW291:ONM291"/>
    <mergeCell ref="ONN291:OOD291"/>
    <mergeCell ref="OOE291:OOU291"/>
    <mergeCell ref="OOV291:OPL291"/>
    <mergeCell ref="OPM291:OQC291"/>
    <mergeCell ref="OQD291:OQT291"/>
    <mergeCell ref="OQU291:ORK291"/>
    <mergeCell ref="ORL291:OSB291"/>
    <mergeCell ref="OSC291:OSS291"/>
    <mergeCell ref="OST291:OTJ291"/>
    <mergeCell ref="OTK291:OUA291"/>
    <mergeCell ref="OUB291:OUR291"/>
    <mergeCell ref="OUS291:OVI291"/>
    <mergeCell ref="OVJ291:OVZ291"/>
    <mergeCell ref="OWA291:OWQ291"/>
    <mergeCell ref="OWR291:OXH291"/>
    <mergeCell ref="OXI291:OXY291"/>
    <mergeCell ref="OXZ291:OYP291"/>
    <mergeCell ref="OYQ291:OZG291"/>
    <mergeCell ref="OZH291:OZX291"/>
    <mergeCell ref="OZY291:PAO291"/>
    <mergeCell ref="PAP291:PBF291"/>
    <mergeCell ref="PBG291:PBW291"/>
    <mergeCell ref="PBX291:PCN291"/>
    <mergeCell ref="PCO291:PDE291"/>
    <mergeCell ref="PDF291:PDV291"/>
    <mergeCell ref="PDW291:PEM291"/>
    <mergeCell ref="PEN291:PFD291"/>
    <mergeCell ref="PFE291:PFU291"/>
    <mergeCell ref="PFV291:PGL291"/>
    <mergeCell ref="PGM291:PHC291"/>
    <mergeCell ref="PHD291:PHT291"/>
    <mergeCell ref="PHU291:PIK291"/>
    <mergeCell ref="PIL291:PJB291"/>
    <mergeCell ref="PJC291:PJS291"/>
    <mergeCell ref="PJT291:PKJ291"/>
    <mergeCell ref="PKK291:PLA291"/>
    <mergeCell ref="PLB291:PLR291"/>
    <mergeCell ref="PLS291:PMI291"/>
    <mergeCell ref="PMJ291:PMZ291"/>
    <mergeCell ref="PNA291:PNQ291"/>
    <mergeCell ref="PNR291:POH291"/>
    <mergeCell ref="POI291:POY291"/>
    <mergeCell ref="POZ291:PPP291"/>
    <mergeCell ref="PPQ291:PQG291"/>
    <mergeCell ref="PQH291:PQX291"/>
    <mergeCell ref="PQY291:PRO291"/>
    <mergeCell ref="PRP291:PSF291"/>
    <mergeCell ref="PSG291:PSW291"/>
    <mergeCell ref="PSX291:PTN291"/>
    <mergeCell ref="PTO291:PUE291"/>
    <mergeCell ref="PUF291:PUV291"/>
    <mergeCell ref="PUW291:PVM291"/>
    <mergeCell ref="PVN291:PWD291"/>
    <mergeCell ref="PWE291:PWU291"/>
    <mergeCell ref="PWV291:PXL291"/>
    <mergeCell ref="PXM291:PYC291"/>
    <mergeCell ref="PYD291:PYT291"/>
    <mergeCell ref="PYU291:PZK291"/>
    <mergeCell ref="PZL291:QAB291"/>
    <mergeCell ref="QAC291:QAS291"/>
    <mergeCell ref="QAT291:QBJ291"/>
    <mergeCell ref="QBK291:QCA291"/>
    <mergeCell ref="QCB291:QCR291"/>
    <mergeCell ref="QCS291:QDI291"/>
    <mergeCell ref="QDJ291:QDZ291"/>
    <mergeCell ref="QEA291:QEQ291"/>
    <mergeCell ref="QER291:QFH291"/>
    <mergeCell ref="QFI291:QFY291"/>
    <mergeCell ref="QFZ291:QGP291"/>
    <mergeCell ref="QGQ291:QHG291"/>
    <mergeCell ref="QHH291:QHX291"/>
    <mergeCell ref="QHY291:QIO291"/>
    <mergeCell ref="QIP291:QJF291"/>
    <mergeCell ref="QJG291:QJW291"/>
    <mergeCell ref="QJX291:QKN291"/>
    <mergeCell ref="QKO291:QLE291"/>
    <mergeCell ref="QLF291:QLV291"/>
    <mergeCell ref="QLW291:QMM291"/>
    <mergeCell ref="QMN291:QND291"/>
    <mergeCell ref="QNE291:QNU291"/>
    <mergeCell ref="QNV291:QOL291"/>
    <mergeCell ref="QOM291:QPC291"/>
    <mergeCell ref="QPD291:QPT291"/>
    <mergeCell ref="QPU291:QQK291"/>
    <mergeCell ref="QQL291:QRB291"/>
    <mergeCell ref="QRC291:QRS291"/>
    <mergeCell ref="QRT291:QSJ291"/>
    <mergeCell ref="QSK291:QTA291"/>
    <mergeCell ref="QTB291:QTR291"/>
    <mergeCell ref="QTS291:QUI291"/>
    <mergeCell ref="QUJ291:QUZ291"/>
    <mergeCell ref="QVA291:QVQ291"/>
    <mergeCell ref="QVR291:QWH291"/>
    <mergeCell ref="QWI291:QWY291"/>
    <mergeCell ref="QWZ291:QXP291"/>
    <mergeCell ref="QXQ291:QYG291"/>
    <mergeCell ref="QYH291:QYX291"/>
    <mergeCell ref="QYY291:QZO291"/>
    <mergeCell ref="QZP291:RAF291"/>
    <mergeCell ref="RAG291:RAW291"/>
    <mergeCell ref="RAX291:RBN291"/>
    <mergeCell ref="RBO291:RCE291"/>
    <mergeCell ref="RCF291:RCV291"/>
    <mergeCell ref="RCW291:RDM291"/>
    <mergeCell ref="RDN291:RED291"/>
    <mergeCell ref="IP251:JF251"/>
    <mergeCell ref="JG251:JW251"/>
    <mergeCell ref="JX251:KN251"/>
    <mergeCell ref="KO251:LE251"/>
    <mergeCell ref="LF251:LV251"/>
    <mergeCell ref="LW251:MM251"/>
    <mergeCell ref="MN251:ND251"/>
    <mergeCell ref="NE251:NU251"/>
    <mergeCell ref="NV251:OL251"/>
    <mergeCell ref="OM251:PC251"/>
    <mergeCell ref="PD251:PT251"/>
    <mergeCell ref="PU251:QK251"/>
    <mergeCell ref="QL251:RB251"/>
    <mergeCell ref="RC251:RS251"/>
    <mergeCell ref="RT251:SJ251"/>
    <mergeCell ref="SK251:TA251"/>
    <mergeCell ref="TB251:TR251"/>
    <mergeCell ref="TS251:UI251"/>
    <mergeCell ref="UJ251:UZ251"/>
    <mergeCell ref="VA251:VQ251"/>
    <mergeCell ref="VR251:WH251"/>
    <mergeCell ref="WI251:WY251"/>
    <mergeCell ref="WZ251:XP251"/>
    <mergeCell ref="XQ251:YG251"/>
    <mergeCell ref="YH251:YX251"/>
    <mergeCell ref="YY251:ZO251"/>
    <mergeCell ref="ZP251:AAF251"/>
    <mergeCell ref="AAG251:AAW251"/>
    <mergeCell ref="AAX251:ABN251"/>
    <mergeCell ref="ABO251:ACE251"/>
    <mergeCell ref="ACF251:ACV251"/>
    <mergeCell ref="ACW251:ADM251"/>
    <mergeCell ref="ADN251:AED251"/>
    <mergeCell ref="AEE251:AEU251"/>
    <mergeCell ref="AEV251:AFL251"/>
    <mergeCell ref="AFM251:AGC251"/>
    <mergeCell ref="AGD251:AGT251"/>
    <mergeCell ref="AGU251:AHK251"/>
    <mergeCell ref="AHL251:AIB251"/>
    <mergeCell ref="AIC251:AIS251"/>
    <mergeCell ref="AIT251:AJJ251"/>
    <mergeCell ref="AJK251:AKA251"/>
    <mergeCell ref="AKB251:AKR251"/>
    <mergeCell ref="AKS251:ALI251"/>
    <mergeCell ref="ALJ251:ALZ251"/>
    <mergeCell ref="AMA251:AMQ251"/>
    <mergeCell ref="AMR251:ANH251"/>
    <mergeCell ref="ANI251:ANY251"/>
    <mergeCell ref="ANZ251:AOP251"/>
    <mergeCell ref="AOQ251:APG251"/>
    <mergeCell ref="APH251:APX251"/>
    <mergeCell ref="APY251:AQO251"/>
    <mergeCell ref="AQP251:ARF251"/>
    <mergeCell ref="ARG251:ARW251"/>
    <mergeCell ref="ARX251:ASN251"/>
    <mergeCell ref="ASO251:ATE251"/>
    <mergeCell ref="ATF251:ATV251"/>
    <mergeCell ref="ATW251:AUM251"/>
    <mergeCell ref="AUN251:AVD251"/>
    <mergeCell ref="AVE251:AVU251"/>
    <mergeCell ref="AVV251:AWL251"/>
    <mergeCell ref="AWM251:AXC251"/>
    <mergeCell ref="AXD251:AXT251"/>
    <mergeCell ref="AXU251:AYK251"/>
    <mergeCell ref="AYL251:AZB251"/>
    <mergeCell ref="AZC251:AZS251"/>
    <mergeCell ref="AZT251:BAJ251"/>
    <mergeCell ref="BAK251:BBA251"/>
    <mergeCell ref="BBB251:BBR251"/>
    <mergeCell ref="BBS251:BCI251"/>
    <mergeCell ref="BCJ251:BCZ251"/>
    <mergeCell ref="BDA251:BDQ251"/>
    <mergeCell ref="BDR251:BEH251"/>
    <mergeCell ref="BEI251:BEY251"/>
    <mergeCell ref="BEZ251:BFP251"/>
    <mergeCell ref="BFQ251:BGG251"/>
    <mergeCell ref="BGH251:BGX251"/>
    <mergeCell ref="BGY251:BHO251"/>
    <mergeCell ref="BHP251:BIF251"/>
    <mergeCell ref="BIG251:BIW251"/>
    <mergeCell ref="BIX251:BJN251"/>
    <mergeCell ref="BJO251:BKE251"/>
    <mergeCell ref="BKF251:BKV251"/>
    <mergeCell ref="BKW251:BLM251"/>
    <mergeCell ref="BLN251:BMD251"/>
    <mergeCell ref="BME251:BMU251"/>
    <mergeCell ref="BMV251:BNL251"/>
    <mergeCell ref="BNM251:BOC251"/>
    <mergeCell ref="BOD251:BOT251"/>
    <mergeCell ref="BOU251:BPK251"/>
    <mergeCell ref="BPL251:BQB251"/>
    <mergeCell ref="BQC251:BQS251"/>
    <mergeCell ref="BQT251:BRJ251"/>
    <mergeCell ref="BRK251:BSA251"/>
    <mergeCell ref="BSB251:BSR251"/>
    <mergeCell ref="BSS251:BTI251"/>
    <mergeCell ref="BTJ251:BTZ251"/>
    <mergeCell ref="BUA251:BUQ251"/>
    <mergeCell ref="BUR251:BVH251"/>
    <mergeCell ref="BVI251:BVY251"/>
    <mergeCell ref="BVZ251:BWP251"/>
    <mergeCell ref="BWQ251:BXG251"/>
    <mergeCell ref="BXH251:BXX251"/>
    <mergeCell ref="BXY251:BYO251"/>
    <mergeCell ref="BYP251:BZF251"/>
    <mergeCell ref="BZG251:BZW251"/>
    <mergeCell ref="BZX251:CAN251"/>
    <mergeCell ref="CAO251:CBE251"/>
    <mergeCell ref="CBF251:CBV251"/>
    <mergeCell ref="CBW251:CCM251"/>
    <mergeCell ref="CCN251:CDD251"/>
    <mergeCell ref="CDE251:CDU251"/>
    <mergeCell ref="CDV251:CEL251"/>
    <mergeCell ref="CEM251:CFC251"/>
    <mergeCell ref="CFD251:CFT251"/>
    <mergeCell ref="CFU251:CGK251"/>
    <mergeCell ref="CGL251:CHB251"/>
    <mergeCell ref="CHC251:CHS251"/>
    <mergeCell ref="CHT251:CIJ251"/>
    <mergeCell ref="CIK251:CJA251"/>
    <mergeCell ref="CJB251:CJR251"/>
    <mergeCell ref="CJS251:CKI251"/>
    <mergeCell ref="CKJ251:CKZ251"/>
    <mergeCell ref="CLA251:CLQ251"/>
    <mergeCell ref="CLR251:CMH251"/>
    <mergeCell ref="CMI251:CMY251"/>
    <mergeCell ref="CMZ251:CNP251"/>
    <mergeCell ref="CNQ251:COG251"/>
    <mergeCell ref="COH251:COX251"/>
    <mergeCell ref="COY251:CPO251"/>
    <mergeCell ref="CPP251:CQF251"/>
    <mergeCell ref="CQG251:CQW251"/>
    <mergeCell ref="CQX251:CRN251"/>
    <mergeCell ref="CRO251:CSE251"/>
    <mergeCell ref="CSF251:CSV251"/>
    <mergeCell ref="CSW251:CTM251"/>
    <mergeCell ref="CTN251:CUD251"/>
    <mergeCell ref="CUE251:CUU251"/>
    <mergeCell ref="CUV251:CVL251"/>
    <mergeCell ref="CVM251:CWC251"/>
    <mergeCell ref="CWD251:CWT251"/>
    <mergeCell ref="CWU251:CXK251"/>
    <mergeCell ref="CXL251:CYB251"/>
    <mergeCell ref="CYC251:CYS251"/>
    <mergeCell ref="CYT251:CZJ251"/>
    <mergeCell ref="CZK251:DAA251"/>
    <mergeCell ref="DAB251:DAR251"/>
    <mergeCell ref="DAS251:DBI251"/>
    <mergeCell ref="DBJ251:DBZ251"/>
    <mergeCell ref="DCA251:DCQ251"/>
    <mergeCell ref="DCR251:DDH251"/>
    <mergeCell ref="DDI251:DDY251"/>
    <mergeCell ref="DDZ251:DEP251"/>
    <mergeCell ref="DEQ251:DFG251"/>
    <mergeCell ref="DFH251:DFX251"/>
    <mergeCell ref="DFY251:DGO251"/>
    <mergeCell ref="DGP251:DHF251"/>
    <mergeCell ref="DHG251:DHW251"/>
    <mergeCell ref="DHX251:DIN251"/>
    <mergeCell ref="DIO251:DJE251"/>
    <mergeCell ref="DJF251:DJV251"/>
    <mergeCell ref="DJW251:DKM251"/>
    <mergeCell ref="DKN251:DLD251"/>
    <mergeCell ref="DLE251:DLU251"/>
    <mergeCell ref="DLV251:DML251"/>
    <mergeCell ref="DMM251:DNC251"/>
    <mergeCell ref="DND251:DNT251"/>
    <mergeCell ref="DNU251:DOK251"/>
    <mergeCell ref="DOL251:DPB251"/>
    <mergeCell ref="DPC251:DPS251"/>
    <mergeCell ref="DPT251:DQJ251"/>
    <mergeCell ref="DQK251:DRA251"/>
    <mergeCell ref="DRB251:DRR251"/>
    <mergeCell ref="DRS251:DSI251"/>
    <mergeCell ref="DSJ251:DSZ251"/>
    <mergeCell ref="DTA251:DTQ251"/>
    <mergeCell ref="DTR251:DUH251"/>
    <mergeCell ref="DUI251:DUY251"/>
    <mergeCell ref="DUZ251:DVP251"/>
    <mergeCell ref="DVQ251:DWG251"/>
    <mergeCell ref="DWH251:DWX251"/>
    <mergeCell ref="DWY251:DXO251"/>
    <mergeCell ref="DXP251:DYF251"/>
    <mergeCell ref="DYG251:DYW251"/>
    <mergeCell ref="DYX251:DZN251"/>
    <mergeCell ref="DZO251:EAE251"/>
    <mergeCell ref="EAF251:EAV251"/>
    <mergeCell ref="EAW251:EBM251"/>
    <mergeCell ref="EBN251:ECD251"/>
    <mergeCell ref="ECE251:ECU251"/>
    <mergeCell ref="ECV251:EDL251"/>
    <mergeCell ref="EDM251:EEC251"/>
    <mergeCell ref="EED251:EET251"/>
    <mergeCell ref="EEU251:EFK251"/>
    <mergeCell ref="EFL251:EGB251"/>
    <mergeCell ref="EGC251:EGS251"/>
    <mergeCell ref="EGT251:EHJ251"/>
    <mergeCell ref="EHK251:EIA251"/>
    <mergeCell ref="EIB251:EIR251"/>
    <mergeCell ref="EIS251:EJI251"/>
    <mergeCell ref="EJJ251:EJZ251"/>
    <mergeCell ref="EKA251:EKQ251"/>
    <mergeCell ref="EKR251:ELH251"/>
    <mergeCell ref="ELI251:ELY251"/>
    <mergeCell ref="ELZ251:EMP251"/>
    <mergeCell ref="EMQ251:ENG251"/>
    <mergeCell ref="ENH251:ENX251"/>
    <mergeCell ref="ENY251:EOO251"/>
    <mergeCell ref="EOP251:EPF251"/>
    <mergeCell ref="EPG251:EPW251"/>
    <mergeCell ref="EPX251:EQN251"/>
    <mergeCell ref="EQO251:ERE251"/>
    <mergeCell ref="ERF251:ERV251"/>
    <mergeCell ref="ERW251:ESM251"/>
    <mergeCell ref="ESN251:ETD251"/>
    <mergeCell ref="ETE251:ETU251"/>
    <mergeCell ref="ETV251:EUL251"/>
    <mergeCell ref="EUM251:EVC251"/>
    <mergeCell ref="EVD251:EVT251"/>
    <mergeCell ref="EVU251:EWK251"/>
    <mergeCell ref="EWL251:EXB251"/>
    <mergeCell ref="EXC251:EXS251"/>
    <mergeCell ref="EXT251:EYJ251"/>
    <mergeCell ref="EYK251:EZA251"/>
    <mergeCell ref="EZB251:EZR251"/>
    <mergeCell ref="EZS251:FAI251"/>
    <mergeCell ref="FAJ251:FAZ251"/>
    <mergeCell ref="FBA251:FBQ251"/>
    <mergeCell ref="FBR251:FCH251"/>
    <mergeCell ref="FCI251:FCY251"/>
    <mergeCell ref="FCZ251:FDP251"/>
    <mergeCell ref="FDQ251:FEG251"/>
    <mergeCell ref="FEH251:FEX251"/>
    <mergeCell ref="FEY251:FFO251"/>
    <mergeCell ref="FFP251:FGF251"/>
    <mergeCell ref="FGG251:FGW251"/>
    <mergeCell ref="FGX251:FHN251"/>
    <mergeCell ref="FHO251:FIE251"/>
    <mergeCell ref="FIF251:FIV251"/>
    <mergeCell ref="FIW251:FJM251"/>
    <mergeCell ref="FJN251:FKD251"/>
    <mergeCell ref="FKE251:FKU251"/>
    <mergeCell ref="FKV251:FLL251"/>
    <mergeCell ref="FLM251:FMC251"/>
    <mergeCell ref="FMD251:FMT251"/>
    <mergeCell ref="FMU251:FNK251"/>
    <mergeCell ref="FNL251:FOB251"/>
    <mergeCell ref="FOC251:FOS251"/>
    <mergeCell ref="FOT251:FPJ251"/>
    <mergeCell ref="FPK251:FQA251"/>
    <mergeCell ref="FQB251:FQR251"/>
    <mergeCell ref="FQS251:FRI251"/>
    <mergeCell ref="FRJ251:FRZ251"/>
    <mergeCell ref="FSA251:FSQ251"/>
    <mergeCell ref="FSR251:FTH251"/>
    <mergeCell ref="FTI251:FTY251"/>
    <mergeCell ref="FTZ251:FUP251"/>
    <mergeCell ref="FUQ251:FVG251"/>
    <mergeCell ref="FVH251:FVX251"/>
    <mergeCell ref="FVY251:FWO251"/>
    <mergeCell ref="FWP251:FXF251"/>
    <mergeCell ref="FXG251:FXW251"/>
    <mergeCell ref="FXX251:FYN251"/>
    <mergeCell ref="FYO251:FZE251"/>
    <mergeCell ref="FZF251:FZV251"/>
    <mergeCell ref="FZW251:GAM251"/>
    <mergeCell ref="GAN251:GBD251"/>
    <mergeCell ref="GBE251:GBU251"/>
    <mergeCell ref="GBV251:GCL251"/>
    <mergeCell ref="GCM251:GDC251"/>
    <mergeCell ref="GDD251:GDT251"/>
    <mergeCell ref="GDU251:GEK251"/>
    <mergeCell ref="GEL251:GFB251"/>
    <mergeCell ref="GFC251:GFS251"/>
    <mergeCell ref="GFT251:GGJ251"/>
    <mergeCell ref="GGK251:GHA251"/>
    <mergeCell ref="GHB251:GHR251"/>
    <mergeCell ref="GHS251:GII251"/>
    <mergeCell ref="GIJ251:GIZ251"/>
    <mergeCell ref="GJA251:GJQ251"/>
    <mergeCell ref="GJR251:GKH251"/>
    <mergeCell ref="GKI251:GKY251"/>
    <mergeCell ref="GKZ251:GLP251"/>
    <mergeCell ref="GLQ251:GMG251"/>
    <mergeCell ref="GMH251:GMX251"/>
    <mergeCell ref="GMY251:GNO251"/>
    <mergeCell ref="GNP251:GOF251"/>
    <mergeCell ref="GOG251:GOW251"/>
    <mergeCell ref="GOX251:GPN251"/>
    <mergeCell ref="GPO251:GQE251"/>
    <mergeCell ref="GQF251:GQV251"/>
    <mergeCell ref="GQW251:GRM251"/>
    <mergeCell ref="GRN251:GSD251"/>
    <mergeCell ref="GSE251:GSU251"/>
    <mergeCell ref="GSV251:GTL251"/>
    <mergeCell ref="GTM251:GUC251"/>
    <mergeCell ref="GUD251:GUT251"/>
    <mergeCell ref="GUU251:GVK251"/>
    <mergeCell ref="GVL251:GWB251"/>
    <mergeCell ref="GWC251:GWS251"/>
    <mergeCell ref="GWT251:GXJ251"/>
    <mergeCell ref="GXK251:GYA251"/>
    <mergeCell ref="GYB251:GYR251"/>
    <mergeCell ref="GYS251:GZI251"/>
    <mergeCell ref="GZJ251:GZZ251"/>
    <mergeCell ref="HAA251:HAQ251"/>
    <mergeCell ref="HAR251:HBH251"/>
    <mergeCell ref="HBI251:HBY251"/>
    <mergeCell ref="HBZ251:HCP251"/>
    <mergeCell ref="HCQ251:HDG251"/>
    <mergeCell ref="HDH251:HDX251"/>
    <mergeCell ref="HDY251:HEO251"/>
    <mergeCell ref="HEP251:HFF251"/>
    <mergeCell ref="HFG251:HFW251"/>
    <mergeCell ref="HFX251:HGN251"/>
    <mergeCell ref="HGO251:HHE251"/>
    <mergeCell ref="HHF251:HHV251"/>
    <mergeCell ref="HHW251:HIM251"/>
    <mergeCell ref="HIN251:HJD251"/>
    <mergeCell ref="HJE251:HJU251"/>
    <mergeCell ref="HJV251:HKL251"/>
    <mergeCell ref="HKM251:HLC251"/>
    <mergeCell ref="HLD251:HLT251"/>
    <mergeCell ref="HLU251:HMK251"/>
    <mergeCell ref="HML251:HNB251"/>
    <mergeCell ref="HNC251:HNS251"/>
    <mergeCell ref="HNT251:HOJ251"/>
    <mergeCell ref="HOK251:HPA251"/>
    <mergeCell ref="HPB251:HPR251"/>
    <mergeCell ref="HPS251:HQI251"/>
    <mergeCell ref="HQJ251:HQZ251"/>
    <mergeCell ref="HRA251:HRQ251"/>
    <mergeCell ref="HRR251:HSH251"/>
    <mergeCell ref="HSI251:HSY251"/>
    <mergeCell ref="HSZ251:HTP251"/>
    <mergeCell ref="HTQ251:HUG251"/>
    <mergeCell ref="HUH251:HUX251"/>
    <mergeCell ref="HUY251:HVO251"/>
    <mergeCell ref="HVP251:HWF251"/>
    <mergeCell ref="HWG251:HWW251"/>
    <mergeCell ref="HWX251:HXN251"/>
    <mergeCell ref="HXO251:HYE251"/>
    <mergeCell ref="HYF251:HYV251"/>
    <mergeCell ref="HYW251:HZM251"/>
    <mergeCell ref="HZN251:IAD251"/>
    <mergeCell ref="IAE251:IAU251"/>
    <mergeCell ref="IAV251:IBL251"/>
    <mergeCell ref="IBM251:ICC251"/>
    <mergeCell ref="ICD251:ICT251"/>
    <mergeCell ref="ICU251:IDK251"/>
    <mergeCell ref="IDL251:IEB251"/>
    <mergeCell ref="IEC251:IES251"/>
    <mergeCell ref="IET251:IFJ251"/>
    <mergeCell ref="IFK251:IGA251"/>
    <mergeCell ref="IGB251:IGR251"/>
    <mergeCell ref="IGS251:IHI251"/>
    <mergeCell ref="IHJ251:IHZ251"/>
    <mergeCell ref="IIA251:IIQ251"/>
    <mergeCell ref="IIR251:IJH251"/>
    <mergeCell ref="IJI251:IJY251"/>
    <mergeCell ref="IJZ251:IKP251"/>
    <mergeCell ref="IKQ251:ILG251"/>
    <mergeCell ref="ILH251:ILX251"/>
    <mergeCell ref="ILY251:IMO251"/>
    <mergeCell ref="IMP251:INF251"/>
    <mergeCell ref="ING251:INW251"/>
    <mergeCell ref="INX251:ION251"/>
    <mergeCell ref="IOO251:IPE251"/>
    <mergeCell ref="IPF251:IPV251"/>
    <mergeCell ref="IPW251:IQM251"/>
    <mergeCell ref="IQN251:IRD251"/>
    <mergeCell ref="IRE251:IRU251"/>
    <mergeCell ref="IRV251:ISL251"/>
    <mergeCell ref="ISM251:ITC251"/>
    <mergeCell ref="ITD251:ITT251"/>
    <mergeCell ref="ITU251:IUK251"/>
    <mergeCell ref="IUL251:IVB251"/>
    <mergeCell ref="IVC251:IVS251"/>
    <mergeCell ref="IVT251:IWJ251"/>
    <mergeCell ref="IWK251:IXA251"/>
    <mergeCell ref="IXB251:IXR251"/>
    <mergeCell ref="IXS251:IYI251"/>
    <mergeCell ref="IYJ251:IYZ251"/>
    <mergeCell ref="IZA251:IZQ251"/>
    <mergeCell ref="IZR251:JAH251"/>
    <mergeCell ref="JAI251:JAY251"/>
    <mergeCell ref="JAZ251:JBP251"/>
    <mergeCell ref="JBQ251:JCG251"/>
    <mergeCell ref="JCH251:JCX251"/>
    <mergeCell ref="JCY251:JDO251"/>
    <mergeCell ref="JDP251:JEF251"/>
    <mergeCell ref="JEG251:JEW251"/>
    <mergeCell ref="JEX251:JFN251"/>
    <mergeCell ref="JFO251:JGE251"/>
    <mergeCell ref="JGF251:JGV251"/>
    <mergeCell ref="JGW251:JHM251"/>
    <mergeCell ref="JHN251:JID251"/>
    <mergeCell ref="JIE251:JIU251"/>
    <mergeCell ref="JIV251:JJL251"/>
    <mergeCell ref="JJM251:JKC251"/>
    <mergeCell ref="JKD251:JKT251"/>
    <mergeCell ref="JKU251:JLK251"/>
    <mergeCell ref="JLL251:JMB251"/>
    <mergeCell ref="JMC251:JMS251"/>
    <mergeCell ref="JMT251:JNJ251"/>
    <mergeCell ref="JNK251:JOA251"/>
    <mergeCell ref="JOB251:JOR251"/>
    <mergeCell ref="JOS251:JPI251"/>
    <mergeCell ref="JPJ251:JPZ251"/>
    <mergeCell ref="JQA251:JQQ251"/>
    <mergeCell ref="JQR251:JRH251"/>
    <mergeCell ref="JRI251:JRY251"/>
    <mergeCell ref="JRZ251:JSP251"/>
    <mergeCell ref="JSQ251:JTG251"/>
    <mergeCell ref="JTH251:JTX251"/>
    <mergeCell ref="JTY251:JUO251"/>
    <mergeCell ref="JUP251:JVF251"/>
    <mergeCell ref="JVG251:JVW251"/>
    <mergeCell ref="JVX251:JWN251"/>
    <mergeCell ref="JWO251:JXE251"/>
    <mergeCell ref="JXF251:JXV251"/>
    <mergeCell ref="JXW251:JYM251"/>
    <mergeCell ref="JYN251:JZD251"/>
    <mergeCell ref="JZE251:JZU251"/>
    <mergeCell ref="JZV251:KAL251"/>
    <mergeCell ref="KAM251:KBC251"/>
    <mergeCell ref="KBD251:KBT251"/>
    <mergeCell ref="KBU251:KCK251"/>
    <mergeCell ref="KCL251:KDB251"/>
    <mergeCell ref="KDC251:KDS251"/>
    <mergeCell ref="KDT251:KEJ251"/>
    <mergeCell ref="KEK251:KFA251"/>
    <mergeCell ref="KFB251:KFR251"/>
    <mergeCell ref="KFS251:KGI251"/>
    <mergeCell ref="KGJ251:KGZ251"/>
    <mergeCell ref="KHA251:KHQ251"/>
    <mergeCell ref="KHR251:KIH251"/>
    <mergeCell ref="KII251:KIY251"/>
    <mergeCell ref="KIZ251:KJP251"/>
    <mergeCell ref="KJQ251:KKG251"/>
    <mergeCell ref="KKH251:KKX251"/>
    <mergeCell ref="KKY251:KLO251"/>
    <mergeCell ref="KLP251:KMF251"/>
    <mergeCell ref="KMG251:KMW251"/>
    <mergeCell ref="KMX251:KNN251"/>
    <mergeCell ref="KNO251:KOE251"/>
    <mergeCell ref="KOF251:KOV251"/>
    <mergeCell ref="KOW251:KPM251"/>
    <mergeCell ref="KPN251:KQD251"/>
    <mergeCell ref="KQE251:KQU251"/>
    <mergeCell ref="KQV251:KRL251"/>
    <mergeCell ref="KRM251:KSC251"/>
    <mergeCell ref="KSD251:KST251"/>
    <mergeCell ref="KSU251:KTK251"/>
    <mergeCell ref="KTL251:KUB251"/>
    <mergeCell ref="KUC251:KUS251"/>
    <mergeCell ref="KUT251:KVJ251"/>
    <mergeCell ref="KVK251:KWA251"/>
    <mergeCell ref="KWB251:KWR251"/>
    <mergeCell ref="KWS251:KXI251"/>
    <mergeCell ref="KXJ251:KXZ251"/>
    <mergeCell ref="KYA251:KYQ251"/>
    <mergeCell ref="KYR251:KZH251"/>
    <mergeCell ref="KZI251:KZY251"/>
    <mergeCell ref="KZZ251:LAP251"/>
    <mergeCell ref="LAQ251:LBG251"/>
    <mergeCell ref="LBH251:LBX251"/>
    <mergeCell ref="LBY251:LCO251"/>
    <mergeCell ref="LCP251:LDF251"/>
    <mergeCell ref="LDG251:LDW251"/>
    <mergeCell ref="LDX251:LEN251"/>
    <mergeCell ref="LEO251:LFE251"/>
    <mergeCell ref="LFF251:LFV251"/>
    <mergeCell ref="LFW251:LGM251"/>
    <mergeCell ref="LGN251:LHD251"/>
    <mergeCell ref="LHE251:LHU251"/>
    <mergeCell ref="LHV251:LIL251"/>
    <mergeCell ref="LIM251:LJC251"/>
    <mergeCell ref="LJD251:LJT251"/>
    <mergeCell ref="LJU251:LKK251"/>
    <mergeCell ref="LKL251:LLB251"/>
    <mergeCell ref="LLC251:LLS251"/>
    <mergeCell ref="LLT251:LMJ251"/>
    <mergeCell ref="LMK251:LNA251"/>
    <mergeCell ref="LNB251:LNR251"/>
    <mergeCell ref="LNS251:LOI251"/>
    <mergeCell ref="LOJ251:LOZ251"/>
    <mergeCell ref="LPA251:LPQ251"/>
    <mergeCell ref="LPR251:LQH251"/>
    <mergeCell ref="LQI251:LQY251"/>
    <mergeCell ref="LQZ251:LRP251"/>
    <mergeCell ref="LRQ251:LSG251"/>
    <mergeCell ref="LSH251:LSX251"/>
    <mergeCell ref="LSY251:LTO251"/>
    <mergeCell ref="LTP251:LUF251"/>
    <mergeCell ref="LUG251:LUW251"/>
    <mergeCell ref="LUX251:LVN251"/>
    <mergeCell ref="LVO251:LWE251"/>
    <mergeCell ref="LWF251:LWV251"/>
    <mergeCell ref="LWW251:LXM251"/>
    <mergeCell ref="LXN251:LYD251"/>
    <mergeCell ref="LYE251:LYU251"/>
    <mergeCell ref="LYV251:LZL251"/>
    <mergeCell ref="LZM251:MAC251"/>
    <mergeCell ref="MAD251:MAT251"/>
    <mergeCell ref="MAU251:MBK251"/>
    <mergeCell ref="MBL251:MCB251"/>
    <mergeCell ref="MCC251:MCS251"/>
    <mergeCell ref="MCT251:MDJ251"/>
    <mergeCell ref="MDK251:MEA251"/>
    <mergeCell ref="MEB251:MER251"/>
    <mergeCell ref="MES251:MFI251"/>
    <mergeCell ref="MFJ251:MFZ251"/>
    <mergeCell ref="MGA251:MGQ251"/>
    <mergeCell ref="MGR251:MHH251"/>
    <mergeCell ref="MHI251:MHY251"/>
    <mergeCell ref="MHZ251:MIP251"/>
    <mergeCell ref="MIQ251:MJG251"/>
    <mergeCell ref="MJH251:MJX251"/>
    <mergeCell ref="MJY251:MKO251"/>
    <mergeCell ref="MKP251:MLF251"/>
    <mergeCell ref="MLG251:MLW251"/>
    <mergeCell ref="MLX251:MMN251"/>
    <mergeCell ref="MMO251:MNE251"/>
    <mergeCell ref="MNF251:MNV251"/>
    <mergeCell ref="MNW251:MOM251"/>
    <mergeCell ref="MON251:MPD251"/>
    <mergeCell ref="MPE251:MPU251"/>
    <mergeCell ref="MPV251:MQL251"/>
    <mergeCell ref="MQM251:MRC251"/>
    <mergeCell ref="MRD251:MRT251"/>
    <mergeCell ref="MRU251:MSK251"/>
    <mergeCell ref="MSL251:MTB251"/>
    <mergeCell ref="MTC251:MTS251"/>
    <mergeCell ref="MTT251:MUJ251"/>
    <mergeCell ref="MUK251:MVA251"/>
    <mergeCell ref="MVB251:MVR251"/>
    <mergeCell ref="MVS251:MWI251"/>
    <mergeCell ref="MWJ251:MWZ251"/>
    <mergeCell ref="MXA251:MXQ251"/>
    <mergeCell ref="MXR251:MYH251"/>
    <mergeCell ref="MYI251:MYY251"/>
    <mergeCell ref="MYZ251:MZP251"/>
    <mergeCell ref="MZQ251:NAG251"/>
    <mergeCell ref="NAH251:NAX251"/>
    <mergeCell ref="NAY251:NBO251"/>
    <mergeCell ref="NBP251:NCF251"/>
    <mergeCell ref="NCG251:NCW251"/>
    <mergeCell ref="NCX251:NDN251"/>
    <mergeCell ref="NDO251:NEE251"/>
    <mergeCell ref="NEF251:NEV251"/>
    <mergeCell ref="NEW251:NFM251"/>
    <mergeCell ref="NFN251:NGD251"/>
    <mergeCell ref="NGE251:NGU251"/>
    <mergeCell ref="NGV251:NHL251"/>
    <mergeCell ref="NHM251:NIC251"/>
    <mergeCell ref="NID251:NIT251"/>
    <mergeCell ref="NIU251:NJK251"/>
    <mergeCell ref="NJL251:NKB251"/>
    <mergeCell ref="NKC251:NKS251"/>
    <mergeCell ref="NKT251:NLJ251"/>
    <mergeCell ref="NLK251:NMA251"/>
    <mergeCell ref="NMB251:NMR251"/>
    <mergeCell ref="NMS251:NNI251"/>
    <mergeCell ref="NNJ251:NNZ251"/>
    <mergeCell ref="NOA251:NOQ251"/>
    <mergeCell ref="NOR251:NPH251"/>
    <mergeCell ref="NPI251:NPY251"/>
    <mergeCell ref="NPZ251:NQP251"/>
    <mergeCell ref="NQQ251:NRG251"/>
    <mergeCell ref="NRH251:NRX251"/>
    <mergeCell ref="NRY251:NSO251"/>
    <mergeCell ref="NSP251:NTF251"/>
    <mergeCell ref="NTG251:NTW251"/>
    <mergeCell ref="NTX251:NUN251"/>
    <mergeCell ref="NUO251:NVE251"/>
    <mergeCell ref="NVF251:NVV251"/>
    <mergeCell ref="NVW251:NWM251"/>
    <mergeCell ref="NWN251:NXD251"/>
    <mergeCell ref="NXE251:NXU251"/>
    <mergeCell ref="NXV251:NYL251"/>
    <mergeCell ref="NYM251:NZC251"/>
    <mergeCell ref="NZD251:NZT251"/>
    <mergeCell ref="NZU251:OAK251"/>
    <mergeCell ref="OAL251:OBB251"/>
    <mergeCell ref="OBC251:OBS251"/>
    <mergeCell ref="OBT251:OCJ251"/>
    <mergeCell ref="OCK251:ODA251"/>
    <mergeCell ref="ODB251:ODR251"/>
    <mergeCell ref="ODS251:OEI251"/>
    <mergeCell ref="OEJ251:OEZ251"/>
    <mergeCell ref="OFA251:OFQ251"/>
    <mergeCell ref="OFR251:OGH251"/>
    <mergeCell ref="OGI251:OGY251"/>
    <mergeCell ref="OGZ251:OHP251"/>
    <mergeCell ref="OHQ251:OIG251"/>
    <mergeCell ref="OIH251:OIX251"/>
    <mergeCell ref="OIY251:OJO251"/>
    <mergeCell ref="OJP251:OKF251"/>
    <mergeCell ref="OKG251:OKW251"/>
    <mergeCell ref="OKX251:OLN251"/>
    <mergeCell ref="OLO251:OME251"/>
    <mergeCell ref="OMF251:OMV251"/>
    <mergeCell ref="OMW251:ONM251"/>
    <mergeCell ref="ONN251:OOD251"/>
    <mergeCell ref="OOE251:OOU251"/>
    <mergeCell ref="OOV251:OPL251"/>
    <mergeCell ref="OPM251:OQC251"/>
    <mergeCell ref="OQD251:OQT251"/>
    <mergeCell ref="OQU251:ORK251"/>
    <mergeCell ref="ORL251:OSB251"/>
    <mergeCell ref="OSC251:OSS251"/>
    <mergeCell ref="OST251:OTJ251"/>
    <mergeCell ref="OTK251:OUA251"/>
    <mergeCell ref="OUB251:OUR251"/>
    <mergeCell ref="OUS251:OVI251"/>
    <mergeCell ref="OVJ251:OVZ251"/>
    <mergeCell ref="OWA251:OWQ251"/>
    <mergeCell ref="OWR251:OXH251"/>
    <mergeCell ref="OXI251:OXY251"/>
    <mergeCell ref="OXZ251:OYP251"/>
    <mergeCell ref="OYQ251:OZG251"/>
    <mergeCell ref="OZH251:OZX251"/>
    <mergeCell ref="OZY251:PAO251"/>
    <mergeCell ref="PAP251:PBF251"/>
    <mergeCell ref="PBG251:PBW251"/>
    <mergeCell ref="PBX251:PCN251"/>
    <mergeCell ref="PCO251:PDE251"/>
    <mergeCell ref="PDF251:PDV251"/>
    <mergeCell ref="PDW251:PEM251"/>
    <mergeCell ref="PEN251:PFD251"/>
    <mergeCell ref="PFE251:PFU251"/>
    <mergeCell ref="PFV251:PGL251"/>
    <mergeCell ref="PGM251:PHC251"/>
    <mergeCell ref="PHD251:PHT251"/>
    <mergeCell ref="PHU251:PIK251"/>
    <mergeCell ref="PIL251:PJB251"/>
    <mergeCell ref="PJC251:PJS251"/>
    <mergeCell ref="PJT251:PKJ251"/>
    <mergeCell ref="PKK251:PLA251"/>
    <mergeCell ref="PLB251:PLR251"/>
    <mergeCell ref="PLS251:PMI251"/>
    <mergeCell ref="PMJ251:PMZ251"/>
    <mergeCell ref="PNA251:PNQ251"/>
    <mergeCell ref="PNR251:POH251"/>
    <mergeCell ref="POI251:POY251"/>
    <mergeCell ref="POZ251:PPP251"/>
    <mergeCell ref="PPQ251:PQG251"/>
    <mergeCell ref="PQH251:PQX251"/>
    <mergeCell ref="PQY251:PRO251"/>
    <mergeCell ref="PRP251:PSF251"/>
    <mergeCell ref="PSG251:PSW251"/>
    <mergeCell ref="PSX251:PTN251"/>
    <mergeCell ref="PTO251:PUE251"/>
    <mergeCell ref="PUF251:PUV251"/>
    <mergeCell ref="PUW251:PVM251"/>
    <mergeCell ref="PVN251:PWD251"/>
    <mergeCell ref="PWE251:PWU251"/>
    <mergeCell ref="PWV251:PXL251"/>
    <mergeCell ref="PXM251:PYC251"/>
    <mergeCell ref="PYD251:PYT251"/>
    <mergeCell ref="PYU251:PZK251"/>
    <mergeCell ref="PZL251:QAB251"/>
    <mergeCell ref="QAC251:QAS251"/>
    <mergeCell ref="QAT251:QBJ251"/>
    <mergeCell ref="QBK251:QCA251"/>
    <mergeCell ref="QCB251:QCR251"/>
    <mergeCell ref="QCS251:QDI251"/>
    <mergeCell ref="QDJ251:QDZ251"/>
    <mergeCell ref="QEA251:QEQ251"/>
    <mergeCell ref="QER251:QFH251"/>
    <mergeCell ref="QFI251:QFY251"/>
    <mergeCell ref="QFZ251:QGP251"/>
    <mergeCell ref="QGQ251:QHG251"/>
    <mergeCell ref="QHH251:QHX251"/>
    <mergeCell ref="QHY251:QIO251"/>
    <mergeCell ref="QIP251:QJF251"/>
    <mergeCell ref="QJG251:QJW251"/>
    <mergeCell ref="QJX251:QKN251"/>
    <mergeCell ref="QKO251:QLE251"/>
    <mergeCell ref="QLF251:QLV251"/>
    <mergeCell ref="QLW251:QMM251"/>
    <mergeCell ref="QMN251:QND251"/>
    <mergeCell ref="QNE251:QNU251"/>
    <mergeCell ref="QNV251:QOL251"/>
    <mergeCell ref="QOM251:QPC251"/>
    <mergeCell ref="QPD251:QPT251"/>
    <mergeCell ref="QPU251:QQK251"/>
    <mergeCell ref="QQL251:QRB251"/>
    <mergeCell ref="QRC251:QRS251"/>
    <mergeCell ref="QRT251:QSJ251"/>
    <mergeCell ref="QSK251:QTA251"/>
    <mergeCell ref="QTB251:QTR251"/>
    <mergeCell ref="QTS251:QUI251"/>
    <mergeCell ref="QUJ251:QUZ251"/>
    <mergeCell ref="QVA251:QVQ251"/>
    <mergeCell ref="QVR251:QWH251"/>
    <mergeCell ref="QWI251:QWY251"/>
    <mergeCell ref="QWZ251:QXP251"/>
    <mergeCell ref="QXQ251:QYG251"/>
    <mergeCell ref="QYH251:QYX251"/>
    <mergeCell ref="QYY251:QZO251"/>
    <mergeCell ref="QZP251:RAF251"/>
    <mergeCell ref="RAG251:RAW251"/>
    <mergeCell ref="RAX251:RBN251"/>
    <mergeCell ref="RBO251:RCE251"/>
    <mergeCell ref="RCF251:RCV251"/>
    <mergeCell ref="RCW251:RDM251"/>
    <mergeCell ref="RDN251:RED251"/>
    <mergeCell ref="A244:O244"/>
    <mergeCell ref="R244:AB244"/>
    <mergeCell ref="AC244:AS244"/>
    <mergeCell ref="AT244:BJ244"/>
    <mergeCell ref="BK244:CA244"/>
    <mergeCell ref="CB244:CR244"/>
    <mergeCell ref="CS244:DI244"/>
    <mergeCell ref="DJ244:DZ244"/>
    <mergeCell ref="EA244:EQ244"/>
    <mergeCell ref="ER244:FH244"/>
    <mergeCell ref="FI244:FY244"/>
    <mergeCell ref="FZ244:GP244"/>
    <mergeCell ref="GQ244:HG244"/>
    <mergeCell ref="HH244:HX244"/>
    <mergeCell ref="HY244:IO244"/>
    <mergeCell ref="IP244:JF244"/>
    <mergeCell ref="JG244:JW244"/>
    <mergeCell ref="JX244:KN244"/>
    <mergeCell ref="KO244:LE244"/>
    <mergeCell ref="LF244:LV244"/>
    <mergeCell ref="LW244:MM244"/>
    <mergeCell ref="MN244:ND244"/>
    <mergeCell ref="NE244:NU244"/>
    <mergeCell ref="NV244:OL244"/>
    <mergeCell ref="OM244:PC244"/>
    <mergeCell ref="PD244:PT244"/>
    <mergeCell ref="PU244:QK244"/>
    <mergeCell ref="QL244:RB244"/>
    <mergeCell ref="RC244:RS244"/>
    <mergeCell ref="RT244:SJ244"/>
    <mergeCell ref="SK244:TA244"/>
    <mergeCell ref="TB244:TR244"/>
    <mergeCell ref="TS244:UI244"/>
    <mergeCell ref="UJ244:UZ244"/>
    <mergeCell ref="VA244:VQ244"/>
    <mergeCell ref="VR244:WH244"/>
    <mergeCell ref="WI244:WY244"/>
    <mergeCell ref="WZ244:XP244"/>
    <mergeCell ref="XQ244:YG244"/>
    <mergeCell ref="YH244:YX244"/>
    <mergeCell ref="YY244:ZO244"/>
    <mergeCell ref="ZP244:AAF244"/>
    <mergeCell ref="AAG244:AAW244"/>
    <mergeCell ref="AAX244:ABN244"/>
    <mergeCell ref="ABO244:ACE244"/>
    <mergeCell ref="ACF244:ACV244"/>
    <mergeCell ref="ACW244:ADM244"/>
    <mergeCell ref="ADN244:AED244"/>
    <mergeCell ref="AEE244:AEU244"/>
    <mergeCell ref="AEV244:AFL244"/>
    <mergeCell ref="AFM244:AGC244"/>
    <mergeCell ref="AGD244:AGT244"/>
    <mergeCell ref="AGU244:AHK244"/>
    <mergeCell ref="AHL244:AIB244"/>
    <mergeCell ref="AIC244:AIS244"/>
    <mergeCell ref="AIT244:AJJ244"/>
    <mergeCell ref="AJK244:AKA244"/>
    <mergeCell ref="AKB244:AKR244"/>
    <mergeCell ref="AKS244:ALI244"/>
    <mergeCell ref="ALJ244:ALZ244"/>
    <mergeCell ref="AMA244:AMQ244"/>
    <mergeCell ref="AMR244:ANH244"/>
    <mergeCell ref="ANI244:ANY244"/>
    <mergeCell ref="ANZ244:AOP244"/>
    <mergeCell ref="AOQ244:APG244"/>
    <mergeCell ref="APH244:APX244"/>
    <mergeCell ref="APY244:AQO244"/>
    <mergeCell ref="AQP244:ARF244"/>
    <mergeCell ref="ARG244:ARW244"/>
    <mergeCell ref="ARX244:ASN244"/>
    <mergeCell ref="ASO244:ATE244"/>
    <mergeCell ref="ATF244:ATV244"/>
    <mergeCell ref="ATW244:AUM244"/>
    <mergeCell ref="AUN244:AVD244"/>
    <mergeCell ref="AVE244:AVU244"/>
    <mergeCell ref="AVV244:AWL244"/>
    <mergeCell ref="AWM244:AXC244"/>
    <mergeCell ref="AXD244:AXT244"/>
    <mergeCell ref="AXU244:AYK244"/>
    <mergeCell ref="AYL244:AZB244"/>
    <mergeCell ref="AZC244:AZS244"/>
    <mergeCell ref="AZT244:BAJ244"/>
    <mergeCell ref="BAK244:BBA244"/>
    <mergeCell ref="BBB244:BBR244"/>
    <mergeCell ref="BBS244:BCI244"/>
    <mergeCell ref="BCJ244:BCZ244"/>
    <mergeCell ref="BDA244:BDQ244"/>
    <mergeCell ref="BDR244:BEH244"/>
    <mergeCell ref="BEI244:BEY244"/>
    <mergeCell ref="BEZ244:BFP244"/>
    <mergeCell ref="BFQ244:BGG244"/>
    <mergeCell ref="BGH244:BGX244"/>
    <mergeCell ref="BGY244:BHO244"/>
    <mergeCell ref="BHP244:BIF244"/>
    <mergeCell ref="BIG244:BIW244"/>
    <mergeCell ref="BIX244:BJN244"/>
    <mergeCell ref="BJO244:BKE244"/>
    <mergeCell ref="BKF244:BKV244"/>
    <mergeCell ref="BKW244:BLM244"/>
    <mergeCell ref="BLN244:BMD244"/>
    <mergeCell ref="BME244:BMU244"/>
    <mergeCell ref="BMV244:BNL244"/>
    <mergeCell ref="BNM244:BOC244"/>
    <mergeCell ref="BOD244:BOT244"/>
    <mergeCell ref="BOU244:BPK244"/>
    <mergeCell ref="BPL244:BQB244"/>
    <mergeCell ref="BQC244:BQS244"/>
    <mergeCell ref="BQT244:BRJ244"/>
    <mergeCell ref="BRK244:BSA244"/>
    <mergeCell ref="BSB244:BSR244"/>
    <mergeCell ref="BSS244:BTI244"/>
    <mergeCell ref="BTJ244:BTZ244"/>
    <mergeCell ref="BUA244:BUQ244"/>
    <mergeCell ref="BUR244:BVH244"/>
    <mergeCell ref="BVI244:BVY244"/>
    <mergeCell ref="BVZ244:BWP244"/>
    <mergeCell ref="BWQ244:BXG244"/>
    <mergeCell ref="BXH244:BXX244"/>
    <mergeCell ref="BXY244:BYO244"/>
    <mergeCell ref="BYP244:BZF244"/>
    <mergeCell ref="BZG244:BZW244"/>
    <mergeCell ref="BZX244:CAN244"/>
    <mergeCell ref="CAO244:CBE244"/>
    <mergeCell ref="CBF244:CBV244"/>
    <mergeCell ref="CBW244:CCM244"/>
    <mergeCell ref="CCN244:CDD244"/>
    <mergeCell ref="CDE244:CDU244"/>
    <mergeCell ref="CDV244:CEL244"/>
    <mergeCell ref="CEM244:CFC244"/>
    <mergeCell ref="CFD244:CFT244"/>
    <mergeCell ref="CFU244:CGK244"/>
    <mergeCell ref="CGL244:CHB244"/>
    <mergeCell ref="CHC244:CHS244"/>
    <mergeCell ref="CHT244:CIJ244"/>
    <mergeCell ref="CIK244:CJA244"/>
    <mergeCell ref="CJB244:CJR244"/>
    <mergeCell ref="CJS244:CKI244"/>
    <mergeCell ref="CKJ244:CKZ244"/>
    <mergeCell ref="CLA244:CLQ244"/>
    <mergeCell ref="CLR244:CMH244"/>
    <mergeCell ref="CMI244:CMY244"/>
    <mergeCell ref="CMZ244:CNP244"/>
    <mergeCell ref="CNQ244:COG244"/>
    <mergeCell ref="COH244:COX244"/>
    <mergeCell ref="COY244:CPO244"/>
    <mergeCell ref="CPP244:CQF244"/>
    <mergeCell ref="CQG244:CQW244"/>
    <mergeCell ref="CQX244:CRN244"/>
    <mergeCell ref="CRO244:CSE244"/>
    <mergeCell ref="CSF244:CSV244"/>
    <mergeCell ref="CSW244:CTM244"/>
    <mergeCell ref="CTN244:CUD244"/>
    <mergeCell ref="CUE244:CUU244"/>
    <mergeCell ref="CUV244:CVL244"/>
    <mergeCell ref="CVM244:CWC244"/>
    <mergeCell ref="CWD244:CWT244"/>
    <mergeCell ref="CWU244:CXK244"/>
    <mergeCell ref="CXL244:CYB244"/>
    <mergeCell ref="CYC244:CYS244"/>
    <mergeCell ref="CYT244:CZJ244"/>
    <mergeCell ref="CZK244:DAA244"/>
    <mergeCell ref="DAB244:DAR244"/>
    <mergeCell ref="DAS244:DBI244"/>
    <mergeCell ref="DBJ244:DBZ244"/>
    <mergeCell ref="DCA244:DCQ244"/>
    <mergeCell ref="DCR244:DDH244"/>
    <mergeCell ref="DDI244:DDY244"/>
    <mergeCell ref="DDZ244:DEP244"/>
    <mergeCell ref="DEQ244:DFG244"/>
    <mergeCell ref="DFH244:DFX244"/>
    <mergeCell ref="DFY244:DGO244"/>
    <mergeCell ref="DGP244:DHF244"/>
    <mergeCell ref="DHG244:DHW244"/>
    <mergeCell ref="DHX244:DIN244"/>
    <mergeCell ref="DIO244:DJE244"/>
    <mergeCell ref="DJF244:DJV244"/>
    <mergeCell ref="DJW244:DKM244"/>
    <mergeCell ref="DKN244:DLD244"/>
    <mergeCell ref="DLE244:DLU244"/>
    <mergeCell ref="DLV244:DML244"/>
    <mergeCell ref="DMM244:DNC244"/>
    <mergeCell ref="DND244:DNT244"/>
    <mergeCell ref="DNU244:DOK244"/>
    <mergeCell ref="DOL244:DPB244"/>
    <mergeCell ref="DPC244:DPS244"/>
    <mergeCell ref="DPT244:DQJ244"/>
    <mergeCell ref="DQK244:DRA244"/>
    <mergeCell ref="DRB244:DRR244"/>
    <mergeCell ref="DRS244:DSI244"/>
    <mergeCell ref="DSJ244:DSZ244"/>
    <mergeCell ref="DTA244:DTQ244"/>
    <mergeCell ref="DTR244:DUH244"/>
    <mergeCell ref="DUI244:DUY244"/>
    <mergeCell ref="DUZ244:DVP244"/>
    <mergeCell ref="DVQ244:DWG244"/>
    <mergeCell ref="DWH244:DWX244"/>
    <mergeCell ref="DWY244:DXO244"/>
    <mergeCell ref="DXP244:DYF244"/>
    <mergeCell ref="DYG244:DYW244"/>
    <mergeCell ref="DYX244:DZN244"/>
    <mergeCell ref="DZO244:EAE244"/>
    <mergeCell ref="EAF244:EAV244"/>
    <mergeCell ref="EAW244:EBM244"/>
    <mergeCell ref="EBN244:ECD244"/>
    <mergeCell ref="ECE244:ECU244"/>
    <mergeCell ref="ECV244:EDL244"/>
    <mergeCell ref="EDM244:EEC244"/>
    <mergeCell ref="EED244:EET244"/>
    <mergeCell ref="EEU244:EFK244"/>
    <mergeCell ref="EFL244:EGB244"/>
    <mergeCell ref="EGC244:EGS244"/>
    <mergeCell ref="EGT244:EHJ244"/>
    <mergeCell ref="EHK244:EIA244"/>
    <mergeCell ref="EIB244:EIR244"/>
    <mergeCell ref="EIS244:EJI244"/>
    <mergeCell ref="EJJ244:EJZ244"/>
    <mergeCell ref="EKA244:EKQ244"/>
    <mergeCell ref="EKR244:ELH244"/>
    <mergeCell ref="ELI244:ELY244"/>
    <mergeCell ref="ELZ244:EMP244"/>
    <mergeCell ref="EMQ244:ENG244"/>
    <mergeCell ref="ENH244:ENX244"/>
    <mergeCell ref="ENY244:EOO244"/>
    <mergeCell ref="EOP244:EPF244"/>
    <mergeCell ref="EPG244:EPW244"/>
    <mergeCell ref="EPX244:EQN244"/>
    <mergeCell ref="EQO244:ERE244"/>
    <mergeCell ref="ERF244:ERV244"/>
    <mergeCell ref="ERW244:ESM244"/>
    <mergeCell ref="ESN244:ETD244"/>
    <mergeCell ref="ETE244:ETU244"/>
    <mergeCell ref="ETV244:EUL244"/>
    <mergeCell ref="EUM244:EVC244"/>
    <mergeCell ref="EVD244:EVT244"/>
    <mergeCell ref="EVU244:EWK244"/>
    <mergeCell ref="EWL244:EXB244"/>
    <mergeCell ref="EXC244:EXS244"/>
    <mergeCell ref="EXT244:EYJ244"/>
    <mergeCell ref="EYK244:EZA244"/>
    <mergeCell ref="EZB244:EZR244"/>
    <mergeCell ref="EZS244:FAI244"/>
    <mergeCell ref="FAJ244:FAZ244"/>
    <mergeCell ref="FBA244:FBQ244"/>
    <mergeCell ref="FBR244:FCH244"/>
    <mergeCell ref="FCI244:FCY244"/>
    <mergeCell ref="FCZ244:FDP244"/>
    <mergeCell ref="FDQ244:FEG244"/>
    <mergeCell ref="FEH244:FEX244"/>
    <mergeCell ref="FEY244:FFO244"/>
    <mergeCell ref="FFP244:FGF244"/>
    <mergeCell ref="FGG244:FGW244"/>
    <mergeCell ref="FGX244:FHN244"/>
    <mergeCell ref="FHO244:FIE244"/>
    <mergeCell ref="FIF244:FIV244"/>
    <mergeCell ref="FIW244:FJM244"/>
    <mergeCell ref="FJN244:FKD244"/>
    <mergeCell ref="FKE244:FKU244"/>
    <mergeCell ref="FKV244:FLL244"/>
    <mergeCell ref="FLM244:FMC244"/>
    <mergeCell ref="FMD244:FMT244"/>
    <mergeCell ref="FMU244:FNK244"/>
    <mergeCell ref="FNL244:FOB244"/>
    <mergeCell ref="FOC244:FOS244"/>
    <mergeCell ref="FOT244:FPJ244"/>
    <mergeCell ref="FPK244:FQA244"/>
    <mergeCell ref="FQB244:FQR244"/>
    <mergeCell ref="FQS244:FRI244"/>
    <mergeCell ref="FRJ244:FRZ244"/>
    <mergeCell ref="FSA244:FSQ244"/>
    <mergeCell ref="FSR244:FTH244"/>
    <mergeCell ref="FTI244:FTY244"/>
    <mergeCell ref="FTZ244:FUP244"/>
    <mergeCell ref="FUQ244:FVG244"/>
    <mergeCell ref="FVH244:FVX244"/>
    <mergeCell ref="FVY244:FWO244"/>
    <mergeCell ref="FWP244:FXF244"/>
    <mergeCell ref="FXG244:FXW244"/>
    <mergeCell ref="FXX244:FYN244"/>
    <mergeCell ref="FYO244:FZE244"/>
    <mergeCell ref="FZF244:FZV244"/>
    <mergeCell ref="FZW244:GAM244"/>
    <mergeCell ref="GAN244:GBD244"/>
    <mergeCell ref="GBE244:GBU244"/>
    <mergeCell ref="GBV244:GCL244"/>
    <mergeCell ref="GCM244:GDC244"/>
    <mergeCell ref="GDD244:GDT244"/>
    <mergeCell ref="GDU244:GEK244"/>
    <mergeCell ref="GEL244:GFB244"/>
    <mergeCell ref="GFC244:GFS244"/>
    <mergeCell ref="GFT244:GGJ244"/>
    <mergeCell ref="GGK244:GHA244"/>
    <mergeCell ref="GHB244:GHR244"/>
    <mergeCell ref="GHS244:GII244"/>
    <mergeCell ref="GIJ244:GIZ244"/>
    <mergeCell ref="GJA244:GJQ244"/>
    <mergeCell ref="GJR244:GKH244"/>
    <mergeCell ref="GKI244:GKY244"/>
    <mergeCell ref="GKZ244:GLP244"/>
    <mergeCell ref="GLQ244:GMG244"/>
    <mergeCell ref="GMH244:GMX244"/>
    <mergeCell ref="GMY244:GNO244"/>
    <mergeCell ref="GNP244:GOF244"/>
    <mergeCell ref="GOG244:GOW244"/>
    <mergeCell ref="GOX244:GPN244"/>
    <mergeCell ref="GPO244:GQE244"/>
    <mergeCell ref="GQF244:GQV244"/>
    <mergeCell ref="GQW244:GRM244"/>
    <mergeCell ref="GRN244:GSD244"/>
    <mergeCell ref="GSE244:GSU244"/>
    <mergeCell ref="GSV244:GTL244"/>
    <mergeCell ref="GTM244:GUC244"/>
    <mergeCell ref="GUD244:GUT244"/>
    <mergeCell ref="GUU244:GVK244"/>
    <mergeCell ref="GVL244:GWB244"/>
    <mergeCell ref="GWC244:GWS244"/>
    <mergeCell ref="GWT244:GXJ244"/>
    <mergeCell ref="GXK244:GYA244"/>
    <mergeCell ref="GYB244:GYR244"/>
    <mergeCell ref="GYS244:GZI244"/>
    <mergeCell ref="GZJ244:GZZ244"/>
    <mergeCell ref="HAA244:HAQ244"/>
    <mergeCell ref="HAR244:HBH244"/>
    <mergeCell ref="HBI244:HBY244"/>
    <mergeCell ref="HBZ244:HCP244"/>
    <mergeCell ref="HCQ244:HDG244"/>
    <mergeCell ref="HDH244:HDX244"/>
    <mergeCell ref="HDY244:HEO244"/>
    <mergeCell ref="HEP244:HFF244"/>
    <mergeCell ref="HFG244:HFW244"/>
    <mergeCell ref="HFX244:HGN244"/>
    <mergeCell ref="HGO244:HHE244"/>
    <mergeCell ref="HHF244:HHV244"/>
    <mergeCell ref="HHW244:HIM244"/>
    <mergeCell ref="HIN244:HJD244"/>
    <mergeCell ref="HJE244:HJU244"/>
    <mergeCell ref="HJV244:HKL244"/>
    <mergeCell ref="HKM244:HLC244"/>
    <mergeCell ref="HLD244:HLT244"/>
    <mergeCell ref="HLU244:HMK244"/>
    <mergeCell ref="HML244:HNB244"/>
    <mergeCell ref="HNC244:HNS244"/>
    <mergeCell ref="HNT244:HOJ244"/>
    <mergeCell ref="HOK244:HPA244"/>
    <mergeCell ref="HPB244:HPR244"/>
    <mergeCell ref="HPS244:HQI244"/>
    <mergeCell ref="HQJ244:HQZ244"/>
    <mergeCell ref="HRA244:HRQ244"/>
    <mergeCell ref="HRR244:HSH244"/>
    <mergeCell ref="HSI244:HSY244"/>
    <mergeCell ref="HSZ244:HTP244"/>
    <mergeCell ref="HTQ244:HUG244"/>
    <mergeCell ref="HUH244:HUX244"/>
    <mergeCell ref="HUY244:HVO244"/>
    <mergeCell ref="HVP244:HWF244"/>
    <mergeCell ref="HWG244:HWW244"/>
    <mergeCell ref="HWX244:HXN244"/>
    <mergeCell ref="HXO244:HYE244"/>
    <mergeCell ref="HYF244:HYV244"/>
    <mergeCell ref="HYW244:HZM244"/>
    <mergeCell ref="HZN244:IAD244"/>
    <mergeCell ref="IAE244:IAU244"/>
    <mergeCell ref="IAV244:IBL244"/>
    <mergeCell ref="IBM244:ICC244"/>
    <mergeCell ref="ICD244:ICT244"/>
    <mergeCell ref="ICU244:IDK244"/>
    <mergeCell ref="IDL244:IEB244"/>
    <mergeCell ref="IEC244:IES244"/>
    <mergeCell ref="IET244:IFJ244"/>
    <mergeCell ref="IFK244:IGA244"/>
    <mergeCell ref="IGB244:IGR244"/>
    <mergeCell ref="IGS244:IHI244"/>
    <mergeCell ref="IHJ244:IHZ244"/>
    <mergeCell ref="IIA244:IIQ244"/>
    <mergeCell ref="IIR244:IJH244"/>
    <mergeCell ref="IJI244:IJY244"/>
    <mergeCell ref="IJZ244:IKP244"/>
    <mergeCell ref="IKQ244:ILG244"/>
    <mergeCell ref="ILH244:ILX244"/>
    <mergeCell ref="ILY244:IMO244"/>
    <mergeCell ref="IMP244:INF244"/>
    <mergeCell ref="ING244:INW244"/>
    <mergeCell ref="INX244:ION244"/>
    <mergeCell ref="IOO244:IPE244"/>
    <mergeCell ref="IPF244:IPV244"/>
    <mergeCell ref="IPW244:IQM244"/>
    <mergeCell ref="IQN244:IRD244"/>
    <mergeCell ref="IRE244:IRU244"/>
    <mergeCell ref="IRV244:ISL244"/>
    <mergeCell ref="ISM244:ITC244"/>
    <mergeCell ref="ITD244:ITT244"/>
    <mergeCell ref="ITU244:IUK244"/>
    <mergeCell ref="IUL244:IVB244"/>
    <mergeCell ref="IVC244:IVS244"/>
    <mergeCell ref="IVT244:IWJ244"/>
    <mergeCell ref="IWK244:IXA244"/>
    <mergeCell ref="IXB244:IXR244"/>
    <mergeCell ref="IXS244:IYI244"/>
    <mergeCell ref="IYJ244:IYZ244"/>
    <mergeCell ref="IZA244:IZQ244"/>
    <mergeCell ref="IZR244:JAH244"/>
    <mergeCell ref="JAI244:JAY244"/>
    <mergeCell ref="JAZ244:JBP244"/>
    <mergeCell ref="JBQ244:JCG244"/>
    <mergeCell ref="JCH244:JCX244"/>
    <mergeCell ref="JCY244:JDO244"/>
    <mergeCell ref="JDP244:JEF244"/>
    <mergeCell ref="JEG244:JEW244"/>
    <mergeCell ref="JEX244:JFN244"/>
    <mergeCell ref="JFO244:JGE244"/>
    <mergeCell ref="JGF244:JGV244"/>
    <mergeCell ref="JGW244:JHM244"/>
    <mergeCell ref="JHN244:JID244"/>
    <mergeCell ref="JIE244:JIU244"/>
    <mergeCell ref="JIV244:JJL244"/>
    <mergeCell ref="JJM244:JKC244"/>
    <mergeCell ref="JKD244:JKT244"/>
    <mergeCell ref="JKU244:JLK244"/>
    <mergeCell ref="JLL244:JMB244"/>
    <mergeCell ref="JMC244:JMS244"/>
    <mergeCell ref="JMT244:JNJ244"/>
    <mergeCell ref="JNK244:JOA244"/>
    <mergeCell ref="JOB244:JOR244"/>
    <mergeCell ref="JOS244:JPI244"/>
    <mergeCell ref="JPJ244:JPZ244"/>
    <mergeCell ref="JQA244:JQQ244"/>
    <mergeCell ref="JQR244:JRH244"/>
    <mergeCell ref="JRI244:JRY244"/>
    <mergeCell ref="JRZ244:JSP244"/>
    <mergeCell ref="JSQ244:JTG244"/>
    <mergeCell ref="JTH244:JTX244"/>
    <mergeCell ref="JTY244:JUO244"/>
    <mergeCell ref="JUP244:JVF244"/>
    <mergeCell ref="JVG244:JVW244"/>
    <mergeCell ref="JVX244:JWN244"/>
    <mergeCell ref="JWO244:JXE244"/>
    <mergeCell ref="JXF244:JXV244"/>
    <mergeCell ref="JXW244:JYM244"/>
    <mergeCell ref="JYN244:JZD244"/>
    <mergeCell ref="JZE244:JZU244"/>
    <mergeCell ref="JZV244:KAL244"/>
    <mergeCell ref="KAM244:KBC244"/>
    <mergeCell ref="KBD244:KBT244"/>
    <mergeCell ref="KBU244:KCK244"/>
    <mergeCell ref="KCL244:KDB244"/>
    <mergeCell ref="KDC244:KDS244"/>
    <mergeCell ref="KDT244:KEJ244"/>
    <mergeCell ref="KEK244:KFA244"/>
    <mergeCell ref="KFB244:KFR244"/>
    <mergeCell ref="KFS244:KGI244"/>
    <mergeCell ref="KGJ244:KGZ244"/>
    <mergeCell ref="KHA244:KHQ244"/>
    <mergeCell ref="KHR244:KIH244"/>
    <mergeCell ref="KII244:KIY244"/>
    <mergeCell ref="KIZ244:KJP244"/>
    <mergeCell ref="KJQ244:KKG244"/>
    <mergeCell ref="KKH244:KKX244"/>
    <mergeCell ref="KKY244:KLO244"/>
    <mergeCell ref="KLP244:KMF244"/>
    <mergeCell ref="KMG244:KMW244"/>
    <mergeCell ref="KMX244:KNN244"/>
    <mergeCell ref="KNO244:KOE244"/>
    <mergeCell ref="KOF244:KOV244"/>
    <mergeCell ref="KOW244:KPM244"/>
    <mergeCell ref="KPN244:KQD244"/>
    <mergeCell ref="KQE244:KQU244"/>
    <mergeCell ref="KQV244:KRL244"/>
    <mergeCell ref="KRM244:KSC244"/>
    <mergeCell ref="KSD244:KST244"/>
    <mergeCell ref="KSU244:KTK244"/>
    <mergeCell ref="KTL244:KUB244"/>
    <mergeCell ref="KUC244:KUS244"/>
    <mergeCell ref="KUT244:KVJ244"/>
    <mergeCell ref="KVK244:KWA244"/>
    <mergeCell ref="KWB244:KWR244"/>
    <mergeCell ref="KWS244:KXI244"/>
    <mergeCell ref="KXJ244:KXZ244"/>
    <mergeCell ref="KYA244:KYQ244"/>
    <mergeCell ref="KYR244:KZH244"/>
    <mergeCell ref="KZI244:KZY244"/>
    <mergeCell ref="KZZ244:LAP244"/>
    <mergeCell ref="LAQ244:LBG244"/>
    <mergeCell ref="LBH244:LBX244"/>
    <mergeCell ref="LBY244:LCO244"/>
    <mergeCell ref="LCP244:LDF244"/>
    <mergeCell ref="LDG244:LDW244"/>
    <mergeCell ref="LDX244:LEN244"/>
    <mergeCell ref="LEO244:LFE244"/>
    <mergeCell ref="LFF244:LFV244"/>
    <mergeCell ref="LFW244:LGM244"/>
    <mergeCell ref="LGN244:LHD244"/>
    <mergeCell ref="LHE244:LHU244"/>
    <mergeCell ref="LHV244:LIL244"/>
    <mergeCell ref="LIM244:LJC244"/>
    <mergeCell ref="LJD244:LJT244"/>
    <mergeCell ref="LJU244:LKK244"/>
    <mergeCell ref="LKL244:LLB244"/>
    <mergeCell ref="LLC244:LLS244"/>
    <mergeCell ref="LLT244:LMJ244"/>
    <mergeCell ref="LMK244:LNA244"/>
    <mergeCell ref="LNB244:LNR244"/>
    <mergeCell ref="LNS244:LOI244"/>
    <mergeCell ref="LOJ244:LOZ244"/>
    <mergeCell ref="LPA244:LPQ244"/>
    <mergeCell ref="LPR244:LQH244"/>
    <mergeCell ref="LQI244:LQY244"/>
    <mergeCell ref="LQZ244:LRP244"/>
    <mergeCell ref="LRQ244:LSG244"/>
    <mergeCell ref="LSH244:LSX244"/>
    <mergeCell ref="LSY244:LTO244"/>
    <mergeCell ref="LTP244:LUF244"/>
    <mergeCell ref="LUG244:LUW244"/>
    <mergeCell ref="LUX244:LVN244"/>
    <mergeCell ref="LVO244:LWE244"/>
    <mergeCell ref="LWF244:LWV244"/>
    <mergeCell ref="LWW244:LXM244"/>
    <mergeCell ref="LXN244:LYD244"/>
    <mergeCell ref="LYE244:LYU244"/>
    <mergeCell ref="LYV244:LZL244"/>
    <mergeCell ref="LZM244:MAC244"/>
    <mergeCell ref="MAD244:MAT244"/>
    <mergeCell ref="MAU244:MBK244"/>
    <mergeCell ref="MBL244:MCB244"/>
    <mergeCell ref="MCC244:MCS244"/>
    <mergeCell ref="MCT244:MDJ244"/>
    <mergeCell ref="MDK244:MEA244"/>
    <mergeCell ref="MEB244:MER244"/>
    <mergeCell ref="MES244:MFI244"/>
    <mergeCell ref="MFJ244:MFZ244"/>
    <mergeCell ref="MGA244:MGQ244"/>
    <mergeCell ref="MGR244:MHH244"/>
    <mergeCell ref="MHI244:MHY244"/>
    <mergeCell ref="MHZ244:MIP244"/>
    <mergeCell ref="MIQ244:MJG244"/>
    <mergeCell ref="MJH244:MJX244"/>
    <mergeCell ref="MJY244:MKO244"/>
    <mergeCell ref="MKP244:MLF244"/>
    <mergeCell ref="MLG244:MLW244"/>
    <mergeCell ref="MLX244:MMN244"/>
    <mergeCell ref="MMO244:MNE244"/>
    <mergeCell ref="MNF244:MNV244"/>
    <mergeCell ref="MNW244:MOM244"/>
    <mergeCell ref="MON244:MPD244"/>
    <mergeCell ref="MPE244:MPU244"/>
    <mergeCell ref="MPV244:MQL244"/>
    <mergeCell ref="MQM244:MRC244"/>
    <mergeCell ref="MRD244:MRT244"/>
    <mergeCell ref="MRU244:MSK244"/>
    <mergeCell ref="MSL244:MTB244"/>
    <mergeCell ref="MTC244:MTS244"/>
    <mergeCell ref="MTT244:MUJ244"/>
    <mergeCell ref="MUK244:MVA244"/>
    <mergeCell ref="MVB244:MVR244"/>
    <mergeCell ref="MVS244:MWI244"/>
    <mergeCell ref="MWJ244:MWZ244"/>
    <mergeCell ref="MXA244:MXQ244"/>
    <mergeCell ref="MXR244:MYH244"/>
    <mergeCell ref="MYI244:MYY244"/>
    <mergeCell ref="MYZ244:MZP244"/>
    <mergeCell ref="MZQ244:NAG244"/>
    <mergeCell ref="NAH244:NAX244"/>
    <mergeCell ref="NAY244:NBO244"/>
    <mergeCell ref="NBP244:NCF244"/>
    <mergeCell ref="NCG244:NCW244"/>
    <mergeCell ref="NCX244:NDN244"/>
    <mergeCell ref="NDO244:NEE244"/>
    <mergeCell ref="NEF244:NEV244"/>
    <mergeCell ref="NEW244:NFM244"/>
    <mergeCell ref="NFN244:NGD244"/>
    <mergeCell ref="NGE244:NGU244"/>
    <mergeCell ref="NGV244:NHL244"/>
    <mergeCell ref="NHM244:NIC244"/>
    <mergeCell ref="NID244:NIT244"/>
    <mergeCell ref="NIU244:NJK244"/>
    <mergeCell ref="NJL244:NKB244"/>
    <mergeCell ref="NKC244:NKS244"/>
    <mergeCell ref="NKT244:NLJ244"/>
    <mergeCell ref="NLK244:NMA244"/>
    <mergeCell ref="NMB244:NMR244"/>
    <mergeCell ref="NMS244:NNI244"/>
    <mergeCell ref="NNJ244:NNZ244"/>
    <mergeCell ref="NOA244:NOQ244"/>
    <mergeCell ref="NOR244:NPH244"/>
    <mergeCell ref="NPI244:NPY244"/>
    <mergeCell ref="NPZ244:NQP244"/>
    <mergeCell ref="NQQ244:NRG244"/>
    <mergeCell ref="NRH244:NRX244"/>
    <mergeCell ref="NRY244:NSO244"/>
    <mergeCell ref="NSP244:NTF244"/>
    <mergeCell ref="NTG244:NTW244"/>
    <mergeCell ref="NTX244:NUN244"/>
    <mergeCell ref="NUO244:NVE244"/>
    <mergeCell ref="NVF244:NVV244"/>
    <mergeCell ref="NVW244:NWM244"/>
    <mergeCell ref="NWN244:NXD244"/>
    <mergeCell ref="NXE244:NXU244"/>
    <mergeCell ref="NXV244:NYL244"/>
    <mergeCell ref="NYM244:NZC244"/>
    <mergeCell ref="NZD244:NZT244"/>
    <mergeCell ref="NZU244:OAK244"/>
    <mergeCell ref="OAL244:OBB244"/>
    <mergeCell ref="OBC244:OBS244"/>
    <mergeCell ref="OWR244:OXH244"/>
    <mergeCell ref="OXI244:OXY244"/>
    <mergeCell ref="OXZ244:OYP244"/>
    <mergeCell ref="OYQ244:OZG244"/>
    <mergeCell ref="OZH244:OZX244"/>
    <mergeCell ref="OZY244:PAO244"/>
    <mergeCell ref="PAP244:PBF244"/>
    <mergeCell ref="PBG244:PBW244"/>
    <mergeCell ref="PBX244:PCN244"/>
    <mergeCell ref="OBT244:OCJ244"/>
    <mergeCell ref="OCK244:ODA244"/>
    <mergeCell ref="ODB244:ODR244"/>
    <mergeCell ref="ODS244:OEI244"/>
    <mergeCell ref="OEJ244:OEZ244"/>
    <mergeCell ref="OFA244:OFQ244"/>
    <mergeCell ref="OFR244:OGH244"/>
    <mergeCell ref="OGI244:OGY244"/>
    <mergeCell ref="OGZ244:OHP244"/>
    <mergeCell ref="OHQ244:OIG244"/>
    <mergeCell ref="OIH244:OIX244"/>
    <mergeCell ref="OIY244:OJO244"/>
    <mergeCell ref="OJP244:OKF244"/>
    <mergeCell ref="OKG244:OKW244"/>
    <mergeCell ref="OKX244:OLN244"/>
    <mergeCell ref="OLO244:OME244"/>
    <mergeCell ref="OMF244:OMV244"/>
    <mergeCell ref="QYH244:QYX244"/>
    <mergeCell ref="QYY244:QZO244"/>
    <mergeCell ref="PCO244:PDE244"/>
    <mergeCell ref="PDF244:PDV244"/>
    <mergeCell ref="PDW244:PEM244"/>
    <mergeCell ref="PEN244:PFD244"/>
    <mergeCell ref="PFE244:PFU244"/>
    <mergeCell ref="PFV244:PGL244"/>
    <mergeCell ref="PGM244:PHC244"/>
    <mergeCell ref="PHD244:PHT244"/>
    <mergeCell ref="PHU244:PIK244"/>
    <mergeCell ref="PIL244:PJB244"/>
    <mergeCell ref="PYU244:PZK244"/>
    <mergeCell ref="PZL244:QAB244"/>
    <mergeCell ref="QAC244:QAS244"/>
    <mergeCell ref="QAT244:QBJ244"/>
    <mergeCell ref="QBK244:QCA244"/>
    <mergeCell ref="QCB244:QCR244"/>
    <mergeCell ref="QER244:QFH244"/>
    <mergeCell ref="PJC244:PJS244"/>
    <mergeCell ref="PJT244:PKJ244"/>
    <mergeCell ref="PKK244:PLA244"/>
    <mergeCell ref="PLB244:PLR244"/>
    <mergeCell ref="PLS244:PMI244"/>
    <mergeCell ref="PMJ244:PMZ244"/>
    <mergeCell ref="PNA244:PNQ244"/>
    <mergeCell ref="PNR244:POH244"/>
    <mergeCell ref="POI244:POY244"/>
    <mergeCell ref="POZ244:PPP244"/>
    <mergeCell ref="PPQ244:PQG244"/>
    <mergeCell ref="PQH244:PQX244"/>
    <mergeCell ref="PQY244:PRO244"/>
    <mergeCell ref="QVA244:QVQ244"/>
    <mergeCell ref="QVR244:QWH244"/>
    <mergeCell ref="QWI244:QWY244"/>
    <mergeCell ref="QWZ244:QXP244"/>
    <mergeCell ref="QXQ244:QYG244"/>
    <mergeCell ref="QFI244:QFY244"/>
    <mergeCell ref="QFZ244:QGP244"/>
    <mergeCell ref="QGQ244:QHG244"/>
    <mergeCell ref="QHH244:QHX244"/>
    <mergeCell ref="QHY244:QIO244"/>
    <mergeCell ref="QQL244:QRB244"/>
    <mergeCell ref="QRC244:QRS244"/>
    <mergeCell ref="QRT244:QSJ244"/>
    <mergeCell ref="QSK244:QTA244"/>
    <mergeCell ref="QTB244:QTR244"/>
    <mergeCell ref="OMW244:ONM244"/>
    <mergeCell ref="ONN244:OOD244"/>
    <mergeCell ref="OOE244:OOU244"/>
    <mergeCell ref="OOV244:OPL244"/>
    <mergeCell ref="OPM244:OQC244"/>
    <mergeCell ref="OQD244:OQT244"/>
    <mergeCell ref="OQU244:ORK244"/>
    <mergeCell ref="PRP244:PSF244"/>
    <mergeCell ref="PSG244:PSW244"/>
    <mergeCell ref="ORL244:OSB244"/>
    <mergeCell ref="OSC244:OSS244"/>
    <mergeCell ref="OST244:OTJ244"/>
    <mergeCell ref="OTK244:OUA244"/>
    <mergeCell ref="OUB244:OUR244"/>
    <mergeCell ref="OUS244:OVI244"/>
    <mergeCell ref="OVJ244:OVZ244"/>
    <mergeCell ref="OWA244:OWQ244"/>
    <mergeCell ref="QZP244:RAF244"/>
    <mergeCell ref="RAG244:RAW244"/>
    <mergeCell ref="RAX244:RBN244"/>
    <mergeCell ref="QIP244:QJF244"/>
    <mergeCell ref="QJG244:QJW244"/>
    <mergeCell ref="RBO244:RCE244"/>
    <mergeCell ref="RCF244:RCV244"/>
    <mergeCell ref="PSX244:PTN244"/>
    <mergeCell ref="QPU244:QQK244"/>
    <mergeCell ref="A749:O749"/>
    <mergeCell ref="A753:E753"/>
    <mergeCell ref="QTS244:QUI244"/>
    <mergeCell ref="QUJ244:QUZ244"/>
    <mergeCell ref="A722:E722"/>
    <mergeCell ref="A723:O723"/>
    <mergeCell ref="PUF244:PUV244"/>
    <mergeCell ref="PUW244:PVM244"/>
    <mergeCell ref="PVN244:PWD244"/>
    <mergeCell ref="PWE244:PWU244"/>
    <mergeCell ref="PWV244:PXL244"/>
    <mergeCell ref="PXM244:PYC244"/>
    <mergeCell ref="PYD244:PYT244"/>
    <mergeCell ref="QCS244:QDI244"/>
    <mergeCell ref="QDJ244:QDZ244"/>
    <mergeCell ref="QEA244:QEQ244"/>
    <mergeCell ref="PTO244:PUE244"/>
    <mergeCell ref="A245:A249"/>
    <mergeCell ref="A252:A275"/>
    <mergeCell ref="A277:A289"/>
    <mergeCell ref="A300:O300"/>
    <mergeCell ref="A373:E373"/>
    <mergeCell ref="A314:O314"/>
    <mergeCell ref="RCW244:RDM244"/>
    <mergeCell ref="RDN244:RED244"/>
    <mergeCell ref="QJX244:QKN244"/>
    <mergeCell ref="QKO244:QLE244"/>
    <mergeCell ref="QLF244:QLV244"/>
    <mergeCell ref="QLW244:QMM244"/>
    <mergeCell ref="QMN244:QND244"/>
    <mergeCell ref="QNE244:QNU244"/>
    <mergeCell ref="QNV244:QOL244"/>
    <mergeCell ref="QOM244:QPC244"/>
    <mergeCell ref="QPD244:QPT244"/>
    <mergeCell ref="A754:O754"/>
    <mergeCell ref="A760:E760"/>
    <mergeCell ref="J756:J757"/>
    <mergeCell ref="I756:I757"/>
    <mergeCell ref="H756:H757"/>
    <mergeCell ref="G756:G757"/>
    <mergeCell ref="F756:F757"/>
    <mergeCell ref="E756:E757"/>
    <mergeCell ref="D756:D757"/>
    <mergeCell ref="C756:C757"/>
    <mergeCell ref="B756:B757"/>
    <mergeCell ref="B758:B759"/>
    <mergeCell ref="C758:C759"/>
    <mergeCell ref="D758:D759"/>
    <mergeCell ref="E758:E759"/>
    <mergeCell ref="F758:F759"/>
    <mergeCell ref="G758:G759"/>
    <mergeCell ref="H758:H759"/>
    <mergeCell ref="I758:I759"/>
    <mergeCell ref="J758:J759"/>
    <mergeCell ref="D649:D651"/>
    <mergeCell ref="B774:B775"/>
    <mergeCell ref="C774:C775"/>
    <mergeCell ref="D774:D775"/>
    <mergeCell ref="E774:E775"/>
    <mergeCell ref="B777:B778"/>
    <mergeCell ref="C777:C778"/>
    <mergeCell ref="D777:D778"/>
    <mergeCell ref="E777:E778"/>
    <mergeCell ref="A762:Q762"/>
    <mergeCell ref="B766:B767"/>
    <mergeCell ref="C766:C767"/>
    <mergeCell ref="D766:D767"/>
    <mergeCell ref="E766:E767"/>
    <mergeCell ref="F766:F767"/>
    <mergeCell ref="G766:G767"/>
    <mergeCell ref="H766:H767"/>
    <mergeCell ref="I766:I767"/>
    <mergeCell ref="J766:J767"/>
    <mergeCell ref="B770:B771"/>
    <mergeCell ref="C770:C771"/>
    <mergeCell ref="D770:D771"/>
    <mergeCell ref="E770:E771"/>
    <mergeCell ref="F770:F771"/>
    <mergeCell ref="G770:G771"/>
    <mergeCell ref="H770:H771"/>
    <mergeCell ref="I770:I771"/>
    <mergeCell ref="J770:J771"/>
    <mergeCell ref="B779:B780"/>
    <mergeCell ref="C779:C780"/>
    <mergeCell ref="D779:D780"/>
    <mergeCell ref="E779:E780"/>
    <mergeCell ref="B783:B784"/>
    <mergeCell ref="C783:C784"/>
    <mergeCell ref="D783:D784"/>
    <mergeCell ref="E783:E784"/>
    <mergeCell ref="F783:F784"/>
    <mergeCell ref="G783:G784"/>
    <mergeCell ref="H783:H784"/>
    <mergeCell ref="I783:I784"/>
    <mergeCell ref="J783:J784"/>
    <mergeCell ref="A786:Q786"/>
    <mergeCell ref="B793:B794"/>
    <mergeCell ref="C793:C794"/>
    <mergeCell ref="D793:D794"/>
    <mergeCell ref="E793:E794"/>
    <mergeCell ref="H793:H794"/>
    <mergeCell ref="I793:I794"/>
    <mergeCell ref="J793:J794"/>
    <mergeCell ref="A763:A784"/>
    <mergeCell ref="A785:E785"/>
    <mergeCell ref="B772:B773"/>
    <mergeCell ref="C772:C773"/>
    <mergeCell ref="D772:D773"/>
    <mergeCell ref="E772:E773"/>
    <mergeCell ref="F772:F773"/>
    <mergeCell ref="G772:G773"/>
    <mergeCell ref="H772:H773"/>
    <mergeCell ref="I772:I773"/>
    <mergeCell ref="J772:J773"/>
    <mergeCell ref="K804:K805"/>
    <mergeCell ref="L804:L805"/>
    <mergeCell ref="M804:M805"/>
    <mergeCell ref="N804:N805"/>
    <mergeCell ref="O804:O805"/>
    <mergeCell ref="P804:P805"/>
    <mergeCell ref="Q804:Q805"/>
    <mergeCell ref="B795:B796"/>
    <mergeCell ref="C795:C796"/>
    <mergeCell ref="D795:D796"/>
    <mergeCell ref="E795:E796"/>
    <mergeCell ref="F795:F796"/>
    <mergeCell ref="G795:G796"/>
    <mergeCell ref="H795:H796"/>
    <mergeCell ref="I795:I796"/>
    <mergeCell ref="J795:J796"/>
    <mergeCell ref="L799:Q799"/>
    <mergeCell ref="A800:Q800"/>
    <mergeCell ref="B801:B802"/>
    <mergeCell ref="C801:C802"/>
    <mergeCell ref="D801:D802"/>
    <mergeCell ref="E801:E802"/>
    <mergeCell ref="F801:F802"/>
    <mergeCell ref="G801:G802"/>
    <mergeCell ref="H801:H802"/>
    <mergeCell ref="I801:I802"/>
    <mergeCell ref="J801:J802"/>
    <mergeCell ref="A787:A798"/>
    <mergeCell ref="A799:E799"/>
    <mergeCell ref="A801:A813"/>
    <mergeCell ref="B803:B804"/>
    <mergeCell ref="C803:C804"/>
    <mergeCell ref="I816:I817"/>
    <mergeCell ref="J816:J817"/>
    <mergeCell ref="A814:E814"/>
    <mergeCell ref="B806:B808"/>
    <mergeCell ref="C806:C808"/>
    <mergeCell ref="D806:D808"/>
    <mergeCell ref="E806:E808"/>
    <mergeCell ref="F806:F808"/>
    <mergeCell ref="G806:G808"/>
    <mergeCell ref="H806:H808"/>
    <mergeCell ref="I806:I808"/>
    <mergeCell ref="J806:J808"/>
    <mergeCell ref="B809:B810"/>
    <mergeCell ref="D809:D810"/>
    <mergeCell ref="E809:E810"/>
    <mergeCell ref="F809:F810"/>
    <mergeCell ref="G809:G810"/>
    <mergeCell ref="H809:H810"/>
    <mergeCell ref="I809:I810"/>
    <mergeCell ref="J809:J810"/>
    <mergeCell ref="P826:P827"/>
    <mergeCell ref="Q826:Q827"/>
    <mergeCell ref="D803:D804"/>
    <mergeCell ref="E803:E804"/>
    <mergeCell ref="F803:F804"/>
    <mergeCell ref="G803:G804"/>
    <mergeCell ref="H803:H804"/>
    <mergeCell ref="I803:I804"/>
    <mergeCell ref="J803:J804"/>
    <mergeCell ref="K818:Q818"/>
    <mergeCell ref="K819:Q819"/>
    <mergeCell ref="L824:Q824"/>
    <mergeCell ref="A816:A823"/>
    <mergeCell ref="A824:E824"/>
    <mergeCell ref="B811:B812"/>
    <mergeCell ref="C811:C812"/>
    <mergeCell ref="D811:D812"/>
    <mergeCell ref="E811:E812"/>
    <mergeCell ref="F811:F812"/>
    <mergeCell ref="G811:G812"/>
    <mergeCell ref="H811:H812"/>
    <mergeCell ref="I811:I812"/>
    <mergeCell ref="J811:J812"/>
    <mergeCell ref="L814:Q814"/>
    <mergeCell ref="A815:Q815"/>
    <mergeCell ref="B816:B817"/>
    <mergeCell ref="C816:C817"/>
    <mergeCell ref="D816:D817"/>
    <mergeCell ref="E816:E817"/>
    <mergeCell ref="F816:F817"/>
    <mergeCell ref="G816:G817"/>
    <mergeCell ref="H816:H817"/>
    <mergeCell ref="J831:J832"/>
    <mergeCell ref="B833:B834"/>
    <mergeCell ref="C833:C834"/>
    <mergeCell ref="D833:D834"/>
    <mergeCell ref="E833:E834"/>
    <mergeCell ref="F833:F834"/>
    <mergeCell ref="G833:G834"/>
    <mergeCell ref="H833:H834"/>
    <mergeCell ref="I833:I834"/>
    <mergeCell ref="J833:J834"/>
    <mergeCell ref="K816:K817"/>
    <mergeCell ref="L816:L817"/>
    <mergeCell ref="M816:M817"/>
    <mergeCell ref="N816:N817"/>
    <mergeCell ref="O816:O817"/>
    <mergeCell ref="P816:P817"/>
    <mergeCell ref="Q816:Q817"/>
    <mergeCell ref="A825:Q825"/>
    <mergeCell ref="B826:B827"/>
    <mergeCell ref="C826:C827"/>
    <mergeCell ref="D826:D827"/>
    <mergeCell ref="E826:E827"/>
    <mergeCell ref="F826:F827"/>
    <mergeCell ref="G826:G827"/>
    <mergeCell ref="H826:H827"/>
    <mergeCell ref="I826:I827"/>
    <mergeCell ref="J826:J827"/>
    <mergeCell ref="K826:K827"/>
    <mergeCell ref="L826:L827"/>
    <mergeCell ref="M826:M827"/>
    <mergeCell ref="N826:N827"/>
    <mergeCell ref="O826:O827"/>
    <mergeCell ref="B837:B839"/>
    <mergeCell ref="C837:C839"/>
    <mergeCell ref="D837:D839"/>
    <mergeCell ref="E837:E839"/>
    <mergeCell ref="F837:F839"/>
    <mergeCell ref="G837:G839"/>
    <mergeCell ref="H837:H839"/>
    <mergeCell ref="I837:I839"/>
    <mergeCell ref="J837:J839"/>
    <mergeCell ref="B849:B853"/>
    <mergeCell ref="L842:Q842"/>
    <mergeCell ref="A843:Q843"/>
    <mergeCell ref="B847:B848"/>
    <mergeCell ref="C847:C848"/>
    <mergeCell ref="D847:D848"/>
    <mergeCell ref="E847:E848"/>
    <mergeCell ref="F847:F848"/>
    <mergeCell ref="G847:G848"/>
    <mergeCell ref="H847:H848"/>
    <mergeCell ref="I847:I848"/>
    <mergeCell ref="J847:J848"/>
    <mergeCell ref="A826:A841"/>
    <mergeCell ref="A842:E842"/>
    <mergeCell ref="K828:Q828"/>
    <mergeCell ref="B831:B832"/>
    <mergeCell ref="C831:C832"/>
    <mergeCell ref="D831:D832"/>
    <mergeCell ref="E831:E832"/>
    <mergeCell ref="F831:F832"/>
    <mergeCell ref="G831:G832"/>
    <mergeCell ref="H831:H832"/>
    <mergeCell ref="I831:I832"/>
    <mergeCell ref="I863:I864"/>
    <mergeCell ref="J863:J864"/>
    <mergeCell ref="B866:B867"/>
    <mergeCell ref="C866:C867"/>
    <mergeCell ref="D866:D867"/>
    <mergeCell ref="E866:E867"/>
    <mergeCell ref="F866:F867"/>
    <mergeCell ref="G866:G867"/>
    <mergeCell ref="H866:H867"/>
    <mergeCell ref="I866:I867"/>
    <mergeCell ref="J866:J867"/>
    <mergeCell ref="E849:E852"/>
    <mergeCell ref="F849:F854"/>
    <mergeCell ref="G849:G854"/>
    <mergeCell ref="H849:H854"/>
    <mergeCell ref="I849:I854"/>
    <mergeCell ref="J849:J854"/>
    <mergeCell ref="B855:B860"/>
    <mergeCell ref="C855:C860"/>
    <mergeCell ref="D855:D860"/>
    <mergeCell ref="E855:E860"/>
    <mergeCell ref="F855:F860"/>
    <mergeCell ref="G855:G860"/>
    <mergeCell ref="H855:H860"/>
    <mergeCell ref="I855:I860"/>
    <mergeCell ref="J855:J860"/>
    <mergeCell ref="H870:H872"/>
    <mergeCell ref="I870:I872"/>
    <mergeCell ref="J870:J872"/>
    <mergeCell ref="L873:O873"/>
    <mergeCell ref="A874:Q874"/>
    <mergeCell ref="K875:K876"/>
    <mergeCell ref="L875:L876"/>
    <mergeCell ref="Q875:Q876"/>
    <mergeCell ref="A881:Q881"/>
    <mergeCell ref="B882:B883"/>
    <mergeCell ref="C882:C883"/>
    <mergeCell ref="D882:D883"/>
    <mergeCell ref="E882:E883"/>
    <mergeCell ref="F882:F883"/>
    <mergeCell ref="G882:G883"/>
    <mergeCell ref="H882:H883"/>
    <mergeCell ref="I882:I883"/>
    <mergeCell ref="J882:J883"/>
    <mergeCell ref="K882:K883"/>
    <mergeCell ref="L882:L883"/>
    <mergeCell ref="M882:M883"/>
    <mergeCell ref="N882:N883"/>
    <mergeCell ref="O882:O883"/>
    <mergeCell ref="P882:P883"/>
    <mergeCell ref="A844:A872"/>
    <mergeCell ref="B863:B864"/>
    <mergeCell ref="C863:C864"/>
    <mergeCell ref="D863:D864"/>
    <mergeCell ref="E863:E864"/>
    <mergeCell ref="F863:F864"/>
    <mergeCell ref="G863:G864"/>
    <mergeCell ref="H863:H864"/>
    <mergeCell ref="Q882:Q883"/>
    <mergeCell ref="A889:Q889"/>
    <mergeCell ref="B890:B891"/>
    <mergeCell ref="C890:C891"/>
    <mergeCell ref="D890:D891"/>
    <mergeCell ref="F890:F891"/>
    <mergeCell ref="G890:G891"/>
    <mergeCell ref="H890:H891"/>
    <mergeCell ref="I890:I891"/>
    <mergeCell ref="J890:J891"/>
    <mergeCell ref="K890:K891"/>
    <mergeCell ref="L890:L891"/>
    <mergeCell ref="M890:M891"/>
    <mergeCell ref="N890:N891"/>
    <mergeCell ref="O890:O891"/>
    <mergeCell ref="P890:P891"/>
    <mergeCell ref="Q890:Q891"/>
    <mergeCell ref="A890:A918"/>
    <mergeCell ref="A888:E888"/>
    <mergeCell ref="H899:H903"/>
    <mergeCell ref="I899:I903"/>
    <mergeCell ref="J899:J903"/>
    <mergeCell ref="K901:K903"/>
    <mergeCell ref="L901:L903"/>
    <mergeCell ref="M901:M903"/>
    <mergeCell ref="N901:N903"/>
    <mergeCell ref="O901:O903"/>
    <mergeCell ref="P901:P903"/>
    <mergeCell ref="Q901:Q903"/>
    <mergeCell ref="B894:B895"/>
    <mergeCell ref="C894:C895"/>
    <mergeCell ref="D894:D895"/>
    <mergeCell ref="F894:F895"/>
    <mergeCell ref="G894:G895"/>
    <mergeCell ref="H894:H895"/>
    <mergeCell ref="I894:I895"/>
    <mergeCell ref="J894:J895"/>
    <mergeCell ref="K894:K895"/>
    <mergeCell ref="L894:L895"/>
    <mergeCell ref="M894:M895"/>
    <mergeCell ref="N894:N895"/>
    <mergeCell ref="O894:O895"/>
    <mergeCell ref="P894:P895"/>
    <mergeCell ref="Q894:Q895"/>
    <mergeCell ref="B896:B898"/>
    <mergeCell ref="C896:C898"/>
    <mergeCell ref="D896:D898"/>
    <mergeCell ref="E896:E898"/>
    <mergeCell ref="F896:F898"/>
    <mergeCell ref="G896:G898"/>
    <mergeCell ref="H896:H898"/>
    <mergeCell ref="I896:I898"/>
    <mergeCell ref="J896:J898"/>
    <mergeCell ref="P911:P912"/>
    <mergeCell ref="Q911:Q912"/>
    <mergeCell ref="E908:E910"/>
    <mergeCell ref="B904:B906"/>
    <mergeCell ref="C904:C906"/>
    <mergeCell ref="D904:D906"/>
    <mergeCell ref="E904:E906"/>
    <mergeCell ref="F904:F906"/>
    <mergeCell ref="G904:G906"/>
    <mergeCell ref="H904:H906"/>
    <mergeCell ref="I904:I906"/>
    <mergeCell ref="J904:J906"/>
    <mergeCell ref="B908:B910"/>
    <mergeCell ref="C908:C910"/>
    <mergeCell ref="D908:D910"/>
    <mergeCell ref="F908:F910"/>
    <mergeCell ref="G908:G910"/>
    <mergeCell ref="H908:H910"/>
    <mergeCell ref="I908:I910"/>
    <mergeCell ref="J908:J910"/>
    <mergeCell ref="H921:H922"/>
    <mergeCell ref="I921:I922"/>
    <mergeCell ref="J921:J922"/>
    <mergeCell ref="K921:K922"/>
    <mergeCell ref="L921:L922"/>
    <mergeCell ref="M921:M922"/>
    <mergeCell ref="N921:N922"/>
    <mergeCell ref="O921:O922"/>
    <mergeCell ref="P921:P922"/>
    <mergeCell ref="Q921:Q922"/>
    <mergeCell ref="A921:A925"/>
    <mergeCell ref="K908:K910"/>
    <mergeCell ref="L908:L910"/>
    <mergeCell ref="M908:M910"/>
    <mergeCell ref="N908:N910"/>
    <mergeCell ref="O908:O910"/>
    <mergeCell ref="P908:P910"/>
    <mergeCell ref="Q908:Q910"/>
    <mergeCell ref="B911:B917"/>
    <mergeCell ref="C911:C917"/>
    <mergeCell ref="D911:D917"/>
    <mergeCell ref="E911:E917"/>
    <mergeCell ref="F911:F917"/>
    <mergeCell ref="G911:G917"/>
    <mergeCell ref="H911:H917"/>
    <mergeCell ref="I911:I917"/>
    <mergeCell ref="J911:J917"/>
    <mergeCell ref="K911:K912"/>
    <mergeCell ref="L911:L912"/>
    <mergeCell ref="M911:M912"/>
    <mergeCell ref="N911:N912"/>
    <mergeCell ref="O911:O912"/>
    <mergeCell ref="H964:H966"/>
    <mergeCell ref="I964:I966"/>
    <mergeCell ref="J964:J966"/>
    <mergeCell ref="K965:K966"/>
    <mergeCell ref="L965:L966"/>
    <mergeCell ref="M965:M966"/>
    <mergeCell ref="N965:N966"/>
    <mergeCell ref="O965:O966"/>
    <mergeCell ref="P965:P966"/>
    <mergeCell ref="Q965:Q966"/>
    <mergeCell ref="A931:Q931"/>
    <mergeCell ref="A952:Q952"/>
    <mergeCell ref="L957:Q957"/>
    <mergeCell ref="A958:Q958"/>
    <mergeCell ref="B961:B963"/>
    <mergeCell ref="C961:C963"/>
    <mergeCell ref="D961:D963"/>
    <mergeCell ref="E961:E963"/>
    <mergeCell ref="F961:F963"/>
    <mergeCell ref="G961:G963"/>
    <mergeCell ref="H961:H963"/>
    <mergeCell ref="I961:I963"/>
    <mergeCell ref="J961:J963"/>
    <mergeCell ref="K961:K963"/>
    <mergeCell ref="L961:L963"/>
    <mergeCell ref="M961:M963"/>
    <mergeCell ref="N961:N963"/>
    <mergeCell ref="O961:O963"/>
    <mergeCell ref="P961:P963"/>
    <mergeCell ref="Q961:Q963"/>
    <mergeCell ref="C964:C966"/>
    <mergeCell ref="D964:D966"/>
    <mergeCell ref="H982:H983"/>
    <mergeCell ref="I982:I983"/>
    <mergeCell ref="J982:J983"/>
    <mergeCell ref="K982:K983"/>
    <mergeCell ref="L982:L983"/>
    <mergeCell ref="M982:M983"/>
    <mergeCell ref="N982:N983"/>
    <mergeCell ref="O982:O983"/>
    <mergeCell ref="P982:P983"/>
    <mergeCell ref="Q982:Q983"/>
    <mergeCell ref="B967:B969"/>
    <mergeCell ref="C967:C969"/>
    <mergeCell ref="D967:D969"/>
    <mergeCell ref="E967:E969"/>
    <mergeCell ref="F967:F969"/>
    <mergeCell ref="G967:G969"/>
    <mergeCell ref="H967:H969"/>
    <mergeCell ref="I967:I969"/>
    <mergeCell ref="J967:J969"/>
    <mergeCell ref="L971:Q971"/>
    <mergeCell ref="A972:Q972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J977:J978"/>
    <mergeCell ref="B982:B983"/>
    <mergeCell ref="C982:C983"/>
    <mergeCell ref="H995:H996"/>
    <mergeCell ref="I995:I996"/>
    <mergeCell ref="J995:J996"/>
    <mergeCell ref="K995:K996"/>
    <mergeCell ref="L995:L996"/>
    <mergeCell ref="M995:M996"/>
    <mergeCell ref="N995:N996"/>
    <mergeCell ref="O995:O996"/>
    <mergeCell ref="P995:P996"/>
    <mergeCell ref="Q995:Q996"/>
    <mergeCell ref="A987:Q987"/>
    <mergeCell ref="B993:B994"/>
    <mergeCell ref="C993:C994"/>
    <mergeCell ref="D993:D994"/>
    <mergeCell ref="E993:E994"/>
    <mergeCell ref="F993:F994"/>
    <mergeCell ref="G993:G994"/>
    <mergeCell ref="H993:H994"/>
    <mergeCell ref="I993:I994"/>
    <mergeCell ref="J993:J994"/>
    <mergeCell ref="K993:K994"/>
    <mergeCell ref="L993:L994"/>
    <mergeCell ref="M993:M994"/>
    <mergeCell ref="N993:N994"/>
    <mergeCell ref="O993:O994"/>
    <mergeCell ref="P993:P994"/>
    <mergeCell ref="Q993:Q994"/>
    <mergeCell ref="A988:A1000"/>
    <mergeCell ref="H999:H1000"/>
    <mergeCell ref="I999:I1000"/>
    <mergeCell ref="J999:J1000"/>
    <mergeCell ref="K999:K1000"/>
    <mergeCell ref="L999:L1000"/>
    <mergeCell ref="M999:M1000"/>
    <mergeCell ref="N999:N1000"/>
    <mergeCell ref="O999:O1000"/>
    <mergeCell ref="P999:P1000"/>
    <mergeCell ref="Q999:Q1000"/>
    <mergeCell ref="B997:B998"/>
    <mergeCell ref="C997:C998"/>
    <mergeCell ref="D997:D998"/>
    <mergeCell ref="E997:E998"/>
    <mergeCell ref="F997:F998"/>
    <mergeCell ref="G997:G998"/>
    <mergeCell ref="H997:H998"/>
    <mergeCell ref="I997:I998"/>
    <mergeCell ref="J997:J998"/>
    <mergeCell ref="K997:K998"/>
    <mergeCell ref="L997:L998"/>
    <mergeCell ref="M997:M998"/>
    <mergeCell ref="N997:N998"/>
    <mergeCell ref="O997:O998"/>
    <mergeCell ref="P997:P998"/>
    <mergeCell ref="Q997:Q998"/>
    <mergeCell ref="L1001:Q1001"/>
    <mergeCell ref="A1002:Q1002"/>
    <mergeCell ref="B1004:B1005"/>
    <mergeCell ref="C1004:C1005"/>
    <mergeCell ref="D1004:D1005"/>
    <mergeCell ref="E1004:E1005"/>
    <mergeCell ref="F1004:F1005"/>
    <mergeCell ref="G1004:G1005"/>
    <mergeCell ref="H1004:H1005"/>
    <mergeCell ref="I1004:I1005"/>
    <mergeCell ref="J1004:J1005"/>
    <mergeCell ref="A1007:Q1007"/>
    <mergeCell ref="B1008:B1009"/>
    <mergeCell ref="C1008:C1009"/>
    <mergeCell ref="D1008:D1009"/>
    <mergeCell ref="E1008:E1009"/>
    <mergeCell ref="F1008:F1009"/>
    <mergeCell ref="G1008:G1009"/>
    <mergeCell ref="H1008:H1009"/>
    <mergeCell ref="I1008:I1009"/>
    <mergeCell ref="J1008:J1009"/>
    <mergeCell ref="K1008:K1009"/>
    <mergeCell ref="L1008:L1009"/>
    <mergeCell ref="M1008:M1009"/>
    <mergeCell ref="N1008:N1009"/>
    <mergeCell ref="O1008:O1009"/>
    <mergeCell ref="P1008:P1009"/>
    <mergeCell ref="Q1008:Q1009"/>
    <mergeCell ref="A1003:A1005"/>
    <mergeCell ref="A1008:A1036"/>
    <mergeCell ref="H1012:H1013"/>
    <mergeCell ref="I1012:I1013"/>
    <mergeCell ref="J1012:J1013"/>
    <mergeCell ref="K1012:K1013"/>
    <mergeCell ref="L1012:L1013"/>
    <mergeCell ref="M1012:M1013"/>
    <mergeCell ref="N1012:N1013"/>
    <mergeCell ref="O1012:O1013"/>
    <mergeCell ref="P1012:P1013"/>
    <mergeCell ref="Q1012:Q1013"/>
    <mergeCell ref="B1016:B1017"/>
    <mergeCell ref="C1016:C1017"/>
    <mergeCell ref="D1016:D1017"/>
    <mergeCell ref="E1016:E1017"/>
    <mergeCell ref="F1016:F1017"/>
    <mergeCell ref="G1016:G1017"/>
    <mergeCell ref="H1016:H1017"/>
    <mergeCell ref="I1016:I1017"/>
    <mergeCell ref="J1016:J1017"/>
    <mergeCell ref="K1016:K1017"/>
    <mergeCell ref="L1016:L1017"/>
    <mergeCell ref="M1016:M1017"/>
    <mergeCell ref="N1016:N1017"/>
    <mergeCell ref="O1016:O1017"/>
    <mergeCell ref="P1016:P1017"/>
    <mergeCell ref="Q1016:Q1017"/>
    <mergeCell ref="H1014:H1015"/>
    <mergeCell ref="I1014:I1015"/>
    <mergeCell ref="J1014:J1015"/>
    <mergeCell ref="K1014:K1015"/>
    <mergeCell ref="L1014:L1015"/>
    <mergeCell ref="M1014:M1015"/>
    <mergeCell ref="N1014:N1015"/>
    <mergeCell ref="O1014:O1015"/>
    <mergeCell ref="P1014:P1015"/>
    <mergeCell ref="Q1014:Q1015"/>
    <mergeCell ref="Q1018:Q1019"/>
    <mergeCell ref="B1018:B1019"/>
    <mergeCell ref="C1018:C1019"/>
    <mergeCell ref="D1018:D1019"/>
    <mergeCell ref="E1018:E1019"/>
    <mergeCell ref="H1018:H1019"/>
    <mergeCell ref="I1018:I1019"/>
    <mergeCell ref="J1018:J1019"/>
    <mergeCell ref="K1018:K1019"/>
    <mergeCell ref="L1018:L1019"/>
    <mergeCell ref="M1018:M1019"/>
    <mergeCell ref="N1018:N1019"/>
    <mergeCell ref="O1018:O1019"/>
    <mergeCell ref="P1018:P1019"/>
    <mergeCell ref="F1014:F1015"/>
    <mergeCell ref="G1014:G1015"/>
    <mergeCell ref="E1014:E1015"/>
    <mergeCell ref="B1014:B1015"/>
    <mergeCell ref="C1014:C1015"/>
    <mergeCell ref="D1014:D1015"/>
    <mergeCell ref="H1021:H1022"/>
    <mergeCell ref="I1021:I1022"/>
    <mergeCell ref="J1021:J1022"/>
    <mergeCell ref="K1021:K1022"/>
    <mergeCell ref="L1021:L1022"/>
    <mergeCell ref="M1021:M1022"/>
    <mergeCell ref="N1021:N1022"/>
    <mergeCell ref="O1021:O1022"/>
    <mergeCell ref="P1021:P1022"/>
    <mergeCell ref="Q1021:Q1022"/>
    <mergeCell ref="H1025:H1026"/>
    <mergeCell ref="I1025:I1026"/>
    <mergeCell ref="J1025:J1026"/>
    <mergeCell ref="K1025:K1026"/>
    <mergeCell ref="F1023:F1024"/>
    <mergeCell ref="G1023:G1024"/>
    <mergeCell ref="F1025:F1026"/>
    <mergeCell ref="G1025:G1026"/>
    <mergeCell ref="F1021:F1022"/>
    <mergeCell ref="G1021:G1022"/>
    <mergeCell ref="H1029:H1030"/>
    <mergeCell ref="I1029:I1030"/>
    <mergeCell ref="J1029:J1030"/>
    <mergeCell ref="K1029:K1030"/>
    <mergeCell ref="L1029:L1030"/>
    <mergeCell ref="M1029:M1030"/>
    <mergeCell ref="N1029:N1030"/>
    <mergeCell ref="O1029:O1030"/>
    <mergeCell ref="P1029:P1030"/>
    <mergeCell ref="Q1029:Q1030"/>
    <mergeCell ref="B1025:B1026"/>
    <mergeCell ref="C1025:C1026"/>
    <mergeCell ref="D1025:D1026"/>
    <mergeCell ref="E1025:E1026"/>
    <mergeCell ref="F1031:F1032"/>
    <mergeCell ref="G1031:G1032"/>
    <mergeCell ref="H1031:H1032"/>
    <mergeCell ref="I1031:I1032"/>
    <mergeCell ref="J1031:J1032"/>
    <mergeCell ref="K1031:K1032"/>
    <mergeCell ref="L1031:L1032"/>
    <mergeCell ref="M1031:M1032"/>
    <mergeCell ref="N1031:N1032"/>
    <mergeCell ref="O1031:O1032"/>
    <mergeCell ref="P1031:P1032"/>
    <mergeCell ref="Q1031:Q1032"/>
    <mergeCell ref="B1027:B1028"/>
    <mergeCell ref="C1027:C1028"/>
    <mergeCell ref="D1027:D1028"/>
    <mergeCell ref="E1027:E1028"/>
    <mergeCell ref="H1027:H1028"/>
    <mergeCell ref="I1027:I1028"/>
    <mergeCell ref="J1027:J1028"/>
    <mergeCell ref="K1027:K1028"/>
    <mergeCell ref="L1027:L1028"/>
    <mergeCell ref="M1027:M1028"/>
    <mergeCell ref="N1027:N1028"/>
    <mergeCell ref="O1027:O1028"/>
    <mergeCell ref="P1027:P1028"/>
    <mergeCell ref="Q1027:Q1028"/>
    <mergeCell ref="B1029:B1030"/>
    <mergeCell ref="C1029:C1030"/>
    <mergeCell ref="D1029:D1030"/>
    <mergeCell ref="E1029:E1030"/>
    <mergeCell ref="F1029:F1030"/>
    <mergeCell ref="G1029:G1030"/>
    <mergeCell ref="K1039:K1040"/>
    <mergeCell ref="L1039:L1040"/>
    <mergeCell ref="M1039:M1040"/>
    <mergeCell ref="N1039:N1040"/>
    <mergeCell ref="O1039:O1040"/>
    <mergeCell ref="P1039:P1040"/>
    <mergeCell ref="Q1039:Q1040"/>
    <mergeCell ref="B1033:B1034"/>
    <mergeCell ref="C1033:C1034"/>
    <mergeCell ref="D1033:D1034"/>
    <mergeCell ref="E1033:E1034"/>
    <mergeCell ref="F1033:F1034"/>
    <mergeCell ref="G1033:G1034"/>
    <mergeCell ref="H1033:H1034"/>
    <mergeCell ref="I1033:I1034"/>
    <mergeCell ref="J1033:J1034"/>
    <mergeCell ref="K1033:K1034"/>
    <mergeCell ref="L1033:L1034"/>
    <mergeCell ref="M1033:M1034"/>
    <mergeCell ref="N1033:N1034"/>
    <mergeCell ref="O1033:O1034"/>
    <mergeCell ref="P1033:P1034"/>
    <mergeCell ref="Q1033:Q1034"/>
    <mergeCell ref="F1035:F1036"/>
    <mergeCell ref="G1035:G1036"/>
    <mergeCell ref="H1035:H1036"/>
    <mergeCell ref="I1035:I1036"/>
    <mergeCell ref="J1035:J1036"/>
    <mergeCell ref="K1035:K1036"/>
    <mergeCell ref="A1038:Q1038"/>
    <mergeCell ref="B1039:B1040"/>
    <mergeCell ref="C1039:C1040"/>
    <mergeCell ref="D1039:D1040"/>
    <mergeCell ref="E1039:E1040"/>
    <mergeCell ref="F1039:F1040"/>
    <mergeCell ref="G1039:G1040"/>
    <mergeCell ref="H1039:H1040"/>
    <mergeCell ref="I1039:I1040"/>
    <mergeCell ref="J1039:J1040"/>
    <mergeCell ref="A1037:E1037"/>
    <mergeCell ref="A1039:A1041"/>
    <mergeCell ref="H1057:H1058"/>
    <mergeCell ref="I1057:I1058"/>
    <mergeCell ref="J1057:J1058"/>
    <mergeCell ref="A1061:Q1061"/>
    <mergeCell ref="A1065:Q1065"/>
    <mergeCell ref="B1068:B1069"/>
    <mergeCell ref="C1068:C1069"/>
    <mergeCell ref="D1068:D1069"/>
    <mergeCell ref="E1068:E1069"/>
    <mergeCell ref="F1068:F1069"/>
    <mergeCell ref="G1068:G1069"/>
    <mergeCell ref="H1068:H1069"/>
    <mergeCell ref="I1068:I1069"/>
    <mergeCell ref="J1068:J1069"/>
    <mergeCell ref="K1068:K1069"/>
    <mergeCell ref="L1068:L1069"/>
    <mergeCell ref="M1068:M1069"/>
    <mergeCell ref="N1068:N1069"/>
    <mergeCell ref="O1068:O1069"/>
    <mergeCell ref="P1068:P1069"/>
    <mergeCell ref="Q1068:Q1069"/>
    <mergeCell ref="C1057:C1058"/>
    <mergeCell ref="D1057:D1058"/>
    <mergeCell ref="A1044:A1059"/>
    <mergeCell ref="A1060:E1060"/>
    <mergeCell ref="A1064:E1064"/>
    <mergeCell ref="A1066:Q1066"/>
    <mergeCell ref="L1072:L1073"/>
    <mergeCell ref="M1072:M1073"/>
    <mergeCell ref="N1072:N1073"/>
    <mergeCell ref="O1072:O1073"/>
    <mergeCell ref="P1072:P1073"/>
    <mergeCell ref="Q1072:Q1073"/>
    <mergeCell ref="B1070:B1071"/>
    <mergeCell ref="C1070:C1071"/>
    <mergeCell ref="D1070:D1071"/>
    <mergeCell ref="E1070:E1071"/>
    <mergeCell ref="F1070:F1071"/>
    <mergeCell ref="G1070:G1071"/>
    <mergeCell ref="H1070:H1071"/>
    <mergeCell ref="I1070:I1071"/>
    <mergeCell ref="J1070:J1071"/>
    <mergeCell ref="K1070:K1071"/>
    <mergeCell ref="L1070:L1071"/>
    <mergeCell ref="M1070:M1071"/>
    <mergeCell ref="N1070:N1071"/>
    <mergeCell ref="O1070:O1071"/>
    <mergeCell ref="P1070:P1071"/>
    <mergeCell ref="Q1070:Q1071"/>
    <mergeCell ref="B1072:B1073"/>
    <mergeCell ref="C1072:C1073"/>
    <mergeCell ref="D1072:D1073"/>
    <mergeCell ref="E1072:E1073"/>
    <mergeCell ref="F1072:F1073"/>
    <mergeCell ref="G1072:G1073"/>
    <mergeCell ref="B1074:B1075"/>
    <mergeCell ref="C1074:C1075"/>
    <mergeCell ref="D1074:D1075"/>
    <mergeCell ref="E1074:E1075"/>
    <mergeCell ref="F1074:F1075"/>
    <mergeCell ref="G1074:G1075"/>
    <mergeCell ref="H1074:H1075"/>
    <mergeCell ref="I1074:I1075"/>
    <mergeCell ref="J1074:J1075"/>
    <mergeCell ref="K1074:K1075"/>
    <mergeCell ref="L1074:L1075"/>
    <mergeCell ref="M1074:M1075"/>
    <mergeCell ref="N1074:N1075"/>
    <mergeCell ref="O1074:O1075"/>
    <mergeCell ref="P1074:P1075"/>
    <mergeCell ref="Q1074:Q1075"/>
    <mergeCell ref="A1090:E1090"/>
    <mergeCell ref="A1067:A1082"/>
    <mergeCell ref="A1085:A1089"/>
    <mergeCell ref="H1072:H1073"/>
    <mergeCell ref="I1072:I1073"/>
    <mergeCell ref="J1072:J1073"/>
    <mergeCell ref="K1072:K1073"/>
    <mergeCell ref="B1076:B1077"/>
    <mergeCell ref="C1076:C1077"/>
    <mergeCell ref="D1076:D1077"/>
    <mergeCell ref="E1076:E1077"/>
    <mergeCell ref="F1076:F1077"/>
    <mergeCell ref="G1076:G1077"/>
    <mergeCell ref="H1076:H1077"/>
    <mergeCell ref="I1076:I1077"/>
    <mergeCell ref="J1076:J1077"/>
    <mergeCell ref="K1076:K1077"/>
    <mergeCell ref="L1076:L1077"/>
    <mergeCell ref="A1084:Q1084"/>
    <mergeCell ref="L1090:Q1090"/>
    <mergeCell ref="A1091:Q1091"/>
    <mergeCell ref="B1092:B1093"/>
    <mergeCell ref="C1092:C1093"/>
    <mergeCell ref="Q1092:Q1093"/>
    <mergeCell ref="D1092:D1093"/>
    <mergeCell ref="E1092:E1093"/>
    <mergeCell ref="F1092:F1093"/>
    <mergeCell ref="G1092:G1093"/>
    <mergeCell ref="H1092:H1093"/>
    <mergeCell ref="I1092:I1093"/>
    <mergeCell ref="J1092:J1093"/>
    <mergeCell ref="K1092:K1093"/>
    <mergeCell ref="L1092:L1093"/>
    <mergeCell ref="M1092:M1093"/>
    <mergeCell ref="N1092:N1093"/>
    <mergeCell ref="O1092:O1093"/>
    <mergeCell ref="P1092:P1093"/>
    <mergeCell ref="K1101:K1102"/>
    <mergeCell ref="L1101:L1102"/>
    <mergeCell ref="M1101:M1102"/>
    <mergeCell ref="N1101:N1102"/>
    <mergeCell ref="O1101:O1102"/>
    <mergeCell ref="P1101:P1102"/>
    <mergeCell ref="Q1101:Q1102"/>
    <mergeCell ref="B1099:B1100"/>
    <mergeCell ref="C1099:C1100"/>
    <mergeCell ref="D1099:D1100"/>
    <mergeCell ref="E1099:E1100"/>
    <mergeCell ref="F1099:F1100"/>
    <mergeCell ref="G1099:G1100"/>
    <mergeCell ref="H1099:H1100"/>
    <mergeCell ref="I1099:I1100"/>
    <mergeCell ref="J1099:J1100"/>
    <mergeCell ref="K1099:K1100"/>
    <mergeCell ref="L1099:L1100"/>
    <mergeCell ref="M1099:M1100"/>
    <mergeCell ref="N1099:N1100"/>
    <mergeCell ref="O1099:O1100"/>
    <mergeCell ref="P1099:P1100"/>
    <mergeCell ref="Q1099:Q1100"/>
    <mergeCell ref="K1105:K1106"/>
    <mergeCell ref="L1105:L1106"/>
    <mergeCell ref="M1105:M1106"/>
    <mergeCell ref="N1105:N1106"/>
    <mergeCell ref="O1105:O1106"/>
    <mergeCell ref="P1105:P1106"/>
    <mergeCell ref="Q1105:Q1106"/>
    <mergeCell ref="A1092:A1108"/>
    <mergeCell ref="B1103:B1104"/>
    <mergeCell ref="C1103:C1104"/>
    <mergeCell ref="D1103:D1104"/>
    <mergeCell ref="E1103:E1104"/>
    <mergeCell ref="F1103:F1104"/>
    <mergeCell ref="G1103:G1104"/>
    <mergeCell ref="H1103:H1104"/>
    <mergeCell ref="I1103:I1104"/>
    <mergeCell ref="J1103:J1104"/>
    <mergeCell ref="K1103:K1104"/>
    <mergeCell ref="L1103:L1104"/>
    <mergeCell ref="M1103:M1104"/>
    <mergeCell ref="N1103:N1104"/>
    <mergeCell ref="O1103:O1104"/>
    <mergeCell ref="P1103:P1104"/>
    <mergeCell ref="Q1103:Q1104"/>
    <mergeCell ref="B1101:B1102"/>
    <mergeCell ref="C1101:C1102"/>
    <mergeCell ref="D1101:D1102"/>
    <mergeCell ref="E1101:E1102"/>
    <mergeCell ref="F1101:F1102"/>
    <mergeCell ref="G1101:G1102"/>
    <mergeCell ref="H1101:H1102"/>
    <mergeCell ref="I1101:I1102"/>
    <mergeCell ref="L1109:Q1109"/>
    <mergeCell ref="A1111:Q1111"/>
    <mergeCell ref="A1112:A1113"/>
    <mergeCell ref="B1112:B1113"/>
    <mergeCell ref="C1112:C1113"/>
    <mergeCell ref="D1112:D1113"/>
    <mergeCell ref="E1112:E1113"/>
    <mergeCell ref="F1112:F1113"/>
    <mergeCell ref="G1112:G1113"/>
    <mergeCell ref="H1112:H1113"/>
    <mergeCell ref="I1112:I1113"/>
    <mergeCell ref="J1112:J1113"/>
    <mergeCell ref="K1112:K1113"/>
    <mergeCell ref="L1112:L1113"/>
    <mergeCell ref="M1112:M1113"/>
    <mergeCell ref="N1112:N1113"/>
    <mergeCell ref="O1112:O1113"/>
    <mergeCell ref="P1112:P1113"/>
    <mergeCell ref="Q1112:Q1113"/>
    <mergeCell ref="A1109:E1109"/>
    <mergeCell ref="A1110:E1110"/>
    <mergeCell ref="K1114:Q1114"/>
    <mergeCell ref="A1115:A1116"/>
    <mergeCell ref="B1115:B1116"/>
    <mergeCell ref="C1115:C1116"/>
    <mergeCell ref="D1115:D1116"/>
    <mergeCell ref="E1115:E1116"/>
    <mergeCell ref="F1115:F1116"/>
    <mergeCell ref="G1115:G1116"/>
    <mergeCell ref="H1115:H1116"/>
    <mergeCell ref="I1115:I1116"/>
    <mergeCell ref="J1115:J1116"/>
    <mergeCell ref="K1115:K1116"/>
    <mergeCell ref="L1115:Q1116"/>
    <mergeCell ref="A1117:A1118"/>
    <mergeCell ref="B1117:B1118"/>
    <mergeCell ref="C1117:C1118"/>
    <mergeCell ref="D1117:D1118"/>
    <mergeCell ref="E1117:E1118"/>
    <mergeCell ref="F1117:F1118"/>
    <mergeCell ref="G1117:G1118"/>
    <mergeCell ref="H1117:H1118"/>
    <mergeCell ref="I1117:I1118"/>
    <mergeCell ref="J1117:J1118"/>
    <mergeCell ref="K1117:K1118"/>
    <mergeCell ref="L1117:L1118"/>
    <mergeCell ref="M1117:M1118"/>
    <mergeCell ref="N1117:N1118"/>
    <mergeCell ref="O1117:O1118"/>
    <mergeCell ref="P1117:P1118"/>
    <mergeCell ref="Q1117:Q1118"/>
    <mergeCell ref="K1121:K1122"/>
    <mergeCell ref="L1121:L1122"/>
    <mergeCell ref="M1121:M1122"/>
    <mergeCell ref="N1121:N1122"/>
    <mergeCell ref="O1121:O1122"/>
    <mergeCell ref="P1121:P1122"/>
    <mergeCell ref="Q1121:Q1122"/>
    <mergeCell ref="A1119:A1120"/>
    <mergeCell ref="B1119:B1120"/>
    <mergeCell ref="C1119:C1120"/>
    <mergeCell ref="D1119:D1120"/>
    <mergeCell ref="E1119:E1120"/>
    <mergeCell ref="F1119:F1120"/>
    <mergeCell ref="G1119:G1120"/>
    <mergeCell ref="H1119:H1120"/>
    <mergeCell ref="I1119:I1120"/>
    <mergeCell ref="J1119:J1120"/>
    <mergeCell ref="K1119:K1120"/>
    <mergeCell ref="L1119:L1120"/>
    <mergeCell ref="M1119:M1120"/>
    <mergeCell ref="N1119:N1120"/>
    <mergeCell ref="O1119:O1120"/>
    <mergeCell ref="P1119:P1120"/>
    <mergeCell ref="Q1119:Q1120"/>
    <mergeCell ref="K1125:K1126"/>
    <mergeCell ref="L1125:L1126"/>
    <mergeCell ref="M1125:M1126"/>
    <mergeCell ref="N1125:N1126"/>
    <mergeCell ref="O1125:O1126"/>
    <mergeCell ref="P1125:P1126"/>
    <mergeCell ref="Q1125:Q1126"/>
    <mergeCell ref="A1123:A1124"/>
    <mergeCell ref="B1123:B1124"/>
    <mergeCell ref="C1123:C1124"/>
    <mergeCell ref="D1123:D1124"/>
    <mergeCell ref="E1123:E1124"/>
    <mergeCell ref="F1123:F1124"/>
    <mergeCell ref="G1123:G1124"/>
    <mergeCell ref="H1123:H1124"/>
    <mergeCell ref="I1123:I1124"/>
    <mergeCell ref="J1123:J1124"/>
    <mergeCell ref="K1123:K1124"/>
    <mergeCell ref="L1123:L1124"/>
    <mergeCell ref="M1123:M1124"/>
    <mergeCell ref="N1123:N1124"/>
    <mergeCell ref="O1123:O1124"/>
    <mergeCell ref="P1123:P1124"/>
    <mergeCell ref="Q1123:Q1124"/>
    <mergeCell ref="L1131:Q1131"/>
    <mergeCell ref="A1132:Q1132"/>
    <mergeCell ref="A1136:A1137"/>
    <mergeCell ref="B1136:B1137"/>
    <mergeCell ref="C1136:C1137"/>
    <mergeCell ref="D1136:D1137"/>
    <mergeCell ref="E1136:E1137"/>
    <mergeCell ref="F1136:F1137"/>
    <mergeCell ref="G1136:G1137"/>
    <mergeCell ref="H1136:H1137"/>
    <mergeCell ref="I1136:I1137"/>
    <mergeCell ref="J1136:J1137"/>
    <mergeCell ref="K1136:K1137"/>
    <mergeCell ref="L1136:L1137"/>
    <mergeCell ref="M1136:M1137"/>
    <mergeCell ref="N1136:N1137"/>
    <mergeCell ref="O1136:O1137"/>
    <mergeCell ref="P1136:P1137"/>
    <mergeCell ref="Q1136:Q1137"/>
    <mergeCell ref="K1129:K1130"/>
    <mergeCell ref="L1129:L1130"/>
    <mergeCell ref="M1129:M1130"/>
    <mergeCell ref="N1129:N1130"/>
    <mergeCell ref="O1129:O1130"/>
    <mergeCell ref="A927:Q927"/>
    <mergeCell ref="P1129:P1130"/>
    <mergeCell ref="Q1129:Q1130"/>
    <mergeCell ref="A1127:A1128"/>
    <mergeCell ref="B1127:B1128"/>
    <mergeCell ref="C1127:C1128"/>
    <mergeCell ref="D1127:D1128"/>
    <mergeCell ref="E1127:E1128"/>
    <mergeCell ref="F1127:F1128"/>
    <mergeCell ref="G1127:G1128"/>
    <mergeCell ref="H1127:H1128"/>
    <mergeCell ref="I1127:I1128"/>
    <mergeCell ref="J1127:J1128"/>
    <mergeCell ref="K1127:K1128"/>
    <mergeCell ref="L1127:L1128"/>
    <mergeCell ref="M1127:M1128"/>
    <mergeCell ref="N1127:N1128"/>
    <mergeCell ref="O1127:O1128"/>
    <mergeCell ref="P1127:P1128"/>
    <mergeCell ref="Q1127:Q1128"/>
    <mergeCell ref="A1125:A1126"/>
    <mergeCell ref="B1125:B1126"/>
    <mergeCell ref="C1125:C1126"/>
    <mergeCell ref="D1125:D1126"/>
    <mergeCell ref="E1125:E1126"/>
    <mergeCell ref="F1125:F1126"/>
    <mergeCell ref="G1125:G1126"/>
    <mergeCell ref="C1129:C1130"/>
    <mergeCell ref="D1129:D1130"/>
    <mergeCell ref="E1129:E1130"/>
    <mergeCell ref="F1129:F1130"/>
    <mergeCell ref="G1129:G1130"/>
    <mergeCell ref="H1129:H1130"/>
    <mergeCell ref="I1129:I1130"/>
    <mergeCell ref="J1129:J1130"/>
    <mergeCell ref="H1125:H1126"/>
    <mergeCell ref="I1125:I1126"/>
    <mergeCell ref="J1125:J1126"/>
    <mergeCell ref="A1121:A1122"/>
    <mergeCell ref="B1121:B1122"/>
    <mergeCell ref="C1121:C1122"/>
    <mergeCell ref="D1121:D1122"/>
    <mergeCell ref="E1121:E1122"/>
    <mergeCell ref="A1062:A1063"/>
    <mergeCell ref="F1121:F1122"/>
    <mergeCell ref="G1121:G1122"/>
    <mergeCell ref="H1121:H1122"/>
    <mergeCell ref="I1121:I1122"/>
    <mergeCell ref="J1121:J1122"/>
    <mergeCell ref="B1105:B1106"/>
    <mergeCell ref="C1105:C1106"/>
    <mergeCell ref="D1105:D1106"/>
    <mergeCell ref="E1105:E1106"/>
    <mergeCell ref="F1105:F1106"/>
    <mergeCell ref="G1105:G1106"/>
    <mergeCell ref="H1105:H1106"/>
    <mergeCell ref="I1105:I1106"/>
    <mergeCell ref="J1105:J1106"/>
    <mergeCell ref="J1101:J1102"/>
    <mergeCell ref="L1139:Q1139"/>
    <mergeCell ref="A589:A590"/>
    <mergeCell ref="F729:F731"/>
    <mergeCell ref="G729:G731"/>
    <mergeCell ref="H729:H731"/>
    <mergeCell ref="I729:I731"/>
    <mergeCell ref="J729:J731"/>
    <mergeCell ref="F732:F734"/>
    <mergeCell ref="G732:G734"/>
    <mergeCell ref="H732:H734"/>
    <mergeCell ref="I732:I734"/>
    <mergeCell ref="J732:J734"/>
    <mergeCell ref="F735:F737"/>
    <mergeCell ref="G735:G737"/>
    <mergeCell ref="H735:H737"/>
    <mergeCell ref="A1083:E1083"/>
    <mergeCell ref="A1043:Q1043"/>
    <mergeCell ref="B1057:B1058"/>
    <mergeCell ref="I735:I737"/>
    <mergeCell ref="J735:J737"/>
    <mergeCell ref="F738:F739"/>
    <mergeCell ref="G738:G739"/>
    <mergeCell ref="H738:H739"/>
    <mergeCell ref="A951:E951"/>
    <mergeCell ref="A957:E957"/>
    <mergeCell ref="A971:E971"/>
    <mergeCell ref="A1006:E1006"/>
    <mergeCell ref="A1139:E1139"/>
    <mergeCell ref="A1131:E1131"/>
    <mergeCell ref="A873:E873"/>
    <mergeCell ref="A1129:A1130"/>
    <mergeCell ref="B1129:B1130"/>
    <mergeCell ref="D647:D648"/>
    <mergeCell ref="F982:F983"/>
    <mergeCell ref="G982:G983"/>
    <mergeCell ref="B964:B966"/>
    <mergeCell ref="A973:A985"/>
    <mergeCell ref="A875:A879"/>
    <mergeCell ref="A882:A887"/>
    <mergeCell ref="E964:E966"/>
    <mergeCell ref="F964:F966"/>
    <mergeCell ref="G964:G966"/>
    <mergeCell ref="A880:E880"/>
    <mergeCell ref="D1021:D1022"/>
    <mergeCell ref="E1057:E1058"/>
    <mergeCell ref="B1031:B1032"/>
    <mergeCell ref="C1031:C1032"/>
    <mergeCell ref="D1031:D1032"/>
    <mergeCell ref="E1031:E1032"/>
    <mergeCell ref="D982:D983"/>
    <mergeCell ref="E982:E983"/>
    <mergeCell ref="B1035:B1036"/>
    <mergeCell ref="C1035:C1036"/>
    <mergeCell ref="D1035:D1036"/>
    <mergeCell ref="E1035:E1036"/>
    <mergeCell ref="E1021:E1022"/>
    <mergeCell ref="C1021:C1022"/>
    <mergeCell ref="A1042:E1042"/>
    <mergeCell ref="F1057:F1058"/>
    <mergeCell ref="G1057:G1058"/>
    <mergeCell ref="A920:Q920"/>
    <mergeCell ref="B921:B922"/>
    <mergeCell ref="C921:C922"/>
    <mergeCell ref="D921:D922"/>
    <mergeCell ref="F1027:F1028"/>
    <mergeCell ref="G1027:G1028"/>
    <mergeCell ref="D674:D679"/>
    <mergeCell ref="D680:D682"/>
    <mergeCell ref="D684:D687"/>
    <mergeCell ref="D688:D689"/>
    <mergeCell ref="D696:D698"/>
    <mergeCell ref="D702:D704"/>
    <mergeCell ref="D705:D707"/>
    <mergeCell ref="D716:D719"/>
    <mergeCell ref="F793:F794"/>
    <mergeCell ref="G793:G794"/>
    <mergeCell ref="C809:C810"/>
    <mergeCell ref="C849:C853"/>
    <mergeCell ref="F1018:F1019"/>
    <mergeCell ref="G1018:G1019"/>
    <mergeCell ref="B1021:B1022"/>
    <mergeCell ref="E921:E922"/>
    <mergeCell ref="F921:F922"/>
    <mergeCell ref="G921:G922"/>
    <mergeCell ref="B899:B903"/>
    <mergeCell ref="C899:C903"/>
    <mergeCell ref="D899:D903"/>
    <mergeCell ref="E899:E903"/>
    <mergeCell ref="F899:F903"/>
    <mergeCell ref="G899:G903"/>
    <mergeCell ref="B870:B872"/>
    <mergeCell ref="C870:C872"/>
    <mergeCell ref="D870:D872"/>
    <mergeCell ref="E870:E872"/>
    <mergeCell ref="F870:F872"/>
    <mergeCell ref="G870:G872"/>
    <mergeCell ref="A919:E919"/>
    <mergeCell ref="A926:E926"/>
    <mergeCell ref="A930:E930"/>
    <mergeCell ref="A986:E986"/>
    <mergeCell ref="A1001:E1001"/>
    <mergeCell ref="A928:A929"/>
    <mergeCell ref="A932:A950"/>
    <mergeCell ref="A953:A956"/>
    <mergeCell ref="A959:A970"/>
    <mergeCell ref="B1012:B1013"/>
    <mergeCell ref="A3:P3"/>
    <mergeCell ref="D1012:D1013"/>
    <mergeCell ref="E1012:E1013"/>
    <mergeCell ref="B999:B1000"/>
    <mergeCell ref="C999:C1000"/>
    <mergeCell ref="D999:D1000"/>
    <mergeCell ref="E999:E1000"/>
    <mergeCell ref="B995:B996"/>
    <mergeCell ref="F1012:F1013"/>
    <mergeCell ref="G1012:G1013"/>
    <mergeCell ref="F999:F1000"/>
    <mergeCell ref="G999:G1000"/>
    <mergeCell ref="C995:C996"/>
    <mergeCell ref="D995:D996"/>
    <mergeCell ref="E995:E996"/>
    <mergeCell ref="F995:F996"/>
    <mergeCell ref="G995:G996"/>
    <mergeCell ref="C1012:C1013"/>
    <mergeCell ref="A366:E366"/>
    <mergeCell ref="B354:B358"/>
    <mergeCell ref="C354:C358"/>
    <mergeCell ref="D642:D646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49" fitToHeight="0" orientation="landscape" r:id="rId1"/>
  <headerFooter>
    <oddFooter>&amp;R&amp;"Times New Roman,обычный"&amp;10&amp;P</oddFooter>
  </headerFooter>
  <rowBreaks count="20" manualBreakCount="20">
    <brk id="24" max="16" man="1"/>
    <brk id="205" max="16" man="1"/>
    <brk id="230" max="16" man="1"/>
    <brk id="257" max="16" man="1"/>
    <brk id="277" max="16" man="1"/>
    <brk id="299" max="16" man="1"/>
    <brk id="343" max="16" man="1"/>
    <brk id="420" max="16" man="1"/>
    <brk id="495" max="16" man="1"/>
    <brk id="596" max="16" man="1"/>
    <brk id="623" max="16" man="1"/>
    <brk id="648" max="16" man="1"/>
    <brk id="704" max="16" man="1"/>
    <brk id="740" max="16" man="1"/>
    <brk id="761" max="16" man="1"/>
    <brk id="810" max="16" man="1"/>
    <brk id="854" max="16" man="1"/>
    <brk id="873" max="16" man="1"/>
    <brk id="963" max="16" man="1"/>
    <brk id="998" max="16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B441A824-234A-4A25-9D25-ED2E19613C6A}"/>
</file>

<file path=customXml/itemProps2.xml><?xml version="1.0" encoding="utf-8"?>
<ds:datastoreItem xmlns:ds="http://schemas.openxmlformats.org/officeDocument/2006/customXml" ds:itemID="{9DC2C6A8-6901-45F9-83D8-77FF1EAEB005}"/>
</file>

<file path=customXml/itemProps3.xml><?xml version="1.0" encoding="utf-8"?>
<ds:datastoreItem xmlns:ds="http://schemas.openxmlformats.org/officeDocument/2006/customXml" ds:itemID="{7633DB14-2340-41F8-AC03-855090845E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 11</vt:lpstr>
      <vt:lpstr>'Прил 11'!Заголовки_для_печати</vt:lpstr>
      <vt:lpstr>'Прил 11'!Область_печати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