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Прил 11-1" sheetId="4" r:id="rId1"/>
  </sheets>
  <externalReferences>
    <externalReference r:id="rId2"/>
  </externalReferences>
  <definedNames>
    <definedName name="_xlnm.Print_Titles" localSheetId="0">'Прил 11-1'!$5:$6</definedName>
    <definedName name="_xlnm.Print_Area" localSheetId="0">'Прил 11-1'!$A$1:$Q$368</definedName>
  </definedNames>
  <calcPr calcId="144525"/>
</workbook>
</file>

<file path=xl/calcChain.xml><?xml version="1.0" encoding="utf-8"?>
<calcChain xmlns="http://schemas.openxmlformats.org/spreadsheetml/2006/main">
  <c r="J116" i="4" l="1"/>
  <c r="I116" i="4"/>
  <c r="H116" i="4"/>
  <c r="H209" i="4"/>
  <c r="J31" i="4" l="1"/>
  <c r="H113" i="4" l="1"/>
  <c r="H115" i="4" l="1"/>
  <c r="J10" i="4" l="1"/>
  <c r="J27" i="4" l="1"/>
  <c r="I31" i="4" l="1"/>
  <c r="I27" i="4"/>
  <c r="I10" i="4"/>
  <c r="H31" i="4"/>
  <c r="H27" i="4"/>
  <c r="H10" i="4"/>
  <c r="J9" i="4" l="1"/>
  <c r="J8" i="4" s="1"/>
  <c r="I9" i="4"/>
  <c r="I8" i="4" s="1"/>
  <c r="H9" i="4"/>
  <c r="H8" i="4" s="1"/>
  <c r="J98" i="4"/>
  <c r="I98" i="4"/>
  <c r="H98" i="4"/>
  <c r="J85" i="4"/>
  <c r="I85" i="4"/>
  <c r="H85" i="4"/>
  <c r="G85" i="4"/>
  <c r="F85" i="4"/>
  <c r="N83" i="4"/>
  <c r="O83" i="4" s="1"/>
  <c r="P83" i="4" s="1"/>
  <c r="Q83" i="4" s="1"/>
  <c r="K83" i="4"/>
  <c r="J63" i="4"/>
  <c r="I63" i="4"/>
  <c r="Q68" i="4"/>
  <c r="P68" i="4"/>
  <c r="O68" i="4"/>
  <c r="N68" i="4"/>
  <c r="H63" i="4"/>
  <c r="G63" i="4"/>
  <c r="F63" i="4"/>
  <c r="H51" i="4"/>
  <c r="J51" i="4"/>
  <c r="I51" i="4"/>
  <c r="F51" i="4"/>
  <c r="G51" i="4"/>
  <c r="H42" i="4"/>
  <c r="I42" i="4"/>
  <c r="J42" i="4"/>
  <c r="G42" i="4"/>
  <c r="F42" i="4"/>
  <c r="I32" i="4"/>
  <c r="H32" i="4"/>
  <c r="J32" i="4"/>
  <c r="G32" i="4"/>
  <c r="F32" i="4"/>
  <c r="J28" i="4"/>
  <c r="I28" i="4"/>
  <c r="H28" i="4"/>
  <c r="G28" i="4"/>
  <c r="F28" i="4"/>
  <c r="J11" i="4"/>
  <c r="I11" i="4"/>
  <c r="H11" i="4"/>
  <c r="G11" i="4"/>
  <c r="F11" i="4"/>
  <c r="G8" i="4"/>
  <c r="F8" i="4"/>
  <c r="J353" i="4"/>
  <c r="I353" i="4"/>
  <c r="H353" i="4"/>
  <c r="G353" i="4"/>
  <c r="F353" i="4"/>
  <c r="J338" i="4"/>
  <c r="I338" i="4"/>
  <c r="H338" i="4"/>
  <c r="G338" i="4"/>
  <c r="F338" i="4"/>
  <c r="J335" i="4"/>
  <c r="I335" i="4"/>
  <c r="H335" i="4"/>
  <c r="G335" i="4"/>
  <c r="F335" i="4"/>
  <c r="J329" i="4"/>
  <c r="I329" i="4"/>
  <c r="H329" i="4"/>
  <c r="G329" i="4"/>
  <c r="J324" i="4"/>
  <c r="I324" i="4"/>
  <c r="H324" i="4"/>
  <c r="G324" i="4"/>
  <c r="F324" i="4"/>
  <c r="J318" i="4"/>
  <c r="I318" i="4"/>
  <c r="H318" i="4"/>
  <c r="G318" i="4"/>
  <c r="F318" i="4"/>
  <c r="J314" i="4"/>
  <c r="I314" i="4"/>
  <c r="H314" i="4"/>
  <c r="G314" i="4"/>
  <c r="J311" i="4"/>
  <c r="I311" i="4"/>
  <c r="H311" i="4"/>
  <c r="G311" i="4"/>
  <c r="F311" i="4"/>
  <c r="J304" i="4"/>
  <c r="I304" i="4"/>
  <c r="H304" i="4"/>
  <c r="G304" i="4"/>
  <c r="F304" i="4"/>
  <c r="J293" i="4"/>
  <c r="I293" i="4"/>
  <c r="H293" i="4"/>
  <c r="G293" i="4"/>
  <c r="F293" i="4"/>
  <c r="J290" i="4"/>
  <c r="J273" i="4" s="1"/>
  <c r="I290" i="4"/>
  <c r="I273" i="4" s="1"/>
  <c r="H273" i="4"/>
  <c r="G273" i="4"/>
  <c r="F273" i="4"/>
  <c r="J266" i="4"/>
  <c r="I266" i="4"/>
  <c r="H266" i="4"/>
  <c r="J265" i="4"/>
  <c r="I265" i="4"/>
  <c r="H265" i="4"/>
  <c r="G259" i="4"/>
  <c r="F259" i="4"/>
  <c r="J255" i="4"/>
  <c r="I255" i="4"/>
  <c r="H255" i="4"/>
  <c r="G255" i="4"/>
  <c r="F255" i="4"/>
  <c r="H251" i="4"/>
  <c r="H249" i="4" s="1"/>
  <c r="J249" i="4"/>
  <c r="I249" i="4"/>
  <c r="G249" i="4"/>
  <c r="F249" i="4"/>
  <c r="J245" i="4"/>
  <c r="I245" i="4"/>
  <c r="H245" i="4"/>
  <c r="G245" i="4"/>
  <c r="F245" i="4"/>
  <c r="Q238" i="4"/>
  <c r="P238" i="4"/>
  <c r="O238" i="4"/>
  <c r="N238" i="4"/>
  <c r="M238" i="4"/>
  <c r="J238" i="4"/>
  <c r="I238" i="4"/>
  <c r="H238" i="4"/>
  <c r="G238" i="4"/>
  <c r="F238" i="4"/>
  <c r="Q231" i="4"/>
  <c r="P231" i="4"/>
  <c r="O231" i="4"/>
  <c r="N231" i="4"/>
  <c r="M231" i="4"/>
  <c r="J231" i="4"/>
  <c r="J230" i="4" s="1"/>
  <c r="I231" i="4"/>
  <c r="I230" i="4" s="1"/>
  <c r="H231" i="4"/>
  <c r="H230" i="4" s="1"/>
  <c r="G230" i="4"/>
  <c r="F230" i="4"/>
  <c r="J229" i="4"/>
  <c r="J228" i="4" s="1"/>
  <c r="I229" i="4"/>
  <c r="I228" i="4" s="1"/>
  <c r="H229" i="4"/>
  <c r="H228" i="4" s="1"/>
  <c r="G228" i="4"/>
  <c r="F228" i="4"/>
  <c r="J226" i="4"/>
  <c r="J224" i="4" s="1"/>
  <c r="I226" i="4"/>
  <c r="I224" i="4" s="1"/>
  <c r="H226" i="4"/>
  <c r="H224" i="4" s="1"/>
  <c r="G224" i="4"/>
  <c r="F224" i="4"/>
  <c r="J220" i="4"/>
  <c r="I220" i="4"/>
  <c r="H220" i="4"/>
  <c r="G220" i="4"/>
  <c r="F220" i="4"/>
  <c r="J217" i="4"/>
  <c r="I217" i="4"/>
  <c r="H217" i="4"/>
  <c r="G217" i="4"/>
  <c r="F217" i="4"/>
  <c r="H208" i="4"/>
  <c r="J208" i="4"/>
  <c r="I208" i="4"/>
  <c r="G208" i="4"/>
  <c r="F208" i="4"/>
  <c r="J202" i="4"/>
  <c r="I202" i="4"/>
  <c r="H202" i="4"/>
  <c r="G202" i="4"/>
  <c r="F202" i="4"/>
  <c r="J200" i="4"/>
  <c r="I200" i="4"/>
  <c r="H200" i="4"/>
  <c r="J194" i="4"/>
  <c r="I194" i="4"/>
  <c r="H194" i="4"/>
  <c r="J187" i="4"/>
  <c r="I187" i="4"/>
  <c r="H187" i="4"/>
  <c r="J185" i="4"/>
  <c r="I185" i="4"/>
  <c r="H185" i="4"/>
  <c r="G183" i="4"/>
  <c r="F183" i="4"/>
  <c r="J169" i="4"/>
  <c r="J168" i="4" s="1"/>
  <c r="I169" i="4"/>
  <c r="I168" i="4" s="1"/>
  <c r="H168" i="4"/>
  <c r="G168" i="4"/>
  <c r="F168" i="4"/>
  <c r="J148" i="4"/>
  <c r="I148" i="4"/>
  <c r="H148" i="4"/>
  <c r="J147" i="4"/>
  <c r="I147" i="4"/>
  <c r="H147" i="4"/>
  <c r="J146" i="4"/>
  <c r="I146" i="4"/>
  <c r="H146" i="4"/>
  <c r="J145" i="4"/>
  <c r="I145" i="4"/>
  <c r="H145" i="4"/>
  <c r="J111" i="4"/>
  <c r="I111" i="4"/>
  <c r="H111" i="4"/>
  <c r="J109" i="4"/>
  <c r="I109" i="4"/>
  <c r="H109" i="4"/>
  <c r="G109" i="4"/>
  <c r="F109" i="4"/>
  <c r="J108" i="4"/>
  <c r="I108" i="4"/>
  <c r="H108" i="4"/>
  <c r="G108" i="4"/>
  <c r="F108" i="4"/>
  <c r="I106" i="4"/>
  <c r="I102" i="4" s="1"/>
  <c r="I125" i="4" l="1"/>
  <c r="J106" i="4"/>
  <c r="J102" i="4" s="1"/>
  <c r="H125" i="4"/>
  <c r="H106" i="4"/>
  <c r="H102" i="4" s="1"/>
  <c r="H259" i="4"/>
  <c r="F253" i="4"/>
  <c r="J183" i="4"/>
  <c r="I183" i="4"/>
  <c r="I222" i="4" s="1"/>
  <c r="I259" i="4"/>
  <c r="I309" i="4" s="1"/>
  <c r="H368" i="4"/>
  <c r="J125" i="4"/>
  <c r="J253" i="4"/>
  <c r="F309" i="4"/>
  <c r="G368" i="4"/>
  <c r="F368" i="4"/>
  <c r="J368" i="4"/>
  <c r="I368" i="4"/>
  <c r="H253" i="4"/>
  <c r="H183" i="4"/>
  <c r="G309" i="4"/>
  <c r="J259" i="4"/>
  <c r="J309" i="4" s="1"/>
  <c r="G253" i="4"/>
  <c r="H309" i="4"/>
  <c r="G100" i="4"/>
  <c r="H100" i="4"/>
  <c r="J100" i="4"/>
  <c r="I100" i="4"/>
  <c r="F100" i="4"/>
  <c r="I253" i="4"/>
  <c r="H222" i="4" l="1"/>
  <c r="J222" i="4"/>
</calcChain>
</file>

<file path=xl/sharedStrings.xml><?xml version="1.0" encoding="utf-8"?>
<sst xmlns="http://schemas.openxmlformats.org/spreadsheetml/2006/main" count="1138" uniqueCount="720">
  <si>
    <t>Код прогр.</t>
  </si>
  <si>
    <t>Код меры</t>
  </si>
  <si>
    <t>Код иниц.</t>
  </si>
  <si>
    <t>Бюджетные программы/
Бюджетные меры</t>
  </si>
  <si>
    <t>Индикаторы результативности</t>
  </si>
  <si>
    <t>Ед. изм-я</t>
  </si>
  <si>
    <t>Базовый год</t>
  </si>
  <si>
    <t>Целевые значения</t>
  </si>
  <si>
    <t>001</t>
  </si>
  <si>
    <t>Индекс доверия населения</t>
  </si>
  <si>
    <t>Управление и администрирование отрасли на центральном уровне</t>
  </si>
  <si>
    <t>шт.</t>
  </si>
  <si>
    <t>%</t>
  </si>
  <si>
    <t>ВСЕГО (контрольные цифры)</t>
  </si>
  <si>
    <t>03</t>
  </si>
  <si>
    <t>01</t>
  </si>
  <si>
    <t>02</t>
  </si>
  <si>
    <t>коэф.</t>
  </si>
  <si>
    <t>04</t>
  </si>
  <si>
    <t>05</t>
  </si>
  <si>
    <t>06</t>
  </si>
  <si>
    <t>07</t>
  </si>
  <si>
    <t>08</t>
  </si>
  <si>
    <t>ед</t>
  </si>
  <si>
    <t>кол-во</t>
  </si>
  <si>
    <t>индекс</t>
  </si>
  <si>
    <t>09</t>
  </si>
  <si>
    <t>10</t>
  </si>
  <si>
    <t>11</t>
  </si>
  <si>
    <t>14</t>
  </si>
  <si>
    <t>16</t>
  </si>
  <si>
    <t>Код ГРБС.</t>
  </si>
  <si>
    <t>Финансирование (тыс. сом)</t>
  </si>
  <si>
    <t>17</t>
  </si>
  <si>
    <t>Управление и администрирование</t>
  </si>
  <si>
    <t>коэфф.</t>
  </si>
  <si>
    <t>чел.</t>
  </si>
  <si>
    <t>Управление и администрирование отрасли на территориальном  уровне</t>
  </si>
  <si>
    <t>Доля детей в возрасте 3-7 лет, охваченных всеми формами дошкольного образования</t>
  </si>
  <si>
    <t>Поддержание функционирования сети дошкольных образовательных учреждений</t>
  </si>
  <si>
    <t>Доля охвата детей дошкольным образованием</t>
  </si>
  <si>
    <t xml:space="preserve">Охват детей средним общим образованием, от общего количества детей 7-17 лет </t>
  </si>
  <si>
    <t>Поддержание функционирования сети общеобразовательных, внешкольных образовательных организаций, интернатов, детских домов, издательств при МОН КР, библиотеки</t>
  </si>
  <si>
    <t>процент охвата детей внешкольным образованием от общего количества детей</t>
  </si>
  <si>
    <t>Доля школ с горячим питанием от общего числа школ в стране</t>
  </si>
  <si>
    <t xml:space="preserve">Показатели среднего балла ОРТ по стране </t>
  </si>
  <si>
    <t>балл</t>
  </si>
  <si>
    <t xml:space="preserve">объем печатной продукции </t>
  </si>
  <si>
    <t>шт</t>
  </si>
  <si>
    <t xml:space="preserve">Поддержание функционирования сети методкабинетов, институтов образования, КАО, РИПК </t>
  </si>
  <si>
    <t>Охват учителей программами повышения квалификации</t>
  </si>
  <si>
    <t>количество учебных программ, стандартов в % к базовому году</t>
  </si>
  <si>
    <t>Поддержание функционирования сети организаций  начального  профессионального образования</t>
  </si>
  <si>
    <t>Процент педагогических кадров, прошедших повышение квалификации по разработке образовательных программ и модулей (НПО)</t>
  </si>
  <si>
    <t>Доля образовательных организаций начального профессионального образования с созданной благоприятной для ЛОВЗ инфраструктурой и средой обучения</t>
  </si>
  <si>
    <t>Поддержание функционирования сети организаций   среднего профессионального образования</t>
  </si>
  <si>
    <t>Процент охвата молодежи средним профессиональным образованием (от населения в возрасте 17- 20 лет)</t>
  </si>
  <si>
    <t>Инклюзивное образование и воспитание учащихся СПО, повышение квалификации преполавателей, цифровизация обучения и оценивания</t>
  </si>
  <si>
    <t>Процент охвата молодежи высшим  профессиональным образованием (от населения в возрасте 17- 24 лет )</t>
  </si>
  <si>
    <t>Поддержание функционирования сети организаций  высшего профессионального образования</t>
  </si>
  <si>
    <t>Развития сети организаций  высшего профессионального образования</t>
  </si>
  <si>
    <t>Доля иностранных студентов в вузах</t>
  </si>
  <si>
    <t>Доля студентов, обучающихся на контрактной основе</t>
  </si>
  <si>
    <t xml:space="preserve">Развитие прикладной науки </t>
  </si>
  <si>
    <t xml:space="preserve">Количество  научных проектных тем по всем секторам на соответсвующий год , </t>
  </si>
  <si>
    <t>тем</t>
  </si>
  <si>
    <t xml:space="preserve">Развитие институционального потенциала и повышение качества вузовской науки, увеличение в вузах количества НИР, направленных на получение практического применения </t>
  </si>
  <si>
    <t xml:space="preserve">Реализация проектов государственных инвестиций </t>
  </si>
  <si>
    <r>
      <t xml:space="preserve">Начальное и среднее профессиональное образование 
</t>
    </r>
    <r>
      <rPr>
        <i/>
        <sz val="11"/>
        <color theme="1"/>
        <rFont val="Times New Roman"/>
        <family val="1"/>
        <charset val="204"/>
      </rPr>
      <t>Цель программы: Создание новой системы профессионального образования, отвечающего требованиям рынка труда, общества и государства.</t>
    </r>
  </si>
  <si>
    <t>342</t>
  </si>
  <si>
    <t>343</t>
  </si>
  <si>
    <t>344</t>
  </si>
  <si>
    <t>345</t>
  </si>
  <si>
    <t>346</t>
  </si>
  <si>
    <t>992</t>
  </si>
  <si>
    <t>тыс.сом</t>
  </si>
  <si>
    <t>тонн</t>
  </si>
  <si>
    <t>тыс.тонн</t>
  </si>
  <si>
    <t>км</t>
  </si>
  <si>
    <t>сом</t>
  </si>
  <si>
    <t>тыс.чел.</t>
  </si>
  <si>
    <t>34. Министерство образования и науки Кыргызской республики</t>
  </si>
  <si>
    <t>34. Министерство образования и науки Кыргызской Республики</t>
  </si>
  <si>
    <t>Цели программы: Координирующее и организационное воздействие на реализацию других программ и обеспечение,достижение поставленных задач</t>
  </si>
  <si>
    <t>Доля дорог, соответствующих нормативным требованиям</t>
  </si>
  <si>
    <t xml:space="preserve">Цель программы: Содержание инфраструктуры внутренней сети дорог в должном состоянии в соответствии со стандартами </t>
  </si>
  <si>
    <t xml:space="preserve">Протяженность дорог, соответствующих нормативным требованиям </t>
  </si>
  <si>
    <t>Отремонтированные дороги к плану</t>
  </si>
  <si>
    <t>шт/%</t>
  </si>
  <si>
    <t>5/100</t>
  </si>
  <si>
    <t>шт/м/%</t>
  </si>
  <si>
    <t>1/48/100</t>
  </si>
  <si>
    <t>3/90/100</t>
  </si>
  <si>
    <t>3/95/10</t>
  </si>
  <si>
    <t>3/95/100</t>
  </si>
  <si>
    <t>км,%</t>
  </si>
  <si>
    <t>70/100</t>
  </si>
  <si>
    <t>90/100</t>
  </si>
  <si>
    <t>120/100</t>
  </si>
  <si>
    <t>тыс м2, %</t>
  </si>
  <si>
    <t>84/100</t>
  </si>
  <si>
    <t>93/100</t>
  </si>
  <si>
    <t>205/100</t>
  </si>
  <si>
    <t xml:space="preserve">доля обслуженных  и плановых участков дорог </t>
  </si>
  <si>
    <t xml:space="preserve">количество жалоб по содержанию дорог </t>
  </si>
  <si>
    <t>Количество установленных  дорожных знаков</t>
  </si>
  <si>
    <t>Доля установленных светофоров от общего количества необходимых по стандартам</t>
  </si>
  <si>
    <t>Протяженность дорог, требующих повторный ремонт после последнего ремонта</t>
  </si>
  <si>
    <t>Обеспеченность техникой</t>
  </si>
  <si>
    <t>Протяженность завершенных  дорог</t>
  </si>
  <si>
    <t xml:space="preserve">Цель программы: Повышение интегрированности в мировую экономическую систему, обеспечение доступа населения и экономических субъектов республики к региональным рынкам товаров и услуг, развитие транзитного потенциала.                                                                              </t>
  </si>
  <si>
    <t xml:space="preserve">Протяженность (км)/доля дорог, от общей длины международных транспортных коридоров </t>
  </si>
  <si>
    <t>Протяженность завершенных дорог</t>
  </si>
  <si>
    <t>Протяженность (км)/доля дорог, от общей длины международного транспортного коридора</t>
  </si>
  <si>
    <t>Протяженность (км)/доля дорог, от общей длины международного транспортного коридора Бишкек - Ош</t>
  </si>
  <si>
    <t>Строительство галереи</t>
  </si>
  <si>
    <t>Обеспечение регулярным пассажирским сообщением населенных пунктов Кыргызской Республики</t>
  </si>
  <si>
    <t>Пассажирооборот воздушного транспорта</t>
  </si>
  <si>
    <t>тыс. пассажиро/км</t>
  </si>
  <si>
    <t xml:space="preserve"> Перевозки пассажиров воздушным транспортом по территории </t>
  </si>
  <si>
    <t>тыс.человек</t>
  </si>
  <si>
    <t>Грузооборот воздушным транспортом</t>
  </si>
  <si>
    <t>млн. тонн/км</t>
  </si>
  <si>
    <t xml:space="preserve">Международные грузоперевозки на автомобильном транспорте </t>
  </si>
  <si>
    <t>рейс/млн. тонн</t>
  </si>
  <si>
    <t>Перевозка грузов воздушным транспортом</t>
  </si>
  <si>
    <t>тыс. тонн</t>
  </si>
  <si>
    <t xml:space="preserve">количество выданных лицензий  на перевозку </t>
  </si>
  <si>
    <t xml:space="preserve">количество выданных бланков разрешений на международные перевозки   </t>
  </si>
  <si>
    <t>количество наложенных штрафов и сборов за возмещение ущерба</t>
  </si>
  <si>
    <t>тыс. сом</t>
  </si>
  <si>
    <t>Количество перевезенных   пассажиров воздушными судами</t>
  </si>
  <si>
    <t xml:space="preserve"> Количество перевезенных  грузов воздушными судами</t>
  </si>
  <si>
    <t>Выпуск востребованных специалистов с высшим авиационным и средним профессиональным образованием</t>
  </si>
  <si>
    <t>47/196/1119</t>
  </si>
  <si>
    <t>60/264/1769</t>
  </si>
  <si>
    <t>60/569/1415</t>
  </si>
  <si>
    <t>60/510/1415</t>
  </si>
  <si>
    <t>60/288/1415</t>
  </si>
  <si>
    <t>Выпуск дипломированных специалистов со средним профессиональным образованием</t>
  </si>
  <si>
    <t>Бюд-47</t>
  </si>
  <si>
    <t>Выпуск дипломированных специалистов с высшим профессиональным образованием</t>
  </si>
  <si>
    <t>Выпуск дипломированных специалистов со средним  профессиональным образованием  и переподготовленных авиаспециалистов</t>
  </si>
  <si>
    <t>196 (СПО) 1119 (ДПО)</t>
  </si>
  <si>
    <t>264 (СПО) 1769 (ДПО)</t>
  </si>
  <si>
    <t>364 (СПО) 1415 (ДПО)</t>
  </si>
  <si>
    <t>267 (СПО) 1415 (ДПО)</t>
  </si>
  <si>
    <t>20   (СПО)            1415 (ДПО)</t>
  </si>
  <si>
    <t>128032/2,0</t>
  </si>
  <si>
    <t>130000/2,1</t>
  </si>
  <si>
    <t>132000/2,2</t>
  </si>
  <si>
    <t>133000/2,3</t>
  </si>
  <si>
    <t>43. Министерство транспорта и коммуникаций Кыргызской Республики</t>
  </si>
  <si>
    <t>432</t>
  </si>
  <si>
    <t>433</t>
  </si>
  <si>
    <t>434</t>
  </si>
  <si>
    <t xml:space="preserve">Среднее  профессиональное образование для гражданской авиации и повышение квалификаций и переподготовка авиационных специалистов (контракт) </t>
  </si>
  <si>
    <t>Высшее профессиональное образование  для гражданской авиации и водного транспорта Кыргызской Республики (контракт)</t>
  </si>
  <si>
    <t xml:space="preserve">Среднее профессиональное образование для гражданской авиации в соответствии  с государственным заказом на бюджетной основе </t>
  </si>
  <si>
    <t>Реабилитация международных транспортных коридоров восточного направления (Бишкек-Нарын-Торугарт)</t>
  </si>
  <si>
    <t>Капитальный ремонт (строительство мостов и дорог)</t>
  </si>
  <si>
    <t>Средний  ремонт (асфальтобетонные покрытия, ШПО, черногравийные покрытия, гравийные покрытия)</t>
  </si>
  <si>
    <t>Текущий ремонт (ямочный ремонт, профилировка, планировка и т.д.)</t>
  </si>
  <si>
    <t>Зимнее и летнее содержание автомобильных дорог</t>
  </si>
  <si>
    <t>Разметка проезжей части, установка дорожных знаков и светофоров.</t>
  </si>
  <si>
    <t>Административные расходы на содержание автомобильных дорог (ЗП и содержание АУП, ТОП и МОП)</t>
  </si>
  <si>
    <t>Приобретение техники</t>
  </si>
  <si>
    <t>Реабилитация международных транспортных коридоров западного направления (Ош-Баткен-Исфана)</t>
  </si>
  <si>
    <t>Реабилитация международных транспортных коридоров западного направления (Бишкек-Ош)</t>
  </si>
  <si>
    <t>Реабилитация международных транспортных коридоров (Север-Юг)</t>
  </si>
  <si>
    <t xml:space="preserve">Реабилитация международных транспортных коридоров западного направления (Тараз-Талас-Суусамыр) </t>
  </si>
  <si>
    <t>Реабилитация международных транспортных коридоров восточного направления (Балыкчи-Каракол-Балыкчи)</t>
  </si>
  <si>
    <t xml:space="preserve">Реабилитация международных транспортных коридоров восточного направления. (Третья фаза  Проект по улучшению дорожных путей сообщения в Центральной Азии ( уч.Туп-Кеген км 39 -76  и развитие туризма) </t>
  </si>
  <si>
    <t>Управление  автомобильным, водным транспортом и весогабаритным контролем (ААВТи ВК)</t>
  </si>
  <si>
    <t>Управление гражданской авиацией (АГА)</t>
  </si>
  <si>
    <t>Всего (контрольные цифры)</t>
  </si>
  <si>
    <t>31</t>
  </si>
  <si>
    <t>99</t>
  </si>
  <si>
    <r>
      <t xml:space="preserve">Высшее профессиональное образование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качества образования в соответствии с международными стандартами и изменяющимися требованиями к навыкам и знаниям выпускников.</t>
    </r>
  </si>
  <si>
    <r>
      <t xml:space="preserve">Государственная поддержка прикладных исследований и разработак 
</t>
    </r>
    <r>
      <rPr>
        <i/>
        <sz val="11"/>
        <color theme="1"/>
        <rFont val="Times New Roman"/>
        <family val="1"/>
        <charset val="204"/>
      </rPr>
      <t xml:space="preserve">Цель программы: Развитие прикладной (вузовской) науки и повышение качества вузовской науки, увеличение в вузах количества НИР, направленных на получение практического применения.   </t>
    </r>
  </si>
  <si>
    <t>Реализация инфраструктурных проектов</t>
  </si>
  <si>
    <t>Реализация проектов государственных инвестиций</t>
  </si>
  <si>
    <t xml:space="preserve">Индекс доверия населения </t>
  </si>
  <si>
    <t>ЦА МЗиСР</t>
  </si>
  <si>
    <t>ЦА МТСР</t>
  </si>
  <si>
    <t xml:space="preserve">Доля населения, осведомленного о вопросах охраны и укрепления здоровья </t>
  </si>
  <si>
    <t>Процент от опрошенных</t>
  </si>
  <si>
    <t>Доля населения вакцинированного от COVID-19. Целевая группа</t>
  </si>
  <si>
    <t>Информационная работа с населением по вопросам укрепления здоровья</t>
  </si>
  <si>
    <t>Количество приоритетных заболеваний, охваченных информационными кампаниями.</t>
  </si>
  <si>
    <t>количество</t>
  </si>
  <si>
    <t>Населенный пункт</t>
  </si>
  <si>
    <t>ежегодно по 2</t>
  </si>
  <si>
    <t>Иммунизация населения</t>
  </si>
  <si>
    <t>Доля детей до 2 лет, охваченных  вакцинным комплексом</t>
  </si>
  <si>
    <t>Процент</t>
  </si>
  <si>
    <t>&gt;95</t>
  </si>
  <si>
    <t>&gt;96</t>
  </si>
  <si>
    <t>Профилактика, диагностика, лечение и уход социально-значимых инфекционных заболеваний</t>
  </si>
  <si>
    <t>Доля вакцинированных лиц по эпидемиологическим  показаниям для предотвращения особо опасных и карантинных инфекций (от бешенства, чумы, клещевого вирусного энцефалита)</t>
  </si>
  <si>
    <t>Процент от подлежащего контингента</t>
  </si>
  <si>
    <t>Заболеваемость туберкулезом в год</t>
  </si>
  <si>
    <t>Случаев на 1000 человек</t>
  </si>
  <si>
    <t>Закупка туберкулина для диагностики туберкулеза</t>
  </si>
  <si>
    <t>тыс. доз</t>
  </si>
  <si>
    <t>Доля беременных женщин, прошедших полное консультирование и тестирование на ВИЧ-инфекцию и знающих свои результаты</t>
  </si>
  <si>
    <t>процент</t>
  </si>
  <si>
    <t>Доля лиц, живущих с ВИЧ-инфекцией , знающих свой статус и получающих антиретровирусную терапию</t>
  </si>
  <si>
    <t>Профилактические меры по санитарной охране и обеспечение эпидемиологического и зоо-энтомологического надзора в природно-очаговых территориях страны</t>
  </si>
  <si>
    <t>Площадь обработанных территорий  в природно-очаговых зонах от чумы.</t>
  </si>
  <si>
    <t>т/га</t>
  </si>
  <si>
    <t>Предоставление комплексного пакета услуг в рамках осуществления Государственного социального заказа</t>
  </si>
  <si>
    <t>5000</t>
  </si>
  <si>
    <t>Количество лабораторий, участвующих в программах   внешней   оценки, обеспечивающие качественные и достоверные исследования по ВИЧ, бруцеллез, гепатиты, сифилис качества социально-значимых инфекционных заболеваний.</t>
  </si>
  <si>
    <t>Ед.</t>
  </si>
  <si>
    <t xml:space="preserve">Уровень удовлетворенности населения оказанными услугами первичной медико-санитарной помощи (доступность услуг, качество услуг) </t>
  </si>
  <si>
    <t>ежегодное увеличение на 2%</t>
  </si>
  <si>
    <t>Улучшение качества медицинских услуг, а также неотложной и экстренной медицинской помощи, оказываемых государственными организациями здравоохранения с упором на развитие первичной медико-санитарной помощи</t>
  </si>
  <si>
    <t>Доля организаций здравоохранения, внедривших электронные медицинские карты пациента на всех уровнях здравоохранения</t>
  </si>
  <si>
    <t xml:space="preserve">Доля населения, использующие онлайн-сервисы при обращении за услугами здравоохранения </t>
  </si>
  <si>
    <t>Регулирование и управление обращением лекарственных средств</t>
  </si>
  <si>
    <t xml:space="preserve">Индикатор по признанию в КР перечня лекарственных средств переквалифицированных ВОЗ </t>
  </si>
  <si>
    <t>Заготовка компонентов и препаратов крови</t>
  </si>
  <si>
    <t>Объем заготовленных компонентов и препаратов крови</t>
  </si>
  <si>
    <t>Литр</t>
  </si>
  <si>
    <t>Профилактика, диагностика, лечение и уход при неинфекционных заболеваниях</t>
  </si>
  <si>
    <t>761916,5</t>
  </si>
  <si>
    <t>Количество больных, обеспеченных инсулинами.</t>
  </si>
  <si>
    <t>Человек</t>
  </si>
  <si>
    <t xml:space="preserve">Увеличение финансирования для приобретения антигемофильных препаратов, охват, количество нуждающихся </t>
  </si>
  <si>
    <t>Доля  больных с онкологическими заболеваниями, которым предоставляются химиопрепараты</t>
  </si>
  <si>
    <t>Доля больных, охваченных имуносупрессорами</t>
  </si>
  <si>
    <t>Охрана здоровья матери и ребенка</t>
  </si>
  <si>
    <t>Коэффициент материнской смертности (ЦУР 3.1.1)</t>
  </si>
  <si>
    <t>На 100 000 живорожденных</t>
  </si>
  <si>
    <t>Показатель неонатальной смертности (ЦУР 3.2.2)</t>
  </si>
  <si>
    <t>На 1 000 родившихся живыми</t>
  </si>
  <si>
    <t xml:space="preserve">Смертность детей в возрасте до пяти лет (ЦУР 3.2.1) </t>
  </si>
  <si>
    <t xml:space="preserve">Доля родов, принятых квалифицированными медицинскими работниками </t>
  </si>
  <si>
    <t>Доля женщин из медико-социальной группы риска, использующих внутриматочную спираль</t>
  </si>
  <si>
    <t>/процент</t>
  </si>
  <si>
    <t>Доля женщин из медико-социальной группы риска, применяющих оральные контрацептвы</t>
  </si>
  <si>
    <t>Доля беременных, вставших на учет в первые 12 недель беременности</t>
  </si>
  <si>
    <t xml:space="preserve">Распространенность анемии </t>
  </si>
  <si>
    <t>На 100 тыс.человек</t>
  </si>
  <si>
    <t>Восстановление здоровья населения и интеграция в обществе</t>
  </si>
  <si>
    <t>Количество пациентов, получивших  реабилитационную помощь</t>
  </si>
  <si>
    <t>Предоставление дорогостоящей и высокотехнологичной помощи, а также сопроводительных и консультативных мероприятий</t>
  </si>
  <si>
    <t>Лабораторные услуги</t>
  </si>
  <si>
    <t xml:space="preserve">Количество аккредитованных лабораторий </t>
  </si>
  <si>
    <t>Обеспеченность врачами по стране на 10 тыс. населения</t>
  </si>
  <si>
    <t>Улучшение системы управления кадровыми ресурсами в здравоохранении на основе межведомственного и межсекторального взаимодействия.</t>
  </si>
  <si>
    <t>Количество врачебных кадров в регионах</t>
  </si>
  <si>
    <t>на 10 тыс.населения</t>
  </si>
  <si>
    <t xml:space="preserve">Количество сертифицированных семейных врачей </t>
  </si>
  <si>
    <t>Количество врачей, включенных в программу по дополнительному стимулированию врачей, работающих в отдаленных регионах сельской местности и малых городах.</t>
  </si>
  <si>
    <t xml:space="preserve">Количество руководителей прошедших повышение квалификации </t>
  </si>
  <si>
    <t>Повышение обеспеченности медицинскими кадрами отдаленных регионов с акцентом на обеспечение семейными врачами, работниками служб общественного здравоохранения и скорой медицинской помощи.</t>
  </si>
  <si>
    <t xml:space="preserve">Количество специалистов,  прошедших переподготовку за счет республиканского бюджета </t>
  </si>
  <si>
    <t>Подготовка специалистов с высшим медицинским образованием</t>
  </si>
  <si>
    <t>Количество выпускников, работающих по окончании ВУЗа в отдаленных регионах и сельской местности</t>
  </si>
  <si>
    <t>Развитие сестринского образования в соответствии с новыми требованиями и потребностями здравоохранения</t>
  </si>
  <si>
    <t>1169</t>
  </si>
  <si>
    <t>1180</t>
  </si>
  <si>
    <t>1181</t>
  </si>
  <si>
    <t>1182</t>
  </si>
  <si>
    <t>1183</t>
  </si>
  <si>
    <t>Грантовые места</t>
  </si>
  <si>
    <t>Улучшение механизмов регулирования профессиональной деятельности медицинских работников через вовлечение профессиональных медицинских ассоциаций и непрерывного профессионального развития.</t>
  </si>
  <si>
    <t>Обеспечение пособиями детей: при рождении ребенка и нуждающихся семей, имеющих детей в возрасте до 16 лет</t>
  </si>
  <si>
    <t xml:space="preserve">Соотношение размера гарантированного минимального дохода текущего года по отношению к базовому году </t>
  </si>
  <si>
    <t xml:space="preserve">соотношение размеров пособий для ЛОВЗ с детства  к базовой части пенсии </t>
  </si>
  <si>
    <t>112,3-168,5</t>
  </si>
  <si>
    <t>151,7-224,7</t>
  </si>
  <si>
    <t>151,7-224,8</t>
  </si>
  <si>
    <t>Соотношение размера ЕСП пожилых граждан к базовой части пенсии</t>
  </si>
  <si>
    <t>Размер дополнительного ежемесячного социального пособия</t>
  </si>
  <si>
    <t>количество расчетных показателей</t>
  </si>
  <si>
    <t xml:space="preserve">Развитие социальных услуг для детей, находящихся в трудной жизненной ситуации, в рамках государственного социального заказа </t>
  </si>
  <si>
    <t xml:space="preserve">Наличие центра </t>
  </si>
  <si>
    <t>количество центров</t>
  </si>
  <si>
    <t>Поддержка созданных ранее центров</t>
  </si>
  <si>
    <t>Повышение потенциала сотрудников территориальных и подведомственных подразделений МТСР КР</t>
  </si>
  <si>
    <t>Охвачены обучением не менее 100 сотрудников по системе МТСР КР</t>
  </si>
  <si>
    <t>Развитие института приемных (фостерных) семей</t>
  </si>
  <si>
    <t xml:space="preserve">Численность подготовленных  приемных семей </t>
  </si>
  <si>
    <t>Численность размещенных детей в приемных семьях</t>
  </si>
  <si>
    <t>Численность возвращенных детей</t>
  </si>
  <si>
    <t xml:space="preserve">Оказание консультативно-психологической помощи абонентам по телефону, в том числе детям </t>
  </si>
  <si>
    <t>Количество поступивших звонков от абонентов, в том числе от детей.</t>
  </si>
  <si>
    <t>абонент</t>
  </si>
  <si>
    <r>
      <t xml:space="preserve">Доля лиц с ограниченными возможностями здоровья (ЛОВЗ), положительно оценивающих изменение качества жизни в результате получения социальных услуг от общего количества ЛОВЗ, пользующихся социальными услугами </t>
    </r>
    <r>
      <rPr>
        <b/>
        <sz val="10"/>
        <rFont val="Times New Roman"/>
        <family val="1"/>
        <charset val="204"/>
      </rPr>
      <t/>
    </r>
  </si>
  <si>
    <t xml:space="preserve">Улучшение системы оценки инвалидности и реабилитации лиц с ограниченными возможностями здоровья </t>
  </si>
  <si>
    <t>человек</t>
  </si>
  <si>
    <t>Реабилитация лиц с ограниченными возможностями здоровья (ЛОВЗ)</t>
  </si>
  <si>
    <t xml:space="preserve">Количество ЛОВЗ охваченых реабилитацией </t>
  </si>
  <si>
    <t>3. Сумма на обслуживание одного получателя услуг в месяц</t>
  </si>
  <si>
    <t>Обеспечение ЛОВЗ техническими средствами для реабилитации (протезно-ортопедические изделия, технические вспомогательные средства и иные специализированные средства)</t>
  </si>
  <si>
    <t xml:space="preserve">   человек</t>
  </si>
  <si>
    <t>Обеспечение доступа ЛОВЗ к путевкам на санаторно-курортное лечение, а также услугой сурдоперевода лиц с инвалидностью слуха и речи</t>
  </si>
  <si>
    <t>документ</t>
  </si>
  <si>
    <t>Количество детей/ребенка с ОВЗ охваченных альтернативными видами услуг</t>
  </si>
  <si>
    <t>В связи с административным характером деятельности в рамках данной бюджетной программы, индикатор бюджетной программы определелить невозможно</t>
  </si>
  <si>
    <t>Обеспечение выплат ежемесячных денежных компенсаций 25 категориям граждан, а также ежемесячной стипендии ветеранам Великой Отечественной войны</t>
  </si>
  <si>
    <t xml:space="preserve">Сохранение размера денежных компенсаций 25 категориям граждан на уровне базового года </t>
  </si>
  <si>
    <t>1000-7000</t>
  </si>
  <si>
    <t xml:space="preserve">Размеры пожизненной стипендии </t>
  </si>
  <si>
    <t>Обеспечение выплат ежегодного единовременного денежного пособия к 9 мая ветеранам Великой Отечественной войны</t>
  </si>
  <si>
    <t xml:space="preserve">Размеры денежного пособия </t>
  </si>
  <si>
    <t>100-600</t>
  </si>
  <si>
    <t xml:space="preserve">Размеры дополнительного денежного пособия  </t>
  </si>
  <si>
    <t>10000-15000</t>
  </si>
  <si>
    <t>15000-20000</t>
  </si>
  <si>
    <t xml:space="preserve">Обеспечение выплат ритуального пособия (на погребение) </t>
  </si>
  <si>
    <t>Размеры ритуального пособия (погребение)</t>
  </si>
  <si>
    <t>1438-7189</t>
  </si>
  <si>
    <t>Доля безработных граждан, трудоустроенных после обучения, переобучения повышения квалификации</t>
  </si>
  <si>
    <t>Пассивные и активные меры политики содействия занятости</t>
  </si>
  <si>
    <t>Количество получающих пособия</t>
  </si>
  <si>
    <t xml:space="preserve">Интеграция безработных в число занятого населения </t>
  </si>
  <si>
    <t>Количество безработных, трудоустроенных в результате посещения Ярмарки вакансий</t>
  </si>
  <si>
    <t xml:space="preserve">Обеспечение выплат пособия по беременности и родам с одиннадцатого рабочего дня </t>
  </si>
  <si>
    <t xml:space="preserve">Соотношение среднемесячного размера пособия по беременности и родам к 10 расчетным показателям, в % (в условиях не высокогорья) </t>
  </si>
  <si>
    <t>Соотношение среднемесячного размера пособия по беременности и родам к среднемесячной заработной плате, в % ( в условиях высокогорья)</t>
  </si>
  <si>
    <t xml:space="preserve">Доля организованных кризисных центров от потребности </t>
  </si>
  <si>
    <t>Развитие услуг социальных служб/кризисных центров по оказанию помощи лицам, пострадавшим от гендерного и семейного насилия и внедрение коррекционных программ для лиц, совершивших семейное насилие</t>
  </si>
  <si>
    <t>Число действующих кризисных центров, оказывающих услуги пострадавшим и внедряющих коррекционные программы</t>
  </si>
  <si>
    <t>единица</t>
  </si>
  <si>
    <t xml:space="preserve">Создание государственного кризисного центра для оказания помощи пострадавшим от насилия и для внедрения программ поддержки для семей в ситуации семейного насилия </t>
  </si>
  <si>
    <t xml:space="preserve">Число новых государственных кризисных центров </t>
  </si>
  <si>
    <t>31. Министерство здравоохранения и социального развития Кыргызской Республики</t>
  </si>
  <si>
    <r>
      <rPr>
        <b/>
        <sz val="11"/>
        <rFont val="Times New Roman"/>
        <family val="1"/>
        <charset val="204"/>
      </rPr>
      <t xml:space="preserve">Управление и администрирование    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</si>
  <si>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1"/>
        <rFont val="Times New Roman"/>
        <family val="1"/>
        <charset val="204"/>
      </rPr>
      <t>Общественное здравоохранение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Создание устойчивой службы общественного здравоохранения, основанной на интеграции программ профилактики заболеваний и укрепления здоровья, широком межсекторальном взаимодействии и активном участии общества в вопросах охраны и укрепления здоровья</t>
    </r>
  </si>
  <si>
    <r>
      <rPr>
        <b/>
        <sz val="11"/>
        <rFont val="Times New Roman"/>
        <family val="1"/>
        <charset val="204"/>
      </rPr>
      <t xml:space="preserve">Организация предоставления услуг здравоохранения 
</t>
    </r>
    <r>
      <rPr>
        <i/>
        <sz val="11"/>
        <rFont val="Times New Roman"/>
        <family val="1"/>
        <charset val="204"/>
      </rPr>
      <t>Цель программы: Улучшение качества предоставления медицинских услуг для всех групп населения и повышение доступности населения республики к высокотехнологичныхм методовам лечения для населения.</t>
    </r>
  </si>
  <si>
    <r>
      <rPr>
        <b/>
        <sz val="11"/>
        <rFont val="Times New Roman"/>
        <family val="1"/>
        <charset val="204"/>
      </rPr>
      <t>Медицинское образование и управление человеческими ресурсами в здравоохранении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Обеспечение квалифицированными медицинскими кадрами организаций здравоохранения республики.</t>
    </r>
  </si>
  <si>
    <r>
      <rPr>
        <b/>
        <sz val="11"/>
        <rFont val="Times New Roman"/>
        <family val="1"/>
        <charset val="204"/>
      </rPr>
      <t xml:space="preserve">Социальная защита лиц с ограниченными возможностями здоровья (ЛОВЗ) и пожилых граждан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Обеспечение равноправного доступа к базовым услугам и создание доступной среды жизнедеятельности для лиц с ограниченными возможностями здоровья в целях эффективной интеграции их в общество</t>
    </r>
  </si>
  <si>
    <r>
      <t xml:space="preserve">Предоставление денежных компенсаций отдельным категориям граждан и социальные гарантии 
</t>
    </r>
    <r>
      <rPr>
        <i/>
        <sz val="11"/>
        <rFont val="Times New Roman"/>
        <family val="1"/>
        <charset val="204"/>
      </rPr>
      <t>Цель программы: Повышение уровня благосостояния нуждающихся граждан за счет своевременных и полных выплат полагающихся им денежных компенсаций</t>
    </r>
  </si>
  <si>
    <r>
      <t xml:space="preserve">Содействие занятости населения и социальная поддержка безработных
</t>
    </r>
    <r>
      <rPr>
        <i/>
        <sz val="11"/>
        <rFont val="Times New Roman"/>
        <family val="1"/>
        <charset val="204"/>
      </rPr>
      <t>Цель программы: Поддержание высокого уровня занятости населения путем реализация мер активной политики занятости, оказания услуг по поиску работы и социальной поддержки безработных граждан и лиц, ищущих работу через органы государственной службы занятости.</t>
    </r>
  </si>
  <si>
    <r>
      <t>ДСО, РГМУТСР (</t>
    </r>
    <r>
      <rPr>
        <i/>
        <sz val="11"/>
        <rFont val="Times New Roman"/>
        <family val="1"/>
        <charset val="204"/>
      </rPr>
      <t>без.ЦА МТСР</t>
    </r>
    <r>
      <rPr>
        <sz val="11"/>
        <rFont val="Times New Roman"/>
        <family val="1"/>
        <charset val="204"/>
      </rPr>
      <t>)</t>
    </r>
  </si>
  <si>
    <r>
      <t>Организация деятельности и службы обеспечения (</t>
    </r>
    <r>
      <rPr>
        <i/>
        <sz val="11"/>
        <rFont val="Times New Roman"/>
        <family val="1"/>
        <charset val="204"/>
      </rPr>
      <t>в части труда и соц.развития</t>
    </r>
    <r>
      <rPr>
        <sz val="11"/>
        <rFont val="Times New Roman"/>
        <family val="1"/>
        <charset val="204"/>
      </rPr>
      <t>)</t>
    </r>
  </si>
  <si>
    <t xml:space="preserve"> процент</t>
  </si>
  <si>
    <r>
      <t xml:space="preserve">Уровень абортов на 1000 женщин репродуктивного возраста   </t>
    </r>
    <r>
      <rPr>
        <sz val="10"/>
        <color rgb="FFFF0000"/>
        <rFont val="Times New Roman"/>
        <family val="1"/>
        <charset val="204"/>
      </rPr>
      <t/>
    </r>
  </si>
  <si>
    <t xml:space="preserve">Количество обученных врачей Центра реабилитации ЛОВЗ, социальных стационарных учреждений (ССУ) </t>
  </si>
  <si>
    <t xml:space="preserve">Предоставление услуг в социальных стационарных  учреждениях (ССУ)
</t>
  </si>
  <si>
    <t xml:space="preserve">1. Количество обслуживаемых граждан в ССУ </t>
  </si>
  <si>
    <t>%    человек</t>
  </si>
  <si>
    <t xml:space="preserve">Трудоустройство </t>
  </si>
  <si>
    <t>319</t>
  </si>
  <si>
    <t>318</t>
  </si>
  <si>
    <t>317</t>
  </si>
  <si>
    <t>316</t>
  </si>
  <si>
    <t>315</t>
  </si>
  <si>
    <t>314</t>
  </si>
  <si>
    <t>313</t>
  </si>
  <si>
    <t>312</t>
  </si>
  <si>
    <t>80</t>
  </si>
  <si>
    <t>0</t>
  </si>
  <si>
    <t>55. Министерство энергетики и промышленности Кыргызской Республики</t>
  </si>
  <si>
    <t>Степень выполнения отраслевых программ МЭП КР</t>
  </si>
  <si>
    <t>Реализация политики в области энергетики, промышленности и недропользования</t>
  </si>
  <si>
    <t>552</t>
  </si>
  <si>
    <t>Проведение аукционов на получение прав пользования недрами от запланированных на год</t>
  </si>
  <si>
    <t>Защита  экономических интересов государства при пользовании недрами</t>
  </si>
  <si>
    <t>Прирост объемов полезных ископаемых к запасам на начало года, в т.ч.</t>
  </si>
  <si>
    <t>золото</t>
  </si>
  <si>
    <t>100</t>
  </si>
  <si>
    <t>уголь</t>
  </si>
  <si>
    <t>553</t>
  </si>
  <si>
    <t>Количество завершенных геологоразведочных работ  от запланированных на год</t>
  </si>
  <si>
    <t>Поиск и оценка месторождений полезных ископаемых</t>
  </si>
  <si>
    <t>Площадь проведения геолого-разведочных работ от общей площади  работ</t>
  </si>
  <si>
    <t>Обеспечение доступности геологической информации, анализ и обобщение геологических материалов</t>
  </si>
  <si>
    <t>Перенос геологических материалов на цифровые носители от общего количества запланированных на год</t>
  </si>
  <si>
    <t>Создание базы данных по всем видам геолого-геохимических поисков от запланированного</t>
  </si>
  <si>
    <t>Мониторинг геологической среды в части наблюдений за режимом и качеством подземных вод и развитием опасных экзогенных геологических процессов</t>
  </si>
  <si>
    <t>Количество обследованных объектов      водопользования за состоянием качества подземных вод  от общего количества  запланированных объектов</t>
  </si>
  <si>
    <t>Количество обследованных участков проявления екзогенных геологических процессов  от общего количества запланированных объектов</t>
  </si>
  <si>
    <t>554</t>
  </si>
  <si>
    <t>Снижение дефицита денежных средств в энергосекторе</t>
  </si>
  <si>
    <t>Тарифное регулирование сектора энергетики.</t>
  </si>
  <si>
    <t>Установление тарифов на электрическую энергию</t>
  </si>
  <si>
    <t>Установление тарифов на тепловую энергию</t>
  </si>
  <si>
    <t>Установление тарифов на газ</t>
  </si>
  <si>
    <t>Осуществление контроля соблюдения законодательства в секторе энергетики</t>
  </si>
  <si>
    <t>Проведено проверок лицензиатов от количества запланированных на год</t>
  </si>
  <si>
    <t>555</t>
  </si>
  <si>
    <t>Мониторинг и контроль по энергетическому, горному надзору и промышленносй безопасности</t>
  </si>
  <si>
    <t>Снижение количества смертельных случаев, по контролируемым видам рисков</t>
  </si>
  <si>
    <t>Административный блок</t>
  </si>
  <si>
    <t>% исполнения бюджета без нарушений</t>
  </si>
  <si>
    <t>Обеспечение безопасности в энергосистеме</t>
  </si>
  <si>
    <t>Объем сокращений аварийных отключений</t>
  </si>
  <si>
    <t xml:space="preserve">Осуществление горного надзора </t>
  </si>
  <si>
    <t>Объем сокращения нарушений по отношению к базовому году</t>
  </si>
  <si>
    <t>Осуществление рационального использования недр</t>
  </si>
  <si>
    <t>Обеспечение промышленной безопасности</t>
  </si>
  <si>
    <t>556</t>
  </si>
  <si>
    <t>Повышение надежности и эффективности функционирования технических средств топливно- энергетического комплекса</t>
  </si>
  <si>
    <t>Разработка практических рекомендаций по повышению надежности и эффективности функционирования электротехнического оборудования</t>
  </si>
  <si>
    <t>кол. отчет</t>
  </si>
  <si>
    <t xml:space="preserve">1 отчет </t>
  </si>
  <si>
    <t xml:space="preserve"> Проведение энергетического обследования эффективности использования электроэнергии в бюджетных организациях</t>
  </si>
  <si>
    <t>557</t>
  </si>
  <si>
    <t>Рост объема производства электроэнергии к базовому году</t>
  </si>
  <si>
    <t>15,3 млрд Квт</t>
  </si>
  <si>
    <t>Реконструкция Атбашинской ГЭС (Швейцария) (грант)</t>
  </si>
  <si>
    <t>309655</t>
  </si>
  <si>
    <t>Реконструкция ГЭС, ввод гидроагрегатов</t>
  </si>
  <si>
    <t>единиц</t>
  </si>
  <si>
    <t>1 гидроагрегат</t>
  </si>
  <si>
    <t>2 гидроагрегата</t>
  </si>
  <si>
    <t xml:space="preserve">Проект CASA-1000 </t>
  </si>
  <si>
    <t>4632500</t>
  </si>
  <si>
    <t xml:space="preserve">Начало строительства ЛЭП 500 кВ  </t>
  </si>
  <si>
    <t>ЛЭП 500кВт ПС Датка до границы КР-РТ, протяж. 455,6 км,1241 кмп. Фунд., 1241 шт. опор, яч.500кВ на ПС Датка</t>
  </si>
  <si>
    <t xml:space="preserve">Проект «Повышение подотчетности и надежности электроснабжения» </t>
  </si>
  <si>
    <t>Строительство подстанций и установка прибора учета</t>
  </si>
  <si>
    <t>Улучшение электроснабжения Аркинского массива Лейлекского района (ИБР) (кредит)</t>
  </si>
  <si>
    <t>189380</t>
  </si>
  <si>
    <t>Строительство ЛЭП 110 кВ и ПС 110 кВ, реконструкция ПС 110 кВ</t>
  </si>
  <si>
    <t xml:space="preserve">Ввод в эксплуатацию второго гидроагрегата Камбаратинской ГЭС-2 </t>
  </si>
  <si>
    <t>40800</t>
  </si>
  <si>
    <t>Установка гидроагрегата мощностью 120 МВт и строительство ОРУ-500кВ</t>
  </si>
  <si>
    <t>Завершение осн. работ запланировано на 2025 год</t>
  </si>
  <si>
    <t>Вторая фаза реабилитации Токтогульской ГЭС</t>
  </si>
  <si>
    <t>2094391,5</t>
  </si>
  <si>
    <t>Замена 2-х  гидроагрегатов (4 и 2), затворов и гидромеханического оборудования</t>
  </si>
  <si>
    <t>Третья фаза реабилитации Токтогульской ГЭС</t>
  </si>
  <si>
    <t>Замена 2-х оставшихся гидроагрегатов (1 и 3)</t>
  </si>
  <si>
    <t>Проект «Улучшение теплоснабжения»</t>
  </si>
  <si>
    <t>845750</t>
  </si>
  <si>
    <t>Индивидуальные тепловые пункты (ИТП) и запасные части к уже существующим ИТП</t>
  </si>
  <si>
    <t>ед. ИТП</t>
  </si>
  <si>
    <t>231 новых ИТП 1825 комплектов зап. частей для действ. ИТП</t>
  </si>
  <si>
    <t>Узлы учета тепла</t>
  </si>
  <si>
    <t>ед. приб. Учета</t>
  </si>
  <si>
    <t>2210 шт. новых комплектов</t>
  </si>
  <si>
    <t>м/км</t>
  </si>
  <si>
    <t>ПК-I -326 м; ПК-III-1,2 км; ПК-IV-745 м</t>
  </si>
  <si>
    <t>Реабилитация ОАО «Востокэлектро»</t>
  </si>
  <si>
    <t>516970</t>
  </si>
  <si>
    <t xml:space="preserve">АСКУЭ тыс. штук , СИП кабели </t>
  </si>
  <si>
    <t>30 тыс. счетчиков АСКУЭ, 200 км СИП</t>
  </si>
  <si>
    <t>18 тыс. счетчиков АСКУЭ, 200 км СИП</t>
  </si>
  <si>
    <t>15 тыс. счетчиков АСКУЭ, 160 км СИП</t>
  </si>
  <si>
    <t>Реабилитация ОАО «Ошэлектро»</t>
  </si>
  <si>
    <t>450832,35</t>
  </si>
  <si>
    <t>АСКУЭ тыс. штук, СИП кабель</t>
  </si>
  <si>
    <t>АСКУЭ 18,324 тыс. шт СИП 286,16 км</t>
  </si>
  <si>
    <t>Реабилитация сектора энергетики</t>
  </si>
  <si>
    <t>44297,4</t>
  </si>
  <si>
    <t>Модернизация Учкурганской ГЭС</t>
  </si>
  <si>
    <t>1639055</t>
  </si>
  <si>
    <t>Замена гидромеханического оборудования (ГЭМ) оборудования и гидротехнических сооружений (ГТС)</t>
  </si>
  <si>
    <t>подписание контракта с подрядчиком</t>
  </si>
  <si>
    <t>Проектирование и изготовление осн. оборуд.</t>
  </si>
  <si>
    <t>Поставка и замена генератора и ГА № 4</t>
  </si>
  <si>
    <t>Поставка и замена генератора и ГА № 3</t>
  </si>
  <si>
    <t>558</t>
  </si>
  <si>
    <t>Обеспечение населения тепловой энергией</t>
  </si>
  <si>
    <t>Выработка и реализация тепловой энергии населению</t>
  </si>
  <si>
    <t>Потери тепловой энергии на 1 км тепловых сетей</t>
  </si>
  <si>
    <t>Гкал</t>
  </si>
  <si>
    <t>уголь кг/Гкал</t>
  </si>
  <si>
    <t>мазут кг/Гкал</t>
  </si>
  <si>
    <t>газ ,м3</t>
  </si>
  <si>
    <t>эл.эн., кВ/ч</t>
  </si>
  <si>
    <t>Подготовка объектов тепловодоснабжения и водоотведения к работе в осенне-зимний период. Проведение капитального ремонта котельных, инженерного оборудования и теплосетей.</t>
  </si>
  <si>
    <t>Проведение ремонта котельных, от общего количества котельных</t>
  </si>
  <si>
    <t>повышение КПД</t>
  </si>
  <si>
    <t>Уровень загрузки котельных</t>
  </si>
  <si>
    <t>559</t>
  </si>
  <si>
    <t>Поддержание инфраструктуры с.Мин-Куш</t>
  </si>
  <si>
    <t>Предоставление услуг населению с. Мин-Куш по реализации воды</t>
  </si>
  <si>
    <t>тыс.м3</t>
  </si>
  <si>
    <t>Удовлетворение потребностей жителей с.Мин-Куш в качественных услугах по тепловодоснабжению и водоотведению с наименьшими  затратами</t>
  </si>
  <si>
    <t>Проведение саночистки и благоустройство с. Мин-Куш</t>
  </si>
  <si>
    <t>Захоронение радиоактивных отходов</t>
  </si>
  <si>
    <t xml:space="preserve">Обеспечение экологической безопасности населения </t>
  </si>
  <si>
    <t xml:space="preserve"> Дезактивации загрязненного белья радиоактивными веществами</t>
  </si>
  <si>
    <t>кг</t>
  </si>
  <si>
    <t xml:space="preserve">Управление и администрирование                                                                                                        </t>
  </si>
  <si>
    <t>Бюджеты министерств и ведомств на программной основе</t>
  </si>
  <si>
    <r>
      <rPr>
        <b/>
        <sz val="11"/>
        <color theme="1"/>
        <rFont val="Times New Roman"/>
        <family val="1"/>
        <charset val="204"/>
      </rPr>
      <t>Управление и администрирование</t>
    </r>
    <r>
      <rPr>
        <sz val="11"/>
        <color theme="1"/>
        <rFont val="Times New Roman"/>
        <family val="1"/>
        <charset val="204"/>
      </rPr>
      <t xml:space="preserve">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 Координирующее и организационное воздействие на реализацию других программ.</t>
    </r>
  </si>
  <si>
    <r>
      <t xml:space="preserve">Управление природными ресурсами.                                            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Цель программы:  Реализация государственной политики в области недропользования. Обеспечение рационального использования недр Кыргызской Республики.
</t>
    </r>
  </si>
  <si>
    <r>
      <t xml:space="preserve">Геологические исследования недр, контроль состояния подземных вод и опасных экзогенных геологических процессов - Государственный геологический заказ.                 </t>
    </r>
    <r>
      <rPr>
        <i/>
        <sz val="11"/>
        <color theme="1"/>
        <rFont val="Times New Roman"/>
        <family val="1"/>
        <charset val="204"/>
      </rPr>
      <t xml:space="preserve">Цель программы: Проведение поисково-оценочных работ, направленных на выявление проявлений и месторождений полезных ископаемых с оценкой их прогнозных ресурсов. Системное изучение геологической среды в части наблюдений за режимом и качеством подземных вод и опасных экзогенных геологических процессов.       </t>
    </r>
    <r>
      <rPr>
        <b/>
        <i/>
        <sz val="11"/>
        <color theme="1"/>
        <rFont val="Times New Roman"/>
        <family val="1"/>
        <charset val="204"/>
      </rPr>
      <t xml:space="preserve">    </t>
    </r>
  </si>
  <si>
    <r>
      <t xml:space="preserve">Создание экономических стимулов для развития сектора энергетики.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Создание условий повышения экономической эффективности и надежности функционирования действующих в области ТЭК  хозяйствующих субъектов.</t>
    </r>
  </si>
  <si>
    <r>
      <t xml:space="preserve">Развитие научно-технического потенциала 
</t>
    </r>
    <r>
      <rPr>
        <i/>
        <sz val="11"/>
        <color theme="1"/>
        <rFont val="Times New Roman"/>
        <family val="1"/>
        <charset val="204"/>
      </rPr>
      <t>Цель программы: Поддержание высокого уровня научно-технологического потенциала, направленного на эффективное использование энергетических ресурсов страны.</t>
    </r>
  </si>
  <si>
    <r>
      <rPr>
        <b/>
        <sz val="11"/>
        <color theme="1"/>
        <rFont val="Times New Roman"/>
        <family val="1"/>
        <charset val="204"/>
      </rPr>
      <t xml:space="preserve">Проекты государственных инвестиций   энергетического сектора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Реализация государственной политики в  энергетической сфере</t>
    </r>
  </si>
  <si>
    <t>Поддержание автомобильных дорог общего пользования в рабочем состоянии</t>
  </si>
  <si>
    <t xml:space="preserve">Реабилитация международных транспортных коридоров
</t>
  </si>
  <si>
    <r>
      <t xml:space="preserve">Дошкольное образование и предшкольная подготовка 
</t>
    </r>
    <r>
      <rPr>
        <i/>
        <sz val="11"/>
        <color theme="1"/>
        <rFont val="Times New Roman"/>
        <family val="1"/>
        <charset val="204"/>
      </rPr>
      <t>Цель программы: Расширение доступа к качественному дошкольному образованию и программам раннего развития детей</t>
    </r>
  </si>
  <si>
    <r>
      <t xml:space="preserve">Школьное образование. 
</t>
    </r>
    <r>
      <rPr>
        <i/>
        <sz val="11"/>
        <color theme="1"/>
        <rFont val="Times New Roman"/>
        <family val="1"/>
        <charset val="204"/>
      </rPr>
      <t>Цель программы: Повышение качества, соответствующего требованиям развивающей экономики и сохранение широкого доступа школьного образования</t>
    </r>
  </si>
  <si>
    <t xml:space="preserve">Количество обученных специалистов по изготовлению протезно-ортопедических изделий </t>
  </si>
  <si>
    <t xml:space="preserve">Количество изготовленных протезно-ортопедических изделий, (ед.) . </t>
  </si>
  <si>
    <t>Количество получающих услуги сурдоперевода лица с инвалидностью по слуху и речи</t>
  </si>
  <si>
    <t xml:space="preserve">Количество ЛОВЗ, обеспеченных техническими средствами, (чел.) и потребность в единицах </t>
  </si>
  <si>
    <t>Соотношение размера пособий для детей с ОВЗ к базовой части пенсии</t>
  </si>
  <si>
    <t>Доля обучающихся по  госзаказу к общему числу учащихся в СПО</t>
  </si>
  <si>
    <t>Доля обучающихся по  контракту к общему числу учащихся в СПО</t>
  </si>
  <si>
    <r>
      <t xml:space="preserve">Социальная защита жертв семейного и гендерного насилия.                                                     </t>
    </r>
    <r>
      <rPr>
        <i/>
        <sz val="11"/>
        <rFont val="Times New Roman"/>
        <family val="1"/>
        <charset val="204"/>
      </rPr>
      <t>Цель программы: Минимизация негативного воздействия случаев гендерной дискриминации и насилия на здоровье и благополучие уязвимых групп населения</t>
    </r>
  </si>
  <si>
    <r>
      <rPr>
        <b/>
        <sz val="11"/>
        <color theme="1"/>
        <rFont val="Times New Roman"/>
        <family val="1"/>
        <charset val="204"/>
      </rPr>
      <t xml:space="preserve">Развитие транспортной отрасли в Кыргызской Республике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качества и безопасности предоставляемых транспортных услуг,сохранность автомобильных дорог и развитие рынка авиаперевозок.</t>
    </r>
  </si>
  <si>
    <r>
      <rPr>
        <b/>
        <sz val="11"/>
        <rFont val="Times New Roman"/>
        <family val="1"/>
        <charset val="204"/>
      </rPr>
      <t xml:space="preserve">Подготовка квалифицированных специалистов для авиационного и водного транспорта              </t>
    </r>
    <r>
      <rPr>
        <i/>
        <sz val="11"/>
        <rFont val="Times New Roman"/>
        <family val="1"/>
        <charset val="204"/>
      </rPr>
      <t>Цель: Удовлетворение потребностей предприятий гражданской авиации и водного транспорта КР квалифицированными специалистами в соответствии с потребностями рынка труда</t>
    </r>
  </si>
  <si>
    <t>27. Министерство экономики и финансов Кыргызской Республики</t>
  </si>
  <si>
    <t xml:space="preserve">Управление, администрирование                                                                                            </t>
  </si>
  <si>
    <t>Управление и администрирование на центральном уровне</t>
  </si>
  <si>
    <t>Администрирование на территориальном уровне</t>
  </si>
  <si>
    <t xml:space="preserve">Индекс бюджетной прозрачности   </t>
  </si>
  <si>
    <t>Планирование и прогнозирование бюджета</t>
  </si>
  <si>
    <t xml:space="preserve">Количество министерств и ведомств, представивших Среднесрочные стратегии бюджетных расходов к Основным направлениям фискальной политики Кыргызской Республики </t>
  </si>
  <si>
    <t xml:space="preserve">ед. </t>
  </si>
  <si>
    <t>Анализ и оценка ресурсной базы республиканского бюджета</t>
  </si>
  <si>
    <t>Объем доходов республиканского бюджета</t>
  </si>
  <si>
    <t>млн.сом</t>
  </si>
  <si>
    <t>-</t>
  </si>
  <si>
    <t xml:space="preserve">Планирование капитальных расходов 
</t>
  </si>
  <si>
    <t>Финансирование объектов КВ</t>
  </si>
  <si>
    <t>Финансирование проектов за счет стимулирующих грантов</t>
  </si>
  <si>
    <t>Ежегодный общий объем финансирования стимулирующих грантов</t>
  </si>
  <si>
    <t>Планирование  и привлечение государственных инвестиций</t>
  </si>
  <si>
    <t>Объем привлеченной грантовой помощи</t>
  </si>
  <si>
    <t>Объем привлеченных кредитных средств на льготной основе</t>
  </si>
  <si>
    <t>Поддержание устойчивости государственного долга в среднесрочной перспективе</t>
  </si>
  <si>
    <t xml:space="preserve">Объем просроченной задолженности по государственному долгу </t>
  </si>
  <si>
    <t>Уровень льготности новых внешних заимствований (% грант-элемента)</t>
  </si>
  <si>
    <t>≥ 35%</t>
  </si>
  <si>
    <t>Доля выпуска ГЦБ на аукционной основе</t>
  </si>
  <si>
    <t xml:space="preserve">Объем просроченной задолженности по государственному внутреннему долгу </t>
  </si>
  <si>
    <t>Мониторинг планирования и исполнения местных бюджетов</t>
  </si>
  <si>
    <t>Доля местных бюджетов не получающих межбюджетные трансферты</t>
  </si>
  <si>
    <t xml:space="preserve">Доля просроченной кредиторской задолженности в расходах местных бюджетов </t>
  </si>
  <si>
    <t>Количество проверок ОМСУ в год</t>
  </si>
  <si>
    <t>количество ОМСУ</t>
  </si>
  <si>
    <t xml:space="preserve">Планирование и исполнение местного  бюджета </t>
  </si>
  <si>
    <t>Количество районных фин.подразделений (доля) и ОМСУ, в которых применяется автоматизированное программное обеспечение</t>
  </si>
  <si>
    <t>количество районов, ОМСУ</t>
  </si>
  <si>
    <t xml:space="preserve">Доля получателей бюджетных средств республиканского бюджета, до которых органами казначейства доводятся информация о бюджетных ассигнованиях, лимитах бюджетных средств и кассовых планах </t>
  </si>
  <si>
    <t>Кассовое исполнение бюджета и формирование отчетности об исполнении бюджета</t>
  </si>
  <si>
    <t>Установленный срок предоставления годового отчета об исполнении государственного бюджета</t>
  </si>
  <si>
    <t>дата</t>
  </si>
  <si>
    <t>1 мая</t>
  </si>
  <si>
    <t>Кассовое обслуживание исполнения бюджета на местном уровне</t>
  </si>
  <si>
    <t xml:space="preserve">Эффективное управление государственными финансами
</t>
  </si>
  <si>
    <t>Переподготовка и повышение квалификации сотрудников госуправления и органов МСУ по вопросам  эффективного управления госфинансами</t>
  </si>
  <si>
    <t>Количество слушателей</t>
  </si>
  <si>
    <t>чел</t>
  </si>
  <si>
    <t>Обеспечение эффективности государственных закупок</t>
  </si>
  <si>
    <t xml:space="preserve">Степень удовлетворенности закупающих организаций и поставщиков (подрядчиков) оказанной помощью </t>
  </si>
  <si>
    <t>оценка</t>
  </si>
  <si>
    <t xml:space="preserve">Доля объявлений о государственных закупках на Портале госзакупок от общего числа предоставленной информации в Департамент     </t>
  </si>
  <si>
    <t>доля</t>
  </si>
  <si>
    <t xml:space="preserve">Среднее количество участников в процессе закупок (отношение общего количества поданных заявок к общему количеству объявлений о госзакупках) </t>
  </si>
  <si>
    <t>7 к 1</t>
  </si>
  <si>
    <t>Общее время бесперебойного функционирования Портала в течение года</t>
  </si>
  <si>
    <t>Осуществление государственного контроля и надзора за операциями с драгоценными металлами и драгоценными камнями на территории КР</t>
  </si>
  <si>
    <t>Доля экспертных заключений, подготовленных в установленные сроки</t>
  </si>
  <si>
    <t>Учет, анализ и управление бюджетными кредитами</t>
  </si>
  <si>
    <t>Объем исполнения плановых показателей по возврату государственных заемных средств</t>
  </si>
  <si>
    <t xml:space="preserve">Администрирование государственных доходов 
</t>
  </si>
  <si>
    <t>Налоговое администрирование на центральном уровне</t>
  </si>
  <si>
    <t>% выполнения плановых показателей сбора налогов,страховых взносов и других платежей</t>
  </si>
  <si>
    <t>Обеспечение полноты и своевременности поступлений налогов, страховых взносов и других платежей на территориальном уровне</t>
  </si>
  <si>
    <t>Себестоимость 1 сома собранного налога (Расходы ГНС /к общему объему налоговых поступлений)</t>
  </si>
  <si>
    <t xml:space="preserve">сом </t>
  </si>
  <si>
    <t xml:space="preserve">Планирование, управление и администрирование / Управление, таможенное администритрование и планирование        </t>
  </si>
  <si>
    <t xml:space="preserve">Управление и таможенное администритрование на центральном уровне.              </t>
  </si>
  <si>
    <t>Процент выполнения плановых показателей сбора таможенных платжей, сборов и других видов платежей (%)</t>
  </si>
  <si>
    <t>Администрирование таможенного дела, обеспечение полноты и своевременности поступления таможенных платежей, сборов и других видов платежей на подведомственном уровне</t>
  </si>
  <si>
    <t>Себестоимость 1 сома собранных таможенных платежей и сборов (Расходы ГТС / Общая сумма поступлений платедей и сборов за год)</t>
  </si>
  <si>
    <t>сом.</t>
  </si>
  <si>
    <t xml:space="preserve"> </t>
  </si>
  <si>
    <t>Проведение единой согласованной макроэкономической политики</t>
  </si>
  <si>
    <t>Темп реального роста ВВП, в % к предыдущему году</t>
  </si>
  <si>
    <t>Доля МСП в структуре ВВП</t>
  </si>
  <si>
    <t>39</t>
  </si>
  <si>
    <t>40</t>
  </si>
  <si>
    <t>40,5</t>
  </si>
  <si>
    <t>41</t>
  </si>
  <si>
    <t xml:space="preserve">Развитие экспорта </t>
  </si>
  <si>
    <t>Темп роста объемов экспорта, в % к предыдущему году</t>
  </si>
  <si>
    <t xml:space="preserve">в том числе доля золота </t>
  </si>
  <si>
    <t>Внедрение электронной системы фискализации налоговых процедур</t>
  </si>
  <si>
    <t>Поступления в республиканский бюджет</t>
  </si>
  <si>
    <t>млн. сом.</t>
  </si>
  <si>
    <t>Улучшение позиций страны в международных рейтингах</t>
  </si>
  <si>
    <t>Обновление и публикация ежегодного отчета по международным рейтингам страны (Ведение бизнеса и суверенный рейтинг)</t>
  </si>
  <si>
    <t>место</t>
  </si>
  <si>
    <t xml:space="preserve">Разработка системы мониторинга и оценки развития регионов и оценка деятельности Полномочных представителей Правительства Кыргызской Республике, местных государственных администраций, мэрий городов Бишкек, Ош                              </t>
  </si>
  <si>
    <t>Внедрение рейтинговой системы оценки социально экономического развития регионов. Повышения системности, обоснованности и объективности управленческих решений и повышения эффективности</t>
  </si>
  <si>
    <t>Разработка и внедрение автоматизированной информационной системы по выдаче лицензий на экспорт и импорт  товаров, включенных в единый перечень</t>
  </si>
  <si>
    <t>Доля выданных лицензий на экспорт и импорт товаров, включенных в единый перечень в электронном формате</t>
  </si>
  <si>
    <t>Обеспечение организационно-технической деятельности министерства, а также обучение и повышение квалификации сотрудников</t>
  </si>
  <si>
    <t xml:space="preserve">Создание среды развития для бизнеса   
</t>
  </si>
  <si>
    <t>Cодействие в разработке программы комплексного развития регионов, в том числе составление экономических прогнозов</t>
  </si>
  <si>
    <t>Количество введенных новых предприятий</t>
  </si>
  <si>
    <t>ед.</t>
  </si>
  <si>
    <t xml:space="preserve">Количество созданных новых рабочих мест </t>
  </si>
  <si>
    <t>Обеспечение соблюдения международных обязательств Кыргызской Республики перед Всемирной торговой организации и эффективное использование преимуществ участия Кыргызской Республики в рамках многосторонней торговой системы</t>
  </si>
  <si>
    <t>Объем внешнеторгового оборота Кыргызской Республики  со странами ВТО</t>
  </si>
  <si>
    <t>млн. долл</t>
  </si>
  <si>
    <t xml:space="preserve">Темп роста </t>
  </si>
  <si>
    <t>Проведение информационно-разъяснительной работы среди субъектов предприниательства, потребителей продукции о требованиях и правилах устанавливаемых техническими регламентами ТС/ЕАЭС</t>
  </si>
  <si>
    <t>Количество обученных человек</t>
  </si>
  <si>
    <t>Развитие предоставления услуг по внешнеэкономической деятельности по принципу единого окна</t>
  </si>
  <si>
    <t>Повышение уровня гармонизации  национальных стандартов с международными и европейскими нормами  и защита интересов государства и граждан от последствий недостоверных результатов измерений</t>
  </si>
  <si>
    <t>Уровень обеспечения стадартами,гармонизированными с международными  и европейскими нормами для ТР ТС</t>
  </si>
  <si>
    <t xml:space="preserve">Количество  разработанных межгосударственных стандартов на основе национальных стандартов, в целях защиты интересов бизнеса </t>
  </si>
  <si>
    <t>Количество  разработанных единиц эталонов по видам измерений в национальных институтах других стран и участие в сличениях эталонов по видам  измерений в рамках регионального органов по метрологии</t>
  </si>
  <si>
    <t>2.8.Подтверждение соответствия КЦА на соответствие ИСО/МЭК 17011</t>
  </si>
  <si>
    <t>Предоставление подтверждения о соответствии испытательных, калибровочных, медицинских  лабораторий требованиям международных стандартов</t>
  </si>
  <si>
    <t>Предоставление документа о подтверждении соответствия органов по сертификации продукции/услуг,  по сертификации систем менеджмента , по  сертификации персонала, органов контроля  международным стандартам.</t>
  </si>
  <si>
    <t>Усиление потенциала министерства за счет создания знаний и разработки рекомендаций по совершенствованию экономической политики в приоритетных направлениях, участия в разработке программ и стратегий правительства</t>
  </si>
  <si>
    <t>Подготовка аналитических записок для министерства, Кабинет министров Кыргызской Республики</t>
  </si>
  <si>
    <t>Публикация отчетов, буклетов, брошюр</t>
  </si>
  <si>
    <t>Разработка и реализация образовательных и маркетинговых мероприятий, способствующих пропаганде туризма</t>
  </si>
  <si>
    <t>Количество прибывших граждан из стран дальнего и ближнего зарубежья, подпадающих под классификацию ВТО (Всемирная турист.орг)</t>
  </si>
  <si>
    <t>Доля сферы туристической деятельности в ВВП</t>
  </si>
  <si>
    <t>Экспорт тур.услуг(доходы от приема иностранных граждан)</t>
  </si>
  <si>
    <t>млн.долл.</t>
  </si>
  <si>
    <t>Инвестиции в основной капитал в сфере туризма</t>
  </si>
  <si>
    <t>Антимонопольное администрирование поддержка конкурентных рынков в основных отраслях</t>
  </si>
  <si>
    <t>77 ед.</t>
  </si>
  <si>
    <t>по мере поступления</t>
  </si>
  <si>
    <t>Общая координация на региональном уровне</t>
  </si>
  <si>
    <t>37/7</t>
  </si>
  <si>
    <t>7. Создание условий для производства  и экспорта конкурентоспособной сельскохозяйственной продукции и продукции перерабатывающей промышленности на внутреннем и внешнем рынках в соответствии с международными стандартами и требованиями к халал - индустрии</t>
  </si>
  <si>
    <t xml:space="preserve">Оказание услуг в сфере халал-индустрии, участие в гармонизации и представление предложений по совершенствованию нормативно - правовых актов в сфере халал-индустрии, участие в разработке стандартов в сфере халал-индустрии, предоставление методической помощи и консультации производителям по вопросам внедрения халал-стандартов; участие в разработке стандартов в сфере халал-индустрии по отраслям, гармонизация с международными (региональными) стандартами; </t>
  </si>
  <si>
    <t>Развитие небанковского финансового рынка</t>
  </si>
  <si>
    <t>Управление и администрирование  отрасли на центральном уровне</t>
  </si>
  <si>
    <t xml:space="preserve"> Исполнение бюджета без нарушений</t>
  </si>
  <si>
    <t>Управление и администрирование  отрасли на рерриториальном уровне</t>
  </si>
  <si>
    <t>Развитие рынка ценных бумаг</t>
  </si>
  <si>
    <t xml:space="preserve">Объем биржевых  сделок с ценными бумагами </t>
  </si>
  <si>
    <t>млрд, сом</t>
  </si>
  <si>
    <t xml:space="preserve">Объем эмиссии на фондовом рынке </t>
  </si>
  <si>
    <t>Объем биржевых торгов</t>
  </si>
  <si>
    <t xml:space="preserve">
Развитие рынка страхования и деятельности НПФ</t>
  </si>
  <si>
    <t>Объем собранных страховых премий по обязательным и добровольным видам страхования</t>
  </si>
  <si>
    <t>млрд.сом</t>
  </si>
  <si>
    <t>Доля национального перестрахования</t>
  </si>
  <si>
    <t>Объем средств пенсионных накоплений НПФ</t>
  </si>
  <si>
    <t>Увеличение размера устаного капитала ломбардных организаций</t>
  </si>
  <si>
    <t xml:space="preserve"> Развитие аудита и  бухгалтерского учета</t>
  </si>
  <si>
    <t>Доля организаций , представляющих отчетности по новым стандартом</t>
  </si>
  <si>
    <t>Количество зарегистрированных аудиторов</t>
  </si>
  <si>
    <t xml:space="preserve">Количество зарегистрированных аудиторских организаций </t>
  </si>
  <si>
    <t xml:space="preserve">Кассовое обслуживание исполнения бюджета по доходам и расходам       
</t>
  </si>
  <si>
    <r>
      <t xml:space="preserve">Обеспечение социально-экономического развития Кыргызской Республики                          </t>
    </r>
    <r>
      <rPr>
        <i/>
        <sz val="11"/>
        <rFont val="Times New Roman"/>
        <family val="1"/>
        <charset val="204"/>
      </rPr>
      <t>Цель программы: Формирование единой, согласованной, государственной экономической политики и создание благоприятной среды для ведения предпринимательской деятельности</t>
    </r>
  </si>
  <si>
    <t>25. Министерство финансов Кыргызской Республики</t>
  </si>
  <si>
    <t>251</t>
  </si>
  <si>
    <t>252</t>
  </si>
  <si>
    <t>253</t>
  </si>
  <si>
    <t>254</t>
  </si>
  <si>
    <t>255</t>
  </si>
  <si>
    <t>256</t>
  </si>
  <si>
    <t>257</t>
  </si>
  <si>
    <t>259</t>
  </si>
  <si>
    <t>25</t>
  </si>
  <si>
    <t xml:space="preserve">Формирование бюджета, и обеспечение  сбалансированности и устойчивости бюджета                 </t>
  </si>
  <si>
    <t xml:space="preserve">Количество проведенных анализов состояния конкуренции; Количество субьектов доминантов, исключенных из Госресстра доминантов; Количество хозсубьектов, включенных в Госреестр субьектов естественых монополий  </t>
  </si>
  <si>
    <t xml:space="preserve"> «А »</t>
  </si>
  <si>
    <t>Замена и реконструкция магистральной тепловой сети  «Восток » (ПК-пусковой комплекс)</t>
  </si>
  <si>
    <t>Сокращение потерь ОАО  «Востокэлектро ». Внедрение систем АСКУЭ</t>
  </si>
  <si>
    <t>Сокращение потерь ОАО  «Ошэлектро ». Внедрение систем АСКУЭ</t>
  </si>
  <si>
    <t>Количество городов, включенных в проект ВОЗ  «Здоровые города»</t>
  </si>
  <si>
    <t>Сохранение размера единовременной выплаты при рождении ребенка -  «балага сүйүнчү »текущего года по отношению к предыдущему году</t>
  </si>
  <si>
    <t>Проект  «Противолавинная защита автодороги Бишкек-Ош » (JICA) (Грант) ВБ</t>
  </si>
  <si>
    <t>Экономия финансирования выделенного бюджетным учреждениям по статье  «Оплата за электроэнергию » к данным 2020 года.</t>
  </si>
  <si>
    <t>оценка PEFA  «D»</t>
  </si>
  <si>
    <t>Доля ГРБС, вовремя (в соответствии с НПА) представивших  проектов бюджетов на программной основе для проекта Закона о республиканском бюджете</t>
  </si>
  <si>
    <t xml:space="preserve">Доля пациентов с ТБ, успешно завершивших лечение на уровне ПМСП  </t>
  </si>
  <si>
    <t xml:space="preserve">Количество представителей ключевых групп населения (Лица, употребляющие наркотики, сексработники, мужчины, имеющие секс с мужчинами, люди, живущие с ВИЧ) получивщих комплексный пакет профилактических услуг в связи с ВИЧ </t>
  </si>
  <si>
    <t>Доля детей с онкологическими заболеваниями, охваченные химиопрепаратами</t>
  </si>
  <si>
    <t>Количество пациентов,  получающих дорогостоящую и высокотехнологичную помощь в рамках программы ФВТ (медикаменты для больных с пересаженной почкой, эндопротезы, клапаны сердца, стенды, оклюдеры,оксигинираторы, сосудистые протезы)</t>
  </si>
  <si>
    <t>Количество специалистов, прошедших курсы повышения квалификации за счет республиканского бюджета</t>
  </si>
  <si>
    <t>Количество выпускников КГМА, подготовленных за счет республиканского бюджета на додипломном уровне</t>
  </si>
  <si>
    <t>Количество выпускников,  подготовленных за счет республиканского бюджета на последипломном уровне</t>
  </si>
  <si>
    <t>Количество выпускников КГМА  и КГМИПиПК, подготовленных за счет республиканского бюджета на последипломном уровне</t>
  </si>
  <si>
    <t>Количество выпускников медколледжей, подготовленных за счет республиканского бюджета</t>
  </si>
  <si>
    <r>
      <t xml:space="preserve">Поддержка семей и детей, находящихся в трудной жизненной ситуации
</t>
    </r>
    <r>
      <rPr>
        <i/>
        <sz val="11"/>
        <rFont val="Times New Roman"/>
        <family val="1"/>
        <charset val="204"/>
      </rPr>
      <t>Цель прораммы: Обеспечение и поддержание минимально возможного уровня благосостояния уязвимых групп населения, нуждающихся в помощи государства</t>
    </r>
  </si>
  <si>
    <t>Доля детей в трудной жизненной ситуации, охваченные социальными услугами от количества детей, нуждающихся в таких услугах</t>
  </si>
  <si>
    <t>Разработаны и внедрены квалификационные требования к медицинским специалистам службы скорой медицинской помощи</t>
  </si>
  <si>
    <t>1000 сомов</t>
  </si>
  <si>
    <t xml:space="preserve">Количество обученных врачей-экспертов по международной классификации функционирования </t>
  </si>
  <si>
    <t xml:space="preserve">2. Количество ЛОВЗ, охваченых через госсоцзаказ  </t>
  </si>
  <si>
    <t>Доля ЛОВЗ, охваченных услугами от общего количества ЛОВЗ</t>
  </si>
  <si>
    <t xml:space="preserve">3. Количество пожилых граждан, охваченых услугами через госсоцзаказ к общему количеству пожилых граждан в системе МТСР </t>
  </si>
  <si>
    <t>Предоставление социальных услуг пожилым гражданам и лицам с ограниченными возможностями здоровья (ЛОВЗ) в рамках государственного социального заказа</t>
  </si>
  <si>
    <t>Социальная поддержка матерям, ухаживающим за детьми с ОВЗ, нуждающихся в постоянном уходе и надзоре</t>
  </si>
  <si>
    <t>Количество безработных, охваченных по линии оплачиваемых общественных работ (ООР)</t>
  </si>
  <si>
    <t>Количество граждан, прошедших краткосрочные курсы обучения через Фонд развития навыков (ФРН)</t>
  </si>
  <si>
    <t>Доля средств, выделяемых вузами на развитие научно-исследовательской работы в % к общему объему затрат вузов</t>
  </si>
  <si>
    <t xml:space="preserve">Подготовка проектно-изыскательских работ и экспертизы для ремонтных работ </t>
  </si>
  <si>
    <t>Исключение  ДТП,  связанных со сходом  лавин</t>
  </si>
  <si>
    <t>Протяженность (км)/доля дорог от общей длины международного транспортного коридора Север - Юг</t>
  </si>
  <si>
    <t>Протяженность (км)/доля дорог от общей длины международного транспортного коридора</t>
  </si>
  <si>
    <t>Дезактивация загрязненного белья</t>
  </si>
  <si>
    <r>
      <t>Количество выделенных грантовых мест на обучение по специальности «Сестринское дело</t>
    </r>
    <r>
      <rPr>
        <sz val="11"/>
        <rFont val="Calibri"/>
        <family val="2"/>
        <charset val="204"/>
      </rPr>
      <t>»</t>
    </r>
  </si>
  <si>
    <t xml:space="preserve">Разработаны и внедрены учетно-отчетные формы, новых алгоритмы и стандарты для всех специалистов семейной медицины и подразделений организаций ПМСП, с учетом расширения функций медицинских сестер (карта пациента, журналы) </t>
  </si>
  <si>
    <t>Возвращение (репатриация) детей, являющихся гражданами КР, оставщихся без попечения родителей на территории иностранного государства</t>
  </si>
  <si>
    <t>Доля обучающихся по  госзаказу к общему числу учащихся в вузах</t>
  </si>
  <si>
    <t>«Разрешение неплатежеспособности» Ведение Бизнесса</t>
  </si>
  <si>
    <t xml:space="preserve"> «Налогобложение »  Ведение Бизнесса</t>
  </si>
  <si>
    <t xml:space="preserve">Доля документов выданных по принципу  «единого окна» вовлеченными ведомствами, где проведена полная автоматизация внутренних бизнес процессов </t>
  </si>
  <si>
    <t>Учетно- правовые формы</t>
  </si>
  <si>
    <t>Квалифика ционные требования</t>
  </si>
  <si>
    <t>Обеспечение лиц, не имеющих права на пенсионное обеспечение, ежемесячными социальными пособиями, а также лиц, пострадавшим в событиях 2010 года и  Аксыйского события 2002г. дополнительными ежемесячными социальными пособиями</t>
  </si>
  <si>
    <t xml:space="preserve">Доля ЛОВЗ обеспеченных санаторно-курортными путевками от общего количества обратившихся                                    Количество ЛОВЗ, обеспеченных путевками на санаторно-курортное лечение на количество обращений </t>
  </si>
  <si>
    <t>Доля детей в системе интернатов и детдомов к общему количеству детей (по учреждениям МОН)</t>
  </si>
  <si>
    <t>Процент охвата молодежи начальным и средним профессиональным образованием (от населения в возрасте 15-20 лет)</t>
  </si>
  <si>
    <t>Процент охвата молодежи начальным  профессиональным образованием (от населения в возрасте 15-18 лет)</t>
  </si>
  <si>
    <t xml:space="preserve">Количесвто предоставляемых                                                         научно-иследовательских услуг </t>
  </si>
  <si>
    <t xml:space="preserve">Замена                                                      4 агрегата, реабил. турбинного провода                  ГА №4 </t>
  </si>
  <si>
    <t xml:space="preserve">Замена                       2 агрегата, реабил.турбинного провода                                   ГА №4 </t>
  </si>
  <si>
    <t xml:space="preserve">Замена 1 агрегата, реабил. турбинного провода            ГА №4 </t>
  </si>
  <si>
    <t xml:space="preserve">Замена 3го агрегата, реабил. турбинного провода                         ГА №4 </t>
  </si>
  <si>
    <t>АСКУЭ 18,0 тыс. In СИП                                    122,64 км</t>
  </si>
  <si>
    <t>Обеспечение абонентов центральным отоплением от общего количества абонентов</t>
  </si>
  <si>
    <t>Удержание расхода топлива на выработку               1 Гкал тепловой энрегии</t>
  </si>
  <si>
    <t>Приложение 11-1
к Закону Кыргызской Республики «О республиканском бюджете 
Кыргызской Республики на 2022 год и прогнозе на 2023-2024 годы»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</si>
</sst>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&quot;₽&quot;_-;\-* #,##0.00\ &quot;₽&quot;_-;_-* &quot;-&quot;??\ &quot;₽&quot;_-;_-@_-"/>
    <numFmt numFmtId="165" formatCode="_-* #,##0.00\ _₽_-;\-* #,##0.00\ _₽_-;_-* &quot;-&quot;??\ _₽_-;_-@_-"/>
    <numFmt numFmtId="166" formatCode="#,##0.0"/>
    <numFmt numFmtId="167" formatCode="0.0"/>
    <numFmt numFmtId="168" formatCode="_(* #,##0.00_);_(* \(#,##0.00\);_(* &quot;-&quot;??_);_(@_)"/>
    <numFmt numFmtId="169" formatCode="###,000__;\-###,000__"/>
    <numFmt numFmtId="170" formatCode="##,#00__;\-##,#00__"/>
    <numFmt numFmtId="171" formatCode="#,##0.0_р_."/>
    <numFmt numFmtId="172" formatCode="0.0%"/>
    <numFmt numFmtId="173" formatCode="_-* #,##0.0_р_._-;\-* #,##0.0_р_._-;_-* &quot;-&quot;??_р_._-;_-@_-"/>
    <numFmt numFmtId="174" formatCode="_-* #,##0.00\ _р_._-;\-* #,##0.00\ _р_._-;_-* &quot;-&quot;??\ _р_._-;_-@_-"/>
    <numFmt numFmtId="175" formatCode="#,##0.0_ ;\-#,##0.0\ "/>
    <numFmt numFmtId="176" formatCode="0.0000"/>
    <numFmt numFmtId="177" formatCode="#,##0_ ;\-#,##0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</font>
    <font>
      <sz val="10"/>
      <color indexed="8"/>
      <name val="MS Sans Serif"/>
      <family val="2"/>
      <charset val="204"/>
    </font>
    <font>
      <sz val="10"/>
      <name val="Times New Roman Cyr"/>
      <charset val="204"/>
    </font>
    <font>
      <sz val="11"/>
      <color indexed="8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i/>
      <sz val="1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1"/>
    </font>
    <font>
      <sz val="8"/>
      <name val="Arial"/>
      <family val="2"/>
      <charset val="204"/>
    </font>
    <font>
      <sz val="10"/>
      <color rgb="FFFF000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11"/>
      <color rgb="FF2B2B2B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3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0" fontId="1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166" fontId="13" fillId="0" borderId="0"/>
    <xf numFmtId="0" fontId="14" fillId="0" borderId="0"/>
    <xf numFmtId="0" fontId="15" fillId="0" borderId="0"/>
    <xf numFmtId="0" fontId="15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8" fillId="0" borderId="0"/>
    <xf numFmtId="0" fontId="11" fillId="0" borderId="0"/>
    <xf numFmtId="0" fontId="11" fillId="0" borderId="0"/>
    <xf numFmtId="0" fontId="20" fillId="0" borderId="0"/>
    <xf numFmtId="0" fontId="2" fillId="0" borderId="0"/>
    <xf numFmtId="165" fontId="2" fillId="0" borderId="0" applyFont="0" applyFill="0" applyBorder="0" applyAlignment="0" applyProtection="0"/>
    <xf numFmtId="0" fontId="10" fillId="0" borderId="0"/>
    <xf numFmtId="0" fontId="1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2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2" fillId="0" borderId="2">
      <alignment vertical="center" wrapText="1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9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0" borderId="0" applyNumberFormat="0" applyBorder="0" applyAlignment="0" applyProtection="0"/>
    <xf numFmtId="0" fontId="24" fillId="9" borderId="0" applyNumberFormat="0" applyBorder="0" applyAlignment="0" applyProtection="0"/>
    <xf numFmtId="0" fontId="24" fillId="25" borderId="0" applyNumberFormat="0" applyBorder="0" applyAlignment="0" applyProtection="0"/>
    <xf numFmtId="0" fontId="31" fillId="11" borderId="0" applyNumberFormat="0" applyBorder="0" applyAlignment="0" applyProtection="0"/>
    <xf numFmtId="0" fontId="27" fillId="7" borderId="3" applyNumberFormat="0" applyAlignment="0" applyProtection="0"/>
    <xf numFmtId="0" fontId="29" fillId="26" borderId="4" applyNumberFormat="0" applyAlignment="0" applyProtection="0"/>
    <xf numFmtId="0" fontId="32" fillId="0" borderId="0" applyNumberFormat="0" applyFill="0" applyBorder="0" applyAlignment="0" applyProtection="0"/>
    <xf numFmtId="0" fontId="35" fillId="12" borderId="0" applyNumberFormat="0" applyBorder="0" applyAlignment="0" applyProtection="0"/>
    <xf numFmtId="0" fontId="36" fillId="0" borderId="5" applyNumberFormat="0" applyFill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8" fillId="0" borderId="0" applyNumberFormat="0" applyFill="0" applyBorder="0" applyAlignment="0" applyProtection="0"/>
    <xf numFmtId="0" fontId="25" fillId="5" borderId="3" applyNumberFormat="0" applyAlignment="0" applyProtection="0"/>
    <xf numFmtId="0" fontId="33" fillId="0" borderId="8" applyNumberFormat="0" applyFill="0" applyAlignment="0" applyProtection="0"/>
    <xf numFmtId="0" fontId="30" fillId="8" borderId="0" applyNumberFormat="0" applyBorder="0" applyAlignment="0" applyProtection="0"/>
    <xf numFmtId="0" fontId="20" fillId="6" borderId="9" applyNumberFormat="0" applyFont="0" applyAlignment="0" applyProtection="0"/>
    <xf numFmtId="0" fontId="26" fillId="7" borderId="10" applyNumberFormat="0" applyAlignment="0" applyProtection="0"/>
    <xf numFmtId="0" fontId="39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2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1" fillId="0" borderId="0"/>
    <xf numFmtId="0" fontId="4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1" fillId="0" borderId="0"/>
    <xf numFmtId="174" fontId="18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0" fontId="27" fillId="7" borderId="12" applyNumberFormat="0" applyAlignment="0" applyProtection="0"/>
    <xf numFmtId="0" fontId="25" fillId="5" borderId="12" applyNumberFormat="0" applyAlignment="0" applyProtection="0"/>
    <xf numFmtId="0" fontId="20" fillId="6" borderId="13" applyNumberFormat="0" applyFont="0" applyAlignment="0" applyProtection="0"/>
    <xf numFmtId="0" fontId="26" fillId="7" borderId="14" applyNumberFormat="0" applyAlignment="0" applyProtection="0"/>
    <xf numFmtId="0" fontId="28" fillId="0" borderId="15" applyNumberFormat="0" applyFill="0" applyAlignment="0" applyProtection="0"/>
  </cellStyleXfs>
  <cellXfs count="404">
    <xf numFmtId="0" fontId="0" fillId="0" borderId="0" xfId="0"/>
    <xf numFmtId="0" fontId="5" fillId="0" borderId="0" xfId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4" fillId="2" borderId="1" xfId="0" applyFont="1" applyFill="1" applyBorder="1" applyAlignment="1">
      <alignment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167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 applyFill="1"/>
    <xf numFmtId="0" fontId="4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 wrapText="1"/>
    </xf>
    <xf numFmtId="167" fontId="16" fillId="0" borderId="1" xfId="0" applyNumberFormat="1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wrapText="1"/>
    </xf>
    <xf numFmtId="172" fontId="5" fillId="2" borderId="1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4" fillId="3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9" fontId="9" fillId="0" borderId="1" xfId="0" applyNumberFormat="1" applyFont="1" applyFill="1" applyBorder="1" applyAlignment="1">
      <alignment horizontal="center" vertical="center"/>
    </xf>
    <xf numFmtId="170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wrapText="1"/>
    </xf>
    <xf numFmtId="166" fontId="16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left" vertical="center" wrapText="1"/>
    </xf>
    <xf numFmtId="9" fontId="9" fillId="0" borderId="1" xfId="42" applyFont="1" applyFill="1" applyBorder="1" applyAlignment="1">
      <alignment horizontal="center" vertical="center" wrapText="1"/>
    </xf>
    <xf numFmtId="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9" fontId="9" fillId="0" borderId="1" xfId="0" applyNumberFormat="1" applyFont="1" applyFill="1" applyBorder="1" applyAlignment="1">
      <alignment horizontal="center" vertical="center" wrapText="1"/>
    </xf>
    <xf numFmtId="43" fontId="9" fillId="0" borderId="1" xfId="24" applyFont="1" applyFill="1" applyBorder="1" applyAlignment="1">
      <alignment horizontal="center" vertical="center" wrapText="1"/>
    </xf>
    <xf numFmtId="165" fontId="9" fillId="0" borderId="1" xfId="4" applyFont="1" applyFill="1" applyBorder="1" applyAlignment="1">
      <alignment horizontal="center" vertical="center" wrapText="1"/>
    </xf>
    <xf numFmtId="49" fontId="8" fillId="0" borderId="1" xfId="4" applyNumberFormat="1" applyFont="1" applyFill="1" applyBorder="1" applyAlignment="1">
      <alignment horizontal="center" vertical="center"/>
    </xf>
    <xf numFmtId="175" fontId="8" fillId="0" borderId="1" xfId="4" applyNumberFormat="1" applyFont="1" applyFill="1" applyBorder="1" applyAlignment="1">
      <alignment horizontal="right" vertical="center"/>
    </xf>
    <xf numFmtId="166" fontId="9" fillId="0" borderId="1" xfId="0" applyNumberFormat="1" applyFont="1" applyFill="1" applyBorder="1" applyAlignment="1">
      <alignment horizontal="right" vertical="center" wrapText="1"/>
    </xf>
    <xf numFmtId="173" fontId="8" fillId="0" borderId="1" xfId="4" applyNumberFormat="1" applyFont="1" applyFill="1" applyBorder="1" applyAlignment="1">
      <alignment horizontal="right" vertical="center" wrapText="1"/>
    </xf>
    <xf numFmtId="175" fontId="9" fillId="0" borderId="1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right" vertical="center"/>
    </xf>
    <xf numFmtId="169" fontId="5" fillId="0" borderId="1" xfId="0" applyNumberFormat="1" applyFont="1" applyFill="1" applyBorder="1" applyAlignment="1">
      <alignment horizontal="right" vertical="center"/>
    </xf>
    <xf numFmtId="9" fontId="9" fillId="0" borderId="1" xfId="2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66" fontId="8" fillId="0" borderId="1" xfId="5" applyNumberFormat="1" applyFont="1" applyFill="1" applyBorder="1" applyAlignment="1">
      <alignment horizontal="center" vertical="center" wrapText="1"/>
    </xf>
    <xf numFmtId="172" fontId="8" fillId="0" borderId="1" xfId="2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vertical="center" wrapText="1"/>
    </xf>
    <xf numFmtId="172" fontId="16" fillId="0" borderId="1" xfId="2" applyNumberFormat="1" applyFont="1" applyFill="1" applyBorder="1" applyAlignment="1">
      <alignment horizontal="center" vertical="center" wrapText="1"/>
    </xf>
    <xf numFmtId="167" fontId="16" fillId="0" borderId="1" xfId="2" applyNumberFormat="1" applyFont="1" applyFill="1" applyBorder="1" applyAlignment="1">
      <alignment horizontal="center" vertical="center" wrapText="1"/>
    </xf>
    <xf numFmtId="166" fontId="16" fillId="0" borderId="1" xfId="2" applyNumberFormat="1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 wrapText="1"/>
    </xf>
    <xf numFmtId="172" fontId="16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66" fontId="8" fillId="2" borderId="1" xfId="0" applyNumberFormat="1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/>
    </xf>
    <xf numFmtId="166" fontId="4" fillId="2" borderId="1" xfId="1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17" fillId="2" borderId="1" xfId="0" applyFont="1" applyFill="1" applyBorder="1" applyAlignment="1">
      <alignment horizontal="left" wrapText="1"/>
    </xf>
    <xf numFmtId="0" fontId="4" fillId="2" borderId="1" xfId="5" applyFont="1" applyFill="1" applyBorder="1" applyAlignment="1">
      <alignment vertical="center" wrapText="1"/>
    </xf>
    <xf numFmtId="13" fontId="5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 wrapText="1"/>
    </xf>
    <xf numFmtId="166" fontId="4" fillId="2" borderId="1" xfId="11" applyNumberFormat="1" applyFont="1" applyFill="1" applyBorder="1" applyAlignment="1">
      <alignment horizontal="center" vertical="center" wrapText="1"/>
    </xf>
    <xf numFmtId="166" fontId="8" fillId="2" borderId="1" xfId="11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center" vertical="center"/>
    </xf>
    <xf numFmtId="166" fontId="5" fillId="2" borderId="1" xfId="1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3" borderId="17" xfId="1" applyFont="1" applyFill="1" applyBorder="1" applyAlignment="1">
      <alignment horizontal="center" vertical="center" wrapText="1"/>
    </xf>
    <xf numFmtId="3" fontId="9" fillId="0" borderId="17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/>
    </xf>
    <xf numFmtId="166" fontId="9" fillId="0" borderId="17" xfId="0" applyNumberFormat="1" applyFont="1" applyFill="1" applyBorder="1" applyAlignment="1">
      <alignment horizontal="center" vertical="center" wrapText="1"/>
    </xf>
    <xf numFmtId="1" fontId="9" fillId="0" borderId="17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/>
    </xf>
    <xf numFmtId="9" fontId="9" fillId="0" borderId="17" xfId="42" applyFont="1" applyFill="1" applyBorder="1" applyAlignment="1">
      <alignment horizontal="center" vertical="center" wrapText="1"/>
    </xf>
    <xf numFmtId="0" fontId="9" fillId="0" borderId="17" xfId="0" applyNumberFormat="1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166" fontId="8" fillId="0" borderId="17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 wrapText="1"/>
    </xf>
    <xf numFmtId="166" fontId="8" fillId="0" borderId="17" xfId="5" applyNumberFormat="1" applyFont="1" applyFill="1" applyBorder="1" applyAlignment="1">
      <alignment horizontal="center" vertical="center" wrapText="1"/>
    </xf>
    <xf numFmtId="172" fontId="8" fillId="0" borderId="17" xfId="2" applyNumberFormat="1" applyFont="1" applyFill="1" applyBorder="1" applyAlignment="1">
      <alignment horizontal="center" vertical="center" wrapText="1"/>
    </xf>
    <xf numFmtId="166" fontId="16" fillId="0" borderId="17" xfId="0" applyNumberFormat="1" applyFont="1" applyFill="1" applyBorder="1" applyAlignment="1">
      <alignment horizontal="center" vertical="center" wrapText="1"/>
    </xf>
    <xf numFmtId="172" fontId="16" fillId="0" borderId="17" xfId="2" applyNumberFormat="1" applyFont="1" applyFill="1" applyBorder="1" applyAlignment="1">
      <alignment horizontal="center" vertical="center" wrapText="1"/>
    </xf>
    <xf numFmtId="9" fontId="9" fillId="0" borderId="17" xfId="2" applyFont="1" applyFill="1" applyBorder="1" applyAlignment="1">
      <alignment horizontal="center" vertical="center" wrapText="1"/>
    </xf>
    <xf numFmtId="166" fontId="16" fillId="0" borderId="17" xfId="2" applyNumberFormat="1" applyFont="1" applyFill="1" applyBorder="1" applyAlignment="1">
      <alignment horizontal="center" vertical="center" wrapText="1"/>
    </xf>
    <xf numFmtId="3" fontId="16" fillId="0" borderId="17" xfId="0" applyNumberFormat="1" applyFont="1" applyFill="1" applyBorder="1" applyAlignment="1">
      <alignment horizontal="center" vertical="center" wrapText="1"/>
    </xf>
    <xf numFmtId="166" fontId="4" fillId="0" borderId="17" xfId="0" applyNumberFormat="1" applyFont="1" applyFill="1" applyBorder="1" applyAlignment="1">
      <alignment horizontal="center" vertical="center" wrapText="1"/>
    </xf>
    <xf numFmtId="166" fontId="5" fillId="0" borderId="17" xfId="0" applyNumberFormat="1" applyFont="1" applyFill="1" applyBorder="1" applyAlignment="1">
      <alignment horizontal="center" vertical="center"/>
    </xf>
    <xf numFmtId="167" fontId="5" fillId="0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9" fontId="5" fillId="2" borderId="17" xfId="0" applyNumberFormat="1" applyFont="1" applyFill="1" applyBorder="1" applyAlignment="1">
      <alignment horizontal="center" vertical="center"/>
    </xf>
    <xf numFmtId="166" fontId="4" fillId="3" borderId="19" xfId="11" applyNumberFormat="1" applyFont="1" applyFill="1" applyBorder="1" applyAlignment="1">
      <alignment horizontal="center" vertical="center"/>
    </xf>
    <xf numFmtId="0" fontId="5" fillId="3" borderId="19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19" fillId="0" borderId="1" xfId="5" applyFont="1" applyFill="1" applyBorder="1" applyAlignment="1">
      <alignment vertical="center" wrapText="1"/>
    </xf>
    <xf numFmtId="0" fontId="8" fillId="2" borderId="1" xfId="5" applyFont="1" applyFill="1" applyBorder="1" applyAlignment="1">
      <alignment vertical="center" wrapText="1"/>
    </xf>
    <xf numFmtId="0" fontId="9" fillId="2" borderId="1" xfId="5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top" wrapText="1"/>
    </xf>
    <xf numFmtId="0" fontId="4" fillId="2" borderId="1" xfId="5" applyFont="1" applyFill="1" applyBorder="1" applyAlignment="1">
      <alignment horizontal="left" vertical="center" wrapText="1"/>
    </xf>
    <xf numFmtId="166" fontId="8" fillId="2" borderId="1" xfId="11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center" wrapText="1"/>
    </xf>
    <xf numFmtId="0" fontId="19" fillId="0" borderId="27" xfId="5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vertical="center" wrapText="1"/>
    </xf>
    <xf numFmtId="49" fontId="5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/>
    </xf>
    <xf numFmtId="0" fontId="5" fillId="0" borderId="1" xfId="5" applyFont="1" applyFill="1" applyBorder="1" applyAlignment="1">
      <alignment vertical="center" wrapText="1"/>
    </xf>
    <xf numFmtId="0" fontId="5" fillId="0" borderId="26" xfId="5" applyFont="1" applyFill="1" applyBorder="1" applyAlignment="1">
      <alignment vertical="center" wrapText="1"/>
    </xf>
    <xf numFmtId="3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166" fontId="5" fillId="0" borderId="1" xfId="7" applyNumberFormat="1" applyFont="1" applyFill="1" applyBorder="1" applyAlignment="1">
      <alignment horizontal="center" vertical="center" wrapText="1"/>
    </xf>
    <xf numFmtId="166" fontId="5" fillId="0" borderId="1" xfId="7" applyNumberFormat="1" applyFont="1" applyFill="1" applyBorder="1" applyAlignment="1">
      <alignment horizontal="center" wrapText="1"/>
    </xf>
    <xf numFmtId="0" fontId="9" fillId="0" borderId="1" xfId="13" applyFont="1" applyFill="1" applyBorder="1" applyAlignment="1">
      <alignment vertical="top" wrapText="1"/>
    </xf>
    <xf numFmtId="0" fontId="9" fillId="0" borderId="1" xfId="13" applyFont="1" applyFill="1" applyBorder="1" applyAlignment="1">
      <alignment horizontal="center" vertical="center" wrapText="1"/>
    </xf>
    <xf numFmtId="3" fontId="9" fillId="0" borderId="1" xfId="13" applyNumberFormat="1" applyFont="1" applyFill="1" applyBorder="1" applyAlignment="1">
      <alignment horizontal="center" vertical="center" wrapText="1"/>
    </xf>
    <xf numFmtId="0" fontId="9" fillId="0" borderId="1" xfId="13" applyFont="1" applyFill="1" applyBorder="1" applyAlignment="1">
      <alignment horizontal="center" vertical="center"/>
    </xf>
    <xf numFmtId="0" fontId="9" fillId="0" borderId="17" xfId="13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9" fillId="0" borderId="1" xfId="12" applyFont="1" applyFill="1" applyBorder="1" applyAlignment="1">
      <alignment horizontal="center" vertical="center"/>
    </xf>
    <xf numFmtId="3" fontId="9" fillId="0" borderId="1" xfId="12" applyNumberFormat="1" applyFont="1" applyFill="1" applyBorder="1" applyAlignment="1">
      <alignment horizontal="center" vertical="center" wrapText="1"/>
    </xf>
    <xf numFmtId="0" fontId="9" fillId="0" borderId="17" xfId="12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49" fontId="9" fillId="0" borderId="24" xfId="0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166" fontId="5" fillId="0" borderId="1" xfId="0" applyNumberFormat="1" applyFont="1" applyFill="1" applyBorder="1" applyAlignment="1">
      <alignment vertical="center" wrapText="1"/>
    </xf>
    <xf numFmtId="173" fontId="9" fillId="0" borderId="1" xfId="4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 wrapText="1"/>
    </xf>
    <xf numFmtId="166" fontId="5" fillId="0" borderId="1" xfId="32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left" vertical="center" wrapText="1"/>
    </xf>
    <xf numFmtId="166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66" fontId="5" fillId="2" borderId="1" xfId="11" applyNumberFormat="1" applyFont="1" applyFill="1" applyBorder="1" applyAlignment="1">
      <alignment horizontal="center" vertical="center"/>
    </xf>
    <xf numFmtId="166" fontId="9" fillId="2" borderId="1" xfId="11" applyNumberFormat="1" applyFont="1" applyFill="1" applyBorder="1" applyAlignment="1">
      <alignment horizontal="center" vertical="center" wrapText="1"/>
    </xf>
    <xf numFmtId="166" fontId="9" fillId="2" borderId="1" xfId="0" applyNumberFormat="1" applyFont="1" applyFill="1" applyBorder="1" applyAlignment="1">
      <alignment horizontal="center" vertical="center" wrapText="1"/>
    </xf>
    <xf numFmtId="166" fontId="9" fillId="2" borderId="1" xfId="1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166" fontId="4" fillId="0" borderId="1" xfId="32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 wrapText="1"/>
    </xf>
    <xf numFmtId="175" fontId="9" fillId="0" borderId="1" xfId="0" applyNumberFormat="1" applyFont="1" applyFill="1" applyBorder="1" applyAlignment="1">
      <alignment horizontal="right" vertical="center"/>
    </xf>
    <xf numFmtId="175" fontId="9" fillId="0" borderId="1" xfId="4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/>
    </xf>
    <xf numFmtId="166" fontId="4" fillId="0" borderId="25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 wrapText="1"/>
    </xf>
    <xf numFmtId="170" fontId="5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 wrapText="1"/>
    </xf>
    <xf numFmtId="166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16" fontId="9" fillId="0" borderId="1" xfId="0" applyNumberFormat="1" applyFont="1" applyFill="1" applyBorder="1" applyAlignment="1">
      <alignment horizontal="left" vertical="center" wrapText="1"/>
    </xf>
    <xf numFmtId="166" fontId="5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top"/>
    </xf>
    <xf numFmtId="49" fontId="9" fillId="0" borderId="1" xfId="0" applyNumberFormat="1" applyFont="1" applyFill="1" applyBorder="1" applyAlignment="1">
      <alignment horizontal="center" vertical="top"/>
    </xf>
    <xf numFmtId="49" fontId="9" fillId="0" borderId="1" xfId="0" applyNumberFormat="1" applyFont="1" applyFill="1" applyBorder="1" applyAlignment="1">
      <alignment horizontal="center" vertical="top" wrapText="1"/>
    </xf>
    <xf numFmtId="166" fontId="6" fillId="0" borderId="1" xfId="0" applyNumberFormat="1" applyFont="1" applyFill="1" applyBorder="1" applyAlignment="1" applyProtection="1">
      <alignment horizontal="center" vertical="center" wrapText="1"/>
    </xf>
    <xf numFmtId="166" fontId="9" fillId="0" borderId="1" xfId="7" applyNumberFormat="1" applyFont="1" applyFill="1" applyBorder="1" applyAlignment="1">
      <alignment horizontal="center" vertical="center" wrapText="1"/>
    </xf>
    <xf numFmtId="166" fontId="4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7" fontId="9" fillId="0" borderId="1" xfId="0" applyNumberFormat="1" applyFont="1" applyFill="1" applyBorder="1" applyAlignment="1">
      <alignment horizontal="center" vertical="center" wrapText="1"/>
    </xf>
    <xf numFmtId="167" fontId="9" fillId="0" borderId="17" xfId="0" applyNumberFormat="1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6" fillId="27" borderId="29" xfId="0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/>
    </xf>
    <xf numFmtId="167" fontId="5" fillId="0" borderId="17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0" borderId="17" xfId="0" applyNumberFormat="1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3" fontId="9" fillId="0" borderId="17" xfId="0" applyNumberFormat="1" applyFont="1" applyFill="1" applyBorder="1" applyAlignment="1">
      <alignment horizontal="center" vertical="center"/>
    </xf>
    <xf numFmtId="175" fontId="9" fillId="0" borderId="1" xfId="4" applyNumberFormat="1" applyFont="1" applyFill="1" applyBorder="1" applyAlignment="1">
      <alignment horizontal="center" vertical="center"/>
    </xf>
    <xf numFmtId="175" fontId="9" fillId="0" borderId="17" xfId="4" applyNumberFormat="1" applyFont="1" applyFill="1" applyBorder="1" applyAlignment="1">
      <alignment horizontal="center" vertical="center"/>
    </xf>
    <xf numFmtId="167" fontId="9" fillId="0" borderId="1" xfId="0" applyNumberFormat="1" applyFont="1" applyFill="1" applyBorder="1" applyAlignment="1">
      <alignment horizontal="center" vertical="center"/>
    </xf>
    <xf numFmtId="167" fontId="9" fillId="0" borderId="17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17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17" xfId="0" applyNumberFormat="1" applyFont="1" applyFill="1" applyBorder="1" applyAlignment="1">
      <alignment horizontal="center" vertical="center" wrapText="1"/>
    </xf>
    <xf numFmtId="175" fontId="9" fillId="0" borderId="1" xfId="4" applyNumberFormat="1" applyFont="1" applyFill="1" applyBorder="1" applyAlignment="1">
      <alignment horizontal="right" vertical="center"/>
    </xf>
    <xf numFmtId="171" fontId="48" fillId="0" borderId="0" xfId="0" applyNumberFormat="1" applyFont="1" applyBorder="1" applyAlignment="1">
      <alignment horizontal="right" vertical="center" wrapText="1"/>
    </xf>
    <xf numFmtId="173" fontId="9" fillId="0" borderId="1" xfId="4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26" xfId="0" applyFont="1" applyFill="1" applyBorder="1" applyAlignment="1">
      <alignment horizontal="left" vertical="center" wrapText="1"/>
    </xf>
    <xf numFmtId="166" fontId="5" fillId="0" borderId="1" xfId="32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166" fontId="4" fillId="3" borderId="19" xfId="0" applyNumberFormat="1" applyFont="1" applyFill="1" applyBorder="1" applyAlignment="1">
      <alignment vertical="center"/>
    </xf>
    <xf numFmtId="166" fontId="4" fillId="3" borderId="23" xfId="0" applyNumberFormat="1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left" vertical="center" wrapText="1"/>
    </xf>
    <xf numFmtId="166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66" fontId="5" fillId="2" borderId="1" xfId="1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166" fontId="9" fillId="2" borderId="1" xfId="11" applyNumberFormat="1" applyFont="1" applyFill="1" applyBorder="1" applyAlignment="1">
      <alignment horizontal="center" vertical="center" wrapText="1"/>
    </xf>
    <xf numFmtId="166" fontId="9" fillId="2" borderId="1" xfId="0" applyNumberFormat="1" applyFont="1" applyFill="1" applyBorder="1" applyAlignment="1">
      <alignment horizontal="center" vertical="center" wrapText="1"/>
    </xf>
    <xf numFmtId="166" fontId="9" fillId="2" borderId="1" xfId="1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1" fontId="8" fillId="4" borderId="18" xfId="0" applyNumberFormat="1" applyFont="1" applyFill="1" applyBorder="1" applyAlignment="1">
      <alignment horizontal="left" vertical="center" wrapText="1"/>
    </xf>
    <xf numFmtId="171" fontId="8" fillId="4" borderId="1" xfId="0" applyNumberFormat="1" applyFont="1" applyFill="1" applyBorder="1" applyAlignment="1">
      <alignment horizontal="left" vertical="center" wrapText="1"/>
    </xf>
    <xf numFmtId="171" fontId="8" fillId="4" borderId="17" xfId="0" applyNumberFormat="1" applyFont="1" applyFill="1" applyBorder="1" applyAlignment="1">
      <alignment horizontal="left" vertical="center" wrapText="1"/>
    </xf>
    <xf numFmtId="0" fontId="6" fillId="2" borderId="26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4" fillId="3" borderId="20" xfId="1" applyFont="1" applyFill="1" applyBorder="1" applyAlignment="1">
      <alignment horizontal="center" vertical="center" wrapText="1"/>
    </xf>
    <xf numFmtId="0" fontId="4" fillId="3" borderId="18" xfId="1" applyFont="1" applyFill="1" applyBorder="1" applyAlignment="1">
      <alignment horizontal="center" vertical="center" wrapText="1"/>
    </xf>
    <xf numFmtId="164" fontId="4" fillId="3" borderId="16" xfId="8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166" fontId="4" fillId="0" borderId="1" xfId="32" applyNumberFormat="1" applyFont="1" applyFill="1" applyBorder="1" applyAlignment="1">
      <alignment horizontal="center" vertical="center" wrapText="1"/>
    </xf>
    <xf numFmtId="43" fontId="9" fillId="0" borderId="1" xfId="24" applyFont="1" applyFill="1" applyBorder="1" applyAlignment="1">
      <alignment horizontal="center" vertical="center"/>
    </xf>
    <xf numFmtId="165" fontId="9" fillId="0" borderId="1" xfId="4" applyFont="1" applyFill="1" applyBorder="1" applyAlignment="1">
      <alignment horizontal="center" vertical="center"/>
    </xf>
    <xf numFmtId="170" fontId="8" fillId="3" borderId="18" xfId="0" applyNumberFormat="1" applyFont="1" applyFill="1" applyBorder="1" applyAlignment="1">
      <alignment horizontal="left"/>
    </xf>
    <xf numFmtId="170" fontId="8" fillId="3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 wrapText="1"/>
    </xf>
    <xf numFmtId="175" fontId="9" fillId="0" borderId="1" xfId="0" applyNumberFormat="1" applyFont="1" applyFill="1" applyBorder="1" applyAlignment="1">
      <alignment horizontal="right" vertical="center"/>
    </xf>
    <xf numFmtId="175" fontId="9" fillId="0" borderId="1" xfId="4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167" fontId="9" fillId="0" borderId="1" xfId="0" applyNumberFormat="1" applyFont="1" applyFill="1" applyBorder="1" applyAlignment="1">
      <alignment horizontal="center" vertical="center" wrapText="1"/>
    </xf>
    <xf numFmtId="167" fontId="9" fillId="0" borderId="17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left" vertical="center"/>
    </xf>
    <xf numFmtId="166" fontId="9" fillId="0" borderId="1" xfId="0" applyNumberFormat="1" applyFont="1" applyFill="1" applyBorder="1" applyAlignment="1">
      <alignment horizontal="center" vertical="center"/>
    </xf>
    <xf numFmtId="173" fontId="9" fillId="0" borderId="1" xfId="4" applyNumberFormat="1" applyFont="1" applyFill="1" applyBorder="1" applyAlignment="1">
      <alignment horizontal="right" vertical="center" wrapText="1"/>
    </xf>
    <xf numFmtId="166" fontId="9" fillId="0" borderId="1" xfId="0" applyNumberFormat="1" applyFont="1" applyFill="1" applyBorder="1" applyAlignment="1">
      <alignment horizontal="right" vertical="center"/>
    </xf>
    <xf numFmtId="49" fontId="8" fillId="0" borderId="18" xfId="0" applyNumberFormat="1" applyFont="1" applyFill="1" applyBorder="1" applyAlignment="1">
      <alignment horizontal="center" vertical="center" wrapText="1"/>
    </xf>
    <xf numFmtId="175" fontId="9" fillId="0" borderId="1" xfId="4" applyNumberFormat="1" applyFont="1" applyFill="1" applyBorder="1" applyAlignment="1">
      <alignment horizontal="right" vertical="center" wrapText="1"/>
    </xf>
    <xf numFmtId="175" fontId="9" fillId="0" borderId="1" xfId="4" applyNumberFormat="1" applyFont="1" applyFill="1" applyBorder="1" applyAlignment="1">
      <alignment vertical="center"/>
    </xf>
    <xf numFmtId="166" fontId="4" fillId="0" borderId="25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 wrapText="1"/>
    </xf>
    <xf numFmtId="167" fontId="8" fillId="0" borderId="1" xfId="0" applyNumberFormat="1" applyFont="1" applyFill="1" applyBorder="1" applyAlignment="1">
      <alignment horizontal="center" vertical="center" wrapText="1"/>
    </xf>
    <xf numFmtId="2" fontId="4" fillId="0" borderId="17" xfId="2" applyNumberFormat="1" applyFont="1" applyFill="1" applyBorder="1" applyAlignment="1">
      <alignment horizontal="center" vertical="center" wrapText="1"/>
    </xf>
    <xf numFmtId="167" fontId="8" fillId="0" borderId="17" xfId="0" applyNumberFormat="1" applyFont="1" applyFill="1" applyBorder="1" applyAlignment="1">
      <alignment horizontal="center" vertical="center" wrapText="1"/>
    </xf>
    <xf numFmtId="170" fontId="5" fillId="0" borderId="1" xfId="0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left" vertical="center" wrapText="1"/>
    </xf>
    <xf numFmtId="3" fontId="9" fillId="0" borderId="1" xfId="0" applyNumberFormat="1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70" fontId="4" fillId="0" borderId="24" xfId="0" applyNumberFormat="1" applyFont="1" applyFill="1" applyBorder="1" applyAlignment="1">
      <alignment horizontal="center" vertical="center"/>
    </xf>
    <xf numFmtId="0" fontId="4" fillId="0" borderId="26" xfId="5" applyFont="1" applyFill="1" applyBorder="1" applyAlignment="1">
      <alignment horizontal="left" vertical="center" wrapText="1"/>
    </xf>
    <xf numFmtId="0" fontId="4" fillId="0" borderId="28" xfId="5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 wrapText="1"/>
    </xf>
    <xf numFmtId="16" fontId="9" fillId="0" borderId="1" xfId="5" applyNumberFormat="1" applyFont="1" applyFill="1" applyBorder="1" applyAlignment="1">
      <alignment horizontal="left" vertical="center" wrapText="1"/>
    </xf>
    <xf numFmtId="0" fontId="9" fillId="0" borderId="1" xfId="5" applyFont="1" applyFill="1" applyBorder="1" applyAlignment="1">
      <alignment horizontal="left" vertical="center" wrapText="1"/>
    </xf>
    <xf numFmtId="0" fontId="17" fillId="0" borderId="26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17" fillId="0" borderId="27" xfId="0" applyFont="1" applyFill="1" applyBorder="1" applyAlignment="1">
      <alignment horizontal="left"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4" fillId="0" borderId="18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left" vertical="center" wrapText="1"/>
    </xf>
    <xf numFmtId="166" fontId="5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top"/>
    </xf>
    <xf numFmtId="49" fontId="9" fillId="0" borderId="26" xfId="0" applyNumberFormat="1" applyFont="1" applyFill="1" applyBorder="1" applyAlignment="1">
      <alignment horizontal="center" vertical="top" wrapText="1"/>
    </xf>
    <xf numFmtId="49" fontId="9" fillId="0" borderId="27" xfId="0" applyNumberFormat="1" applyFont="1" applyFill="1" applyBorder="1" applyAlignment="1">
      <alignment horizontal="center" vertical="top" wrapText="1"/>
    </xf>
    <xf numFmtId="49" fontId="8" fillId="0" borderId="26" xfId="0" applyNumberFormat="1" applyFont="1" applyFill="1" applyBorder="1" applyAlignment="1">
      <alignment horizontal="center" vertical="top"/>
    </xf>
    <xf numFmtId="49" fontId="8" fillId="0" borderId="27" xfId="0" applyNumberFormat="1" applyFont="1" applyFill="1" applyBorder="1" applyAlignment="1">
      <alignment horizontal="center" vertical="top"/>
    </xf>
    <xf numFmtId="49" fontId="9" fillId="0" borderId="26" xfId="0" applyNumberFormat="1" applyFont="1" applyFill="1" applyBorder="1" applyAlignment="1">
      <alignment horizontal="center" vertical="top"/>
    </xf>
    <xf numFmtId="49" fontId="9" fillId="0" borderId="27" xfId="0" applyNumberFormat="1" applyFont="1" applyFill="1" applyBorder="1" applyAlignment="1">
      <alignment horizontal="center" vertical="top"/>
    </xf>
    <xf numFmtId="49" fontId="9" fillId="0" borderId="1" xfId="0" applyNumberFormat="1" applyFont="1" applyFill="1" applyBorder="1" applyAlignment="1">
      <alignment horizontal="center" vertical="top"/>
    </xf>
    <xf numFmtId="49" fontId="9" fillId="0" borderId="1" xfId="0" applyNumberFormat="1" applyFont="1" applyFill="1" applyBorder="1" applyAlignment="1">
      <alignment horizontal="center" vertical="top" wrapText="1"/>
    </xf>
    <xf numFmtId="166" fontId="6" fillId="0" borderId="1" xfId="0" applyNumberFormat="1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7" xfId="0" applyNumberFormat="1" applyFont="1" applyFill="1" applyBorder="1" applyAlignment="1" applyProtection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166" fontId="9" fillId="0" borderId="1" xfId="7" applyNumberFormat="1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right" vertical="center" wrapText="1"/>
    </xf>
    <xf numFmtId="17" fontId="9" fillId="0" borderId="1" xfId="0" applyNumberFormat="1" applyFont="1" applyFill="1" applyBorder="1" applyAlignment="1">
      <alignment horizontal="left" vertical="top" wrapText="1"/>
    </xf>
    <xf numFmtId="166" fontId="9" fillId="0" borderId="1" xfId="7" applyNumberFormat="1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left" vertical="top" wrapText="1"/>
    </xf>
    <xf numFmtId="0" fontId="9" fillId="0" borderId="27" xfId="0" applyFont="1" applyFill="1" applyBorder="1" applyAlignment="1">
      <alignment horizontal="left" vertical="top" wrapText="1"/>
    </xf>
    <xf numFmtId="166" fontId="9" fillId="0" borderId="26" xfId="7" applyNumberFormat="1" applyFont="1" applyFill="1" applyBorder="1" applyAlignment="1">
      <alignment horizontal="center" vertical="center" wrapText="1"/>
    </xf>
    <xf numFmtId="166" fontId="9" fillId="0" borderId="27" xfId="7" applyNumberFormat="1" applyFont="1" applyFill="1" applyBorder="1" applyAlignment="1">
      <alignment horizontal="center" vertical="center" wrapText="1"/>
    </xf>
    <xf numFmtId="49" fontId="8" fillId="0" borderId="1" xfId="13" applyNumberFormat="1" applyFont="1" applyFill="1" applyBorder="1" applyAlignment="1">
      <alignment horizontal="center" vertical="center"/>
    </xf>
    <xf numFmtId="49" fontId="9" fillId="0" borderId="1" xfId="13" applyNumberFormat="1" applyFont="1" applyFill="1" applyBorder="1" applyAlignment="1">
      <alignment horizontal="center" vertical="top"/>
    </xf>
    <xf numFmtId="166" fontId="9" fillId="0" borderId="1" xfId="11" applyNumberFormat="1" applyFont="1" applyFill="1" applyBorder="1" applyAlignment="1">
      <alignment horizontal="center" vertical="center" wrapText="1"/>
    </xf>
    <xf numFmtId="49" fontId="4" fillId="0" borderId="18" xfId="0" applyNumberFormat="1" applyFont="1" applyFill="1" applyBorder="1" applyAlignment="1">
      <alignment horizontal="center" vertical="center"/>
    </xf>
    <xf numFmtId="166" fontId="45" fillId="0" borderId="1" xfId="0" applyNumberFormat="1" applyFont="1" applyFill="1" applyBorder="1" applyAlignment="1">
      <alignment horizontal="center" vertical="center" wrapText="1"/>
    </xf>
    <xf numFmtId="171" fontId="48" fillId="0" borderId="0" xfId="0" applyNumberFormat="1" applyFont="1" applyBorder="1" applyAlignment="1">
      <alignment horizontal="right" vertical="center" wrapText="1"/>
    </xf>
    <xf numFmtId="171" fontId="49" fillId="0" borderId="0" xfId="0" applyNumberFormat="1" applyFont="1" applyAlignment="1">
      <alignment horizontal="center" wrapText="1"/>
    </xf>
    <xf numFmtId="166" fontId="4" fillId="0" borderId="17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 wrapText="1"/>
    </xf>
  </cellXfs>
  <cellStyles count="183">
    <cellStyle name="20% - Accent1" xfId="88"/>
    <cellStyle name="20% - Accent2" xfId="89"/>
    <cellStyle name="20% - Accent3" xfId="90"/>
    <cellStyle name="20% - Accent4" xfId="91"/>
    <cellStyle name="20% - Accent5" xfId="92"/>
    <cellStyle name="20% - Accent6" xfId="93"/>
    <cellStyle name="40% - Accent1" xfId="94"/>
    <cellStyle name="40% - Accent2" xfId="95"/>
    <cellStyle name="40% - Accent3" xfId="96"/>
    <cellStyle name="40% - Accent4" xfId="97"/>
    <cellStyle name="40% - Accent5" xfId="98"/>
    <cellStyle name="40% - Accent6" xfId="99"/>
    <cellStyle name="60% - Accent1" xfId="100"/>
    <cellStyle name="60% - Accent2" xfId="101"/>
    <cellStyle name="60% - Accent3" xfId="102"/>
    <cellStyle name="60% - Accent4" xfId="103"/>
    <cellStyle name="60% - Accent5" xfId="104"/>
    <cellStyle name="60% - Accent6" xfId="105"/>
    <cellStyle name="Accent1" xfId="106"/>
    <cellStyle name="Accent2" xfId="107"/>
    <cellStyle name="Accent3" xfId="108"/>
    <cellStyle name="Accent4" xfId="109"/>
    <cellStyle name="Accent5" xfId="110"/>
    <cellStyle name="Accent6" xfId="111"/>
    <cellStyle name="Bad" xfId="112"/>
    <cellStyle name="Calculation" xfId="113"/>
    <cellStyle name="Calculation 2" xfId="178"/>
    <cellStyle name="Check Cell" xfId="114"/>
    <cellStyle name="Excel Built-in Normal" xfId="27"/>
    <cellStyle name="Explanatory Text" xfId="115"/>
    <cellStyle name="Good" xfId="116"/>
    <cellStyle name="Heading 1" xfId="117"/>
    <cellStyle name="Heading 2" xfId="118"/>
    <cellStyle name="Heading 3" xfId="119"/>
    <cellStyle name="Heading 4" xfId="120"/>
    <cellStyle name="Input" xfId="121"/>
    <cellStyle name="Input 2" xfId="179"/>
    <cellStyle name="Linked Cell" xfId="122"/>
    <cellStyle name="Neutral" xfId="123"/>
    <cellStyle name="Normal 4" xfId="17"/>
    <cellStyle name="Normal_Sheet1" xfId="18"/>
    <cellStyle name="Note" xfId="124"/>
    <cellStyle name="Note 2" xfId="180"/>
    <cellStyle name="Output" xfId="125"/>
    <cellStyle name="Output 2" xfId="181"/>
    <cellStyle name="Title" xfId="126"/>
    <cellStyle name="Total" xfId="127"/>
    <cellStyle name="Total 2" xfId="182"/>
    <cellStyle name="Warning Text" xfId="128"/>
    <cellStyle name="Денежный 2" xfId="8"/>
    <cellStyle name="Денежный 2 2" xfId="41"/>
    <cellStyle name="Обычный" xfId="0" builtinId="0"/>
    <cellStyle name="Обычный 10" xfId="29"/>
    <cellStyle name="Обычный 10 2" xfId="176"/>
    <cellStyle name="Обычный 11" xfId="28"/>
    <cellStyle name="Обычный 12" xfId="34"/>
    <cellStyle name="Обычный 15" xfId="33"/>
    <cellStyle name="Обычный 2" xfId="3"/>
    <cellStyle name="Обычный 2 2" xfId="5"/>
    <cellStyle name="Обычный 2 2 2" xfId="25"/>
    <cellStyle name="Обычный 2 2 2 2" xfId="130"/>
    <cellStyle name="Обычный 2 2 3" xfId="172"/>
    <cellStyle name="Обычный 2 2 4" xfId="43"/>
    <cellStyle name="Обычный 2 3" xfId="44"/>
    <cellStyle name="Обычный 2 4" xfId="129"/>
    <cellStyle name="Обычный 2_09.04.2014_Programme budget 2014_Education_Modified" xfId="30"/>
    <cellStyle name="Обычный 3" xfId="6"/>
    <cellStyle name="Обычный 3 2" xfId="45"/>
    <cellStyle name="Обычный 3 3" xfId="46"/>
    <cellStyle name="Обычный 3 3 2" xfId="47"/>
    <cellStyle name="Обычный 3 3 2 2" xfId="37"/>
    <cellStyle name="Обычный 3 3 2 2 2" xfId="70"/>
    <cellStyle name="Обычный 3 3 2 2 3" xfId="134"/>
    <cellStyle name="Обычный 3 3 2 3" xfId="69"/>
    <cellStyle name="Обычный 3 3 2 4" xfId="133"/>
    <cellStyle name="Обычный 3 3 2_09.04.2014_Programme budget 2014_Education_Modified" xfId="135"/>
    <cellStyle name="Обычный 3 3 3" xfId="48"/>
    <cellStyle name="Обычный 3 3 3 2" xfId="71"/>
    <cellStyle name="Обычный 3 3 3 3" xfId="136"/>
    <cellStyle name="Обычный 3 3 4" xfId="68"/>
    <cellStyle name="Обычный 3 3 5" xfId="132"/>
    <cellStyle name="Обычный 3 3_09.04.2014_Programme budget 2014_Education_Modified" xfId="137"/>
    <cellStyle name="Обычный 3 4" xfId="49"/>
    <cellStyle name="Обычный 3 4 2" xfId="50"/>
    <cellStyle name="Обычный 3 4 2 2" xfId="73"/>
    <cellStyle name="Обычный 3 4 2 3" xfId="139"/>
    <cellStyle name="Обычный 3 4 3" xfId="72"/>
    <cellStyle name="Обычный 3 4 4" xfId="138"/>
    <cellStyle name="Обычный 3 4_09.04.2014_Programme budget 2014_Education_Modified" xfId="140"/>
    <cellStyle name="Обычный 3 5" xfId="51"/>
    <cellStyle name="Обычный 3 5 2" xfId="74"/>
    <cellStyle name="Обычный 3 5 3" xfId="141"/>
    <cellStyle name="Обычный 3 6" xfId="67"/>
    <cellStyle name="Обычный 3 7" xfId="131"/>
    <cellStyle name="Обычный 3_09.04.2014_Programme budget 2014_Education_Modified" xfId="142"/>
    <cellStyle name="Обычный 4" xfId="1"/>
    <cellStyle name="Обычный 4 2" xfId="19"/>
    <cellStyle name="Обычный 4 2 2" xfId="54"/>
    <cellStyle name="Обычный 4 2 2 2" xfId="77"/>
    <cellStyle name="Обычный 4 2 2 3" xfId="145"/>
    <cellStyle name="Обычный 4 2 3" xfId="76"/>
    <cellStyle name="Обычный 4 2 4" xfId="144"/>
    <cellStyle name="Обычный 4 2 5" xfId="170"/>
    <cellStyle name="Обычный 4 2 6" xfId="53"/>
    <cellStyle name="Обычный 4 2_09.04.2014_Programme budget 2014_Education_Modified" xfId="146"/>
    <cellStyle name="Обычный 4 3" xfId="55"/>
    <cellStyle name="Обычный 4 3 2" xfId="78"/>
    <cellStyle name="Обычный 4 3 3" xfId="147"/>
    <cellStyle name="Обычный 4 4" xfId="75"/>
    <cellStyle name="Обычный 4 5" xfId="52"/>
    <cellStyle name="Обычный 4 6" xfId="143"/>
    <cellStyle name="Обычный 4_09.04.2014_Programme budget 2014_Education_Modified" xfId="148"/>
    <cellStyle name="Обычный 5" xfId="9"/>
    <cellStyle name="Обычный 5 2" xfId="20"/>
    <cellStyle name="Обычный 5 3" xfId="149"/>
    <cellStyle name="Обычный 5 4" xfId="168"/>
    <cellStyle name="Обычный 5 5" xfId="38"/>
    <cellStyle name="Обычный 6" xfId="16"/>
    <cellStyle name="Обычный 6 2" xfId="57"/>
    <cellStyle name="Обычный 6 2 2" xfId="58"/>
    <cellStyle name="Обычный 6 2 2 2" xfId="81"/>
    <cellStyle name="Обычный 6 2 2 3" xfId="152"/>
    <cellStyle name="Обычный 6 2 3" xfId="80"/>
    <cellStyle name="Обычный 6 2 4" xfId="151"/>
    <cellStyle name="Обычный 6 2_09.04.2014_Programme budget 2014_Education_Modified" xfId="153"/>
    <cellStyle name="Обычный 6 3" xfId="59"/>
    <cellStyle name="Обычный 6 3 2" xfId="82"/>
    <cellStyle name="Обычный 6 3 3" xfId="154"/>
    <cellStyle name="Обычный 6 4" xfId="79"/>
    <cellStyle name="Обычный 6 5" xfId="56"/>
    <cellStyle name="Обычный 6 6" xfId="150"/>
    <cellStyle name="Обычный 6_09.04.2014_Programme budget 2014_Education_Modified" xfId="155"/>
    <cellStyle name="Обычный 7" xfId="14"/>
    <cellStyle name="Обычный 7 2" xfId="162"/>
    <cellStyle name="Обычный 7 3" xfId="31"/>
    <cellStyle name="Обычный 8" xfId="13"/>
    <cellStyle name="Обычный 8 2" xfId="163"/>
    <cellStyle name="Обычный 9" xfId="12"/>
    <cellStyle name="Обычный 9 2" xfId="166"/>
    <cellStyle name="Процентный 2" xfId="2"/>
    <cellStyle name="Процентный 2 2" xfId="21"/>
    <cellStyle name="Процентный 2 3" xfId="60"/>
    <cellStyle name="Процентный 2 4" xfId="164"/>
    <cellStyle name="Процентный 3" xfId="10"/>
    <cellStyle name="Процентный 3 2" xfId="22"/>
    <cellStyle name="Процентный 4" xfId="42"/>
    <cellStyle name="Процентный 5" xfId="161"/>
    <cellStyle name="Процентный 6" xfId="36"/>
    <cellStyle name="Стиль 1" xfId="87"/>
    <cellStyle name="Финансовый 2" xfId="4"/>
    <cellStyle name="Финансовый 2 2" xfId="23"/>
    <cellStyle name="Финансовый 2 2 2" xfId="63"/>
    <cellStyle name="Финансовый 2 2 2 2" xfId="64"/>
    <cellStyle name="Финансовый 2 2 2 2 2" xfId="85"/>
    <cellStyle name="Финансовый 2 2 2 2 3" xfId="158"/>
    <cellStyle name="Финансовый 2 2 2 3" xfId="84"/>
    <cellStyle name="Финансовый 2 2 2 4" xfId="157"/>
    <cellStyle name="Финансовый 2 2 3" xfId="65"/>
    <cellStyle name="Финансовый 2 2 3 2" xfId="86"/>
    <cellStyle name="Финансовый 2 2 3 3" xfId="159"/>
    <cellStyle name="Финансовый 2 2 4" xfId="83"/>
    <cellStyle name="Финансовый 2 2 5" xfId="156"/>
    <cellStyle name="Финансовый 2 2 6" xfId="62"/>
    <cellStyle name="Финансовый 2 3" xfId="61"/>
    <cellStyle name="Финансовый 2 4" xfId="165"/>
    <cellStyle name="Финансовый 2 5" xfId="40"/>
    <cellStyle name="Финансовый 3" xfId="7"/>
    <cellStyle name="Финансовый 3 2" xfId="24"/>
    <cellStyle name="Финансовый 3 2 2" xfId="66"/>
    <cellStyle name="Финансовый 3 3" xfId="169"/>
    <cellStyle name="Финансовый 3 4" xfId="171"/>
    <cellStyle name="Финансовый 3 5" xfId="39"/>
    <cellStyle name="Финансовый 4" xfId="11"/>
    <cellStyle name="Финансовый 4 2" xfId="15"/>
    <cellStyle name="Финансовый 4 2 2" xfId="167"/>
    <cellStyle name="Финансовый 4 3" xfId="175"/>
    <cellStyle name="Финансовый 4 4" xfId="160"/>
    <cellStyle name="Финансовый 5" xfId="26"/>
    <cellStyle name="Финансовый 5 2" xfId="173"/>
    <cellStyle name="Финансовый 5 3" xfId="32"/>
    <cellStyle name="Финансовый 6" xfId="174"/>
    <cellStyle name="Финансовый 7" xfId="177"/>
    <cellStyle name="Финансовый 8" xfId="3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GAAR-24/Desktop/&#1041;&#1102;&#1076;&#1078;&#1077;&#1090;&#1085;&#1099;&#1081;%20&#1094;&#1080;&#1088;&#1082;&#1091;&#1083;&#1103;&#1088;%202019-2021&#1075;&#1075;/&#1053;&#1086;&#1074;&#1072;&#1103;%20&#1087;&#1072;&#1087;&#1082;&#1072;/&#1041;&#1070;&#1044;&#1046;&#1045;&#1058;&#1053;&#1067;&#1049;%20&#1062;&#1048;&#1056;&#1050;&#1059;&#1051;&#1071;&#1056;%202019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2019"/>
      <sheetName val="приложение  4"/>
      <sheetName val="приложение 5"/>
      <sheetName val="приложение 8-1"/>
    </sheetNames>
    <sheetDataSet>
      <sheetData sheetId="0" refreshError="1">
        <row r="10">
          <cell r="M10" t="str">
            <v>количество сотрудников, прошедших курсы повышения квалификации от общего количества сотрудников</v>
          </cell>
        </row>
        <row r="16">
          <cell r="M16" t="str">
            <v>Среднее количество сотрудников региональных представительств на область КР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8"/>
  <sheetViews>
    <sheetView showZeros="0" tabSelected="1" view="pageBreakPreview" zoomScale="85" zoomScaleNormal="80" zoomScaleSheetLayoutView="85" workbookViewId="0">
      <pane xSplit="1" ySplit="6" topLeftCell="B354" activePane="bottomRight" state="frozen"/>
      <selection pane="topRight" activeCell="B1" sqref="B1"/>
      <selection pane="bottomLeft" activeCell="A5" sqref="A5"/>
      <selection pane="bottomRight" activeCell="E362" sqref="E362"/>
    </sheetView>
  </sheetViews>
  <sheetFormatPr defaultRowHeight="15" x14ac:dyDescent="0.25"/>
  <cols>
    <col min="1" max="1" width="9.140625" style="2"/>
    <col min="2" max="2" width="7.42578125" style="4" customWidth="1"/>
    <col min="3" max="3" width="8.140625" style="4" customWidth="1"/>
    <col min="4" max="4" width="7.42578125" style="2" customWidth="1"/>
    <col min="5" max="5" width="44.7109375" style="2" customWidth="1"/>
    <col min="6" max="6" width="15.42578125" style="3" customWidth="1"/>
    <col min="7" max="7" width="16" style="3" customWidth="1"/>
    <col min="8" max="8" width="15.42578125" style="3" customWidth="1"/>
    <col min="9" max="9" width="15.28515625" style="3" customWidth="1"/>
    <col min="10" max="10" width="15.85546875" style="3" customWidth="1"/>
    <col min="11" max="11" width="41.5703125" style="2" customWidth="1"/>
    <col min="12" max="12" width="12.140625" style="4" customWidth="1"/>
    <col min="13" max="13" width="13.7109375" style="4" customWidth="1"/>
    <col min="14" max="14" width="15.28515625" style="4" customWidth="1"/>
    <col min="15" max="17" width="12" style="4" customWidth="1"/>
    <col min="18" max="16384" width="9.140625" style="2"/>
  </cols>
  <sheetData>
    <row r="1" spans="1:21" ht="54" customHeight="1" x14ac:dyDescent="0.25">
      <c r="E1" s="21"/>
      <c r="F1" s="79"/>
      <c r="G1" s="79"/>
      <c r="H1" s="79"/>
      <c r="I1" s="79"/>
      <c r="J1" s="79"/>
      <c r="K1" s="398" t="s">
        <v>719</v>
      </c>
      <c r="L1" s="398"/>
      <c r="M1" s="398"/>
      <c r="N1" s="398"/>
      <c r="O1" s="398"/>
      <c r="P1" s="398"/>
      <c r="Q1" s="398"/>
    </row>
    <row r="2" spans="1:21" ht="15.75" x14ac:dyDescent="0.25">
      <c r="E2" s="21"/>
      <c r="F2" s="79"/>
      <c r="G2" s="79"/>
      <c r="H2" s="79"/>
      <c r="I2" s="79"/>
      <c r="J2" s="79"/>
      <c r="K2" s="258"/>
      <c r="L2" s="258"/>
      <c r="M2" s="258"/>
      <c r="N2" s="258"/>
      <c r="O2" s="258"/>
      <c r="P2" s="258"/>
      <c r="Q2" s="258"/>
    </row>
    <row r="3" spans="1:21" ht="18.75" x14ac:dyDescent="0.3">
      <c r="A3" s="399" t="s">
        <v>482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21" ht="15.75" thickBot="1" x14ac:dyDescent="0.3"/>
    <row r="5" spans="1:21" ht="33" customHeight="1" x14ac:dyDescent="0.25">
      <c r="A5" s="295" t="s">
        <v>31</v>
      </c>
      <c r="B5" s="298" t="s">
        <v>0</v>
      </c>
      <c r="C5" s="298" t="s">
        <v>1</v>
      </c>
      <c r="D5" s="298" t="s">
        <v>2</v>
      </c>
      <c r="E5" s="298" t="s">
        <v>3</v>
      </c>
      <c r="F5" s="297" t="s">
        <v>32</v>
      </c>
      <c r="G5" s="297"/>
      <c r="H5" s="297"/>
      <c r="I5" s="297"/>
      <c r="J5" s="297"/>
      <c r="K5" s="298" t="s">
        <v>4</v>
      </c>
      <c r="L5" s="298" t="s">
        <v>5</v>
      </c>
      <c r="M5" s="231" t="s">
        <v>6</v>
      </c>
      <c r="N5" s="298" t="s">
        <v>7</v>
      </c>
      <c r="O5" s="298"/>
      <c r="P5" s="298"/>
      <c r="Q5" s="300"/>
      <c r="R5" s="1"/>
      <c r="S5" s="1"/>
      <c r="T5" s="1"/>
      <c r="U5" s="1"/>
    </row>
    <row r="6" spans="1:21" ht="26.25" customHeight="1" x14ac:dyDescent="0.25">
      <c r="A6" s="296"/>
      <c r="B6" s="299"/>
      <c r="C6" s="299"/>
      <c r="D6" s="299"/>
      <c r="E6" s="299"/>
      <c r="F6" s="176">
        <v>2020</v>
      </c>
      <c r="G6" s="176">
        <v>2021</v>
      </c>
      <c r="H6" s="176">
        <v>2022</v>
      </c>
      <c r="I6" s="176">
        <v>2023</v>
      </c>
      <c r="J6" s="176">
        <v>2024</v>
      </c>
      <c r="K6" s="299"/>
      <c r="L6" s="299"/>
      <c r="M6" s="232">
        <v>2020</v>
      </c>
      <c r="N6" s="232">
        <v>2021</v>
      </c>
      <c r="O6" s="232">
        <v>2022</v>
      </c>
      <c r="P6" s="232">
        <v>2023</v>
      </c>
      <c r="Q6" s="81">
        <v>2024</v>
      </c>
      <c r="R6" s="1"/>
      <c r="S6" s="1"/>
      <c r="T6" s="1"/>
      <c r="U6" s="1"/>
    </row>
    <row r="7" spans="1:21" ht="26.25" customHeight="1" x14ac:dyDescent="0.25">
      <c r="A7" s="262" t="s">
        <v>648</v>
      </c>
      <c r="B7" s="263" t="s">
        <v>503</v>
      </c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111"/>
      <c r="Q7" s="118"/>
      <c r="R7" s="1"/>
      <c r="S7" s="1"/>
      <c r="T7" s="1"/>
      <c r="U7" s="1"/>
    </row>
    <row r="8" spans="1:21" ht="26.25" customHeight="1" x14ac:dyDescent="0.25">
      <c r="A8" s="396" t="s">
        <v>657</v>
      </c>
      <c r="B8" s="186" t="s">
        <v>649</v>
      </c>
      <c r="C8" s="161"/>
      <c r="D8" s="162"/>
      <c r="E8" s="191" t="s">
        <v>504</v>
      </c>
      <c r="F8" s="158">
        <f>SUM(F9:F10)</f>
        <v>0</v>
      </c>
      <c r="G8" s="158">
        <f>SUM(G9:G10)</f>
        <v>0</v>
      </c>
      <c r="H8" s="158">
        <f>SUM(H9:H10)</f>
        <v>287393.446</v>
      </c>
      <c r="I8" s="158">
        <f>SUM(I9:I10)</f>
        <v>295067.34600000002</v>
      </c>
      <c r="J8" s="158">
        <f>SUM(J9:J10)</f>
        <v>296347.74600000004</v>
      </c>
      <c r="K8" s="181" t="s">
        <v>9</v>
      </c>
      <c r="L8" s="180" t="s">
        <v>35</v>
      </c>
      <c r="M8" s="215">
        <v>18.899999999999999</v>
      </c>
      <c r="N8" s="215">
        <v>16.8</v>
      </c>
      <c r="O8" s="215">
        <v>17</v>
      </c>
      <c r="P8" s="215">
        <v>17</v>
      </c>
      <c r="Q8" s="216">
        <v>17</v>
      </c>
      <c r="R8" s="1"/>
      <c r="S8" s="1"/>
      <c r="T8" s="1"/>
      <c r="U8" s="1"/>
    </row>
    <row r="9" spans="1:21" ht="40.5" customHeight="1" x14ac:dyDescent="0.25">
      <c r="A9" s="396"/>
      <c r="B9" s="161"/>
      <c r="C9" s="161" t="s">
        <v>15</v>
      </c>
      <c r="D9" s="162"/>
      <c r="E9" s="177" t="s">
        <v>505</v>
      </c>
      <c r="F9" s="198"/>
      <c r="G9" s="198"/>
      <c r="H9" s="198">
        <f>171263.9+54833.546</f>
        <v>226097.446</v>
      </c>
      <c r="I9" s="198">
        <f>173652.7+54833.546</f>
        <v>228486.24600000001</v>
      </c>
      <c r="J9" s="198">
        <f>177463.7+54833.546</f>
        <v>232297.24600000001</v>
      </c>
      <c r="K9" s="302"/>
      <c r="L9" s="302"/>
      <c r="M9" s="302"/>
      <c r="N9" s="302"/>
      <c r="O9" s="302"/>
      <c r="P9" s="302"/>
      <c r="Q9" s="303"/>
      <c r="R9" s="1"/>
      <c r="S9" s="1"/>
      <c r="T9" s="1"/>
      <c r="U9" s="1"/>
    </row>
    <row r="10" spans="1:21" ht="40.5" customHeight="1" x14ac:dyDescent="0.25">
      <c r="A10" s="396"/>
      <c r="B10" s="161"/>
      <c r="C10" s="161" t="s">
        <v>16</v>
      </c>
      <c r="D10" s="162"/>
      <c r="E10" s="177" t="s">
        <v>506</v>
      </c>
      <c r="F10" s="198"/>
      <c r="G10" s="198"/>
      <c r="H10" s="198">
        <f>18741.7+2809.1+293+5083.3+288.8+6302.1+7292.6+5208.9+137.1+7091+1410.2+6638.2</f>
        <v>61295.999999999993</v>
      </c>
      <c r="I10" s="198">
        <f>23499.9+2863.7+5181.9+294.4+6424.3+5822.9+5310+139.7+7228.6+4440.2+5375.5</f>
        <v>66581.100000000006</v>
      </c>
      <c r="J10" s="217">
        <f>19679.1+2949.6+5337.2+303.2+6616.1+1952+5469+143.9+7445.6+6892.5+7262.3</f>
        <v>64050.5</v>
      </c>
      <c r="K10" s="302"/>
      <c r="L10" s="302"/>
      <c r="M10" s="302"/>
      <c r="N10" s="302"/>
      <c r="O10" s="302"/>
      <c r="P10" s="302"/>
      <c r="Q10" s="303"/>
      <c r="R10" s="1"/>
      <c r="S10" s="1"/>
      <c r="T10" s="1"/>
      <c r="U10" s="1"/>
    </row>
    <row r="11" spans="1:21" ht="47.25" customHeight="1" x14ac:dyDescent="0.25">
      <c r="A11" s="396"/>
      <c r="B11" s="186" t="s">
        <v>650</v>
      </c>
      <c r="C11" s="161"/>
      <c r="D11" s="162"/>
      <c r="E11" s="191" t="s">
        <v>658</v>
      </c>
      <c r="F11" s="158">
        <f>SUM(F12:F27)</f>
        <v>0</v>
      </c>
      <c r="G11" s="158">
        <f>SUM(G12:G27)</f>
        <v>0</v>
      </c>
      <c r="H11" s="158">
        <f>SUM(H12:H27)</f>
        <v>181224.3</v>
      </c>
      <c r="I11" s="158">
        <f>SUM(I12:I27)</f>
        <v>182761.2</v>
      </c>
      <c r="J11" s="158">
        <f>SUM(J12:J27)</f>
        <v>190554.3</v>
      </c>
      <c r="K11" s="177" t="s">
        <v>507</v>
      </c>
      <c r="L11" s="58" t="s">
        <v>12</v>
      </c>
      <c r="M11" s="58">
        <v>63</v>
      </c>
      <c r="N11" s="58">
        <v>63</v>
      </c>
      <c r="O11" s="58">
        <v>63</v>
      </c>
      <c r="P11" s="58">
        <v>63</v>
      </c>
      <c r="Q11" s="123">
        <v>63</v>
      </c>
      <c r="R11" s="1"/>
      <c r="S11" s="1"/>
      <c r="T11" s="1"/>
      <c r="U11" s="1"/>
    </row>
    <row r="12" spans="1:21" x14ac:dyDescent="0.25">
      <c r="A12" s="396"/>
      <c r="B12" s="267"/>
      <c r="C12" s="267" t="s">
        <v>15</v>
      </c>
      <c r="D12" s="268"/>
      <c r="E12" s="301" t="s">
        <v>508</v>
      </c>
      <c r="F12" s="342"/>
      <c r="G12" s="342"/>
      <c r="H12" s="342">
        <v>32337.3</v>
      </c>
      <c r="I12" s="342">
        <v>32983.599999999999</v>
      </c>
      <c r="J12" s="342">
        <v>33965.800000000003</v>
      </c>
      <c r="K12" s="177" t="s">
        <v>507</v>
      </c>
      <c r="L12" s="58" t="s">
        <v>12</v>
      </c>
      <c r="M12" s="58">
        <v>63</v>
      </c>
      <c r="N12" s="58">
        <v>63</v>
      </c>
      <c r="O12" s="58">
        <v>63</v>
      </c>
      <c r="P12" s="58">
        <v>63</v>
      </c>
      <c r="Q12" s="123">
        <v>63</v>
      </c>
      <c r="R12" s="1"/>
      <c r="S12" s="1"/>
      <c r="T12" s="1"/>
      <c r="U12" s="1"/>
    </row>
    <row r="13" spans="1:21" ht="60" x14ac:dyDescent="0.25">
      <c r="A13" s="396"/>
      <c r="B13" s="267"/>
      <c r="C13" s="267"/>
      <c r="D13" s="268"/>
      <c r="E13" s="301"/>
      <c r="F13" s="342"/>
      <c r="G13" s="342"/>
      <c r="H13" s="342"/>
      <c r="I13" s="342"/>
      <c r="J13" s="342"/>
      <c r="K13" s="177" t="s">
        <v>669</v>
      </c>
      <c r="L13" s="58" t="s">
        <v>12</v>
      </c>
      <c r="M13" s="58"/>
      <c r="N13" s="58">
        <v>10</v>
      </c>
      <c r="O13" s="58">
        <v>50</v>
      </c>
      <c r="P13" s="58">
        <v>75</v>
      </c>
      <c r="Q13" s="123">
        <v>100</v>
      </c>
      <c r="R13" s="1"/>
      <c r="S13" s="1"/>
      <c r="T13" s="1"/>
      <c r="U13" s="1"/>
    </row>
    <row r="14" spans="1:21" ht="75" x14ac:dyDescent="0.25">
      <c r="A14" s="396"/>
      <c r="B14" s="267"/>
      <c r="C14" s="267"/>
      <c r="D14" s="268"/>
      <c r="E14" s="301"/>
      <c r="F14" s="342"/>
      <c r="G14" s="342"/>
      <c r="H14" s="342"/>
      <c r="I14" s="342"/>
      <c r="J14" s="342"/>
      <c r="K14" s="184" t="s">
        <v>509</v>
      </c>
      <c r="L14" s="187" t="s">
        <v>510</v>
      </c>
      <c r="M14" s="215">
        <v>20</v>
      </c>
      <c r="N14" s="215">
        <v>20</v>
      </c>
      <c r="O14" s="215">
        <v>20</v>
      </c>
      <c r="P14" s="215">
        <v>20</v>
      </c>
      <c r="Q14" s="216">
        <v>20</v>
      </c>
      <c r="R14" s="1"/>
      <c r="S14" s="1"/>
      <c r="T14" s="1"/>
      <c r="U14" s="1"/>
    </row>
    <row r="15" spans="1:21" ht="37.5" customHeight="1" x14ac:dyDescent="0.25">
      <c r="A15" s="396"/>
      <c r="B15" s="161"/>
      <c r="C15" s="161" t="s">
        <v>16</v>
      </c>
      <c r="D15" s="162"/>
      <c r="E15" s="206" t="s">
        <v>511</v>
      </c>
      <c r="F15" s="208"/>
      <c r="G15" s="198"/>
      <c r="H15" s="212">
        <v>9499.2000000000007</v>
      </c>
      <c r="I15" s="198">
        <v>9679.7000000000007</v>
      </c>
      <c r="J15" s="198">
        <v>9970</v>
      </c>
      <c r="K15" s="124" t="s">
        <v>512</v>
      </c>
      <c r="L15" s="180" t="s">
        <v>513</v>
      </c>
      <c r="M15" s="215"/>
      <c r="N15" s="58">
        <v>172891.6</v>
      </c>
      <c r="O15" s="58">
        <v>174209.9</v>
      </c>
      <c r="P15" s="241">
        <v>174972</v>
      </c>
      <c r="Q15" s="123" t="s">
        <v>514</v>
      </c>
      <c r="R15" s="1"/>
      <c r="S15" s="1"/>
      <c r="T15" s="1"/>
      <c r="U15" s="1"/>
    </row>
    <row r="16" spans="1:21" ht="26.25" customHeight="1" x14ac:dyDescent="0.25">
      <c r="A16" s="396"/>
      <c r="B16" s="161"/>
      <c r="C16" s="161" t="s">
        <v>14</v>
      </c>
      <c r="D16" s="125"/>
      <c r="E16" s="206" t="s">
        <v>515</v>
      </c>
      <c r="F16" s="212"/>
      <c r="G16" s="198"/>
      <c r="H16" s="212">
        <v>2375.6999999999998</v>
      </c>
      <c r="I16" s="198">
        <v>2420.9</v>
      </c>
      <c r="J16" s="198">
        <v>2493.6</v>
      </c>
      <c r="K16" s="124" t="s">
        <v>516</v>
      </c>
      <c r="L16" s="180" t="s">
        <v>75</v>
      </c>
      <c r="M16" s="215"/>
      <c r="N16" s="241">
        <v>3000000</v>
      </c>
      <c r="O16" s="241">
        <v>3000000</v>
      </c>
      <c r="P16" s="241">
        <v>4000000</v>
      </c>
      <c r="Q16" s="242">
        <v>6500000</v>
      </c>
      <c r="R16" s="1"/>
      <c r="S16" s="1"/>
      <c r="T16" s="1"/>
      <c r="U16" s="1"/>
    </row>
    <row r="17" spans="1:21" ht="44.25" customHeight="1" x14ac:dyDescent="0.25">
      <c r="A17" s="396"/>
      <c r="B17" s="161"/>
      <c r="C17" s="161" t="s">
        <v>18</v>
      </c>
      <c r="D17" s="125"/>
      <c r="E17" s="206" t="s">
        <v>517</v>
      </c>
      <c r="F17" s="212"/>
      <c r="G17" s="29"/>
      <c r="H17" s="212">
        <v>2320.4</v>
      </c>
      <c r="I17" s="29">
        <v>2364.5</v>
      </c>
      <c r="J17" s="198">
        <v>2435.4</v>
      </c>
      <c r="K17" s="177" t="s">
        <v>518</v>
      </c>
      <c r="L17" s="203" t="s">
        <v>513</v>
      </c>
      <c r="M17" s="11">
        <v>600</v>
      </c>
      <c r="N17" s="241">
        <v>600</v>
      </c>
      <c r="O17" s="241">
        <v>600</v>
      </c>
      <c r="P17" s="241">
        <v>600</v>
      </c>
      <c r="Q17" s="242">
        <v>1000</v>
      </c>
      <c r="R17" s="1"/>
      <c r="S17" s="1"/>
      <c r="T17" s="1"/>
      <c r="U17" s="1"/>
    </row>
    <row r="18" spans="1:21" ht="26.25" customHeight="1" x14ac:dyDescent="0.25">
      <c r="A18" s="396"/>
      <c r="B18" s="267"/>
      <c r="C18" s="267" t="s">
        <v>19</v>
      </c>
      <c r="D18" s="268"/>
      <c r="E18" s="364" t="s">
        <v>519</v>
      </c>
      <c r="F18" s="368"/>
      <c r="G18" s="368"/>
      <c r="H18" s="368">
        <v>8095.8</v>
      </c>
      <c r="I18" s="368">
        <v>8249.7000000000007</v>
      </c>
      <c r="J18" s="368">
        <v>8497.2000000000007</v>
      </c>
      <c r="K18" s="177" t="s">
        <v>520</v>
      </c>
      <c r="L18" s="203" t="s">
        <v>513</v>
      </c>
      <c r="M18" s="215"/>
      <c r="N18" s="241">
        <v>18089.849999999999</v>
      </c>
      <c r="O18" s="241">
        <v>16528.560000000001</v>
      </c>
      <c r="P18" s="241">
        <v>14172.05</v>
      </c>
      <c r="Q18" s="242">
        <v>10026.41</v>
      </c>
      <c r="R18" s="1"/>
      <c r="S18" s="1"/>
      <c r="T18" s="1"/>
      <c r="U18" s="1"/>
    </row>
    <row r="19" spans="1:21" ht="26.25" customHeight="1" x14ac:dyDescent="0.25">
      <c r="A19" s="396"/>
      <c r="B19" s="267"/>
      <c r="C19" s="267"/>
      <c r="D19" s="268"/>
      <c r="E19" s="364"/>
      <c r="F19" s="368"/>
      <c r="G19" s="368"/>
      <c r="H19" s="368"/>
      <c r="I19" s="368"/>
      <c r="J19" s="368"/>
      <c r="K19" s="126" t="s">
        <v>521</v>
      </c>
      <c r="L19" s="203" t="s">
        <v>513</v>
      </c>
      <c r="M19" s="215"/>
      <c r="N19" s="241">
        <v>25826.09</v>
      </c>
      <c r="O19" s="241">
        <v>33648.089999999997</v>
      </c>
      <c r="P19" s="241">
        <v>43163.78</v>
      </c>
      <c r="Q19" s="242">
        <v>26920.97</v>
      </c>
      <c r="R19" s="1"/>
      <c r="S19" s="1"/>
      <c r="T19" s="1"/>
      <c r="U19" s="1"/>
    </row>
    <row r="20" spans="1:21" ht="26.25" customHeight="1" x14ac:dyDescent="0.25">
      <c r="A20" s="396"/>
      <c r="B20" s="267"/>
      <c r="C20" s="267" t="s">
        <v>20</v>
      </c>
      <c r="D20" s="267"/>
      <c r="E20" s="364" t="s">
        <v>522</v>
      </c>
      <c r="F20" s="342"/>
      <c r="G20" s="342"/>
      <c r="H20" s="342">
        <v>5017.6000000000004</v>
      </c>
      <c r="I20" s="342">
        <v>5113</v>
      </c>
      <c r="J20" s="342">
        <v>5266.4</v>
      </c>
      <c r="K20" s="177" t="s">
        <v>523</v>
      </c>
      <c r="L20" s="180" t="s">
        <v>79</v>
      </c>
      <c r="M20" s="215">
        <v>0</v>
      </c>
      <c r="N20" s="215">
        <v>0</v>
      </c>
      <c r="O20" s="215">
        <v>0</v>
      </c>
      <c r="P20" s="215">
        <v>0</v>
      </c>
      <c r="Q20" s="216">
        <v>0</v>
      </c>
      <c r="R20" s="1"/>
      <c r="S20" s="1"/>
      <c r="T20" s="1"/>
      <c r="U20" s="1"/>
    </row>
    <row r="21" spans="1:21" ht="26.25" customHeight="1" x14ac:dyDescent="0.25">
      <c r="A21" s="396"/>
      <c r="B21" s="267"/>
      <c r="C21" s="267"/>
      <c r="D21" s="267"/>
      <c r="E21" s="364"/>
      <c r="F21" s="342"/>
      <c r="G21" s="342"/>
      <c r="H21" s="342"/>
      <c r="I21" s="342"/>
      <c r="J21" s="342"/>
      <c r="K21" s="177" t="s">
        <v>524</v>
      </c>
      <c r="L21" s="180" t="s">
        <v>12</v>
      </c>
      <c r="M21" s="215" t="s">
        <v>525</v>
      </c>
      <c r="N21" s="215" t="s">
        <v>525</v>
      </c>
      <c r="O21" s="215" t="s">
        <v>525</v>
      </c>
      <c r="P21" s="215" t="s">
        <v>525</v>
      </c>
      <c r="Q21" s="216" t="s">
        <v>525</v>
      </c>
      <c r="R21" s="1"/>
      <c r="S21" s="1"/>
      <c r="T21" s="1"/>
      <c r="U21" s="1"/>
    </row>
    <row r="22" spans="1:21" ht="26.25" customHeight="1" x14ac:dyDescent="0.25">
      <c r="A22" s="396"/>
      <c r="B22" s="267"/>
      <c r="C22" s="267"/>
      <c r="D22" s="267"/>
      <c r="E22" s="364"/>
      <c r="F22" s="342"/>
      <c r="G22" s="342"/>
      <c r="H22" s="342"/>
      <c r="I22" s="342"/>
      <c r="J22" s="342"/>
      <c r="K22" s="177" t="s">
        <v>526</v>
      </c>
      <c r="L22" s="180" t="s">
        <v>12</v>
      </c>
      <c r="M22" s="215">
        <v>100</v>
      </c>
      <c r="N22" s="215">
        <v>100</v>
      </c>
      <c r="O22" s="215">
        <v>100</v>
      </c>
      <c r="P22" s="215">
        <v>100</v>
      </c>
      <c r="Q22" s="216">
        <v>100</v>
      </c>
      <c r="R22" s="1"/>
      <c r="S22" s="1"/>
      <c r="T22" s="1"/>
      <c r="U22" s="1"/>
    </row>
    <row r="23" spans="1:21" ht="30" x14ac:dyDescent="0.25">
      <c r="A23" s="396"/>
      <c r="B23" s="267"/>
      <c r="C23" s="267"/>
      <c r="D23" s="267"/>
      <c r="E23" s="364"/>
      <c r="F23" s="342"/>
      <c r="G23" s="342"/>
      <c r="H23" s="342"/>
      <c r="I23" s="342"/>
      <c r="J23" s="342"/>
      <c r="K23" s="177" t="s">
        <v>527</v>
      </c>
      <c r="L23" s="180" t="s">
        <v>79</v>
      </c>
      <c r="M23" s="215">
        <v>0</v>
      </c>
      <c r="N23" s="215">
        <v>0</v>
      </c>
      <c r="O23" s="215">
        <v>0</v>
      </c>
      <c r="P23" s="215">
        <v>0</v>
      </c>
      <c r="Q23" s="216">
        <v>0</v>
      </c>
      <c r="R23" s="1"/>
      <c r="S23" s="1"/>
      <c r="T23" s="1"/>
      <c r="U23" s="1"/>
    </row>
    <row r="24" spans="1:21" ht="30" x14ac:dyDescent="0.25">
      <c r="A24" s="396"/>
      <c r="B24" s="267"/>
      <c r="C24" s="267" t="s">
        <v>21</v>
      </c>
      <c r="D24" s="267"/>
      <c r="E24" s="364" t="s">
        <v>528</v>
      </c>
      <c r="F24" s="378"/>
      <c r="G24" s="378"/>
      <c r="H24" s="378">
        <v>6856.4</v>
      </c>
      <c r="I24" s="378">
        <v>6986.8</v>
      </c>
      <c r="J24" s="378">
        <v>7196.4</v>
      </c>
      <c r="K24" s="206" t="s">
        <v>529</v>
      </c>
      <c r="L24" s="180" t="s">
        <v>12</v>
      </c>
      <c r="M24" s="215">
        <v>22.5</v>
      </c>
      <c r="N24" s="215">
        <v>22.5</v>
      </c>
      <c r="O24" s="215">
        <v>22.5</v>
      </c>
      <c r="P24" s="215">
        <v>22.5</v>
      </c>
      <c r="Q24" s="216">
        <v>22.5</v>
      </c>
      <c r="R24" s="1"/>
      <c r="S24" s="1"/>
      <c r="T24" s="1"/>
      <c r="U24" s="1"/>
    </row>
    <row r="25" spans="1:21" ht="45" x14ac:dyDescent="0.25">
      <c r="A25" s="396"/>
      <c r="B25" s="267"/>
      <c r="C25" s="267"/>
      <c r="D25" s="267"/>
      <c r="E25" s="364"/>
      <c r="F25" s="378"/>
      <c r="G25" s="378"/>
      <c r="H25" s="378"/>
      <c r="I25" s="378"/>
      <c r="J25" s="378"/>
      <c r="K25" s="206" t="s">
        <v>530</v>
      </c>
      <c r="L25" s="180" t="s">
        <v>12</v>
      </c>
      <c r="M25" s="215">
        <v>0.5</v>
      </c>
      <c r="N25" s="215">
        <v>0.5</v>
      </c>
      <c r="O25" s="215">
        <v>0.5</v>
      </c>
      <c r="P25" s="215">
        <v>0.5</v>
      </c>
      <c r="Q25" s="216">
        <v>0.5</v>
      </c>
      <c r="R25" s="1"/>
      <c r="S25" s="1"/>
      <c r="T25" s="1"/>
      <c r="U25" s="1"/>
    </row>
    <row r="26" spans="1:21" ht="26.25" customHeight="1" x14ac:dyDescent="0.25">
      <c r="A26" s="396"/>
      <c r="B26" s="267"/>
      <c r="C26" s="267"/>
      <c r="D26" s="267"/>
      <c r="E26" s="364"/>
      <c r="F26" s="378"/>
      <c r="G26" s="378"/>
      <c r="H26" s="378"/>
      <c r="I26" s="378"/>
      <c r="J26" s="378"/>
      <c r="K26" s="206" t="s">
        <v>531</v>
      </c>
      <c r="L26" s="180" t="s">
        <v>532</v>
      </c>
      <c r="M26" s="215">
        <v>4</v>
      </c>
      <c r="N26" s="215">
        <v>4</v>
      </c>
      <c r="O26" s="215">
        <v>4</v>
      </c>
      <c r="P26" s="215">
        <v>4</v>
      </c>
      <c r="Q26" s="216">
        <v>4</v>
      </c>
      <c r="R26" s="1"/>
      <c r="S26" s="1"/>
      <c r="T26" s="1"/>
      <c r="U26" s="1"/>
    </row>
    <row r="27" spans="1:21" ht="60" x14ac:dyDescent="0.25">
      <c r="A27" s="396"/>
      <c r="B27" s="161"/>
      <c r="C27" s="161" t="s">
        <v>22</v>
      </c>
      <c r="D27" s="162"/>
      <c r="E27" s="206" t="s">
        <v>533</v>
      </c>
      <c r="F27" s="212"/>
      <c r="G27" s="198"/>
      <c r="H27" s="212">
        <f>94800.7+14581.1+5340.1</f>
        <v>114721.90000000001</v>
      </c>
      <c r="I27" s="198">
        <f>94388.9+14864.2+5709.9</f>
        <v>114962.99999999999</v>
      </c>
      <c r="J27" s="239">
        <f>99539.2+15309.7+5880.6</f>
        <v>120729.5</v>
      </c>
      <c r="K27" s="206" t="s">
        <v>534</v>
      </c>
      <c r="L27" s="180" t="s">
        <v>535</v>
      </c>
      <c r="M27" s="215">
        <v>71</v>
      </c>
      <c r="N27" s="215">
        <v>71</v>
      </c>
      <c r="O27" s="215">
        <v>71</v>
      </c>
      <c r="P27" s="215">
        <v>75</v>
      </c>
      <c r="Q27" s="216">
        <v>75</v>
      </c>
      <c r="R27" s="1"/>
      <c r="S27" s="1"/>
      <c r="T27" s="1"/>
      <c r="U27" s="1"/>
    </row>
    <row r="28" spans="1:21" ht="41.25" customHeight="1" x14ac:dyDescent="0.25">
      <c r="A28" s="396"/>
      <c r="B28" s="316" t="s">
        <v>651</v>
      </c>
      <c r="C28" s="267"/>
      <c r="D28" s="268"/>
      <c r="E28" s="321" t="s">
        <v>646</v>
      </c>
      <c r="F28" s="261">
        <f>SUM(F30:F31)</f>
        <v>0</v>
      </c>
      <c r="G28" s="261">
        <f>SUM(G30:G31)</f>
        <v>0</v>
      </c>
      <c r="H28" s="261">
        <f>SUM(H30:H31)</f>
        <v>138465.20000000001</v>
      </c>
      <c r="I28" s="261">
        <f>SUM(I30:I31)</f>
        <v>139062.6</v>
      </c>
      <c r="J28" s="261">
        <f>SUM(J30:J31)</f>
        <v>145437</v>
      </c>
      <c r="K28" s="301" t="s">
        <v>536</v>
      </c>
      <c r="L28" s="305" t="s">
        <v>12</v>
      </c>
      <c r="M28" s="305">
        <v>100</v>
      </c>
      <c r="N28" s="305">
        <v>100</v>
      </c>
      <c r="O28" s="305">
        <v>100</v>
      </c>
      <c r="P28" s="305">
        <v>100</v>
      </c>
      <c r="Q28" s="379">
        <v>100</v>
      </c>
      <c r="R28" s="1"/>
      <c r="S28" s="1"/>
      <c r="T28" s="1"/>
      <c r="U28" s="1"/>
    </row>
    <row r="29" spans="1:21" ht="48.75" customHeight="1" x14ac:dyDescent="0.25">
      <c r="A29" s="396"/>
      <c r="B29" s="316"/>
      <c r="C29" s="267"/>
      <c r="D29" s="268"/>
      <c r="E29" s="321"/>
      <c r="F29" s="261"/>
      <c r="G29" s="261"/>
      <c r="H29" s="261"/>
      <c r="I29" s="261"/>
      <c r="J29" s="261"/>
      <c r="K29" s="301"/>
      <c r="L29" s="305"/>
      <c r="M29" s="305"/>
      <c r="N29" s="305"/>
      <c r="O29" s="305"/>
      <c r="P29" s="305"/>
      <c r="Q29" s="379"/>
      <c r="R29" s="1"/>
      <c r="S29" s="1"/>
      <c r="T29" s="1"/>
      <c r="U29" s="1"/>
    </row>
    <row r="30" spans="1:21" ht="45" x14ac:dyDescent="0.25">
      <c r="A30" s="396"/>
      <c r="B30" s="161"/>
      <c r="C30" s="161" t="s">
        <v>15</v>
      </c>
      <c r="D30" s="162"/>
      <c r="E30" s="127" t="s">
        <v>537</v>
      </c>
      <c r="F30" s="212"/>
      <c r="G30" s="212"/>
      <c r="H30" s="212">
        <v>22836.400000000001</v>
      </c>
      <c r="I30" s="212">
        <v>23302.2</v>
      </c>
      <c r="J30" s="212">
        <v>23994.1</v>
      </c>
      <c r="K30" s="364" t="s">
        <v>538</v>
      </c>
      <c r="L30" s="380" t="s">
        <v>539</v>
      </c>
      <c r="M30" s="380" t="s">
        <v>540</v>
      </c>
      <c r="N30" s="380" t="s">
        <v>540</v>
      </c>
      <c r="O30" s="380" t="s">
        <v>540</v>
      </c>
      <c r="P30" s="380" t="s">
        <v>540</v>
      </c>
      <c r="Q30" s="381" t="s">
        <v>540</v>
      </c>
      <c r="R30" s="1"/>
      <c r="S30" s="1"/>
      <c r="T30" s="1"/>
      <c r="U30" s="1"/>
    </row>
    <row r="31" spans="1:21" ht="30" x14ac:dyDescent="0.25">
      <c r="A31" s="396"/>
      <c r="B31" s="161"/>
      <c r="C31" s="161" t="s">
        <v>16</v>
      </c>
      <c r="D31" s="162"/>
      <c r="E31" s="206" t="s">
        <v>541</v>
      </c>
      <c r="F31" s="212"/>
      <c r="G31" s="212"/>
      <c r="H31" s="212">
        <f>98703.7+15181.1+1744</f>
        <v>115628.8</v>
      </c>
      <c r="I31" s="212">
        <f>98474.9+15475.2+1810.3</f>
        <v>115760.4</v>
      </c>
      <c r="J31" s="240">
        <f>103637.2+15939.7+1865.9+0.1</f>
        <v>121442.9</v>
      </c>
      <c r="K31" s="364"/>
      <c r="L31" s="380"/>
      <c r="M31" s="380"/>
      <c r="N31" s="380"/>
      <c r="O31" s="380"/>
      <c r="P31" s="380"/>
      <c r="Q31" s="381"/>
      <c r="R31" s="1"/>
      <c r="S31" s="1"/>
      <c r="T31" s="1"/>
      <c r="U31" s="1"/>
    </row>
    <row r="32" spans="1:21" ht="26.25" hidden="1" customHeight="1" x14ac:dyDescent="0.25">
      <c r="A32" s="396"/>
      <c r="B32" s="316" t="s">
        <v>652</v>
      </c>
      <c r="C32" s="267"/>
      <c r="D32" s="268"/>
      <c r="E32" s="321" t="s">
        <v>542</v>
      </c>
      <c r="F32" s="382">
        <f>SUM(F34:F41)</f>
        <v>0</v>
      </c>
      <c r="G32" s="382">
        <f>SUM(G34:G41)</f>
        <v>0</v>
      </c>
      <c r="H32" s="382">
        <f>SUM(H34:H41)</f>
        <v>0</v>
      </c>
      <c r="I32" s="382">
        <f>SUM(I34:I41)</f>
        <v>0</v>
      </c>
      <c r="J32" s="382">
        <f>SUM(J34:J41)</f>
        <v>0</v>
      </c>
      <c r="K32" s="305"/>
      <c r="L32" s="305"/>
      <c r="M32" s="305"/>
      <c r="N32" s="305"/>
      <c r="O32" s="305"/>
      <c r="P32" s="305"/>
      <c r="Q32" s="379"/>
      <c r="R32" s="1"/>
      <c r="S32" s="1"/>
      <c r="T32" s="1"/>
      <c r="U32" s="1"/>
    </row>
    <row r="33" spans="1:21" ht="26.25" hidden="1" customHeight="1" x14ac:dyDescent="0.25">
      <c r="A33" s="396"/>
      <c r="B33" s="316"/>
      <c r="C33" s="267"/>
      <c r="D33" s="268"/>
      <c r="E33" s="321"/>
      <c r="F33" s="382"/>
      <c r="G33" s="382"/>
      <c r="H33" s="382"/>
      <c r="I33" s="382"/>
      <c r="J33" s="382"/>
      <c r="K33" s="305"/>
      <c r="L33" s="305"/>
      <c r="M33" s="305"/>
      <c r="N33" s="305"/>
      <c r="O33" s="305"/>
      <c r="P33" s="305"/>
      <c r="Q33" s="379"/>
      <c r="R33" s="1"/>
      <c r="S33" s="1"/>
      <c r="T33" s="1"/>
      <c r="U33" s="1"/>
    </row>
    <row r="34" spans="1:21" ht="60" hidden="1" x14ac:dyDescent="0.25">
      <c r="A34" s="396"/>
      <c r="B34" s="161"/>
      <c r="C34" s="161" t="s">
        <v>15</v>
      </c>
      <c r="D34" s="162"/>
      <c r="E34" s="206" t="s">
        <v>543</v>
      </c>
      <c r="F34" s="212"/>
      <c r="G34" s="212"/>
      <c r="H34" s="212"/>
      <c r="I34" s="212"/>
      <c r="J34" s="212"/>
      <c r="K34" s="177" t="s">
        <v>544</v>
      </c>
      <c r="L34" s="180" t="s">
        <v>545</v>
      </c>
      <c r="M34" s="215">
        <v>5000</v>
      </c>
      <c r="N34" s="215">
        <v>4500</v>
      </c>
      <c r="O34" s="215">
        <v>4725</v>
      </c>
      <c r="P34" s="215">
        <v>4961</v>
      </c>
      <c r="Q34" s="216">
        <v>5209</v>
      </c>
      <c r="R34" s="1"/>
      <c r="S34" s="1"/>
      <c r="T34" s="1"/>
      <c r="U34" s="1"/>
    </row>
    <row r="35" spans="1:21" ht="45" hidden="1" x14ac:dyDescent="0.25">
      <c r="A35" s="396"/>
      <c r="B35" s="267"/>
      <c r="C35" s="267" t="s">
        <v>16</v>
      </c>
      <c r="D35" s="267"/>
      <c r="E35" s="364" t="s">
        <v>546</v>
      </c>
      <c r="F35" s="378"/>
      <c r="G35" s="378"/>
      <c r="H35" s="378"/>
      <c r="I35" s="378"/>
      <c r="J35" s="378"/>
      <c r="K35" s="177" t="s">
        <v>547</v>
      </c>
      <c r="L35" s="180" t="s">
        <v>548</v>
      </c>
      <c r="M35" s="215">
        <v>5</v>
      </c>
      <c r="N35" s="215">
        <v>5</v>
      </c>
      <c r="O35" s="215">
        <v>5</v>
      </c>
      <c r="P35" s="215">
        <v>5</v>
      </c>
      <c r="Q35" s="216">
        <v>5</v>
      </c>
      <c r="R35" s="1"/>
      <c r="S35" s="1"/>
      <c r="T35" s="1"/>
      <c r="U35" s="1"/>
    </row>
    <row r="36" spans="1:21" hidden="1" x14ac:dyDescent="0.25">
      <c r="A36" s="396"/>
      <c r="B36" s="267"/>
      <c r="C36" s="267"/>
      <c r="D36" s="267"/>
      <c r="E36" s="364"/>
      <c r="F36" s="378"/>
      <c r="G36" s="378"/>
      <c r="H36" s="378"/>
      <c r="I36" s="378"/>
      <c r="J36" s="378"/>
      <c r="K36" s="177" t="s">
        <v>668</v>
      </c>
      <c r="L36" s="180" t="s">
        <v>548</v>
      </c>
      <c r="M36" s="215" t="s">
        <v>660</v>
      </c>
      <c r="N36" s="215" t="s">
        <v>660</v>
      </c>
      <c r="O36" s="215" t="s">
        <v>660</v>
      </c>
      <c r="P36" s="215" t="s">
        <v>660</v>
      </c>
      <c r="Q36" s="215" t="s">
        <v>660</v>
      </c>
      <c r="R36" s="1"/>
      <c r="S36" s="1"/>
      <c r="T36" s="1"/>
      <c r="U36" s="1"/>
    </row>
    <row r="37" spans="1:21" ht="60" hidden="1" x14ac:dyDescent="0.25">
      <c r="A37" s="396"/>
      <c r="B37" s="267"/>
      <c r="C37" s="267"/>
      <c r="D37" s="267"/>
      <c r="E37" s="364"/>
      <c r="F37" s="378"/>
      <c r="G37" s="378"/>
      <c r="H37" s="378"/>
      <c r="I37" s="378"/>
      <c r="J37" s="378"/>
      <c r="K37" s="177" t="s">
        <v>549</v>
      </c>
      <c r="L37" s="180" t="s">
        <v>550</v>
      </c>
      <c r="M37" s="215">
        <v>100</v>
      </c>
      <c r="N37" s="215">
        <v>100</v>
      </c>
      <c r="O37" s="215">
        <v>100</v>
      </c>
      <c r="P37" s="215">
        <v>100</v>
      </c>
      <c r="Q37" s="216">
        <v>100</v>
      </c>
      <c r="R37" s="1"/>
      <c r="S37" s="1"/>
      <c r="T37" s="1"/>
      <c r="U37" s="1"/>
    </row>
    <row r="38" spans="1:21" ht="60" hidden="1" x14ac:dyDescent="0.25">
      <c r="A38" s="396"/>
      <c r="B38" s="267"/>
      <c r="C38" s="267"/>
      <c r="D38" s="267"/>
      <c r="E38" s="364"/>
      <c r="F38" s="378"/>
      <c r="G38" s="378"/>
      <c r="H38" s="378"/>
      <c r="I38" s="378"/>
      <c r="J38" s="378"/>
      <c r="K38" s="177" t="s">
        <v>551</v>
      </c>
      <c r="L38" s="180" t="s">
        <v>24</v>
      </c>
      <c r="M38" s="215" t="s">
        <v>552</v>
      </c>
      <c r="N38" s="215" t="s">
        <v>552</v>
      </c>
      <c r="O38" s="215" t="s">
        <v>552</v>
      </c>
      <c r="P38" s="215" t="s">
        <v>552</v>
      </c>
      <c r="Q38" s="216" t="s">
        <v>552</v>
      </c>
      <c r="R38" s="1"/>
      <c r="S38" s="1"/>
      <c r="T38" s="1"/>
      <c r="U38" s="1"/>
    </row>
    <row r="39" spans="1:21" ht="34.5" hidden="1" customHeight="1" x14ac:dyDescent="0.25">
      <c r="A39" s="396"/>
      <c r="B39" s="267"/>
      <c r="C39" s="267"/>
      <c r="D39" s="267"/>
      <c r="E39" s="364"/>
      <c r="F39" s="378"/>
      <c r="G39" s="378"/>
      <c r="H39" s="378"/>
      <c r="I39" s="378"/>
      <c r="J39" s="378"/>
      <c r="K39" s="177" t="s">
        <v>553</v>
      </c>
      <c r="L39" s="180" t="s">
        <v>12</v>
      </c>
      <c r="M39" s="215">
        <v>100</v>
      </c>
      <c r="N39" s="215">
        <v>100</v>
      </c>
      <c r="O39" s="215">
        <v>100</v>
      </c>
      <c r="P39" s="215">
        <v>100</v>
      </c>
      <c r="Q39" s="216">
        <v>100</v>
      </c>
      <c r="R39" s="1"/>
      <c r="S39" s="1"/>
      <c r="T39" s="1"/>
      <c r="U39" s="1"/>
    </row>
    <row r="40" spans="1:21" ht="60" hidden="1" x14ac:dyDescent="0.25">
      <c r="A40" s="396"/>
      <c r="B40" s="161"/>
      <c r="C40" s="161" t="s">
        <v>14</v>
      </c>
      <c r="D40" s="162"/>
      <c r="E40" s="127" t="s">
        <v>554</v>
      </c>
      <c r="F40" s="212"/>
      <c r="G40" s="212"/>
      <c r="H40" s="212"/>
      <c r="I40" s="212"/>
      <c r="J40" s="212"/>
      <c r="K40" s="181" t="s">
        <v>555</v>
      </c>
      <c r="L40" s="180" t="s">
        <v>12</v>
      </c>
      <c r="M40" s="215">
        <v>100</v>
      </c>
      <c r="N40" s="215">
        <v>100</v>
      </c>
      <c r="O40" s="215">
        <v>100</v>
      </c>
      <c r="P40" s="215">
        <v>100</v>
      </c>
      <c r="Q40" s="216">
        <v>100</v>
      </c>
      <c r="R40" s="1"/>
      <c r="S40" s="1"/>
      <c r="T40" s="1"/>
      <c r="U40" s="1"/>
    </row>
    <row r="41" spans="1:21" ht="45" hidden="1" x14ac:dyDescent="0.25">
      <c r="A41" s="396"/>
      <c r="B41" s="161"/>
      <c r="C41" s="161" t="s">
        <v>18</v>
      </c>
      <c r="D41" s="162"/>
      <c r="E41" s="127" t="s">
        <v>556</v>
      </c>
      <c r="F41" s="212"/>
      <c r="G41" s="212"/>
      <c r="H41" s="212"/>
      <c r="I41" s="212"/>
      <c r="J41" s="212"/>
      <c r="K41" s="128" t="s">
        <v>557</v>
      </c>
      <c r="L41" s="203" t="s">
        <v>513</v>
      </c>
      <c r="M41" s="11">
        <v>4449</v>
      </c>
      <c r="N41" s="11">
        <v>5018.7</v>
      </c>
      <c r="O41" s="11">
        <v>5023.8999999999996</v>
      </c>
      <c r="P41" s="11">
        <v>5438.2</v>
      </c>
      <c r="Q41" s="103">
        <v>5450.3</v>
      </c>
      <c r="R41" s="1"/>
      <c r="S41" s="1"/>
      <c r="T41" s="1"/>
      <c r="U41" s="1"/>
    </row>
    <row r="42" spans="1:21" ht="26.25" hidden="1" customHeight="1" x14ac:dyDescent="0.25">
      <c r="A42" s="396"/>
      <c r="B42" s="316" t="s">
        <v>653</v>
      </c>
      <c r="C42" s="267"/>
      <c r="D42" s="268"/>
      <c r="E42" s="335" t="s">
        <v>558</v>
      </c>
      <c r="F42" s="261">
        <f>F44+F47</f>
        <v>0</v>
      </c>
      <c r="G42" s="261">
        <f>G44+G47</f>
        <v>0</v>
      </c>
      <c r="H42" s="261">
        <f>H44+H47</f>
        <v>0</v>
      </c>
      <c r="I42" s="261">
        <f>I44+I47</f>
        <v>0</v>
      </c>
      <c r="J42" s="261">
        <f>J44+J47</f>
        <v>0</v>
      </c>
      <c r="K42" s="305"/>
      <c r="L42" s="305"/>
      <c r="M42" s="305"/>
      <c r="N42" s="305"/>
      <c r="O42" s="305"/>
      <c r="P42" s="305"/>
      <c r="Q42" s="379"/>
      <c r="R42" s="1"/>
      <c r="S42" s="1"/>
      <c r="T42" s="1"/>
      <c r="U42" s="1"/>
    </row>
    <row r="43" spans="1:21" hidden="1" x14ac:dyDescent="0.25">
      <c r="A43" s="396"/>
      <c r="B43" s="316"/>
      <c r="C43" s="267"/>
      <c r="D43" s="268"/>
      <c r="E43" s="403"/>
      <c r="F43" s="261"/>
      <c r="G43" s="261"/>
      <c r="H43" s="261"/>
      <c r="I43" s="261"/>
      <c r="J43" s="261"/>
      <c r="K43" s="305"/>
      <c r="L43" s="305"/>
      <c r="M43" s="305"/>
      <c r="N43" s="305"/>
      <c r="O43" s="305"/>
      <c r="P43" s="305"/>
      <c r="Q43" s="379"/>
      <c r="R43" s="1"/>
      <c r="S43" s="1"/>
      <c r="T43" s="1"/>
      <c r="U43" s="1"/>
    </row>
    <row r="44" spans="1:21" ht="26.25" hidden="1" customHeight="1" x14ac:dyDescent="0.25">
      <c r="A44" s="396"/>
      <c r="B44" s="186"/>
      <c r="C44" s="161"/>
      <c r="D44" s="162"/>
      <c r="E44" s="191"/>
      <c r="F44" s="198"/>
      <c r="G44" s="198"/>
      <c r="H44" s="198"/>
      <c r="I44" s="198"/>
      <c r="J44" s="198"/>
      <c r="K44" s="180"/>
      <c r="L44" s="180"/>
      <c r="M44" s="215"/>
      <c r="N44" s="215"/>
      <c r="O44" s="215"/>
      <c r="P44" s="215"/>
      <c r="Q44" s="216"/>
      <c r="R44" s="1"/>
      <c r="S44" s="1"/>
      <c r="T44" s="1"/>
      <c r="U44" s="1"/>
    </row>
    <row r="45" spans="1:21" ht="45" hidden="1" x14ac:dyDescent="0.25">
      <c r="A45" s="396"/>
      <c r="B45" s="186"/>
      <c r="C45" s="199">
        <v>1</v>
      </c>
      <c r="D45" s="129"/>
      <c r="E45" s="130" t="s">
        <v>559</v>
      </c>
      <c r="F45" s="198"/>
      <c r="G45" s="198"/>
      <c r="H45" s="198"/>
      <c r="I45" s="198"/>
      <c r="J45" s="198"/>
      <c r="K45" s="177" t="s">
        <v>560</v>
      </c>
      <c r="L45" s="180" t="s">
        <v>12</v>
      </c>
      <c r="M45" s="215">
        <v>100.3</v>
      </c>
      <c r="N45" s="215">
        <v>100</v>
      </c>
      <c r="O45" s="215">
        <v>100</v>
      </c>
      <c r="P45" s="215">
        <v>100</v>
      </c>
      <c r="Q45" s="216">
        <v>100</v>
      </c>
      <c r="R45" s="1"/>
      <c r="S45" s="1"/>
      <c r="T45" s="1"/>
      <c r="U45" s="1"/>
    </row>
    <row r="46" spans="1:21" ht="45" hidden="1" x14ac:dyDescent="0.25">
      <c r="A46" s="396"/>
      <c r="B46" s="186"/>
      <c r="C46" s="199">
        <v>2</v>
      </c>
      <c r="D46" s="129"/>
      <c r="E46" s="130" t="s">
        <v>561</v>
      </c>
      <c r="F46" s="198"/>
      <c r="G46" s="198"/>
      <c r="H46" s="198"/>
      <c r="I46" s="198"/>
      <c r="J46" s="198"/>
      <c r="K46" s="177" t="s">
        <v>562</v>
      </c>
      <c r="L46" s="180" t="s">
        <v>563</v>
      </c>
      <c r="M46" s="215">
        <v>1.9E-2</v>
      </c>
      <c r="N46" s="215">
        <v>1.4999999999999999E-2</v>
      </c>
      <c r="O46" s="215">
        <v>1.4999999999999999E-2</v>
      </c>
      <c r="P46" s="215">
        <v>1.4999999999999999E-2</v>
      </c>
      <c r="Q46" s="216">
        <v>1.6E-2</v>
      </c>
      <c r="R46" s="1"/>
      <c r="S46" s="1"/>
      <c r="T46" s="1"/>
      <c r="U46" s="1"/>
    </row>
    <row r="47" spans="1:21" ht="26.25" hidden="1" customHeight="1" x14ac:dyDescent="0.25">
      <c r="A47" s="396"/>
      <c r="B47" s="316"/>
      <c r="C47" s="267"/>
      <c r="D47" s="268"/>
      <c r="E47" s="301" t="s">
        <v>564</v>
      </c>
      <c r="F47" s="342"/>
      <c r="G47" s="342"/>
      <c r="H47" s="342"/>
      <c r="I47" s="342"/>
      <c r="J47" s="342"/>
      <c r="K47" s="306"/>
      <c r="L47" s="305"/>
      <c r="M47" s="305"/>
      <c r="N47" s="401"/>
      <c r="O47" s="401"/>
      <c r="P47" s="401"/>
      <c r="Q47" s="402"/>
      <c r="R47" s="1"/>
      <c r="S47" s="1"/>
      <c r="T47" s="1"/>
      <c r="U47" s="1"/>
    </row>
    <row r="48" spans="1:21" ht="26.25" hidden="1" customHeight="1" x14ac:dyDescent="0.25">
      <c r="A48" s="396"/>
      <c r="B48" s="316"/>
      <c r="C48" s="267"/>
      <c r="D48" s="268"/>
      <c r="E48" s="301"/>
      <c r="F48" s="342"/>
      <c r="G48" s="342"/>
      <c r="H48" s="342"/>
      <c r="I48" s="342"/>
      <c r="J48" s="342"/>
      <c r="K48" s="306"/>
      <c r="L48" s="305"/>
      <c r="M48" s="305"/>
      <c r="N48" s="401"/>
      <c r="O48" s="401"/>
      <c r="P48" s="401"/>
      <c r="Q48" s="402"/>
      <c r="R48" s="1"/>
      <c r="S48" s="1"/>
      <c r="T48" s="1"/>
      <c r="U48" s="1"/>
    </row>
    <row r="49" spans="1:21" ht="57" hidden="1" customHeight="1" x14ac:dyDescent="0.25">
      <c r="A49" s="396"/>
      <c r="B49" s="196"/>
      <c r="C49" s="161" t="s">
        <v>14</v>
      </c>
      <c r="D49" s="162"/>
      <c r="E49" s="130" t="s">
        <v>565</v>
      </c>
      <c r="F49" s="198"/>
      <c r="G49" s="198"/>
      <c r="H49" s="198"/>
      <c r="I49" s="198"/>
      <c r="J49" s="198"/>
      <c r="K49" s="177" t="s">
        <v>566</v>
      </c>
      <c r="L49" s="180" t="s">
        <v>12</v>
      </c>
      <c r="M49" s="215">
        <v>84.9</v>
      </c>
      <c r="N49" s="215">
        <v>98</v>
      </c>
      <c r="O49" s="215">
        <v>100</v>
      </c>
      <c r="P49" s="215">
        <v>100</v>
      </c>
      <c r="Q49" s="216">
        <v>100</v>
      </c>
      <c r="R49" s="1"/>
      <c r="S49" s="1"/>
      <c r="T49" s="1"/>
      <c r="U49" s="1"/>
    </row>
    <row r="50" spans="1:21" ht="85.5" hidden="1" customHeight="1" x14ac:dyDescent="0.25">
      <c r="A50" s="396"/>
      <c r="B50" s="196"/>
      <c r="C50" s="161" t="s">
        <v>18</v>
      </c>
      <c r="D50" s="162"/>
      <c r="E50" s="131" t="s">
        <v>567</v>
      </c>
      <c r="F50" s="198"/>
      <c r="G50" s="198"/>
      <c r="H50" s="198"/>
      <c r="I50" s="198"/>
      <c r="J50" s="198"/>
      <c r="K50" s="177" t="s">
        <v>568</v>
      </c>
      <c r="L50" s="180" t="s">
        <v>569</v>
      </c>
      <c r="M50" s="243">
        <v>3.6113168966328518E-2</v>
      </c>
      <c r="N50" s="243">
        <v>2.3264491638795987E-2</v>
      </c>
      <c r="O50" s="243">
        <v>1.7977759118815457E-2</v>
      </c>
      <c r="P50" s="243">
        <v>1.6504263858352738E-2</v>
      </c>
      <c r="Q50" s="244">
        <v>1.5247518715391843E-2</v>
      </c>
      <c r="R50" s="1"/>
      <c r="S50" s="1"/>
      <c r="T50" s="1"/>
      <c r="U50" s="1"/>
    </row>
    <row r="51" spans="1:21" ht="107.25" hidden="1" customHeight="1" x14ac:dyDescent="0.25">
      <c r="A51" s="396"/>
      <c r="B51" s="160" t="s">
        <v>654</v>
      </c>
      <c r="C51" s="210"/>
      <c r="D51" s="152"/>
      <c r="E51" s="154" t="s">
        <v>647</v>
      </c>
      <c r="F51" s="194">
        <f>SUM(F52:F62)</f>
        <v>0</v>
      </c>
      <c r="G51" s="158">
        <f>SUM(G52:G62)</f>
        <v>0</v>
      </c>
      <c r="H51" s="158">
        <f>SUM(H52:H62)</f>
        <v>0</v>
      </c>
      <c r="I51" s="158">
        <f>SUM(I52:I62)</f>
        <v>0</v>
      </c>
      <c r="J51" s="158">
        <f>SUM(J52:J62)</f>
        <v>0</v>
      </c>
      <c r="K51" s="122"/>
      <c r="L51" s="202"/>
      <c r="M51" s="228"/>
      <c r="N51" s="153"/>
      <c r="O51" s="153"/>
      <c r="P51" s="153"/>
      <c r="Q51" s="153"/>
      <c r="R51" s="1"/>
      <c r="S51" s="1"/>
      <c r="T51" s="1"/>
      <c r="U51" s="1"/>
    </row>
    <row r="52" spans="1:21" ht="26.25" hidden="1" customHeight="1" x14ac:dyDescent="0.25">
      <c r="A52" s="396"/>
      <c r="B52" s="376" t="s">
        <v>570</v>
      </c>
      <c r="C52" s="376" t="s">
        <v>15</v>
      </c>
      <c r="D52" s="376"/>
      <c r="E52" s="385" t="s">
        <v>571</v>
      </c>
      <c r="F52" s="384"/>
      <c r="G52" s="384"/>
      <c r="H52" s="384"/>
      <c r="I52" s="384"/>
      <c r="J52" s="384"/>
      <c r="K52" s="177" t="s">
        <v>572</v>
      </c>
      <c r="L52" s="192" t="s">
        <v>12</v>
      </c>
      <c r="M52" s="223">
        <v>104.5</v>
      </c>
      <c r="N52" s="223">
        <v>94.7</v>
      </c>
      <c r="O52" s="223">
        <v>104</v>
      </c>
      <c r="P52" s="223">
        <v>105.7</v>
      </c>
      <c r="Q52" s="222">
        <v>100.6</v>
      </c>
      <c r="R52" s="1"/>
      <c r="S52" s="1"/>
      <c r="T52" s="1"/>
      <c r="U52" s="1"/>
    </row>
    <row r="53" spans="1:21" ht="26.25" hidden="1" customHeight="1" x14ac:dyDescent="0.25">
      <c r="A53" s="396"/>
      <c r="B53" s="376"/>
      <c r="C53" s="376"/>
      <c r="D53" s="376"/>
      <c r="E53" s="310"/>
      <c r="F53" s="384"/>
      <c r="G53" s="384"/>
      <c r="H53" s="384"/>
      <c r="I53" s="384"/>
      <c r="J53" s="384"/>
      <c r="K53" s="177" t="s">
        <v>573</v>
      </c>
      <c r="L53" s="192" t="s">
        <v>12</v>
      </c>
      <c r="M53" s="36" t="s">
        <v>574</v>
      </c>
      <c r="N53" s="36" t="s">
        <v>575</v>
      </c>
      <c r="O53" s="36" t="s">
        <v>576</v>
      </c>
      <c r="P53" s="36" t="s">
        <v>577</v>
      </c>
      <c r="Q53" s="90" t="s">
        <v>577</v>
      </c>
      <c r="R53" s="1"/>
      <c r="S53" s="1"/>
      <c r="T53" s="1"/>
      <c r="U53" s="1"/>
    </row>
    <row r="54" spans="1:21" ht="33.75" hidden="1" customHeight="1" x14ac:dyDescent="0.25">
      <c r="A54" s="396"/>
      <c r="B54" s="376" t="s">
        <v>570</v>
      </c>
      <c r="C54" s="376" t="s">
        <v>16</v>
      </c>
      <c r="D54" s="376"/>
      <c r="E54" s="383" t="s">
        <v>578</v>
      </c>
      <c r="F54" s="384"/>
      <c r="G54" s="384"/>
      <c r="H54" s="384"/>
      <c r="I54" s="384"/>
      <c r="J54" s="384"/>
      <c r="K54" s="177" t="s">
        <v>579</v>
      </c>
      <c r="L54" s="317" t="s">
        <v>12</v>
      </c>
      <c r="M54" s="229">
        <v>107</v>
      </c>
      <c r="N54" s="223">
        <v>93.8</v>
      </c>
      <c r="O54" s="223">
        <v>108.5</v>
      </c>
      <c r="P54" s="223">
        <v>112.5</v>
      </c>
      <c r="Q54" s="222">
        <v>88.9</v>
      </c>
      <c r="R54" s="1"/>
      <c r="S54" s="1"/>
      <c r="T54" s="1"/>
      <c r="U54" s="1"/>
    </row>
    <row r="55" spans="1:21" ht="26.25" hidden="1" customHeight="1" x14ac:dyDescent="0.25">
      <c r="A55" s="396"/>
      <c r="B55" s="376"/>
      <c r="C55" s="376"/>
      <c r="D55" s="376"/>
      <c r="E55" s="383"/>
      <c r="F55" s="384"/>
      <c r="G55" s="384"/>
      <c r="H55" s="384"/>
      <c r="I55" s="384"/>
      <c r="J55" s="384"/>
      <c r="K55" s="177" t="s">
        <v>580</v>
      </c>
      <c r="L55" s="317"/>
      <c r="M55" s="229">
        <v>42.4</v>
      </c>
      <c r="N55" s="223">
        <v>55.3</v>
      </c>
      <c r="O55" s="223">
        <v>53.4</v>
      </c>
      <c r="P55" s="223">
        <v>55.9</v>
      </c>
      <c r="Q55" s="222">
        <v>47.1</v>
      </c>
      <c r="R55" s="1"/>
      <c r="S55" s="1"/>
      <c r="T55" s="1"/>
      <c r="U55" s="1"/>
    </row>
    <row r="56" spans="1:21" ht="42" hidden="1" customHeight="1" x14ac:dyDescent="0.25">
      <c r="A56" s="396"/>
      <c r="B56" s="209"/>
      <c r="C56" s="210" t="s">
        <v>18</v>
      </c>
      <c r="D56" s="210"/>
      <c r="E56" s="183" t="s">
        <v>581</v>
      </c>
      <c r="F56" s="193"/>
      <c r="G56" s="193"/>
      <c r="H56" s="193"/>
      <c r="I56" s="193"/>
      <c r="J56" s="193"/>
      <c r="K56" s="177" t="s">
        <v>582</v>
      </c>
      <c r="L56" s="192" t="s">
        <v>583</v>
      </c>
      <c r="M56" s="219">
        <v>1500</v>
      </c>
      <c r="N56" s="132">
        <v>3000</v>
      </c>
      <c r="O56" s="219">
        <v>4000</v>
      </c>
      <c r="P56" s="219">
        <v>5000</v>
      </c>
      <c r="Q56" s="84">
        <v>7000</v>
      </c>
      <c r="R56" s="1"/>
      <c r="S56" s="1"/>
      <c r="T56" s="1"/>
      <c r="U56" s="1"/>
    </row>
    <row r="57" spans="1:21" ht="55.5" hidden="1" customHeight="1" x14ac:dyDescent="0.25">
      <c r="A57" s="396"/>
      <c r="B57" s="369"/>
      <c r="C57" s="260" t="s">
        <v>19</v>
      </c>
      <c r="D57" s="376"/>
      <c r="E57" s="310" t="s">
        <v>584</v>
      </c>
      <c r="F57" s="384"/>
      <c r="G57" s="384"/>
      <c r="H57" s="384"/>
      <c r="I57" s="384"/>
      <c r="J57" s="384"/>
      <c r="K57" s="177" t="s">
        <v>585</v>
      </c>
      <c r="L57" s="192" t="s">
        <v>586</v>
      </c>
      <c r="M57" s="219">
        <v>80</v>
      </c>
      <c r="N57" s="219">
        <v>70</v>
      </c>
      <c r="O57" s="219">
        <v>60</v>
      </c>
      <c r="P57" s="219">
        <v>50</v>
      </c>
      <c r="Q57" s="84">
        <v>50</v>
      </c>
      <c r="R57" s="1"/>
      <c r="S57" s="1"/>
      <c r="T57" s="1"/>
      <c r="U57" s="1"/>
    </row>
    <row r="58" spans="1:21" ht="53.25" hidden="1" customHeight="1" x14ac:dyDescent="0.25">
      <c r="A58" s="396"/>
      <c r="B58" s="369"/>
      <c r="C58" s="260"/>
      <c r="D58" s="376"/>
      <c r="E58" s="310"/>
      <c r="F58" s="384"/>
      <c r="G58" s="384"/>
      <c r="H58" s="384"/>
      <c r="I58" s="384"/>
      <c r="J58" s="384"/>
      <c r="K58" s="177" t="s">
        <v>701</v>
      </c>
      <c r="L58" s="192" t="s">
        <v>586</v>
      </c>
      <c r="M58" s="219">
        <v>78</v>
      </c>
      <c r="N58" s="219">
        <v>70</v>
      </c>
      <c r="O58" s="219">
        <v>60</v>
      </c>
      <c r="P58" s="219">
        <v>50</v>
      </c>
      <c r="Q58" s="84">
        <v>50</v>
      </c>
      <c r="R58" s="1"/>
      <c r="S58" s="1"/>
      <c r="T58" s="1"/>
      <c r="U58" s="1"/>
    </row>
    <row r="59" spans="1:21" ht="26.25" hidden="1" customHeight="1" x14ac:dyDescent="0.25">
      <c r="A59" s="396"/>
      <c r="B59" s="369"/>
      <c r="C59" s="260"/>
      <c r="D59" s="376"/>
      <c r="E59" s="310"/>
      <c r="F59" s="384"/>
      <c r="G59" s="384"/>
      <c r="H59" s="384"/>
      <c r="I59" s="384"/>
      <c r="J59" s="384"/>
      <c r="K59" s="177" t="s">
        <v>702</v>
      </c>
      <c r="L59" s="192" t="s">
        <v>586</v>
      </c>
      <c r="M59" s="219">
        <v>117</v>
      </c>
      <c r="N59" s="219">
        <v>115</v>
      </c>
      <c r="O59" s="219">
        <v>110</v>
      </c>
      <c r="P59" s="219">
        <v>100</v>
      </c>
      <c r="Q59" s="84">
        <v>100</v>
      </c>
      <c r="R59" s="1"/>
      <c r="S59" s="1"/>
      <c r="T59" s="1"/>
      <c r="U59" s="1"/>
    </row>
    <row r="60" spans="1:21" ht="90" hidden="1" x14ac:dyDescent="0.25">
      <c r="A60" s="396"/>
      <c r="B60" s="209"/>
      <c r="C60" s="210" t="s">
        <v>20</v>
      </c>
      <c r="D60" s="210"/>
      <c r="E60" s="133" t="s">
        <v>587</v>
      </c>
      <c r="F60" s="213"/>
      <c r="G60" s="213"/>
      <c r="H60" s="213"/>
      <c r="I60" s="213"/>
      <c r="J60" s="213"/>
      <c r="K60" s="177" t="s">
        <v>588</v>
      </c>
      <c r="L60" s="200" t="s">
        <v>12</v>
      </c>
      <c r="M60" s="227">
        <v>30</v>
      </c>
      <c r="N60" s="227">
        <v>40</v>
      </c>
      <c r="O60" s="227">
        <v>50</v>
      </c>
      <c r="P60" s="227">
        <v>60</v>
      </c>
      <c r="Q60" s="82">
        <v>70</v>
      </c>
      <c r="R60" s="1"/>
      <c r="S60" s="1"/>
      <c r="T60" s="1"/>
      <c r="U60" s="1"/>
    </row>
    <row r="61" spans="1:21" ht="60" hidden="1" x14ac:dyDescent="0.25">
      <c r="A61" s="396"/>
      <c r="B61" s="209"/>
      <c r="C61" s="210" t="s">
        <v>21</v>
      </c>
      <c r="D61" s="210"/>
      <c r="E61" s="204" t="s">
        <v>589</v>
      </c>
      <c r="F61" s="213"/>
      <c r="G61" s="213"/>
      <c r="H61" s="213"/>
      <c r="I61" s="213"/>
      <c r="J61" s="213"/>
      <c r="K61" s="177" t="s">
        <v>590</v>
      </c>
      <c r="L61" s="134" t="s">
        <v>12</v>
      </c>
      <c r="M61" s="215">
        <v>10</v>
      </c>
      <c r="N61" s="215">
        <v>15</v>
      </c>
      <c r="O61" s="215">
        <v>50</v>
      </c>
      <c r="P61" s="215">
        <v>80</v>
      </c>
      <c r="Q61" s="216">
        <v>100</v>
      </c>
      <c r="R61" s="1"/>
      <c r="S61" s="1"/>
      <c r="T61" s="1"/>
      <c r="U61" s="1"/>
    </row>
    <row r="62" spans="1:21" ht="45" hidden="1" x14ac:dyDescent="0.25">
      <c r="A62" s="396"/>
      <c r="B62" s="135"/>
      <c r="C62" s="210" t="s">
        <v>22</v>
      </c>
      <c r="D62" s="136"/>
      <c r="E62" s="204" t="s">
        <v>591</v>
      </c>
      <c r="F62" s="137"/>
      <c r="G62" s="138"/>
      <c r="H62" s="213"/>
      <c r="I62" s="213"/>
      <c r="J62" s="137"/>
      <c r="K62" s="204"/>
      <c r="L62" s="192"/>
      <c r="M62" s="223"/>
      <c r="N62" s="223"/>
      <c r="O62" s="219"/>
      <c r="P62" s="219"/>
      <c r="Q62" s="84"/>
      <c r="R62" s="1"/>
      <c r="S62" s="1"/>
      <c r="T62" s="1"/>
      <c r="U62" s="1"/>
    </row>
    <row r="63" spans="1:21" ht="26.25" hidden="1" customHeight="1" x14ac:dyDescent="0.25">
      <c r="A63" s="396"/>
      <c r="B63" s="316" t="s">
        <v>655</v>
      </c>
      <c r="C63" s="267"/>
      <c r="D63" s="268"/>
      <c r="E63" s="321" t="s">
        <v>592</v>
      </c>
      <c r="F63" s="261">
        <f>SUM(F65:F84)</f>
        <v>0</v>
      </c>
      <c r="G63" s="261">
        <f>SUM(G65:G84)</f>
        <v>0</v>
      </c>
      <c r="H63" s="261">
        <f>SUM(H65:H84)</f>
        <v>0</v>
      </c>
      <c r="I63" s="261">
        <f>SUM(I65:I84)</f>
        <v>0</v>
      </c>
      <c r="J63" s="261">
        <f>SUM(J65:J84)</f>
        <v>0</v>
      </c>
      <c r="K63" s="386"/>
      <c r="L63" s="261"/>
      <c r="M63" s="261"/>
      <c r="N63" s="261"/>
      <c r="O63" s="261"/>
      <c r="P63" s="261"/>
      <c r="Q63" s="400"/>
      <c r="R63" s="1"/>
      <c r="S63" s="1"/>
      <c r="T63" s="1"/>
      <c r="U63" s="1"/>
    </row>
    <row r="64" spans="1:21" ht="26.25" hidden="1" customHeight="1" x14ac:dyDescent="0.25">
      <c r="A64" s="396"/>
      <c r="B64" s="316"/>
      <c r="C64" s="267"/>
      <c r="D64" s="268"/>
      <c r="E64" s="321"/>
      <c r="F64" s="261"/>
      <c r="G64" s="261"/>
      <c r="H64" s="261"/>
      <c r="I64" s="261"/>
      <c r="J64" s="261"/>
      <c r="K64" s="386"/>
      <c r="L64" s="261"/>
      <c r="M64" s="261"/>
      <c r="N64" s="261"/>
      <c r="O64" s="261"/>
      <c r="P64" s="261"/>
      <c r="Q64" s="400"/>
      <c r="R64" s="1"/>
      <c r="S64" s="1"/>
      <c r="T64" s="1"/>
      <c r="U64" s="1"/>
    </row>
    <row r="65" spans="1:21" ht="26.25" hidden="1" customHeight="1" x14ac:dyDescent="0.25">
      <c r="A65" s="396"/>
      <c r="B65" s="369"/>
      <c r="C65" s="376" t="s">
        <v>15</v>
      </c>
      <c r="D65" s="376"/>
      <c r="E65" s="387" t="s">
        <v>593</v>
      </c>
      <c r="F65" s="384"/>
      <c r="G65" s="384"/>
      <c r="H65" s="384"/>
      <c r="I65" s="384"/>
      <c r="J65" s="384"/>
      <c r="K65" s="133" t="s">
        <v>594</v>
      </c>
      <c r="L65" s="192" t="s">
        <v>595</v>
      </c>
      <c r="M65" s="227">
        <v>7915</v>
      </c>
      <c r="N65" s="227">
        <v>5</v>
      </c>
      <c r="O65" s="227">
        <v>5</v>
      </c>
      <c r="P65" s="227">
        <v>5</v>
      </c>
      <c r="Q65" s="82">
        <v>5</v>
      </c>
      <c r="R65" s="1"/>
      <c r="S65" s="1"/>
      <c r="T65" s="1"/>
      <c r="U65" s="1"/>
    </row>
    <row r="66" spans="1:21" ht="26.25" hidden="1" customHeight="1" x14ac:dyDescent="0.25">
      <c r="A66" s="396"/>
      <c r="B66" s="369"/>
      <c r="C66" s="376"/>
      <c r="D66" s="376"/>
      <c r="E66" s="387"/>
      <c r="F66" s="384"/>
      <c r="G66" s="384"/>
      <c r="H66" s="384"/>
      <c r="I66" s="384"/>
      <c r="J66" s="384"/>
      <c r="K66" s="133" t="s">
        <v>596</v>
      </c>
      <c r="L66" s="192"/>
      <c r="M66" s="227">
        <v>93018</v>
      </c>
      <c r="N66" s="227">
        <v>5</v>
      </c>
      <c r="O66" s="227">
        <v>5</v>
      </c>
      <c r="P66" s="227">
        <v>5</v>
      </c>
      <c r="Q66" s="82">
        <v>5</v>
      </c>
      <c r="R66" s="1"/>
      <c r="S66" s="1"/>
      <c r="T66" s="1"/>
      <c r="U66" s="1"/>
    </row>
    <row r="67" spans="1:21" ht="36.75" hidden="1" customHeight="1" x14ac:dyDescent="0.25">
      <c r="A67" s="396"/>
      <c r="B67" s="372"/>
      <c r="C67" s="374" t="s">
        <v>18</v>
      </c>
      <c r="D67" s="374"/>
      <c r="E67" s="389" t="s">
        <v>597</v>
      </c>
      <c r="F67" s="391"/>
      <c r="G67" s="391"/>
      <c r="H67" s="391"/>
      <c r="I67" s="391"/>
      <c r="J67" s="391"/>
      <c r="K67" s="183" t="s">
        <v>598</v>
      </c>
      <c r="L67" s="192" t="s">
        <v>599</v>
      </c>
      <c r="M67" s="223">
        <v>6400.7</v>
      </c>
      <c r="N67" s="223">
        <v>5764</v>
      </c>
      <c r="O67" s="223">
        <v>6103</v>
      </c>
      <c r="P67" s="223">
        <v>6597</v>
      </c>
      <c r="Q67" s="222">
        <v>6662</v>
      </c>
      <c r="R67" s="1"/>
      <c r="S67" s="1"/>
      <c r="T67" s="1"/>
      <c r="U67" s="1"/>
    </row>
    <row r="68" spans="1:21" ht="27" hidden="1" customHeight="1" x14ac:dyDescent="0.25">
      <c r="A68" s="396"/>
      <c r="B68" s="373"/>
      <c r="C68" s="375"/>
      <c r="D68" s="375"/>
      <c r="E68" s="390"/>
      <c r="F68" s="392"/>
      <c r="G68" s="392"/>
      <c r="H68" s="392"/>
      <c r="I68" s="392"/>
      <c r="J68" s="392"/>
      <c r="K68" s="183" t="s">
        <v>600</v>
      </c>
      <c r="L68" s="192" t="s">
        <v>12</v>
      </c>
      <c r="M68" s="223">
        <v>95.8</v>
      </c>
      <c r="N68" s="229">
        <f>N67/M67*100</f>
        <v>90.052650491352509</v>
      </c>
      <c r="O68" s="229">
        <f>O67/N67*100</f>
        <v>105.88133240804996</v>
      </c>
      <c r="P68" s="229">
        <f>P67/O67*100</f>
        <v>108.09437981320661</v>
      </c>
      <c r="Q68" s="230">
        <f>Q67/P67*100</f>
        <v>100.98529634682431</v>
      </c>
      <c r="R68" s="1"/>
      <c r="S68" s="1"/>
      <c r="T68" s="1"/>
      <c r="U68" s="1"/>
    </row>
    <row r="69" spans="1:21" ht="26.25" hidden="1" customHeight="1" x14ac:dyDescent="0.25">
      <c r="A69" s="396"/>
      <c r="B69" s="210"/>
      <c r="C69" s="210" t="s">
        <v>19</v>
      </c>
      <c r="D69" s="210"/>
      <c r="E69" s="184" t="s">
        <v>601</v>
      </c>
      <c r="F69" s="213"/>
      <c r="G69" s="213"/>
      <c r="H69" s="213"/>
      <c r="I69" s="213"/>
      <c r="J69" s="213"/>
      <c r="K69" s="183" t="s">
        <v>602</v>
      </c>
      <c r="L69" s="192" t="s">
        <v>36</v>
      </c>
      <c r="M69" s="227">
        <v>50</v>
      </c>
      <c r="N69" s="227">
        <v>100</v>
      </c>
      <c r="O69" s="227">
        <v>120</v>
      </c>
      <c r="P69" s="219">
        <v>140</v>
      </c>
      <c r="Q69" s="84">
        <v>160</v>
      </c>
      <c r="R69" s="1"/>
      <c r="S69" s="1"/>
      <c r="T69" s="1"/>
      <c r="U69" s="1"/>
    </row>
    <row r="70" spans="1:21" ht="67.5" hidden="1" customHeight="1" x14ac:dyDescent="0.25">
      <c r="A70" s="396"/>
      <c r="B70" s="210"/>
      <c r="C70" s="210" t="s">
        <v>20</v>
      </c>
      <c r="D70" s="210"/>
      <c r="E70" s="204" t="s">
        <v>603</v>
      </c>
      <c r="F70" s="213"/>
      <c r="G70" s="213"/>
      <c r="H70" s="213"/>
      <c r="I70" s="213"/>
      <c r="J70" s="213"/>
      <c r="K70" s="133" t="s">
        <v>703</v>
      </c>
      <c r="L70" s="192" t="s">
        <v>12</v>
      </c>
      <c r="M70" s="220">
        <v>28.7</v>
      </c>
      <c r="N70" s="227">
        <v>30</v>
      </c>
      <c r="O70" s="219">
        <v>35</v>
      </c>
      <c r="P70" s="219">
        <v>35</v>
      </c>
      <c r="Q70" s="84">
        <v>40</v>
      </c>
      <c r="R70" s="1"/>
      <c r="S70" s="1"/>
      <c r="T70" s="1"/>
      <c r="U70" s="1"/>
    </row>
    <row r="71" spans="1:21" ht="60" hidden="1" x14ac:dyDescent="0.25">
      <c r="A71" s="396"/>
      <c r="B71" s="266"/>
      <c r="C71" s="377" t="s">
        <v>21</v>
      </c>
      <c r="D71" s="377"/>
      <c r="E71" s="301" t="s">
        <v>604</v>
      </c>
      <c r="F71" s="384"/>
      <c r="G71" s="388"/>
      <c r="H71" s="388"/>
      <c r="I71" s="388"/>
      <c r="J71" s="388"/>
      <c r="K71" s="133" t="s">
        <v>605</v>
      </c>
      <c r="L71" s="180" t="s">
        <v>12</v>
      </c>
      <c r="M71" s="215">
        <v>100</v>
      </c>
      <c r="N71" s="215">
        <v>100</v>
      </c>
      <c r="O71" s="215">
        <v>100</v>
      </c>
      <c r="P71" s="215">
        <v>100</v>
      </c>
      <c r="Q71" s="216">
        <v>100</v>
      </c>
      <c r="R71" s="1"/>
      <c r="S71" s="1"/>
      <c r="T71" s="1"/>
      <c r="U71" s="1"/>
    </row>
    <row r="72" spans="1:21" ht="60" hidden="1" x14ac:dyDescent="0.25">
      <c r="A72" s="396"/>
      <c r="B72" s="266"/>
      <c r="C72" s="377"/>
      <c r="D72" s="377"/>
      <c r="E72" s="301"/>
      <c r="F72" s="384"/>
      <c r="G72" s="388"/>
      <c r="H72" s="388"/>
      <c r="I72" s="388"/>
      <c r="J72" s="388"/>
      <c r="K72" s="28" t="s">
        <v>606</v>
      </c>
      <c r="L72" s="187" t="s">
        <v>595</v>
      </c>
      <c r="M72" s="219">
        <v>7</v>
      </c>
      <c r="N72" s="219">
        <v>0</v>
      </c>
      <c r="O72" s="219">
        <v>13</v>
      </c>
      <c r="P72" s="219">
        <v>8</v>
      </c>
      <c r="Q72" s="84">
        <v>0</v>
      </c>
      <c r="R72" s="1"/>
      <c r="S72" s="1"/>
      <c r="T72" s="1"/>
      <c r="U72" s="1"/>
    </row>
    <row r="73" spans="1:21" ht="90" hidden="1" x14ac:dyDescent="0.25">
      <c r="A73" s="396"/>
      <c r="B73" s="266"/>
      <c r="C73" s="377"/>
      <c r="D73" s="377"/>
      <c r="E73" s="301"/>
      <c r="F73" s="384"/>
      <c r="G73" s="388"/>
      <c r="H73" s="388"/>
      <c r="I73" s="388"/>
      <c r="J73" s="388"/>
      <c r="K73" s="133" t="s">
        <v>607</v>
      </c>
      <c r="L73" s="192" t="s">
        <v>595</v>
      </c>
      <c r="M73" s="227">
        <v>0</v>
      </c>
      <c r="N73" s="227">
        <v>17</v>
      </c>
      <c r="O73" s="227">
        <v>17</v>
      </c>
      <c r="P73" s="227">
        <v>17</v>
      </c>
      <c r="Q73" s="82">
        <v>17</v>
      </c>
      <c r="R73" s="1"/>
      <c r="S73" s="1"/>
      <c r="T73" s="1"/>
      <c r="U73" s="1"/>
    </row>
    <row r="74" spans="1:21" ht="60" hidden="1" x14ac:dyDescent="0.25">
      <c r="A74" s="396"/>
      <c r="B74" s="393"/>
      <c r="C74" s="394" t="s">
        <v>22</v>
      </c>
      <c r="D74" s="394"/>
      <c r="E74" s="301" t="s">
        <v>608</v>
      </c>
      <c r="F74" s="395"/>
      <c r="G74" s="395"/>
      <c r="H74" s="395"/>
      <c r="I74" s="395"/>
      <c r="J74" s="395"/>
      <c r="K74" s="139" t="s">
        <v>609</v>
      </c>
      <c r="L74" s="140" t="s">
        <v>11</v>
      </c>
      <c r="M74" s="141">
        <v>99</v>
      </c>
      <c r="N74" s="141">
        <v>89</v>
      </c>
      <c r="O74" s="142">
        <v>85</v>
      </c>
      <c r="P74" s="142">
        <v>90</v>
      </c>
      <c r="Q74" s="143">
        <v>95</v>
      </c>
      <c r="R74" s="1"/>
      <c r="S74" s="1"/>
      <c r="T74" s="1"/>
      <c r="U74" s="1"/>
    </row>
    <row r="75" spans="1:21" ht="90" hidden="1" x14ac:dyDescent="0.25">
      <c r="A75" s="396"/>
      <c r="B75" s="393"/>
      <c r="C75" s="394"/>
      <c r="D75" s="394"/>
      <c r="E75" s="301"/>
      <c r="F75" s="395"/>
      <c r="G75" s="395"/>
      <c r="H75" s="395"/>
      <c r="I75" s="395"/>
      <c r="J75" s="395"/>
      <c r="K75" s="139" t="s">
        <v>610</v>
      </c>
      <c r="L75" s="140" t="s">
        <v>11</v>
      </c>
      <c r="M75" s="141">
        <v>61</v>
      </c>
      <c r="N75" s="141">
        <v>65</v>
      </c>
      <c r="O75" s="142">
        <v>67</v>
      </c>
      <c r="P75" s="142">
        <v>68</v>
      </c>
      <c r="Q75" s="143">
        <v>70</v>
      </c>
      <c r="R75" s="1"/>
      <c r="S75" s="1"/>
      <c r="T75" s="1"/>
      <c r="U75" s="1"/>
    </row>
    <row r="76" spans="1:21" ht="45" hidden="1" x14ac:dyDescent="0.25">
      <c r="A76" s="396"/>
      <c r="B76" s="370"/>
      <c r="C76" s="376" t="s">
        <v>26</v>
      </c>
      <c r="D76" s="376"/>
      <c r="E76" s="301" t="s">
        <v>611</v>
      </c>
      <c r="F76" s="384"/>
      <c r="G76" s="384"/>
      <c r="H76" s="384"/>
      <c r="I76" s="384"/>
      <c r="J76" s="384"/>
      <c r="K76" s="133" t="s">
        <v>612</v>
      </c>
      <c r="L76" s="187" t="s">
        <v>23</v>
      </c>
      <c r="M76" s="219">
        <v>2</v>
      </c>
      <c r="N76" s="219">
        <v>4</v>
      </c>
      <c r="O76" s="219">
        <v>6</v>
      </c>
      <c r="P76" s="219">
        <v>6</v>
      </c>
      <c r="Q76" s="84">
        <v>6</v>
      </c>
      <c r="R76" s="1"/>
      <c r="S76" s="1"/>
      <c r="T76" s="1"/>
      <c r="U76" s="1"/>
    </row>
    <row r="77" spans="1:21" ht="48.75" hidden="1" customHeight="1" x14ac:dyDescent="0.25">
      <c r="A77" s="396"/>
      <c r="B77" s="371"/>
      <c r="C77" s="376"/>
      <c r="D77" s="376"/>
      <c r="E77" s="301"/>
      <c r="F77" s="384"/>
      <c r="G77" s="384"/>
      <c r="H77" s="384"/>
      <c r="I77" s="384"/>
      <c r="J77" s="384"/>
      <c r="K77" s="133" t="s">
        <v>613</v>
      </c>
      <c r="L77" s="187" t="s">
        <v>23</v>
      </c>
      <c r="M77" s="219">
        <v>1</v>
      </c>
      <c r="N77" s="219">
        <v>2</v>
      </c>
      <c r="O77" s="219">
        <v>3</v>
      </c>
      <c r="P77" s="219">
        <v>3</v>
      </c>
      <c r="Q77" s="84">
        <v>3</v>
      </c>
      <c r="R77" s="1"/>
      <c r="S77" s="1"/>
      <c r="T77" s="1"/>
      <c r="U77" s="1"/>
    </row>
    <row r="78" spans="1:21" ht="26.25" hidden="1" customHeight="1" x14ac:dyDescent="0.25">
      <c r="A78" s="396"/>
      <c r="B78" s="267"/>
      <c r="C78" s="267" t="s">
        <v>28</v>
      </c>
      <c r="D78" s="267"/>
      <c r="E78" s="301" t="s">
        <v>614</v>
      </c>
      <c r="F78" s="304"/>
      <c r="G78" s="304"/>
      <c r="H78" s="304"/>
      <c r="I78" s="304"/>
      <c r="J78" s="304"/>
      <c r="K78" s="181" t="s">
        <v>615</v>
      </c>
      <c r="L78" s="180" t="s">
        <v>80</v>
      </c>
      <c r="M78" s="215"/>
      <c r="N78" s="58">
        <v>3000</v>
      </c>
      <c r="O78" s="58">
        <v>3300</v>
      </c>
      <c r="P78" s="58">
        <v>3600</v>
      </c>
      <c r="Q78" s="123">
        <v>3900</v>
      </c>
      <c r="R78" s="1"/>
      <c r="S78" s="1"/>
      <c r="T78" s="1"/>
      <c r="U78" s="1"/>
    </row>
    <row r="79" spans="1:21" ht="30" hidden="1" x14ac:dyDescent="0.25">
      <c r="A79" s="396"/>
      <c r="B79" s="267"/>
      <c r="C79" s="267"/>
      <c r="D79" s="267"/>
      <c r="E79" s="301"/>
      <c r="F79" s="304"/>
      <c r="G79" s="304"/>
      <c r="H79" s="304"/>
      <c r="I79" s="304"/>
      <c r="J79" s="304"/>
      <c r="K79" s="181" t="s">
        <v>616</v>
      </c>
      <c r="L79" s="180" t="s">
        <v>12</v>
      </c>
      <c r="M79" s="215"/>
      <c r="N79" s="58">
        <v>3.5</v>
      </c>
      <c r="O79" s="58">
        <v>4</v>
      </c>
      <c r="P79" s="58">
        <v>4.5</v>
      </c>
      <c r="Q79" s="123">
        <v>4.8</v>
      </c>
      <c r="R79" s="1"/>
      <c r="S79" s="1"/>
      <c r="T79" s="1"/>
      <c r="U79" s="1"/>
    </row>
    <row r="80" spans="1:21" ht="30" hidden="1" x14ac:dyDescent="0.25">
      <c r="A80" s="396"/>
      <c r="B80" s="267"/>
      <c r="C80" s="267"/>
      <c r="D80" s="267"/>
      <c r="E80" s="301"/>
      <c r="F80" s="304"/>
      <c r="G80" s="304"/>
      <c r="H80" s="304"/>
      <c r="I80" s="304"/>
      <c r="J80" s="304"/>
      <c r="K80" s="181" t="s">
        <v>617</v>
      </c>
      <c r="L80" s="180" t="s">
        <v>618</v>
      </c>
      <c r="M80" s="215"/>
      <c r="N80" s="58">
        <v>126.4</v>
      </c>
      <c r="O80" s="58">
        <v>132.69999999999999</v>
      </c>
      <c r="P80" s="58">
        <v>139.30000000000001</v>
      </c>
      <c r="Q80" s="123">
        <v>146.30000000000001</v>
      </c>
      <c r="R80" s="1"/>
      <c r="S80" s="1"/>
      <c r="T80" s="1"/>
      <c r="U80" s="1"/>
    </row>
    <row r="81" spans="1:21" ht="30" hidden="1" x14ac:dyDescent="0.25">
      <c r="A81" s="396"/>
      <c r="B81" s="267"/>
      <c r="C81" s="267"/>
      <c r="D81" s="267"/>
      <c r="E81" s="301"/>
      <c r="F81" s="304"/>
      <c r="G81" s="304"/>
      <c r="H81" s="304"/>
      <c r="I81" s="304"/>
      <c r="J81" s="304"/>
      <c r="K81" s="181" t="s">
        <v>619</v>
      </c>
      <c r="L81" s="180" t="s">
        <v>513</v>
      </c>
      <c r="M81" s="215"/>
      <c r="N81" s="58">
        <v>15820.8</v>
      </c>
      <c r="O81" s="58">
        <v>16611.8</v>
      </c>
      <c r="P81" s="58">
        <v>17442.400000000001</v>
      </c>
      <c r="Q81" s="123">
        <v>18314.5</v>
      </c>
      <c r="R81" s="1"/>
      <c r="S81" s="1"/>
      <c r="T81" s="1"/>
      <c r="U81" s="1"/>
    </row>
    <row r="82" spans="1:21" ht="90" hidden="1" x14ac:dyDescent="0.25">
      <c r="A82" s="396"/>
      <c r="B82" s="27"/>
      <c r="C82" s="144">
        <v>12</v>
      </c>
      <c r="D82" s="58"/>
      <c r="E82" s="181" t="s">
        <v>620</v>
      </c>
      <c r="F82" s="198"/>
      <c r="G82" s="198"/>
      <c r="H82" s="198"/>
      <c r="I82" s="205"/>
      <c r="J82" s="205"/>
      <c r="K82" s="181" t="s">
        <v>659</v>
      </c>
      <c r="L82" s="180" t="s">
        <v>621</v>
      </c>
      <c r="M82" s="215" t="s">
        <v>622</v>
      </c>
      <c r="N82" s="215" t="s">
        <v>622</v>
      </c>
      <c r="O82" s="215" t="s">
        <v>622</v>
      </c>
      <c r="P82" s="215" t="s">
        <v>622</v>
      </c>
      <c r="Q82" s="216" t="s">
        <v>622</v>
      </c>
      <c r="R82" s="1"/>
      <c r="S82" s="1"/>
      <c r="T82" s="1"/>
      <c r="U82" s="1"/>
    </row>
    <row r="83" spans="1:21" ht="45" hidden="1" x14ac:dyDescent="0.25">
      <c r="A83" s="396"/>
      <c r="B83" s="27"/>
      <c r="C83" s="144">
        <v>13</v>
      </c>
      <c r="D83" s="58"/>
      <c r="E83" s="181" t="s">
        <v>623</v>
      </c>
      <c r="F83" s="198"/>
      <c r="G83" s="198"/>
      <c r="H83" s="198"/>
      <c r="I83" s="198"/>
      <c r="J83" s="198"/>
      <c r="K83" s="177" t="str">
        <f>'[1]приложение 2019'!$M$16</f>
        <v>Среднее количество сотрудников региональных представительств на область КР</v>
      </c>
      <c r="L83" s="180" t="s">
        <v>36</v>
      </c>
      <c r="M83" s="215" t="s">
        <v>624</v>
      </c>
      <c r="N83" s="215" t="str">
        <f>M83</f>
        <v>37/7</v>
      </c>
      <c r="O83" s="215" t="str">
        <f>N83</f>
        <v>37/7</v>
      </c>
      <c r="P83" s="215" t="str">
        <f>O83</f>
        <v>37/7</v>
      </c>
      <c r="Q83" s="216" t="str">
        <f>P83</f>
        <v>37/7</v>
      </c>
      <c r="R83" s="1"/>
      <c r="S83" s="1"/>
      <c r="T83" s="1"/>
      <c r="U83" s="1"/>
    </row>
    <row r="84" spans="1:21" ht="195" hidden="1" x14ac:dyDescent="0.25">
      <c r="A84" s="396"/>
      <c r="B84" s="211"/>
      <c r="C84" s="157" t="s">
        <v>29</v>
      </c>
      <c r="D84" s="210"/>
      <c r="E84" s="181" t="s">
        <v>625</v>
      </c>
      <c r="F84" s="198"/>
      <c r="G84" s="198"/>
      <c r="H84" s="198"/>
      <c r="I84" s="198"/>
      <c r="J84" s="198"/>
      <c r="K84" s="181" t="s">
        <v>626</v>
      </c>
      <c r="L84" s="145"/>
      <c r="M84" s="146">
        <v>0</v>
      </c>
      <c r="N84" s="146">
        <v>1</v>
      </c>
      <c r="O84" s="146">
        <v>2</v>
      </c>
      <c r="P84" s="145">
        <v>4</v>
      </c>
      <c r="Q84" s="147">
        <v>5</v>
      </c>
      <c r="R84" s="1"/>
      <c r="S84" s="1"/>
      <c r="T84" s="1"/>
      <c r="U84" s="1"/>
    </row>
    <row r="85" spans="1:21" ht="41.25" hidden="1" customHeight="1" x14ac:dyDescent="0.25">
      <c r="A85" s="396"/>
      <c r="B85" s="148">
        <v>258</v>
      </c>
      <c r="C85" s="182"/>
      <c r="D85" s="186"/>
      <c r="E85" s="191" t="s">
        <v>627</v>
      </c>
      <c r="F85" s="158">
        <f>F86+F87+F88+F91+F95</f>
        <v>0</v>
      </c>
      <c r="G85" s="158">
        <f>G86+G87+G88+G91+G95</f>
        <v>0</v>
      </c>
      <c r="H85" s="158">
        <f>H86+H87+H88+H91+H95</f>
        <v>0</v>
      </c>
      <c r="I85" s="158">
        <f>I86+I87+I88+I91+I95</f>
        <v>0</v>
      </c>
      <c r="J85" s="158">
        <f>J86+J87+J88+J91+J95</f>
        <v>0</v>
      </c>
      <c r="K85" s="149"/>
      <c r="L85" s="150"/>
      <c r="M85" s="150"/>
      <c r="N85" s="150"/>
      <c r="O85" s="150"/>
      <c r="P85" s="150"/>
      <c r="Q85" s="245"/>
      <c r="R85" s="1"/>
      <c r="S85" s="1"/>
      <c r="T85" s="1"/>
      <c r="U85" s="1"/>
    </row>
    <row r="86" spans="1:21" ht="26.25" hidden="1" customHeight="1" x14ac:dyDescent="0.25">
      <c r="A86" s="396"/>
      <c r="B86" s="186"/>
      <c r="C86" s="161" t="s">
        <v>15</v>
      </c>
      <c r="D86" s="161"/>
      <c r="E86" s="177" t="s">
        <v>628</v>
      </c>
      <c r="F86" s="214"/>
      <c r="G86" s="214"/>
      <c r="H86" s="198"/>
      <c r="I86" s="198"/>
      <c r="J86" s="198"/>
      <c r="K86" s="181" t="s">
        <v>629</v>
      </c>
      <c r="L86" s="180" t="s">
        <v>12</v>
      </c>
      <c r="M86" s="215">
        <v>100</v>
      </c>
      <c r="N86" s="215">
        <v>100</v>
      </c>
      <c r="O86" s="215">
        <v>100</v>
      </c>
      <c r="P86" s="215">
        <v>100</v>
      </c>
      <c r="Q86" s="216">
        <v>100</v>
      </c>
      <c r="R86" s="1"/>
      <c r="S86" s="1"/>
      <c r="T86" s="1"/>
      <c r="U86" s="1"/>
    </row>
    <row r="87" spans="1:21" ht="26.25" hidden="1" customHeight="1" x14ac:dyDescent="0.25">
      <c r="A87" s="396"/>
      <c r="B87" s="186"/>
      <c r="C87" s="161" t="s">
        <v>16</v>
      </c>
      <c r="D87" s="161"/>
      <c r="E87" s="177" t="s">
        <v>630</v>
      </c>
      <c r="F87" s="214"/>
      <c r="G87" s="214"/>
      <c r="H87" s="198"/>
      <c r="I87" s="198"/>
      <c r="J87" s="198"/>
      <c r="K87" s="181" t="s">
        <v>629</v>
      </c>
      <c r="L87" s="180" t="s">
        <v>12</v>
      </c>
      <c r="M87" s="215">
        <v>100</v>
      </c>
      <c r="N87" s="215">
        <v>100</v>
      </c>
      <c r="O87" s="215">
        <v>100</v>
      </c>
      <c r="P87" s="215">
        <v>100</v>
      </c>
      <c r="Q87" s="216">
        <v>100</v>
      </c>
      <c r="R87" s="1"/>
      <c r="S87" s="1"/>
      <c r="T87" s="1"/>
      <c r="U87" s="1"/>
    </row>
    <row r="88" spans="1:21" ht="26.25" hidden="1" customHeight="1" x14ac:dyDescent="0.25">
      <c r="A88" s="396"/>
      <c r="B88" s="316"/>
      <c r="C88" s="267" t="s">
        <v>14</v>
      </c>
      <c r="D88" s="267"/>
      <c r="E88" s="301" t="s">
        <v>631</v>
      </c>
      <c r="F88" s="397"/>
      <c r="G88" s="397"/>
      <c r="H88" s="342"/>
      <c r="I88" s="342"/>
      <c r="J88" s="342"/>
      <c r="K88" s="181" t="s">
        <v>632</v>
      </c>
      <c r="L88" s="180" t="s">
        <v>633</v>
      </c>
      <c r="M88" s="215">
        <v>11.7</v>
      </c>
      <c r="N88" s="58">
        <v>12</v>
      </c>
      <c r="O88" s="58">
        <v>12.3</v>
      </c>
      <c r="P88" s="58">
        <v>12.8</v>
      </c>
      <c r="Q88" s="123">
        <v>13</v>
      </c>
      <c r="R88" s="1"/>
      <c r="S88" s="1"/>
      <c r="T88" s="1"/>
      <c r="U88" s="1"/>
    </row>
    <row r="89" spans="1:21" ht="26.25" hidden="1" customHeight="1" x14ac:dyDescent="0.25">
      <c r="A89" s="396"/>
      <c r="B89" s="316"/>
      <c r="C89" s="267"/>
      <c r="D89" s="267"/>
      <c r="E89" s="301"/>
      <c r="F89" s="397"/>
      <c r="G89" s="397"/>
      <c r="H89" s="342"/>
      <c r="I89" s="342"/>
      <c r="J89" s="342"/>
      <c r="K89" s="181" t="s">
        <v>634</v>
      </c>
      <c r="L89" s="180" t="s">
        <v>633</v>
      </c>
      <c r="M89" s="215">
        <v>10</v>
      </c>
      <c r="N89" s="58">
        <v>13</v>
      </c>
      <c r="O89" s="58">
        <v>16</v>
      </c>
      <c r="P89" s="58">
        <v>18</v>
      </c>
      <c r="Q89" s="123">
        <v>21</v>
      </c>
      <c r="R89" s="1"/>
      <c r="S89" s="1"/>
      <c r="T89" s="1"/>
      <c r="U89" s="1"/>
    </row>
    <row r="90" spans="1:21" ht="26.25" hidden="1" customHeight="1" x14ac:dyDescent="0.25">
      <c r="A90" s="396"/>
      <c r="B90" s="316"/>
      <c r="C90" s="267"/>
      <c r="D90" s="267"/>
      <c r="E90" s="301"/>
      <c r="F90" s="397"/>
      <c r="G90" s="397"/>
      <c r="H90" s="342"/>
      <c r="I90" s="342"/>
      <c r="J90" s="342"/>
      <c r="K90" s="181" t="s">
        <v>635</v>
      </c>
      <c r="L90" s="180" t="s">
        <v>633</v>
      </c>
      <c r="M90" s="215">
        <v>19.5</v>
      </c>
      <c r="N90" s="58">
        <v>20.5</v>
      </c>
      <c r="O90" s="58">
        <v>22.5</v>
      </c>
      <c r="P90" s="58">
        <v>25.2</v>
      </c>
      <c r="Q90" s="123">
        <v>23.2</v>
      </c>
      <c r="R90" s="1"/>
      <c r="S90" s="1"/>
      <c r="T90" s="1"/>
      <c r="U90" s="1"/>
    </row>
    <row r="91" spans="1:21" ht="26.25" hidden="1" customHeight="1" x14ac:dyDescent="0.25">
      <c r="A91" s="396"/>
      <c r="B91" s="316"/>
      <c r="C91" s="267" t="s">
        <v>18</v>
      </c>
      <c r="D91" s="267"/>
      <c r="E91" s="301" t="s">
        <v>636</v>
      </c>
      <c r="F91" s="342"/>
      <c r="G91" s="342"/>
      <c r="H91" s="342"/>
      <c r="I91" s="342"/>
      <c r="J91" s="342"/>
      <c r="K91" s="181" t="s">
        <v>637</v>
      </c>
      <c r="L91" s="180" t="s">
        <v>638</v>
      </c>
      <c r="M91" s="215">
        <v>1.3</v>
      </c>
      <c r="N91" s="58">
        <v>1.5</v>
      </c>
      <c r="O91" s="58">
        <v>1.7</v>
      </c>
      <c r="P91" s="58">
        <v>1.8</v>
      </c>
      <c r="Q91" s="123">
        <v>1.9</v>
      </c>
      <c r="R91" s="1"/>
      <c r="S91" s="1"/>
      <c r="T91" s="1"/>
      <c r="U91" s="1"/>
    </row>
    <row r="92" spans="1:21" ht="26.25" hidden="1" customHeight="1" x14ac:dyDescent="0.25">
      <c r="A92" s="396"/>
      <c r="B92" s="316"/>
      <c r="C92" s="267"/>
      <c r="D92" s="267"/>
      <c r="E92" s="301"/>
      <c r="F92" s="342"/>
      <c r="G92" s="342"/>
      <c r="H92" s="342"/>
      <c r="I92" s="342"/>
      <c r="J92" s="342"/>
      <c r="K92" s="151" t="s">
        <v>639</v>
      </c>
      <c r="L92" s="180" t="s">
        <v>12</v>
      </c>
      <c r="M92" s="58">
        <v>4.9000000000000004</v>
      </c>
      <c r="N92" s="58">
        <v>5</v>
      </c>
      <c r="O92" s="58">
        <v>5.0999999999999996</v>
      </c>
      <c r="P92" s="58">
        <v>5.2</v>
      </c>
      <c r="Q92" s="123">
        <v>5.3</v>
      </c>
      <c r="R92" s="1"/>
      <c r="S92" s="1"/>
      <c r="T92" s="1"/>
      <c r="U92" s="1"/>
    </row>
    <row r="93" spans="1:21" ht="26.25" hidden="1" customHeight="1" x14ac:dyDescent="0.25">
      <c r="A93" s="396"/>
      <c r="B93" s="316"/>
      <c r="C93" s="267"/>
      <c r="D93" s="267"/>
      <c r="E93" s="301"/>
      <c r="F93" s="342"/>
      <c r="G93" s="342"/>
      <c r="H93" s="342"/>
      <c r="I93" s="342"/>
      <c r="J93" s="342"/>
      <c r="K93" s="181" t="s">
        <v>640</v>
      </c>
      <c r="L93" s="180" t="s">
        <v>513</v>
      </c>
      <c r="M93" s="215">
        <v>38</v>
      </c>
      <c r="N93" s="58">
        <v>65</v>
      </c>
      <c r="O93" s="58">
        <v>120</v>
      </c>
      <c r="P93" s="58">
        <v>140</v>
      </c>
      <c r="Q93" s="123">
        <v>180</v>
      </c>
      <c r="R93" s="1"/>
      <c r="S93" s="1"/>
      <c r="T93" s="1"/>
      <c r="U93" s="1"/>
    </row>
    <row r="94" spans="1:21" ht="26.25" hidden="1" customHeight="1" x14ac:dyDescent="0.25">
      <c r="A94" s="396"/>
      <c r="B94" s="316"/>
      <c r="C94" s="267"/>
      <c r="D94" s="267"/>
      <c r="E94" s="301"/>
      <c r="F94" s="342"/>
      <c r="G94" s="342"/>
      <c r="H94" s="342"/>
      <c r="I94" s="342"/>
      <c r="J94" s="342"/>
      <c r="K94" s="181" t="s">
        <v>641</v>
      </c>
      <c r="L94" s="180" t="s">
        <v>513</v>
      </c>
      <c r="M94" s="215">
        <v>0.5</v>
      </c>
      <c r="N94" s="58">
        <v>0.5</v>
      </c>
      <c r="O94" s="58">
        <v>1</v>
      </c>
      <c r="P94" s="58">
        <v>2</v>
      </c>
      <c r="Q94" s="123">
        <v>2</v>
      </c>
      <c r="R94" s="1"/>
      <c r="S94" s="1"/>
      <c r="T94" s="1"/>
      <c r="U94" s="1"/>
    </row>
    <row r="95" spans="1:21" ht="26.25" hidden="1" customHeight="1" x14ac:dyDescent="0.25">
      <c r="A95" s="396"/>
      <c r="B95" s="316"/>
      <c r="C95" s="267" t="s">
        <v>19</v>
      </c>
      <c r="D95" s="267"/>
      <c r="E95" s="301" t="s">
        <v>642</v>
      </c>
      <c r="F95" s="342"/>
      <c r="G95" s="342"/>
      <c r="H95" s="342"/>
      <c r="I95" s="342"/>
      <c r="J95" s="342"/>
      <c r="K95" s="181" t="s">
        <v>643</v>
      </c>
      <c r="L95" s="180" t="s">
        <v>12</v>
      </c>
      <c r="M95" s="215">
        <v>90</v>
      </c>
      <c r="N95" s="58">
        <v>95</v>
      </c>
      <c r="O95" s="58">
        <v>96</v>
      </c>
      <c r="P95" s="58">
        <v>97</v>
      </c>
      <c r="Q95" s="123">
        <v>98</v>
      </c>
      <c r="R95" s="1"/>
      <c r="S95" s="1"/>
      <c r="T95" s="1"/>
      <c r="U95" s="1"/>
    </row>
    <row r="96" spans="1:21" ht="26.25" hidden="1" customHeight="1" x14ac:dyDescent="0.25">
      <c r="A96" s="396"/>
      <c r="B96" s="316"/>
      <c r="C96" s="267"/>
      <c r="D96" s="267"/>
      <c r="E96" s="301"/>
      <c r="F96" s="342"/>
      <c r="G96" s="342"/>
      <c r="H96" s="342"/>
      <c r="I96" s="342"/>
      <c r="J96" s="342"/>
      <c r="K96" s="181" t="s">
        <v>644</v>
      </c>
      <c r="L96" s="180" t="s">
        <v>595</v>
      </c>
      <c r="M96" s="215">
        <v>484</v>
      </c>
      <c r="N96" s="58">
        <v>495</v>
      </c>
      <c r="O96" s="58">
        <v>505</v>
      </c>
      <c r="P96" s="58">
        <v>510</v>
      </c>
      <c r="Q96" s="123">
        <v>515</v>
      </c>
      <c r="R96" s="1"/>
      <c r="S96" s="1"/>
      <c r="T96" s="1"/>
      <c r="U96" s="1"/>
    </row>
    <row r="97" spans="1:21" ht="26.25" hidden="1" customHeight="1" x14ac:dyDescent="0.25">
      <c r="A97" s="396"/>
      <c r="B97" s="316"/>
      <c r="C97" s="267"/>
      <c r="D97" s="267"/>
      <c r="E97" s="301"/>
      <c r="F97" s="342"/>
      <c r="G97" s="342"/>
      <c r="H97" s="342"/>
      <c r="I97" s="342"/>
      <c r="J97" s="342"/>
      <c r="K97" s="181" t="s">
        <v>645</v>
      </c>
      <c r="L97" s="180" t="s">
        <v>595</v>
      </c>
      <c r="M97" s="215">
        <v>130</v>
      </c>
      <c r="N97" s="58">
        <v>135</v>
      </c>
      <c r="O97" s="58">
        <v>140</v>
      </c>
      <c r="P97" s="58">
        <v>145</v>
      </c>
      <c r="Q97" s="123">
        <v>150</v>
      </c>
      <c r="R97" s="1"/>
      <c r="S97" s="1"/>
      <c r="T97" s="1"/>
      <c r="U97" s="1"/>
    </row>
    <row r="98" spans="1:21" ht="26.25" hidden="1" customHeight="1" x14ac:dyDescent="0.25">
      <c r="A98" s="396"/>
      <c r="B98" s="186" t="s">
        <v>656</v>
      </c>
      <c r="C98" s="161"/>
      <c r="D98" s="161"/>
      <c r="E98" s="113" t="s">
        <v>180</v>
      </c>
      <c r="F98" s="198"/>
      <c r="G98" s="158"/>
      <c r="H98" s="158">
        <f>H99</f>
        <v>0</v>
      </c>
      <c r="I98" s="158">
        <f>I99</f>
        <v>0</v>
      </c>
      <c r="J98" s="158">
        <f>J99</f>
        <v>0</v>
      </c>
      <c r="K98" s="181"/>
      <c r="L98" s="180"/>
      <c r="M98" s="215"/>
      <c r="N98" s="58"/>
      <c r="O98" s="58"/>
      <c r="P98" s="58"/>
      <c r="Q98" s="123"/>
      <c r="R98" s="1"/>
      <c r="S98" s="1"/>
      <c r="T98" s="1"/>
      <c r="U98" s="1"/>
    </row>
    <row r="99" spans="1:21" ht="26.25" hidden="1" customHeight="1" x14ac:dyDescent="0.25">
      <c r="A99" s="396"/>
      <c r="B99" s="186"/>
      <c r="C99" s="161" t="s">
        <v>15</v>
      </c>
      <c r="D99" s="161"/>
      <c r="E99" s="114" t="s">
        <v>181</v>
      </c>
      <c r="F99" s="198"/>
      <c r="G99" s="198"/>
      <c r="H99" s="198"/>
      <c r="I99" s="198"/>
      <c r="J99" s="198"/>
      <c r="K99" s="155"/>
      <c r="L99" s="180"/>
      <c r="M99" s="215"/>
      <c r="N99" s="58"/>
      <c r="O99" s="58"/>
      <c r="P99" s="58"/>
      <c r="Q99" s="123"/>
      <c r="R99" s="1"/>
      <c r="S99" s="1"/>
      <c r="T99" s="1"/>
      <c r="U99" s="1"/>
    </row>
    <row r="100" spans="1:21" ht="26.25" customHeight="1" x14ac:dyDescent="0.25">
      <c r="A100" s="314" t="s">
        <v>175</v>
      </c>
      <c r="B100" s="315"/>
      <c r="C100" s="315"/>
      <c r="D100" s="315"/>
      <c r="E100" s="315"/>
      <c r="F100" s="9">
        <f>F85+F63+F51+F42+F32+F28+F11+F8</f>
        <v>0</v>
      </c>
      <c r="G100" s="9">
        <f>G85+G63+G51+G42+G32+G28+G11+G8+G98</f>
        <v>0</v>
      </c>
      <c r="H100" s="9">
        <f>H85+H63+H51+H42+H32+H28+H11+H8+H98</f>
        <v>607082.946</v>
      </c>
      <c r="I100" s="9">
        <f>I85+I63+I51+I42+I32+I28+I11+I8+I98</f>
        <v>616891.14600000007</v>
      </c>
      <c r="J100" s="9">
        <f>J85+J63+J51+J42+J32+J28+J11+J8+J98</f>
        <v>632339.04600000009</v>
      </c>
      <c r="K100" s="13"/>
      <c r="L100" s="22"/>
      <c r="M100" s="22"/>
      <c r="N100" s="22"/>
      <c r="O100" s="22"/>
      <c r="P100" s="22"/>
      <c r="Q100" s="91"/>
      <c r="R100" s="1"/>
      <c r="S100" s="1"/>
      <c r="T100" s="1"/>
      <c r="U100" s="1"/>
    </row>
    <row r="101" spans="1:21" s="5" customFormat="1" x14ac:dyDescent="0.25">
      <c r="A101" s="262" t="s">
        <v>330</v>
      </c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111"/>
      <c r="Q101" s="118"/>
    </row>
    <row r="102" spans="1:21" s="10" customFormat="1" ht="14.45" customHeight="1" x14ac:dyDescent="0.25">
      <c r="A102" s="330" t="s">
        <v>176</v>
      </c>
      <c r="B102" s="309" t="s">
        <v>8</v>
      </c>
      <c r="C102" s="310"/>
      <c r="D102" s="317"/>
      <c r="E102" s="310" t="s">
        <v>331</v>
      </c>
      <c r="F102" s="304">
        <v>665818.24100000004</v>
      </c>
      <c r="G102" s="304">
        <v>775592.24100000004</v>
      </c>
      <c r="H102" s="304">
        <f>H106</f>
        <v>736221.7</v>
      </c>
      <c r="I102" s="304">
        <f t="shared" ref="I102:J102" si="0">I106</f>
        <v>736221.7</v>
      </c>
      <c r="J102" s="304">
        <f t="shared" si="0"/>
        <v>736478.1</v>
      </c>
      <c r="K102" s="310" t="s">
        <v>182</v>
      </c>
      <c r="L102" s="325" t="s">
        <v>25</v>
      </c>
      <c r="M102" s="323">
        <v>25.4</v>
      </c>
      <c r="N102" s="323">
        <v>26.4</v>
      </c>
      <c r="O102" s="323">
        <v>27</v>
      </c>
      <c r="P102" s="323">
        <v>28</v>
      </c>
      <c r="Q102" s="324">
        <v>28</v>
      </c>
    </row>
    <row r="103" spans="1:21" s="10" customFormat="1" x14ac:dyDescent="0.25">
      <c r="A103" s="330"/>
      <c r="B103" s="309"/>
      <c r="C103" s="310"/>
      <c r="D103" s="317"/>
      <c r="E103" s="310"/>
      <c r="F103" s="304"/>
      <c r="G103" s="304"/>
      <c r="H103" s="304"/>
      <c r="I103" s="304"/>
      <c r="J103" s="304"/>
      <c r="K103" s="310"/>
      <c r="L103" s="325"/>
      <c r="M103" s="323"/>
      <c r="N103" s="323"/>
      <c r="O103" s="323"/>
      <c r="P103" s="323"/>
      <c r="Q103" s="324"/>
    </row>
    <row r="104" spans="1:21" s="10" customFormat="1" ht="21.75" customHeight="1" x14ac:dyDescent="0.25">
      <c r="A104" s="330"/>
      <c r="B104" s="309"/>
      <c r="C104" s="310"/>
      <c r="D104" s="317"/>
      <c r="E104" s="310"/>
      <c r="F104" s="304"/>
      <c r="G104" s="304"/>
      <c r="H104" s="304"/>
      <c r="I104" s="304"/>
      <c r="J104" s="304"/>
      <c r="K104" s="310"/>
      <c r="L104" s="325"/>
      <c r="M104" s="323"/>
      <c r="N104" s="323"/>
      <c r="O104" s="323"/>
      <c r="P104" s="323"/>
      <c r="Q104" s="324"/>
    </row>
    <row r="105" spans="1:21" s="10" customFormat="1" ht="17.25" customHeight="1" x14ac:dyDescent="0.25">
      <c r="A105" s="330"/>
      <c r="B105" s="309"/>
      <c r="C105" s="310"/>
      <c r="D105" s="317"/>
      <c r="E105" s="310"/>
      <c r="F105" s="304"/>
      <c r="G105" s="304"/>
      <c r="H105" s="304"/>
      <c r="I105" s="304"/>
      <c r="J105" s="304"/>
      <c r="K105" s="310"/>
      <c r="L105" s="325"/>
      <c r="M105" s="323"/>
      <c r="N105" s="323"/>
      <c r="O105" s="323"/>
      <c r="P105" s="323"/>
      <c r="Q105" s="324"/>
    </row>
    <row r="106" spans="1:21" s="10" customFormat="1" ht="82.5" customHeight="1" x14ac:dyDescent="0.25">
      <c r="A106" s="330"/>
      <c r="B106" s="25"/>
      <c r="C106" s="26">
        <v>1</v>
      </c>
      <c r="D106" s="30"/>
      <c r="E106" s="18" t="s">
        <v>10</v>
      </c>
      <c r="F106" s="179">
        <v>49719.8</v>
      </c>
      <c r="G106" s="179">
        <v>775592.2</v>
      </c>
      <c r="H106" s="179">
        <f>H107+H108+H109+H110</f>
        <v>736221.7</v>
      </c>
      <c r="I106" s="179">
        <f t="shared" ref="I106:J106" si="1">I107+I108+I109+I110</f>
        <v>736221.7</v>
      </c>
      <c r="J106" s="179">
        <f t="shared" si="1"/>
        <v>736478.1</v>
      </c>
      <c r="K106" s="184"/>
      <c r="L106" s="192"/>
      <c r="M106" s="223"/>
      <c r="N106" s="223"/>
      <c r="O106" s="223"/>
      <c r="P106" s="223"/>
      <c r="Q106" s="84"/>
    </row>
    <row r="107" spans="1:21" s="10" customFormat="1" ht="27" hidden="1" customHeight="1" x14ac:dyDescent="0.25">
      <c r="A107" s="330"/>
      <c r="B107" s="25"/>
      <c r="C107" s="26"/>
      <c r="D107" s="30"/>
      <c r="E107" s="112" t="s">
        <v>183</v>
      </c>
      <c r="F107" s="179"/>
      <c r="G107" s="179"/>
      <c r="H107" s="179">
        <v>67022.8</v>
      </c>
      <c r="I107" s="179">
        <v>67022.8</v>
      </c>
      <c r="J107" s="179">
        <v>67022.8</v>
      </c>
      <c r="K107" s="184"/>
      <c r="L107" s="192"/>
      <c r="M107" s="223"/>
      <c r="N107" s="223"/>
      <c r="O107" s="223"/>
      <c r="P107" s="223"/>
      <c r="Q107" s="84"/>
    </row>
    <row r="108" spans="1:21" s="10" customFormat="1" ht="32.25" hidden="1" customHeight="1" x14ac:dyDescent="0.25">
      <c r="A108" s="330"/>
      <c r="B108" s="25"/>
      <c r="C108" s="26">
        <v>1</v>
      </c>
      <c r="D108" s="30"/>
      <c r="E108" s="112" t="s">
        <v>184</v>
      </c>
      <c r="F108" s="42">
        <f>49719.8</f>
        <v>49719.8</v>
      </c>
      <c r="G108" s="42">
        <f>56828.4</f>
        <v>56828.4</v>
      </c>
      <c r="H108" s="42">
        <f>58827.8</f>
        <v>58827.8</v>
      </c>
      <c r="I108" s="42">
        <f>58827.8</f>
        <v>58827.8</v>
      </c>
      <c r="J108" s="42">
        <f>58827.8</f>
        <v>58827.8</v>
      </c>
      <c r="K108" s="184"/>
      <c r="L108" s="192"/>
      <c r="M108" s="223"/>
      <c r="N108" s="223"/>
      <c r="O108" s="223"/>
      <c r="P108" s="223"/>
      <c r="Q108" s="84"/>
    </row>
    <row r="109" spans="1:21" s="10" customFormat="1" ht="37.5" hidden="1" customHeight="1" x14ac:dyDescent="0.25">
      <c r="A109" s="330"/>
      <c r="B109" s="25"/>
      <c r="C109" s="26">
        <v>1</v>
      </c>
      <c r="D109" s="30"/>
      <c r="E109" s="18" t="s">
        <v>338</v>
      </c>
      <c r="F109" s="42">
        <f>(49719.8-49719.8)+17680.9+497557.4</f>
        <v>515238.30000000005</v>
      </c>
      <c r="G109" s="42">
        <f>(56828.4-56828.4)+(26761.6+1508)+580726.9</f>
        <v>608996.5</v>
      </c>
      <c r="H109" s="42">
        <f>(58827.8-58827.8)+(26761.6+1558.5)+564206.9</f>
        <v>592527</v>
      </c>
      <c r="I109" s="42">
        <f>(58827.8-58827.8)+(26761.6+1558.5)+564206.9</f>
        <v>592527</v>
      </c>
      <c r="J109" s="42">
        <f>(58827.8-58827.8)+(26761.6+1814.9)+564206.9</f>
        <v>592783.4</v>
      </c>
      <c r="K109" s="184"/>
      <c r="L109" s="192"/>
      <c r="M109" s="223"/>
      <c r="N109" s="223"/>
      <c r="O109" s="223"/>
      <c r="P109" s="223"/>
      <c r="Q109" s="84"/>
    </row>
    <row r="110" spans="1:21" s="10" customFormat="1" ht="37.5" hidden="1" customHeight="1" x14ac:dyDescent="0.25">
      <c r="A110" s="330"/>
      <c r="B110" s="25"/>
      <c r="C110" s="26">
        <v>2</v>
      </c>
      <c r="D110" s="30"/>
      <c r="E110" s="18" t="s">
        <v>339</v>
      </c>
      <c r="F110" s="42">
        <v>8925.7999999999993</v>
      </c>
      <c r="G110" s="42">
        <v>14097.8</v>
      </c>
      <c r="H110" s="42">
        <v>17844.099999999999</v>
      </c>
      <c r="I110" s="42">
        <v>17844.099999999999</v>
      </c>
      <c r="J110" s="42">
        <v>17844.099999999999</v>
      </c>
      <c r="K110" s="184"/>
      <c r="L110" s="192"/>
      <c r="M110" s="223"/>
      <c r="N110" s="223"/>
      <c r="O110" s="223"/>
      <c r="P110" s="223"/>
      <c r="Q110" s="84"/>
    </row>
    <row r="111" spans="1:21" s="10" customFormat="1" ht="98.45" customHeight="1" x14ac:dyDescent="0.25">
      <c r="A111" s="330"/>
      <c r="B111" s="266" t="s">
        <v>354</v>
      </c>
      <c r="C111" s="307"/>
      <c r="D111" s="307"/>
      <c r="E111" s="308" t="s">
        <v>332</v>
      </c>
      <c r="F111" s="304">
        <v>1008363.8111</v>
      </c>
      <c r="G111" s="304">
        <v>4601218.91</v>
      </c>
      <c r="H111" s="304">
        <f>H113+H115+H116+H122+H123</f>
        <v>1140564.8999999999</v>
      </c>
      <c r="I111" s="304">
        <f>I113+I115+I116+I122+I123</f>
        <v>1112557.7</v>
      </c>
      <c r="J111" s="304">
        <f>J113+J115+J116+J122+J123</f>
        <v>1112913.7</v>
      </c>
      <c r="K111" s="184" t="s">
        <v>185</v>
      </c>
      <c r="L111" s="192" t="s">
        <v>186</v>
      </c>
      <c r="M111" s="227">
        <v>10</v>
      </c>
      <c r="N111" s="227">
        <v>10</v>
      </c>
      <c r="O111" s="227">
        <v>20</v>
      </c>
      <c r="P111" s="227">
        <v>25</v>
      </c>
      <c r="Q111" s="82">
        <v>30</v>
      </c>
    </row>
    <row r="112" spans="1:21" s="10" customFormat="1" ht="30" x14ac:dyDescent="0.25">
      <c r="A112" s="330"/>
      <c r="B112" s="266"/>
      <c r="C112" s="307"/>
      <c r="D112" s="307"/>
      <c r="E112" s="308"/>
      <c r="F112" s="304"/>
      <c r="G112" s="304"/>
      <c r="H112" s="304"/>
      <c r="I112" s="304"/>
      <c r="J112" s="304"/>
      <c r="K112" s="184" t="s">
        <v>187</v>
      </c>
      <c r="L112" s="192" t="s">
        <v>12</v>
      </c>
      <c r="M112" s="227"/>
      <c r="N112" s="227">
        <v>70</v>
      </c>
      <c r="O112" s="227">
        <v>80</v>
      </c>
      <c r="P112" s="227">
        <v>80</v>
      </c>
      <c r="Q112" s="82">
        <v>80</v>
      </c>
    </row>
    <row r="113" spans="1:17" s="10" customFormat="1" ht="49.5" customHeight="1" x14ac:dyDescent="0.25">
      <c r="A113" s="330"/>
      <c r="B113" s="260"/>
      <c r="C113" s="260" t="s">
        <v>15</v>
      </c>
      <c r="D113" s="260"/>
      <c r="E113" s="310" t="s">
        <v>188</v>
      </c>
      <c r="F113" s="304">
        <v>18429.3</v>
      </c>
      <c r="G113" s="304">
        <v>31819.7</v>
      </c>
      <c r="H113" s="304">
        <f>31819.7-1800</f>
        <v>30019.7</v>
      </c>
      <c r="I113" s="304">
        <v>31819.7</v>
      </c>
      <c r="J113" s="304">
        <v>31819.7</v>
      </c>
      <c r="K113" s="184" t="s">
        <v>189</v>
      </c>
      <c r="L113" s="192" t="s">
        <v>190</v>
      </c>
      <c r="M113" s="227">
        <v>5</v>
      </c>
      <c r="N113" s="227">
        <v>7</v>
      </c>
      <c r="O113" s="227">
        <v>7</v>
      </c>
      <c r="P113" s="227">
        <v>8</v>
      </c>
      <c r="Q113" s="82">
        <v>8</v>
      </c>
    </row>
    <row r="114" spans="1:17" s="10" customFormat="1" ht="45.75" customHeight="1" x14ac:dyDescent="0.25">
      <c r="A114" s="330"/>
      <c r="B114" s="260"/>
      <c r="C114" s="260"/>
      <c r="D114" s="260"/>
      <c r="E114" s="310"/>
      <c r="F114" s="304"/>
      <c r="G114" s="304"/>
      <c r="H114" s="304"/>
      <c r="I114" s="304"/>
      <c r="J114" s="304"/>
      <c r="K114" s="184" t="s">
        <v>664</v>
      </c>
      <c r="L114" s="192" t="s">
        <v>191</v>
      </c>
      <c r="M114" s="227">
        <v>3</v>
      </c>
      <c r="N114" s="227">
        <v>3</v>
      </c>
      <c r="O114" s="227" t="s">
        <v>192</v>
      </c>
      <c r="P114" s="227" t="s">
        <v>192</v>
      </c>
      <c r="Q114" s="82" t="s">
        <v>192</v>
      </c>
    </row>
    <row r="115" spans="1:17" s="10" customFormat="1" ht="36.75" customHeight="1" x14ac:dyDescent="0.25">
      <c r="A115" s="330"/>
      <c r="B115" s="157"/>
      <c r="C115" s="157" t="s">
        <v>16</v>
      </c>
      <c r="D115" s="157"/>
      <c r="E115" s="184" t="s">
        <v>193</v>
      </c>
      <c r="F115" s="179">
        <v>115229.2</v>
      </c>
      <c r="G115" s="179">
        <v>115229.2</v>
      </c>
      <c r="H115" s="179">
        <f>115229.2-1800</f>
        <v>113429.2</v>
      </c>
      <c r="I115" s="179">
        <v>115229.2</v>
      </c>
      <c r="J115" s="179">
        <v>115229.2</v>
      </c>
      <c r="K115" s="184" t="s">
        <v>194</v>
      </c>
      <c r="L115" s="192" t="s">
        <v>195</v>
      </c>
      <c r="M115" s="31">
        <v>88</v>
      </c>
      <c r="N115" s="37" t="s">
        <v>196</v>
      </c>
      <c r="O115" s="37" t="s">
        <v>196</v>
      </c>
      <c r="P115" s="37" t="s">
        <v>196</v>
      </c>
      <c r="Q115" s="83" t="s">
        <v>197</v>
      </c>
    </row>
    <row r="116" spans="1:17" s="10" customFormat="1" ht="75" x14ac:dyDescent="0.25">
      <c r="A116" s="330"/>
      <c r="B116" s="260"/>
      <c r="C116" s="260" t="s">
        <v>14</v>
      </c>
      <c r="D116" s="260"/>
      <c r="E116" s="322" t="s">
        <v>198</v>
      </c>
      <c r="F116" s="312">
        <v>629971.88828000007</v>
      </c>
      <c r="G116" s="312">
        <v>4036497.7100000004</v>
      </c>
      <c r="H116" s="312">
        <f>653984.1-15931.4</f>
        <v>638052.69999999995</v>
      </c>
      <c r="I116" s="312">
        <f>653986.1-47540.6</f>
        <v>606445.5</v>
      </c>
      <c r="J116" s="312">
        <f>653986.1-47184.6</f>
        <v>606801.5</v>
      </c>
      <c r="K116" s="184" t="s">
        <v>199</v>
      </c>
      <c r="L116" s="192" t="s">
        <v>200</v>
      </c>
      <c r="M116" s="223">
        <v>52.8</v>
      </c>
      <c r="N116" s="223">
        <v>31.01</v>
      </c>
      <c r="O116" s="223">
        <v>89.2</v>
      </c>
      <c r="P116" s="223">
        <v>87.5</v>
      </c>
      <c r="Q116" s="222">
        <v>87.5</v>
      </c>
    </row>
    <row r="117" spans="1:17" s="10" customFormat="1" ht="45" x14ac:dyDescent="0.25">
      <c r="A117" s="330"/>
      <c r="B117" s="260"/>
      <c r="C117" s="260"/>
      <c r="D117" s="260"/>
      <c r="E117" s="310"/>
      <c r="F117" s="312"/>
      <c r="G117" s="312"/>
      <c r="H117" s="312">
        <v>653984.10000000009</v>
      </c>
      <c r="I117" s="312">
        <v>653986.10000000009</v>
      </c>
      <c r="J117" s="312">
        <v>653986.10000000009</v>
      </c>
      <c r="K117" s="184" t="s">
        <v>201</v>
      </c>
      <c r="L117" s="192" t="s">
        <v>202</v>
      </c>
      <c r="M117" s="219">
        <v>250</v>
      </c>
      <c r="N117" s="219">
        <v>250</v>
      </c>
      <c r="O117" s="219">
        <v>250</v>
      </c>
      <c r="P117" s="219">
        <v>250</v>
      </c>
      <c r="Q117" s="84">
        <v>250</v>
      </c>
    </row>
    <row r="118" spans="1:17" s="10" customFormat="1" ht="37.5" customHeight="1" x14ac:dyDescent="0.25">
      <c r="A118" s="330"/>
      <c r="B118" s="260"/>
      <c r="C118" s="260"/>
      <c r="D118" s="260"/>
      <c r="E118" s="310"/>
      <c r="F118" s="312"/>
      <c r="G118" s="312"/>
      <c r="H118" s="312">
        <v>653984.10000000009</v>
      </c>
      <c r="I118" s="312">
        <v>653986.10000000009</v>
      </c>
      <c r="J118" s="312">
        <v>653986.10000000009</v>
      </c>
      <c r="K118" s="184" t="s">
        <v>203</v>
      </c>
      <c r="L118" s="192" t="s">
        <v>204</v>
      </c>
      <c r="M118" s="229">
        <v>97.1</v>
      </c>
      <c r="N118" s="220">
        <v>75</v>
      </c>
      <c r="O118" s="220">
        <v>85</v>
      </c>
      <c r="P118" s="220">
        <v>85</v>
      </c>
      <c r="Q118" s="85">
        <v>85</v>
      </c>
    </row>
    <row r="119" spans="1:17" s="10" customFormat="1" ht="60" x14ac:dyDescent="0.25">
      <c r="A119" s="330"/>
      <c r="B119" s="260"/>
      <c r="C119" s="260"/>
      <c r="D119" s="260"/>
      <c r="E119" s="310"/>
      <c r="F119" s="312"/>
      <c r="G119" s="312"/>
      <c r="H119" s="312">
        <v>653984.10000000009</v>
      </c>
      <c r="I119" s="312">
        <v>653986.10000000009</v>
      </c>
      <c r="J119" s="312">
        <v>653986.10000000009</v>
      </c>
      <c r="K119" s="184" t="s">
        <v>205</v>
      </c>
      <c r="L119" s="192" t="s">
        <v>206</v>
      </c>
      <c r="M119" s="220">
        <v>60</v>
      </c>
      <c r="N119" s="220">
        <v>64</v>
      </c>
      <c r="O119" s="220">
        <v>75</v>
      </c>
      <c r="P119" s="220">
        <v>90</v>
      </c>
      <c r="Q119" s="85">
        <v>90</v>
      </c>
    </row>
    <row r="120" spans="1:17" s="10" customFormat="1" ht="48" customHeight="1" x14ac:dyDescent="0.25">
      <c r="A120" s="330"/>
      <c r="B120" s="260"/>
      <c r="C120" s="260"/>
      <c r="D120" s="260"/>
      <c r="E120" s="310"/>
      <c r="F120" s="312"/>
      <c r="G120" s="312"/>
      <c r="H120" s="312">
        <v>653984.10000000009</v>
      </c>
      <c r="I120" s="312">
        <v>653986.10000000009</v>
      </c>
      <c r="J120" s="312">
        <v>653986.10000000009</v>
      </c>
      <c r="K120" s="184" t="s">
        <v>207</v>
      </c>
      <c r="L120" s="192" t="s">
        <v>206</v>
      </c>
      <c r="M120" s="229">
        <v>82</v>
      </c>
      <c r="N120" s="229">
        <v>82</v>
      </c>
      <c r="O120" s="229">
        <v>82</v>
      </c>
      <c r="P120" s="229">
        <v>82</v>
      </c>
      <c r="Q120" s="230">
        <v>82</v>
      </c>
    </row>
    <row r="121" spans="1:17" s="10" customFormat="1" ht="30" x14ac:dyDescent="0.25">
      <c r="A121" s="330"/>
      <c r="B121" s="260"/>
      <c r="C121" s="260"/>
      <c r="D121" s="260"/>
      <c r="E121" s="310"/>
      <c r="F121" s="312"/>
      <c r="G121" s="312"/>
      <c r="H121" s="312">
        <v>653984.10000000009</v>
      </c>
      <c r="I121" s="312">
        <v>653986.10000000009</v>
      </c>
      <c r="J121" s="312">
        <v>653986.10000000009</v>
      </c>
      <c r="K121" s="184" t="s">
        <v>670</v>
      </c>
      <c r="L121" s="192" t="s">
        <v>206</v>
      </c>
      <c r="M121" s="227">
        <v>120</v>
      </c>
      <c r="N121" s="227">
        <v>180</v>
      </c>
      <c r="O121" s="227">
        <v>200</v>
      </c>
      <c r="P121" s="227">
        <v>200</v>
      </c>
      <c r="Q121" s="82">
        <v>201</v>
      </c>
    </row>
    <row r="122" spans="1:17" s="10" customFormat="1" ht="60" x14ac:dyDescent="0.25">
      <c r="A122" s="330"/>
      <c r="B122" s="157"/>
      <c r="C122" s="157" t="s">
        <v>18</v>
      </c>
      <c r="D122" s="157"/>
      <c r="E122" s="183" t="s">
        <v>208</v>
      </c>
      <c r="F122" s="179">
        <v>150754.02943999998</v>
      </c>
      <c r="G122" s="179">
        <v>412672.30000000005</v>
      </c>
      <c r="H122" s="179">
        <v>354063.3</v>
      </c>
      <c r="I122" s="179">
        <v>354063.3</v>
      </c>
      <c r="J122" s="179">
        <v>354063.3</v>
      </c>
      <c r="K122" s="184" t="s">
        <v>209</v>
      </c>
      <c r="L122" s="192" t="s">
        <v>210</v>
      </c>
      <c r="M122" s="223">
        <v>120</v>
      </c>
      <c r="N122" s="223">
        <v>180</v>
      </c>
      <c r="O122" s="223">
        <v>200</v>
      </c>
      <c r="P122" s="223">
        <v>200</v>
      </c>
      <c r="Q122" s="222">
        <v>200</v>
      </c>
    </row>
    <row r="123" spans="1:17" s="10" customFormat="1" ht="123" customHeight="1" x14ac:dyDescent="0.25">
      <c r="A123" s="330"/>
      <c r="B123" s="260"/>
      <c r="C123" s="260" t="s">
        <v>19</v>
      </c>
      <c r="D123" s="260"/>
      <c r="E123" s="322" t="s">
        <v>211</v>
      </c>
      <c r="F123" s="260">
        <v>3000</v>
      </c>
      <c r="G123" s="260">
        <v>5000</v>
      </c>
      <c r="H123" s="260">
        <v>5000</v>
      </c>
      <c r="I123" s="260" t="s">
        <v>212</v>
      </c>
      <c r="J123" s="260">
        <v>5000</v>
      </c>
      <c r="K123" s="184" t="s">
        <v>671</v>
      </c>
      <c r="L123" s="192" t="s">
        <v>190</v>
      </c>
      <c r="M123" s="220">
        <v>2000</v>
      </c>
      <c r="N123" s="220">
        <v>2000</v>
      </c>
      <c r="O123" s="220">
        <v>2500</v>
      </c>
      <c r="P123" s="220">
        <v>2500</v>
      </c>
      <c r="Q123" s="85">
        <v>2500</v>
      </c>
    </row>
    <row r="124" spans="1:17" s="10" customFormat="1" ht="105" x14ac:dyDescent="0.25">
      <c r="A124" s="330"/>
      <c r="B124" s="260"/>
      <c r="C124" s="260"/>
      <c r="D124" s="260"/>
      <c r="E124" s="322"/>
      <c r="F124" s="260"/>
      <c r="G124" s="260"/>
      <c r="H124" s="260"/>
      <c r="I124" s="260"/>
      <c r="J124" s="260"/>
      <c r="K124" s="184" t="s">
        <v>213</v>
      </c>
      <c r="L124" s="192" t="s">
        <v>214</v>
      </c>
      <c r="M124" s="32">
        <v>80</v>
      </c>
      <c r="N124" s="32">
        <v>100</v>
      </c>
      <c r="O124" s="32">
        <v>100</v>
      </c>
      <c r="P124" s="32">
        <v>150</v>
      </c>
      <c r="Q124" s="86">
        <v>150</v>
      </c>
    </row>
    <row r="125" spans="1:17" s="10" customFormat="1" ht="118.5" x14ac:dyDescent="0.25">
      <c r="A125" s="330"/>
      <c r="B125" s="160" t="s">
        <v>353</v>
      </c>
      <c r="C125" s="157"/>
      <c r="D125" s="157"/>
      <c r="E125" s="183" t="s">
        <v>333</v>
      </c>
      <c r="F125" s="38">
        <v>1421245.6996299999</v>
      </c>
      <c r="G125" s="39">
        <v>2186237.5</v>
      </c>
      <c r="H125" s="39">
        <f>H126+H129+H130+H131+H136+H145+H146+H147</f>
        <v>3797594</v>
      </c>
      <c r="I125" s="39">
        <f>I126+I129+I130+I131+I136+I145+I146+I147</f>
        <v>3787877.7</v>
      </c>
      <c r="J125" s="39">
        <f>J126+J129+J130+J131+J136+J145+J146+J147</f>
        <v>3649090.9000000004</v>
      </c>
      <c r="K125" s="184" t="s">
        <v>215</v>
      </c>
      <c r="L125" s="192" t="s">
        <v>12</v>
      </c>
      <c r="M125" s="223" t="s">
        <v>216</v>
      </c>
      <c r="N125" s="223" t="s">
        <v>216</v>
      </c>
      <c r="O125" s="223" t="s">
        <v>216</v>
      </c>
      <c r="P125" s="223" t="s">
        <v>216</v>
      </c>
      <c r="Q125" s="222" t="s">
        <v>216</v>
      </c>
    </row>
    <row r="126" spans="1:17" s="10" customFormat="1" ht="0.6" customHeight="1" x14ac:dyDescent="0.25">
      <c r="A126" s="330"/>
      <c r="B126" s="260"/>
      <c r="C126" s="260" t="s">
        <v>15</v>
      </c>
      <c r="D126" s="260"/>
      <c r="E126" s="308" t="s">
        <v>217</v>
      </c>
      <c r="F126" s="260">
        <v>33594.1</v>
      </c>
      <c r="G126" s="313">
        <v>229884.69999999998</v>
      </c>
      <c r="H126" s="313">
        <v>873934.7</v>
      </c>
      <c r="I126" s="313">
        <v>873934.70000000007</v>
      </c>
      <c r="J126" s="313">
        <v>873934.70000000007</v>
      </c>
      <c r="K126" s="184"/>
      <c r="L126" s="192"/>
      <c r="M126" s="220"/>
      <c r="N126" s="220"/>
      <c r="O126" s="35"/>
      <c r="P126" s="35"/>
      <c r="Q126" s="87">
        <v>2</v>
      </c>
    </row>
    <row r="127" spans="1:17" s="10" customFormat="1" ht="60" x14ac:dyDescent="0.25">
      <c r="A127" s="330"/>
      <c r="B127" s="260"/>
      <c r="C127" s="260"/>
      <c r="D127" s="260"/>
      <c r="E127" s="308"/>
      <c r="F127" s="260"/>
      <c r="G127" s="313"/>
      <c r="H127" s="313">
        <v>873934.70000000007</v>
      </c>
      <c r="I127" s="313">
        <v>873934.70000000007</v>
      </c>
      <c r="J127" s="313">
        <v>873934.70000000007</v>
      </c>
      <c r="K127" s="184" t="s">
        <v>218</v>
      </c>
      <c r="L127" s="192" t="s">
        <v>12</v>
      </c>
      <c r="M127" s="227">
        <v>50</v>
      </c>
      <c r="N127" s="227">
        <v>70</v>
      </c>
      <c r="O127" s="227">
        <v>70</v>
      </c>
      <c r="P127" s="227">
        <v>80</v>
      </c>
      <c r="Q127" s="82">
        <v>80</v>
      </c>
    </row>
    <row r="128" spans="1:17" s="10" customFormat="1" ht="45" x14ac:dyDescent="0.25">
      <c r="A128" s="330"/>
      <c r="B128" s="260"/>
      <c r="C128" s="260"/>
      <c r="D128" s="260"/>
      <c r="E128" s="308"/>
      <c r="F128" s="260"/>
      <c r="G128" s="313"/>
      <c r="H128" s="313">
        <v>873934.70000000007</v>
      </c>
      <c r="I128" s="313">
        <v>873934.70000000007</v>
      </c>
      <c r="J128" s="313">
        <v>873934.70000000007</v>
      </c>
      <c r="K128" s="184" t="s">
        <v>219</v>
      </c>
      <c r="L128" s="192" t="s">
        <v>12</v>
      </c>
      <c r="M128" s="227">
        <v>80</v>
      </c>
      <c r="N128" s="227">
        <v>80</v>
      </c>
      <c r="O128" s="227">
        <v>90</v>
      </c>
      <c r="P128" s="227">
        <v>90</v>
      </c>
      <c r="Q128" s="82">
        <v>100</v>
      </c>
    </row>
    <row r="129" spans="1:17" s="10" customFormat="1" ht="74.45" customHeight="1" x14ac:dyDescent="0.25">
      <c r="A129" s="330"/>
      <c r="B129" s="157"/>
      <c r="C129" s="157" t="s">
        <v>16</v>
      </c>
      <c r="D129" s="157"/>
      <c r="E129" s="183" t="s">
        <v>220</v>
      </c>
      <c r="F129" s="179">
        <v>145402.30000000002</v>
      </c>
      <c r="G129" s="179">
        <v>145402.30000000002</v>
      </c>
      <c r="H129" s="179">
        <v>145402.30000000002</v>
      </c>
      <c r="I129" s="179">
        <v>145402.30000000002</v>
      </c>
      <c r="J129" s="179">
        <v>145402.30000000002</v>
      </c>
      <c r="K129" s="33" t="s">
        <v>221</v>
      </c>
      <c r="L129" s="179" t="s">
        <v>195</v>
      </c>
      <c r="M129" s="223">
        <v>30</v>
      </c>
      <c r="N129" s="223">
        <v>40</v>
      </c>
      <c r="O129" s="223">
        <v>40</v>
      </c>
      <c r="P129" s="223">
        <v>50</v>
      </c>
      <c r="Q129" s="222">
        <v>50</v>
      </c>
    </row>
    <row r="130" spans="1:17" s="10" customFormat="1" ht="28.5" customHeight="1" x14ac:dyDescent="0.25">
      <c r="A130" s="330"/>
      <c r="B130" s="157"/>
      <c r="C130" s="157" t="s">
        <v>14</v>
      </c>
      <c r="D130" s="157"/>
      <c r="E130" s="183" t="s">
        <v>222</v>
      </c>
      <c r="F130" s="179">
        <v>108913.9</v>
      </c>
      <c r="G130" s="179">
        <v>115675.9</v>
      </c>
      <c r="H130" s="179">
        <v>115675.9</v>
      </c>
      <c r="I130" s="179">
        <v>115675.9</v>
      </c>
      <c r="J130" s="179">
        <v>115675.9</v>
      </c>
      <c r="K130" s="184" t="s">
        <v>223</v>
      </c>
      <c r="L130" s="192" t="s">
        <v>224</v>
      </c>
      <c r="M130" s="227">
        <v>23000</v>
      </c>
      <c r="N130" s="227">
        <v>24000</v>
      </c>
      <c r="O130" s="227">
        <v>24000</v>
      </c>
      <c r="P130" s="227">
        <v>24000</v>
      </c>
      <c r="Q130" s="82">
        <v>24000</v>
      </c>
    </row>
    <row r="131" spans="1:17" s="10" customFormat="1" ht="50.25" customHeight="1" x14ac:dyDescent="0.25">
      <c r="A131" s="330"/>
      <c r="B131" s="260"/>
      <c r="C131" s="260" t="s">
        <v>18</v>
      </c>
      <c r="D131" s="260"/>
      <c r="E131" s="322" t="s">
        <v>225</v>
      </c>
      <c r="F131" s="260">
        <v>585730.19999999995</v>
      </c>
      <c r="G131" s="260">
        <v>738629</v>
      </c>
      <c r="H131" s="260" t="s">
        <v>226</v>
      </c>
      <c r="I131" s="260">
        <v>761916.5</v>
      </c>
      <c r="J131" s="260">
        <v>761916.5</v>
      </c>
      <c r="K131" s="184" t="s">
        <v>227</v>
      </c>
      <c r="L131" s="192" t="s">
        <v>228</v>
      </c>
      <c r="M131" s="227">
        <v>21139</v>
      </c>
      <c r="N131" s="227">
        <v>22000</v>
      </c>
      <c r="O131" s="227">
        <v>22000</v>
      </c>
      <c r="P131" s="227">
        <v>23000</v>
      </c>
      <c r="Q131" s="82">
        <v>23000</v>
      </c>
    </row>
    <row r="132" spans="1:17" s="10" customFormat="1" ht="60" x14ac:dyDescent="0.25">
      <c r="A132" s="330"/>
      <c r="B132" s="260"/>
      <c r="C132" s="260"/>
      <c r="D132" s="260"/>
      <c r="E132" s="322"/>
      <c r="F132" s="260"/>
      <c r="G132" s="260"/>
      <c r="H132" s="260">
        <v>761916.5</v>
      </c>
      <c r="I132" s="260">
        <v>761916.5</v>
      </c>
      <c r="J132" s="260">
        <v>761916.5</v>
      </c>
      <c r="K132" s="184" t="s">
        <v>229</v>
      </c>
      <c r="L132" s="192" t="s">
        <v>206</v>
      </c>
      <c r="M132" s="34">
        <v>0.3</v>
      </c>
      <c r="N132" s="34">
        <v>0.4</v>
      </c>
      <c r="O132" s="34">
        <v>0.5</v>
      </c>
      <c r="P132" s="34">
        <v>1</v>
      </c>
      <c r="Q132" s="88">
        <v>1</v>
      </c>
    </row>
    <row r="133" spans="1:17" s="10" customFormat="1" ht="45" customHeight="1" x14ac:dyDescent="0.25">
      <c r="A133" s="330"/>
      <c r="B133" s="260"/>
      <c r="C133" s="260"/>
      <c r="D133" s="260"/>
      <c r="E133" s="322"/>
      <c r="F133" s="260"/>
      <c r="G133" s="260"/>
      <c r="H133" s="260">
        <v>761916.5</v>
      </c>
      <c r="I133" s="260">
        <v>761916.5</v>
      </c>
      <c r="J133" s="260">
        <v>761916.5</v>
      </c>
      <c r="K133" s="184" t="s">
        <v>230</v>
      </c>
      <c r="L133" s="192" t="s">
        <v>195</v>
      </c>
      <c r="M133" s="220">
        <v>90</v>
      </c>
      <c r="N133" s="220">
        <v>95</v>
      </c>
      <c r="O133" s="220">
        <v>100</v>
      </c>
      <c r="P133" s="220">
        <v>100</v>
      </c>
      <c r="Q133" s="85">
        <v>100</v>
      </c>
    </row>
    <row r="134" spans="1:17" s="10" customFormat="1" ht="45" x14ac:dyDescent="0.25">
      <c r="A134" s="330"/>
      <c r="B134" s="260"/>
      <c r="C134" s="260"/>
      <c r="D134" s="260"/>
      <c r="E134" s="322"/>
      <c r="F134" s="260"/>
      <c r="G134" s="260"/>
      <c r="H134" s="260">
        <v>761916.5</v>
      </c>
      <c r="I134" s="260">
        <v>761916.5</v>
      </c>
      <c r="J134" s="260">
        <v>761916.5</v>
      </c>
      <c r="K134" s="184" t="s">
        <v>672</v>
      </c>
      <c r="L134" s="192" t="s">
        <v>195</v>
      </c>
      <c r="M134" s="220">
        <v>20</v>
      </c>
      <c r="N134" s="220">
        <v>30</v>
      </c>
      <c r="O134" s="220">
        <v>40</v>
      </c>
      <c r="P134" s="220">
        <v>50</v>
      </c>
      <c r="Q134" s="85">
        <v>50</v>
      </c>
    </row>
    <row r="135" spans="1:17" s="10" customFormat="1" ht="36.75" customHeight="1" x14ac:dyDescent="0.25">
      <c r="A135" s="330"/>
      <c r="B135" s="260"/>
      <c r="C135" s="260"/>
      <c r="D135" s="260"/>
      <c r="E135" s="322"/>
      <c r="F135" s="260"/>
      <c r="G135" s="260"/>
      <c r="H135" s="260">
        <v>761916.5</v>
      </c>
      <c r="I135" s="260">
        <v>761916.5</v>
      </c>
      <c r="J135" s="260">
        <v>761916.5</v>
      </c>
      <c r="K135" s="184" t="s">
        <v>231</v>
      </c>
      <c r="L135" s="192" t="s">
        <v>195</v>
      </c>
      <c r="M135" s="220">
        <v>90</v>
      </c>
      <c r="N135" s="220">
        <v>95</v>
      </c>
      <c r="O135" s="220">
        <v>100</v>
      </c>
      <c r="P135" s="220">
        <v>100</v>
      </c>
      <c r="Q135" s="85">
        <v>100</v>
      </c>
    </row>
    <row r="136" spans="1:17" s="10" customFormat="1" ht="45" x14ac:dyDescent="0.25">
      <c r="A136" s="330"/>
      <c r="B136" s="260"/>
      <c r="C136" s="260" t="s">
        <v>19</v>
      </c>
      <c r="D136" s="260"/>
      <c r="E136" s="326" t="s">
        <v>232</v>
      </c>
      <c r="F136" s="327">
        <v>76626</v>
      </c>
      <c r="G136" s="260">
        <v>387743.2</v>
      </c>
      <c r="H136" s="260">
        <v>78231.799999999988</v>
      </c>
      <c r="I136" s="260">
        <v>78232.800000000003</v>
      </c>
      <c r="J136" s="260">
        <v>78233.8</v>
      </c>
      <c r="K136" s="184" t="s">
        <v>233</v>
      </c>
      <c r="L136" s="192" t="s">
        <v>234</v>
      </c>
      <c r="M136" s="220">
        <v>42.4</v>
      </c>
      <c r="N136" s="220">
        <v>40.1</v>
      </c>
      <c r="O136" s="220">
        <v>39</v>
      </c>
      <c r="P136" s="220">
        <v>38</v>
      </c>
      <c r="Q136" s="85">
        <v>38</v>
      </c>
    </row>
    <row r="137" spans="1:17" s="10" customFormat="1" ht="45" x14ac:dyDescent="0.25">
      <c r="A137" s="330"/>
      <c r="B137" s="260"/>
      <c r="C137" s="260"/>
      <c r="D137" s="260"/>
      <c r="E137" s="326"/>
      <c r="F137" s="327"/>
      <c r="G137" s="260"/>
      <c r="H137" s="260"/>
      <c r="I137" s="260"/>
      <c r="J137" s="260"/>
      <c r="K137" s="184" t="s">
        <v>235</v>
      </c>
      <c r="L137" s="192" t="s">
        <v>236</v>
      </c>
      <c r="M137" s="229">
        <v>12.7</v>
      </c>
      <c r="N137" s="229">
        <v>13</v>
      </c>
      <c r="O137" s="229">
        <v>13</v>
      </c>
      <c r="P137" s="229">
        <v>14</v>
      </c>
      <c r="Q137" s="230">
        <v>14</v>
      </c>
    </row>
    <row r="138" spans="1:17" s="10" customFormat="1" ht="45" x14ac:dyDescent="0.25">
      <c r="A138" s="330"/>
      <c r="B138" s="260"/>
      <c r="C138" s="260"/>
      <c r="D138" s="260"/>
      <c r="E138" s="326"/>
      <c r="F138" s="327"/>
      <c r="G138" s="260"/>
      <c r="H138" s="260"/>
      <c r="I138" s="260"/>
      <c r="J138" s="260"/>
      <c r="K138" s="184" t="s">
        <v>237</v>
      </c>
      <c r="L138" s="192" t="s">
        <v>236</v>
      </c>
      <c r="M138" s="220">
        <v>16.8</v>
      </c>
      <c r="N138" s="220">
        <v>16.7</v>
      </c>
      <c r="O138" s="220">
        <v>16.7</v>
      </c>
      <c r="P138" s="220">
        <v>16.5</v>
      </c>
      <c r="Q138" s="85">
        <v>16.5</v>
      </c>
    </row>
    <row r="139" spans="1:17" s="10" customFormat="1" ht="53.25" customHeight="1" x14ac:dyDescent="0.25">
      <c r="A139" s="330"/>
      <c r="B139" s="260"/>
      <c r="C139" s="260"/>
      <c r="D139" s="260"/>
      <c r="E139" s="326"/>
      <c r="F139" s="327"/>
      <c r="G139" s="260"/>
      <c r="H139" s="260"/>
      <c r="I139" s="260"/>
      <c r="J139" s="260"/>
      <c r="K139" s="184" t="s">
        <v>238</v>
      </c>
      <c r="L139" s="192" t="s">
        <v>206</v>
      </c>
      <c r="M139" s="220">
        <v>99.8</v>
      </c>
      <c r="N139" s="220">
        <v>99</v>
      </c>
      <c r="O139" s="220">
        <v>99</v>
      </c>
      <c r="P139" s="220">
        <v>99</v>
      </c>
      <c r="Q139" s="85">
        <v>99</v>
      </c>
    </row>
    <row r="140" spans="1:17" s="10" customFormat="1" ht="43.5" customHeight="1" x14ac:dyDescent="0.25">
      <c r="A140" s="330"/>
      <c r="B140" s="260"/>
      <c r="C140" s="260"/>
      <c r="D140" s="260"/>
      <c r="E140" s="326"/>
      <c r="F140" s="327"/>
      <c r="G140" s="260"/>
      <c r="H140" s="260"/>
      <c r="I140" s="260"/>
      <c r="J140" s="260"/>
      <c r="K140" s="184" t="s">
        <v>239</v>
      </c>
      <c r="L140" s="192" t="s">
        <v>240</v>
      </c>
      <c r="M140" s="220">
        <v>39.299999999999997</v>
      </c>
      <c r="N140" s="220">
        <v>42</v>
      </c>
      <c r="O140" s="220">
        <v>45</v>
      </c>
      <c r="P140" s="220">
        <v>47</v>
      </c>
      <c r="Q140" s="85">
        <v>47</v>
      </c>
    </row>
    <row r="141" spans="1:17" s="10" customFormat="1" ht="45" x14ac:dyDescent="0.25">
      <c r="A141" s="330"/>
      <c r="B141" s="260"/>
      <c r="C141" s="260"/>
      <c r="D141" s="260"/>
      <c r="E141" s="326"/>
      <c r="F141" s="327"/>
      <c r="G141" s="260"/>
      <c r="H141" s="260"/>
      <c r="I141" s="260"/>
      <c r="J141" s="260"/>
      <c r="K141" s="184" t="s">
        <v>241</v>
      </c>
      <c r="L141" s="192" t="s">
        <v>340</v>
      </c>
      <c r="M141" s="220">
        <v>10.7</v>
      </c>
      <c r="N141" s="220">
        <v>10.8</v>
      </c>
      <c r="O141" s="220">
        <v>11</v>
      </c>
      <c r="P141" s="220">
        <v>11</v>
      </c>
      <c r="Q141" s="85">
        <v>11</v>
      </c>
    </row>
    <row r="142" spans="1:17" s="10" customFormat="1" ht="30" x14ac:dyDescent="0.25">
      <c r="A142" s="330"/>
      <c r="B142" s="260"/>
      <c r="C142" s="260"/>
      <c r="D142" s="260"/>
      <c r="E142" s="326"/>
      <c r="F142" s="327"/>
      <c r="G142" s="260"/>
      <c r="H142" s="260"/>
      <c r="I142" s="260"/>
      <c r="J142" s="260"/>
      <c r="K142" s="184" t="s">
        <v>341</v>
      </c>
      <c r="L142" s="192" t="s">
        <v>228</v>
      </c>
      <c r="M142" s="220">
        <v>9.1</v>
      </c>
      <c r="N142" s="220">
        <v>12.4</v>
      </c>
      <c r="O142" s="220">
        <v>12.2</v>
      </c>
      <c r="P142" s="220">
        <v>12.1</v>
      </c>
      <c r="Q142" s="85">
        <v>12.1</v>
      </c>
    </row>
    <row r="143" spans="1:17" s="10" customFormat="1" ht="30" x14ac:dyDescent="0.25">
      <c r="A143" s="330"/>
      <c r="B143" s="260"/>
      <c r="C143" s="260"/>
      <c r="D143" s="260"/>
      <c r="E143" s="326"/>
      <c r="F143" s="327"/>
      <c r="G143" s="260"/>
      <c r="H143" s="260"/>
      <c r="I143" s="260"/>
      <c r="J143" s="260"/>
      <c r="K143" s="184" t="s">
        <v>242</v>
      </c>
      <c r="L143" s="192" t="s">
        <v>195</v>
      </c>
      <c r="M143" s="227">
        <v>80</v>
      </c>
      <c r="N143" s="220">
        <v>80.099999999999994</v>
      </c>
      <c r="O143" s="220">
        <v>80.2</v>
      </c>
      <c r="P143" s="220">
        <v>80.5</v>
      </c>
      <c r="Q143" s="85">
        <v>10.5</v>
      </c>
    </row>
    <row r="144" spans="1:17" s="10" customFormat="1" ht="45" x14ac:dyDescent="0.25">
      <c r="A144" s="330"/>
      <c r="B144" s="260"/>
      <c r="C144" s="260"/>
      <c r="D144" s="260"/>
      <c r="E144" s="326"/>
      <c r="F144" s="327"/>
      <c r="G144" s="260"/>
      <c r="H144" s="260"/>
      <c r="I144" s="260"/>
      <c r="J144" s="260"/>
      <c r="K144" s="184" t="s">
        <v>243</v>
      </c>
      <c r="L144" s="192" t="s">
        <v>244</v>
      </c>
      <c r="M144" s="229">
        <v>837.8</v>
      </c>
      <c r="N144" s="229">
        <v>837.8</v>
      </c>
      <c r="O144" s="229">
        <v>837.8</v>
      </c>
      <c r="P144" s="229">
        <v>837.8</v>
      </c>
      <c r="Q144" s="230">
        <v>837.8</v>
      </c>
    </row>
    <row r="145" spans="1:17" s="10" customFormat="1" ht="44.25" customHeight="1" x14ac:dyDescent="0.25">
      <c r="A145" s="330"/>
      <c r="B145" s="157"/>
      <c r="C145" s="157" t="s">
        <v>20</v>
      </c>
      <c r="D145" s="157"/>
      <c r="E145" s="183" t="s">
        <v>245</v>
      </c>
      <c r="F145" s="179">
        <v>349452.59962999995</v>
      </c>
      <c r="G145" s="179">
        <v>355156.89999999997</v>
      </c>
      <c r="H145" s="179">
        <f>355156.9+4749.8</f>
        <v>359906.7</v>
      </c>
      <c r="I145" s="179">
        <f>355156.9+4749.8</f>
        <v>359906.7</v>
      </c>
      <c r="J145" s="179">
        <f>355156.9+4749.8</f>
        <v>359906.7</v>
      </c>
      <c r="K145" s="184" t="s">
        <v>246</v>
      </c>
      <c r="L145" s="192" t="s">
        <v>228</v>
      </c>
      <c r="M145" s="227">
        <v>8447</v>
      </c>
      <c r="N145" s="227">
        <v>17900</v>
      </c>
      <c r="O145" s="227">
        <v>17900</v>
      </c>
      <c r="P145" s="227">
        <v>17900</v>
      </c>
      <c r="Q145" s="82">
        <v>17900</v>
      </c>
    </row>
    <row r="146" spans="1:17" s="10" customFormat="1" ht="120" x14ac:dyDescent="0.25">
      <c r="A146" s="330"/>
      <c r="B146" s="157"/>
      <c r="C146" s="157" t="s">
        <v>21</v>
      </c>
      <c r="D146" s="157"/>
      <c r="E146" s="183" t="s">
        <v>247</v>
      </c>
      <c r="F146" s="179">
        <v>121526.6</v>
      </c>
      <c r="G146" s="179">
        <v>121526.6</v>
      </c>
      <c r="H146" s="179">
        <f>121526.6+685393.3</f>
        <v>806919.9</v>
      </c>
      <c r="I146" s="179">
        <f>121526.6+685393.3+20220</f>
        <v>827139.9</v>
      </c>
      <c r="J146" s="179">
        <f>121526.6+685393.3+40482.2</f>
        <v>847402.1</v>
      </c>
      <c r="K146" s="184" t="s">
        <v>673</v>
      </c>
      <c r="L146" s="192" t="s">
        <v>228</v>
      </c>
      <c r="M146" s="220">
        <v>1200</v>
      </c>
      <c r="N146" s="220">
        <v>1400</v>
      </c>
      <c r="O146" s="220">
        <v>1400</v>
      </c>
      <c r="P146" s="220">
        <v>1500</v>
      </c>
      <c r="Q146" s="85">
        <v>1500</v>
      </c>
    </row>
    <row r="147" spans="1:17" s="10" customFormat="1" ht="32.25" customHeight="1" x14ac:dyDescent="0.25">
      <c r="A147" s="330"/>
      <c r="B147" s="157"/>
      <c r="C147" s="157" t="s">
        <v>22</v>
      </c>
      <c r="D147" s="157"/>
      <c r="E147" s="183" t="s">
        <v>248</v>
      </c>
      <c r="F147" s="179">
        <v>90979.393379999994</v>
      </c>
      <c r="G147" s="179">
        <v>92218.9</v>
      </c>
      <c r="H147" s="179">
        <f>92218.9+386750+176637.3</f>
        <v>655606.19999999995</v>
      </c>
      <c r="I147" s="179">
        <f>92218.9+533450</f>
        <v>625668.9</v>
      </c>
      <c r="J147" s="179">
        <f>92218.9+374400</f>
        <v>466618.9</v>
      </c>
      <c r="K147" s="184" t="s">
        <v>249</v>
      </c>
      <c r="L147" s="192" t="s">
        <v>214</v>
      </c>
      <c r="M147" s="227">
        <v>3</v>
      </c>
      <c r="N147" s="227">
        <v>4</v>
      </c>
      <c r="O147" s="227">
        <v>4</v>
      </c>
      <c r="P147" s="227">
        <v>5</v>
      </c>
      <c r="Q147" s="82">
        <v>5</v>
      </c>
    </row>
    <row r="148" spans="1:17" s="10" customFormat="1" ht="103.5" x14ac:dyDescent="0.25">
      <c r="A148" s="330"/>
      <c r="B148" s="160" t="s">
        <v>352</v>
      </c>
      <c r="C148" s="157"/>
      <c r="D148" s="157"/>
      <c r="E148" s="183" t="s">
        <v>334</v>
      </c>
      <c r="F148" s="179">
        <v>1256224.5000000002</v>
      </c>
      <c r="G148" s="179">
        <v>1253034.6000000001</v>
      </c>
      <c r="H148" s="179">
        <f>H149+H155+H157+H164+H166</f>
        <v>1253036.6000000001</v>
      </c>
      <c r="I148" s="179">
        <f>I149+I155+I157+I164+I166</f>
        <v>1253038.6000000001</v>
      </c>
      <c r="J148" s="179">
        <f>J149+J155+J157+J164+J166</f>
        <v>1253038.6000000001</v>
      </c>
      <c r="K148" s="184" t="s">
        <v>250</v>
      </c>
      <c r="L148" s="192" t="s">
        <v>24</v>
      </c>
      <c r="M148" s="220"/>
      <c r="N148" s="220"/>
      <c r="O148" s="220"/>
      <c r="P148" s="220"/>
      <c r="Q148" s="85"/>
    </row>
    <row r="149" spans="1:17" s="10" customFormat="1" ht="37.5" customHeight="1" x14ac:dyDescent="0.25">
      <c r="A149" s="330"/>
      <c r="B149" s="260"/>
      <c r="C149" s="260" t="s">
        <v>15</v>
      </c>
      <c r="D149" s="260"/>
      <c r="E149" s="310" t="s">
        <v>251</v>
      </c>
      <c r="F149" s="304">
        <v>164591.1</v>
      </c>
      <c r="G149" s="304">
        <v>164096.9</v>
      </c>
      <c r="H149" s="304">
        <v>164096.9</v>
      </c>
      <c r="I149" s="304">
        <v>164096.9</v>
      </c>
      <c r="J149" s="304">
        <v>164096.9</v>
      </c>
      <c r="K149" s="33" t="s">
        <v>252</v>
      </c>
      <c r="L149" s="179" t="s">
        <v>253</v>
      </c>
      <c r="M149" s="220">
        <v>20.5</v>
      </c>
      <c r="N149" s="220">
        <v>20.5</v>
      </c>
      <c r="O149" s="220">
        <v>21</v>
      </c>
      <c r="P149" s="220">
        <v>23</v>
      </c>
      <c r="Q149" s="85">
        <v>23</v>
      </c>
    </row>
    <row r="150" spans="1:17" s="10" customFormat="1" ht="51.6" customHeight="1" x14ac:dyDescent="0.25">
      <c r="A150" s="330"/>
      <c r="B150" s="260"/>
      <c r="C150" s="260"/>
      <c r="D150" s="260"/>
      <c r="E150" s="310"/>
      <c r="F150" s="304"/>
      <c r="G150" s="304"/>
      <c r="H150" s="304"/>
      <c r="I150" s="304"/>
      <c r="J150" s="304"/>
      <c r="K150" s="33" t="s">
        <v>254</v>
      </c>
      <c r="L150" s="179" t="s">
        <v>253</v>
      </c>
      <c r="M150" s="220">
        <v>3.3</v>
      </c>
      <c r="N150" s="220">
        <v>3.5</v>
      </c>
      <c r="O150" s="220">
        <v>3.5</v>
      </c>
      <c r="P150" s="220">
        <v>3.7</v>
      </c>
      <c r="Q150" s="85">
        <v>3.7</v>
      </c>
    </row>
    <row r="151" spans="1:17" s="10" customFormat="1" ht="82.5" customHeight="1" x14ac:dyDescent="0.25">
      <c r="A151" s="330"/>
      <c r="B151" s="260"/>
      <c r="C151" s="260"/>
      <c r="D151" s="260"/>
      <c r="E151" s="310"/>
      <c r="F151" s="304"/>
      <c r="G151" s="304"/>
      <c r="H151" s="304"/>
      <c r="I151" s="304"/>
      <c r="J151" s="304"/>
      <c r="K151" s="33" t="s">
        <v>255</v>
      </c>
      <c r="L151" s="179" t="s">
        <v>228</v>
      </c>
      <c r="M151" s="31">
        <v>150</v>
      </c>
      <c r="N151" s="31">
        <v>150</v>
      </c>
      <c r="O151" s="31">
        <v>175</v>
      </c>
      <c r="P151" s="31">
        <v>175</v>
      </c>
      <c r="Q151" s="89">
        <v>175</v>
      </c>
    </row>
    <row r="152" spans="1:17" s="10" customFormat="1" ht="15" hidden="1" customHeight="1" x14ac:dyDescent="0.25">
      <c r="A152" s="330"/>
      <c r="B152" s="260"/>
      <c r="C152" s="260"/>
      <c r="D152" s="260"/>
      <c r="E152" s="310"/>
      <c r="F152" s="304"/>
      <c r="G152" s="304"/>
      <c r="H152" s="304"/>
      <c r="I152" s="304"/>
      <c r="J152" s="304"/>
      <c r="K152" s="33"/>
      <c r="L152" s="179"/>
      <c r="M152" s="220"/>
      <c r="N152" s="220"/>
      <c r="O152" s="220"/>
      <c r="P152" s="220"/>
      <c r="Q152" s="84"/>
    </row>
    <row r="153" spans="1:17" s="10" customFormat="1" ht="30" x14ac:dyDescent="0.25">
      <c r="A153" s="330"/>
      <c r="B153" s="260"/>
      <c r="C153" s="260"/>
      <c r="D153" s="260"/>
      <c r="E153" s="310"/>
      <c r="F153" s="304"/>
      <c r="G153" s="304"/>
      <c r="H153" s="304"/>
      <c r="I153" s="304"/>
      <c r="J153" s="304"/>
      <c r="K153" s="33" t="s">
        <v>256</v>
      </c>
      <c r="L153" s="179" t="s">
        <v>36</v>
      </c>
      <c r="M153" s="223">
        <v>110</v>
      </c>
      <c r="N153" s="227">
        <v>120</v>
      </c>
      <c r="O153" s="227">
        <v>200</v>
      </c>
      <c r="P153" s="227">
        <v>200</v>
      </c>
      <c r="Q153" s="82">
        <v>200</v>
      </c>
    </row>
    <row r="154" spans="1:17" s="10" customFormat="1" ht="15" hidden="1" customHeight="1" x14ac:dyDescent="0.25">
      <c r="A154" s="330"/>
      <c r="B154" s="260"/>
      <c r="C154" s="260"/>
      <c r="D154" s="260"/>
      <c r="E154" s="310"/>
      <c r="F154" s="304"/>
      <c r="G154" s="304"/>
      <c r="H154" s="304"/>
      <c r="I154" s="304"/>
      <c r="J154" s="304"/>
      <c r="K154" s="33"/>
      <c r="L154" s="179"/>
      <c r="M154" s="220"/>
      <c r="N154" s="227"/>
      <c r="O154" s="227"/>
      <c r="P154" s="227"/>
      <c r="Q154" s="82"/>
    </row>
    <row r="155" spans="1:17" s="10" customFormat="1" ht="45" x14ac:dyDescent="0.25">
      <c r="A155" s="330"/>
      <c r="B155" s="260"/>
      <c r="C155" s="260" t="s">
        <v>16</v>
      </c>
      <c r="D155" s="260"/>
      <c r="E155" s="310" t="s">
        <v>257</v>
      </c>
      <c r="F155" s="304">
        <v>27192.699999999997</v>
      </c>
      <c r="G155" s="304">
        <v>27192.699999999997</v>
      </c>
      <c r="H155" s="304">
        <v>27193.7</v>
      </c>
      <c r="I155" s="304">
        <v>27194.7</v>
      </c>
      <c r="J155" s="304">
        <v>27194.7</v>
      </c>
      <c r="K155" s="184" t="s">
        <v>258</v>
      </c>
      <c r="L155" s="192" t="s">
        <v>228</v>
      </c>
      <c r="M155" s="227">
        <v>519</v>
      </c>
      <c r="N155" s="227">
        <v>367</v>
      </c>
      <c r="O155" s="227">
        <v>345</v>
      </c>
      <c r="P155" s="227">
        <v>345</v>
      </c>
      <c r="Q155" s="82">
        <v>345</v>
      </c>
    </row>
    <row r="156" spans="1:17" s="10" customFormat="1" ht="45" x14ac:dyDescent="0.25">
      <c r="A156" s="330"/>
      <c r="B156" s="260"/>
      <c r="C156" s="260"/>
      <c r="D156" s="260"/>
      <c r="E156" s="310"/>
      <c r="F156" s="304"/>
      <c r="G156" s="304"/>
      <c r="H156" s="304"/>
      <c r="I156" s="304"/>
      <c r="J156" s="304"/>
      <c r="K156" s="184" t="s">
        <v>674</v>
      </c>
      <c r="L156" s="192" t="s">
        <v>228</v>
      </c>
      <c r="M156" s="31">
        <v>141</v>
      </c>
      <c r="N156" s="31">
        <v>298</v>
      </c>
      <c r="O156" s="31">
        <v>305</v>
      </c>
      <c r="P156" s="31">
        <v>367</v>
      </c>
      <c r="Q156" s="89">
        <v>367</v>
      </c>
    </row>
    <row r="157" spans="1:17" s="10" customFormat="1" ht="45" x14ac:dyDescent="0.25">
      <c r="A157" s="330"/>
      <c r="B157" s="260"/>
      <c r="C157" s="260" t="s">
        <v>14</v>
      </c>
      <c r="D157" s="260"/>
      <c r="E157" s="310" t="s">
        <v>259</v>
      </c>
      <c r="F157" s="304">
        <v>808056.3</v>
      </c>
      <c r="G157" s="304">
        <v>808056.3</v>
      </c>
      <c r="H157" s="304">
        <v>808056.3</v>
      </c>
      <c r="I157" s="304">
        <v>808056.3</v>
      </c>
      <c r="J157" s="304">
        <v>808056.3</v>
      </c>
      <c r="K157" s="33" t="s">
        <v>675</v>
      </c>
      <c r="L157" s="179" t="s">
        <v>228</v>
      </c>
      <c r="M157" s="220">
        <v>360</v>
      </c>
      <c r="N157" s="227">
        <v>378</v>
      </c>
      <c r="O157" s="227">
        <v>378</v>
      </c>
      <c r="P157" s="227">
        <v>380</v>
      </c>
      <c r="Q157" s="84">
        <v>380</v>
      </c>
    </row>
    <row r="158" spans="1:17" s="10" customFormat="1" ht="45" x14ac:dyDescent="0.25">
      <c r="A158" s="330"/>
      <c r="B158" s="260"/>
      <c r="C158" s="260"/>
      <c r="D158" s="260"/>
      <c r="E158" s="310"/>
      <c r="F158" s="304"/>
      <c r="G158" s="304"/>
      <c r="H158" s="304"/>
      <c r="I158" s="304"/>
      <c r="J158" s="304"/>
      <c r="K158" s="33" t="s">
        <v>676</v>
      </c>
      <c r="L158" s="179" t="s">
        <v>228</v>
      </c>
      <c r="M158" s="220">
        <v>322</v>
      </c>
      <c r="N158" s="227">
        <v>345</v>
      </c>
      <c r="O158" s="227">
        <v>345</v>
      </c>
      <c r="P158" s="227">
        <v>345</v>
      </c>
      <c r="Q158" s="82">
        <v>345</v>
      </c>
    </row>
    <row r="159" spans="1:17" s="10" customFormat="1" ht="70.5" customHeight="1" x14ac:dyDescent="0.25">
      <c r="A159" s="330"/>
      <c r="B159" s="260"/>
      <c r="C159" s="260"/>
      <c r="D159" s="260"/>
      <c r="E159" s="310"/>
      <c r="F159" s="304"/>
      <c r="G159" s="304"/>
      <c r="H159" s="304"/>
      <c r="I159" s="304"/>
      <c r="J159" s="304"/>
      <c r="K159" s="33" t="s">
        <v>677</v>
      </c>
      <c r="L159" s="179" t="s">
        <v>228</v>
      </c>
      <c r="M159" s="220">
        <v>141</v>
      </c>
      <c r="N159" s="227">
        <v>298</v>
      </c>
      <c r="O159" s="227">
        <v>305</v>
      </c>
      <c r="P159" s="227">
        <v>367</v>
      </c>
      <c r="Q159" s="82">
        <v>367</v>
      </c>
    </row>
    <row r="160" spans="1:17" s="10" customFormat="1" ht="15" hidden="1" customHeight="1" x14ac:dyDescent="0.25">
      <c r="A160" s="330"/>
      <c r="B160" s="260"/>
      <c r="C160" s="260"/>
      <c r="D160" s="260"/>
      <c r="E160" s="310"/>
      <c r="F160" s="304"/>
      <c r="G160" s="304"/>
      <c r="H160" s="304"/>
      <c r="I160" s="304"/>
      <c r="J160" s="304"/>
      <c r="K160" s="184"/>
      <c r="L160" s="192"/>
      <c r="M160" s="220"/>
      <c r="N160" s="227"/>
      <c r="O160" s="227"/>
      <c r="P160" s="227"/>
      <c r="Q160" s="84"/>
    </row>
    <row r="161" spans="1:17" s="10" customFormat="1" ht="21.6" hidden="1" customHeight="1" x14ac:dyDescent="0.25">
      <c r="A161" s="330"/>
      <c r="B161" s="260"/>
      <c r="C161" s="260"/>
      <c r="D161" s="260"/>
      <c r="E161" s="310"/>
      <c r="F161" s="304"/>
      <c r="G161" s="304"/>
      <c r="H161" s="304"/>
      <c r="I161" s="304"/>
      <c r="J161" s="304"/>
      <c r="K161" s="184"/>
      <c r="L161" s="192"/>
      <c r="M161" s="223"/>
      <c r="N161" s="227"/>
      <c r="O161" s="227"/>
      <c r="P161" s="227"/>
      <c r="Q161" s="82"/>
    </row>
    <row r="162" spans="1:17" s="10" customFormat="1" ht="48.75" customHeight="1" x14ac:dyDescent="0.25">
      <c r="A162" s="330"/>
      <c r="B162" s="260"/>
      <c r="C162" s="260"/>
      <c r="D162" s="260"/>
      <c r="E162" s="310"/>
      <c r="F162" s="304"/>
      <c r="G162" s="304"/>
      <c r="H162" s="304"/>
      <c r="I162" s="304"/>
      <c r="J162" s="304"/>
      <c r="K162" s="184" t="s">
        <v>260</v>
      </c>
      <c r="L162" s="192" t="s">
        <v>228</v>
      </c>
      <c r="M162" s="223">
        <v>212</v>
      </c>
      <c r="N162" s="223">
        <v>220</v>
      </c>
      <c r="O162" s="223">
        <v>230</v>
      </c>
      <c r="P162" s="223">
        <v>240</v>
      </c>
      <c r="Q162" s="84">
        <v>240</v>
      </c>
    </row>
    <row r="163" spans="1:17" s="10" customFormat="1" ht="1.1499999999999999" customHeight="1" x14ac:dyDescent="0.25">
      <c r="A163" s="330"/>
      <c r="B163" s="260"/>
      <c r="C163" s="260"/>
      <c r="D163" s="260"/>
      <c r="E163" s="310"/>
      <c r="F163" s="304"/>
      <c r="G163" s="304"/>
      <c r="H163" s="304"/>
      <c r="I163" s="304"/>
      <c r="J163" s="304"/>
      <c r="K163" s="184"/>
      <c r="L163" s="192"/>
      <c r="M163" s="35"/>
      <c r="N163" s="35"/>
      <c r="O163" s="35"/>
      <c r="P163" s="35"/>
      <c r="Q163" s="84"/>
    </row>
    <row r="164" spans="1:17" s="10" customFormat="1" ht="51" customHeight="1" x14ac:dyDescent="0.25">
      <c r="A164" s="330"/>
      <c r="B164" s="260"/>
      <c r="C164" s="260" t="s">
        <v>18</v>
      </c>
      <c r="D164" s="260"/>
      <c r="E164" s="310" t="s">
        <v>261</v>
      </c>
      <c r="F164" s="304">
        <v>254751.30000000002</v>
      </c>
      <c r="G164" s="304">
        <v>252055.60000000003</v>
      </c>
      <c r="H164" s="304">
        <v>252055.60000000003</v>
      </c>
      <c r="I164" s="304">
        <v>252055.6</v>
      </c>
      <c r="J164" s="304">
        <v>252055.60000000003</v>
      </c>
      <c r="K164" s="184" t="s">
        <v>678</v>
      </c>
      <c r="L164" s="192" t="s">
        <v>228</v>
      </c>
      <c r="M164" s="36" t="s">
        <v>262</v>
      </c>
      <c r="N164" s="36" t="s">
        <v>263</v>
      </c>
      <c r="O164" s="36" t="s">
        <v>264</v>
      </c>
      <c r="P164" s="36" t="s">
        <v>265</v>
      </c>
      <c r="Q164" s="90" t="s">
        <v>266</v>
      </c>
    </row>
    <row r="165" spans="1:17" s="10" customFormat="1" ht="43.5" customHeight="1" x14ac:dyDescent="0.25">
      <c r="A165" s="330"/>
      <c r="B165" s="260"/>
      <c r="C165" s="260"/>
      <c r="D165" s="260"/>
      <c r="E165" s="310"/>
      <c r="F165" s="304"/>
      <c r="G165" s="304"/>
      <c r="H165" s="304"/>
      <c r="I165" s="304"/>
      <c r="J165" s="304"/>
      <c r="K165" s="184" t="s">
        <v>697</v>
      </c>
      <c r="L165" s="192" t="s">
        <v>267</v>
      </c>
      <c r="M165" s="223">
        <v>15</v>
      </c>
      <c r="N165" s="223">
        <v>20</v>
      </c>
      <c r="O165" s="223">
        <v>20</v>
      </c>
      <c r="P165" s="223">
        <v>20</v>
      </c>
      <c r="Q165" s="222">
        <v>20</v>
      </c>
    </row>
    <row r="166" spans="1:17" s="10" customFormat="1" ht="90" x14ac:dyDescent="0.25">
      <c r="A166" s="330"/>
      <c r="B166" s="260"/>
      <c r="C166" s="260" t="s">
        <v>19</v>
      </c>
      <c r="D166" s="260"/>
      <c r="E166" s="310" t="s">
        <v>268</v>
      </c>
      <c r="F166" s="304">
        <v>1633.1</v>
      </c>
      <c r="G166" s="304">
        <v>1633.1</v>
      </c>
      <c r="H166" s="304">
        <v>1634.1</v>
      </c>
      <c r="I166" s="304">
        <v>1635.1</v>
      </c>
      <c r="J166" s="304">
        <v>1635.1</v>
      </c>
      <c r="K166" s="184" t="s">
        <v>698</v>
      </c>
      <c r="L166" s="192" t="s">
        <v>704</v>
      </c>
      <c r="M166" s="35"/>
      <c r="N166" s="35"/>
      <c r="O166" s="35"/>
      <c r="P166" s="35"/>
      <c r="Q166" s="84"/>
    </row>
    <row r="167" spans="1:17" s="10" customFormat="1" ht="60" x14ac:dyDescent="0.25">
      <c r="A167" s="330"/>
      <c r="B167" s="260"/>
      <c r="C167" s="260"/>
      <c r="D167" s="260"/>
      <c r="E167" s="310"/>
      <c r="F167" s="304"/>
      <c r="G167" s="304"/>
      <c r="H167" s="304"/>
      <c r="I167" s="304"/>
      <c r="J167" s="304"/>
      <c r="K167" s="184" t="s">
        <v>681</v>
      </c>
      <c r="L167" s="192" t="s">
        <v>705</v>
      </c>
      <c r="M167" s="36"/>
      <c r="N167" s="36"/>
      <c r="O167" s="36"/>
      <c r="P167" s="36"/>
      <c r="Q167" s="84"/>
    </row>
    <row r="168" spans="1:17" s="10" customFormat="1" ht="103.5" x14ac:dyDescent="0.25">
      <c r="A168" s="330"/>
      <c r="B168" s="160" t="s">
        <v>351</v>
      </c>
      <c r="C168" s="160"/>
      <c r="D168" s="160"/>
      <c r="E168" s="201" t="s">
        <v>679</v>
      </c>
      <c r="F168" s="41">
        <f>F169+F172+F176+F178+F179+F181+F182</f>
        <v>7728266.6000000006</v>
      </c>
      <c r="G168" s="41">
        <f t="shared" ref="G168:J168" si="2">G169+G172+G176+G178+G179+G181+G182</f>
        <v>7484062.2999999989</v>
      </c>
      <c r="H168" s="41">
        <f>H169+H172+H176+H178+H179+H181+H182</f>
        <v>11898735.300000001</v>
      </c>
      <c r="I168" s="41">
        <f t="shared" si="2"/>
        <v>12116916.199999999</v>
      </c>
      <c r="J168" s="41">
        <f t="shared" si="2"/>
        <v>12460415</v>
      </c>
      <c r="K168" s="184" t="s">
        <v>680</v>
      </c>
      <c r="L168" s="187" t="s">
        <v>12</v>
      </c>
      <c r="M168" s="219"/>
      <c r="N168" s="219"/>
      <c r="O168" s="219"/>
      <c r="P168" s="219"/>
      <c r="Q168" s="84"/>
    </row>
    <row r="169" spans="1:17" s="10" customFormat="1" ht="69" customHeight="1" x14ac:dyDescent="0.25">
      <c r="A169" s="330"/>
      <c r="B169" s="260"/>
      <c r="C169" s="260" t="s">
        <v>15</v>
      </c>
      <c r="D169" s="260"/>
      <c r="E169" s="310" t="s">
        <v>269</v>
      </c>
      <c r="F169" s="320">
        <v>4087483.1</v>
      </c>
      <c r="G169" s="320">
        <v>3734104.6999999997</v>
      </c>
      <c r="H169" s="320">
        <v>4540323.7</v>
      </c>
      <c r="I169" s="320">
        <f>4069139.7+689364.9</f>
        <v>4758504.6000000006</v>
      </c>
      <c r="J169" s="320">
        <f>4412638.5+689364.9</f>
        <v>5102003.4000000004</v>
      </c>
      <c r="K169" s="184" t="s">
        <v>665</v>
      </c>
      <c r="L169" s="187" t="s">
        <v>79</v>
      </c>
      <c r="M169" s="227">
        <v>4000</v>
      </c>
      <c r="N169" s="227">
        <v>4000</v>
      </c>
      <c r="O169" s="227">
        <v>4000</v>
      </c>
      <c r="P169" s="227">
        <v>4000</v>
      </c>
      <c r="Q169" s="82">
        <v>4000</v>
      </c>
    </row>
    <row r="170" spans="1:17" s="10" customFormat="1" ht="5.25" hidden="1" customHeight="1" x14ac:dyDescent="0.25">
      <c r="A170" s="330"/>
      <c r="B170" s="260"/>
      <c r="C170" s="260"/>
      <c r="D170" s="260"/>
      <c r="E170" s="310"/>
      <c r="F170" s="320"/>
      <c r="G170" s="320"/>
      <c r="H170" s="320"/>
      <c r="I170" s="320"/>
      <c r="J170" s="320"/>
      <c r="K170" s="184"/>
      <c r="L170" s="187"/>
      <c r="M170" s="132"/>
      <c r="N170" s="220"/>
      <c r="O170" s="220"/>
      <c r="P170" s="220"/>
      <c r="Q170" s="85"/>
    </row>
    <row r="171" spans="1:17" s="10" customFormat="1" ht="45" x14ac:dyDescent="0.25">
      <c r="A171" s="330"/>
      <c r="B171" s="260"/>
      <c r="C171" s="260"/>
      <c r="D171" s="260"/>
      <c r="E171" s="310"/>
      <c r="F171" s="320"/>
      <c r="G171" s="320"/>
      <c r="H171" s="320"/>
      <c r="I171" s="320"/>
      <c r="J171" s="320"/>
      <c r="K171" s="184" t="s">
        <v>270</v>
      </c>
      <c r="L171" s="187" t="s">
        <v>12</v>
      </c>
      <c r="M171" s="227" t="s">
        <v>682</v>
      </c>
      <c r="N171" s="220">
        <v>100</v>
      </c>
      <c r="O171" s="220">
        <v>100</v>
      </c>
      <c r="P171" s="220">
        <v>110</v>
      </c>
      <c r="Q171" s="85">
        <v>110</v>
      </c>
    </row>
    <row r="172" spans="1:17" s="10" customFormat="1" ht="28.5" customHeight="1" x14ac:dyDescent="0.25">
      <c r="A172" s="330"/>
      <c r="B172" s="260"/>
      <c r="C172" s="260" t="s">
        <v>16</v>
      </c>
      <c r="D172" s="260"/>
      <c r="E172" s="310" t="s">
        <v>706</v>
      </c>
      <c r="F172" s="320">
        <v>3620552.1</v>
      </c>
      <c r="G172" s="320">
        <v>3709709</v>
      </c>
      <c r="H172" s="320">
        <v>7311505.9000000004</v>
      </c>
      <c r="I172" s="320">
        <v>7311505.9000000004</v>
      </c>
      <c r="J172" s="320">
        <v>7311505.9000000004</v>
      </c>
      <c r="K172" s="184" t="s">
        <v>497</v>
      </c>
      <c r="L172" s="187" t="s">
        <v>12</v>
      </c>
      <c r="M172" s="219">
        <v>224.7</v>
      </c>
      <c r="N172" s="219">
        <v>224.7</v>
      </c>
      <c r="O172" s="219">
        <v>224.7</v>
      </c>
      <c r="P172" s="219">
        <v>224.7</v>
      </c>
      <c r="Q172" s="84">
        <v>224.7</v>
      </c>
    </row>
    <row r="173" spans="1:17" s="10" customFormat="1" ht="45" customHeight="1" x14ac:dyDescent="0.25">
      <c r="A173" s="330"/>
      <c r="B173" s="260"/>
      <c r="C173" s="260"/>
      <c r="D173" s="260"/>
      <c r="E173" s="310"/>
      <c r="F173" s="320"/>
      <c r="G173" s="320"/>
      <c r="H173" s="320"/>
      <c r="I173" s="320"/>
      <c r="J173" s="320"/>
      <c r="K173" s="184" t="s">
        <v>271</v>
      </c>
      <c r="L173" s="187" t="s">
        <v>12</v>
      </c>
      <c r="M173" s="219" t="s">
        <v>272</v>
      </c>
      <c r="N173" s="219" t="s">
        <v>273</v>
      </c>
      <c r="O173" s="219" t="s">
        <v>273</v>
      </c>
      <c r="P173" s="219" t="s">
        <v>273</v>
      </c>
      <c r="Q173" s="84" t="s">
        <v>274</v>
      </c>
    </row>
    <row r="174" spans="1:17" s="10" customFormat="1" ht="33.75" customHeight="1" x14ac:dyDescent="0.25">
      <c r="A174" s="330"/>
      <c r="B174" s="260"/>
      <c r="C174" s="260"/>
      <c r="D174" s="260"/>
      <c r="E174" s="310"/>
      <c r="F174" s="320"/>
      <c r="G174" s="320"/>
      <c r="H174" s="320"/>
      <c r="I174" s="320"/>
      <c r="J174" s="320"/>
      <c r="K174" s="184" t="s">
        <v>275</v>
      </c>
      <c r="L174" s="187" t="s">
        <v>12</v>
      </c>
      <c r="M174" s="219">
        <v>56.2</v>
      </c>
      <c r="N174" s="219">
        <v>56.2</v>
      </c>
      <c r="O174" s="219">
        <v>56.2</v>
      </c>
      <c r="P174" s="219">
        <v>56.2</v>
      </c>
      <c r="Q174" s="84">
        <v>56.2</v>
      </c>
    </row>
    <row r="175" spans="1:17" s="10" customFormat="1" ht="64.5" customHeight="1" x14ac:dyDescent="0.25">
      <c r="A175" s="330"/>
      <c r="B175" s="260"/>
      <c r="C175" s="260"/>
      <c r="D175" s="260"/>
      <c r="E175" s="310"/>
      <c r="F175" s="320"/>
      <c r="G175" s="320"/>
      <c r="H175" s="320"/>
      <c r="I175" s="320"/>
      <c r="J175" s="320"/>
      <c r="K175" s="184" t="s">
        <v>276</v>
      </c>
      <c r="L175" s="192" t="s">
        <v>277</v>
      </c>
      <c r="M175" s="219">
        <v>37</v>
      </c>
      <c r="N175" s="219">
        <v>37</v>
      </c>
      <c r="O175" s="219">
        <v>37</v>
      </c>
      <c r="P175" s="219">
        <v>37</v>
      </c>
      <c r="Q175" s="84">
        <v>37</v>
      </c>
    </row>
    <row r="176" spans="1:17" s="10" customFormat="1" ht="30" x14ac:dyDescent="0.25">
      <c r="A176" s="330"/>
      <c r="B176" s="260"/>
      <c r="C176" s="260" t="s">
        <v>14</v>
      </c>
      <c r="D176" s="317"/>
      <c r="E176" s="318" t="s">
        <v>278</v>
      </c>
      <c r="F176" s="319">
        <v>10097.4</v>
      </c>
      <c r="G176" s="319">
        <v>18500</v>
      </c>
      <c r="H176" s="319">
        <v>18500</v>
      </c>
      <c r="I176" s="319">
        <v>18500</v>
      </c>
      <c r="J176" s="319">
        <v>18500</v>
      </c>
      <c r="K176" s="183" t="s">
        <v>279</v>
      </c>
      <c r="L176" s="192" t="s">
        <v>280</v>
      </c>
      <c r="M176" s="223">
        <v>7</v>
      </c>
      <c r="N176" s="223">
        <v>7</v>
      </c>
      <c r="O176" s="223">
        <v>7</v>
      </c>
      <c r="P176" s="223">
        <v>7</v>
      </c>
      <c r="Q176" s="222">
        <v>7</v>
      </c>
    </row>
    <row r="177" spans="1:17" s="10" customFormat="1" ht="30" x14ac:dyDescent="0.25">
      <c r="A177" s="330"/>
      <c r="B177" s="260"/>
      <c r="C177" s="260"/>
      <c r="D177" s="317"/>
      <c r="E177" s="318"/>
      <c r="F177" s="319"/>
      <c r="G177" s="319"/>
      <c r="H177" s="319"/>
      <c r="I177" s="319"/>
      <c r="J177" s="319"/>
      <c r="K177" s="183" t="s">
        <v>281</v>
      </c>
      <c r="L177" s="192" t="s">
        <v>280</v>
      </c>
      <c r="M177" s="223">
        <v>14</v>
      </c>
      <c r="N177" s="223">
        <v>12</v>
      </c>
      <c r="O177" s="223">
        <v>12</v>
      </c>
      <c r="P177" s="223">
        <v>12</v>
      </c>
      <c r="Q177" s="222">
        <v>12</v>
      </c>
    </row>
    <row r="178" spans="1:17" s="10" customFormat="1" ht="70.5" customHeight="1" x14ac:dyDescent="0.25">
      <c r="A178" s="330"/>
      <c r="B178" s="157"/>
      <c r="C178" s="157" t="s">
        <v>18</v>
      </c>
      <c r="D178" s="187"/>
      <c r="E178" s="188" t="s">
        <v>282</v>
      </c>
      <c r="F178" s="189">
        <v>0</v>
      </c>
      <c r="G178" s="189">
        <v>2500</v>
      </c>
      <c r="H178" s="189">
        <v>2500</v>
      </c>
      <c r="I178" s="189">
        <v>2500</v>
      </c>
      <c r="J178" s="189">
        <v>2500</v>
      </c>
      <c r="K178" s="183" t="s">
        <v>283</v>
      </c>
      <c r="L178" s="192" t="s">
        <v>36</v>
      </c>
      <c r="M178" s="223">
        <v>70</v>
      </c>
      <c r="N178" s="223">
        <v>100</v>
      </c>
      <c r="O178" s="223">
        <v>100</v>
      </c>
      <c r="P178" s="223">
        <v>100</v>
      </c>
      <c r="Q178" s="222">
        <v>100</v>
      </c>
    </row>
    <row r="179" spans="1:17" s="10" customFormat="1" ht="37.9" customHeight="1" x14ac:dyDescent="0.25">
      <c r="A179" s="330"/>
      <c r="B179" s="260"/>
      <c r="C179" s="260" t="s">
        <v>19</v>
      </c>
      <c r="D179" s="317"/>
      <c r="E179" s="318" t="s">
        <v>284</v>
      </c>
      <c r="F179" s="319">
        <v>7450.2999999999993</v>
      </c>
      <c r="G179" s="319">
        <v>15000</v>
      </c>
      <c r="H179" s="319">
        <v>20757.099999999999</v>
      </c>
      <c r="I179" s="319">
        <v>20757.099999999999</v>
      </c>
      <c r="J179" s="319">
        <v>20757.099999999999</v>
      </c>
      <c r="K179" s="183" t="s">
        <v>285</v>
      </c>
      <c r="L179" s="192" t="s">
        <v>36</v>
      </c>
      <c r="M179" s="223">
        <v>60</v>
      </c>
      <c r="N179" s="223">
        <v>80</v>
      </c>
      <c r="O179" s="223">
        <v>80</v>
      </c>
      <c r="P179" s="223">
        <v>80</v>
      </c>
      <c r="Q179" s="222">
        <v>80</v>
      </c>
    </row>
    <row r="180" spans="1:17" s="10" customFormat="1" ht="54" customHeight="1" x14ac:dyDescent="0.25">
      <c r="A180" s="330"/>
      <c r="B180" s="260"/>
      <c r="C180" s="260"/>
      <c r="D180" s="317"/>
      <c r="E180" s="318"/>
      <c r="F180" s="319"/>
      <c r="G180" s="319"/>
      <c r="H180" s="319"/>
      <c r="I180" s="319"/>
      <c r="J180" s="319"/>
      <c r="K180" s="183" t="s">
        <v>286</v>
      </c>
      <c r="L180" s="192" t="s">
        <v>36</v>
      </c>
      <c r="M180" s="223">
        <v>72</v>
      </c>
      <c r="N180" s="223">
        <v>80</v>
      </c>
      <c r="O180" s="223">
        <v>80</v>
      </c>
      <c r="P180" s="223">
        <v>80</v>
      </c>
      <c r="Q180" s="222">
        <v>80</v>
      </c>
    </row>
    <row r="181" spans="1:17" s="10" customFormat="1" ht="69" customHeight="1" x14ac:dyDescent="0.25">
      <c r="A181" s="330"/>
      <c r="B181" s="157"/>
      <c r="C181" s="157" t="s">
        <v>20</v>
      </c>
      <c r="D181" s="187"/>
      <c r="E181" s="188" t="s">
        <v>699</v>
      </c>
      <c r="F181" s="189">
        <v>0</v>
      </c>
      <c r="G181" s="189">
        <v>1200</v>
      </c>
      <c r="H181" s="189">
        <v>2100</v>
      </c>
      <c r="I181" s="189">
        <v>2100</v>
      </c>
      <c r="J181" s="189">
        <v>2100</v>
      </c>
      <c r="K181" s="183" t="s">
        <v>287</v>
      </c>
      <c r="L181" s="187" t="s">
        <v>36</v>
      </c>
      <c r="M181" s="219">
        <v>0</v>
      </c>
      <c r="N181" s="219">
        <v>18</v>
      </c>
      <c r="O181" s="219">
        <v>18</v>
      </c>
      <c r="P181" s="219">
        <v>18</v>
      </c>
      <c r="Q181" s="84">
        <v>18</v>
      </c>
    </row>
    <row r="182" spans="1:17" s="10" customFormat="1" ht="45" x14ac:dyDescent="0.25">
      <c r="A182" s="330"/>
      <c r="B182" s="157"/>
      <c r="C182" s="157" t="s">
        <v>21</v>
      </c>
      <c r="D182" s="187"/>
      <c r="E182" s="188" t="s">
        <v>288</v>
      </c>
      <c r="F182" s="189">
        <v>2683.7</v>
      </c>
      <c r="G182" s="189">
        <v>3048.6</v>
      </c>
      <c r="H182" s="189">
        <v>3048.6</v>
      </c>
      <c r="I182" s="189">
        <v>3048.6</v>
      </c>
      <c r="J182" s="189">
        <v>3048.6</v>
      </c>
      <c r="K182" s="183" t="s">
        <v>289</v>
      </c>
      <c r="L182" s="192" t="s">
        <v>290</v>
      </c>
      <c r="M182" s="227">
        <v>5210</v>
      </c>
      <c r="N182" s="227">
        <v>1340</v>
      </c>
      <c r="O182" s="227">
        <v>1340</v>
      </c>
      <c r="P182" s="227">
        <v>1470</v>
      </c>
      <c r="Q182" s="82">
        <v>1600</v>
      </c>
    </row>
    <row r="183" spans="1:17" s="10" customFormat="1" ht="148.5" x14ac:dyDescent="0.25">
      <c r="A183" s="330"/>
      <c r="B183" s="160" t="s">
        <v>350</v>
      </c>
      <c r="C183" s="40"/>
      <c r="D183" s="40"/>
      <c r="E183" s="184" t="s">
        <v>335</v>
      </c>
      <c r="F183" s="43">
        <f>F184+F185+F187+F190+F194+F197+F200</f>
        <v>1054164.5</v>
      </c>
      <c r="G183" s="43">
        <f t="shared" ref="G183:J183" si="3">G184+G185+G187+G190+G194+G197+G200</f>
        <v>1126202.7</v>
      </c>
      <c r="H183" s="43">
        <f>H184+H185+H187+H190+H194+H197+H200</f>
        <v>1258963.6000000001</v>
      </c>
      <c r="I183" s="43">
        <f t="shared" si="3"/>
        <v>1259154.3999999999</v>
      </c>
      <c r="J183" s="43">
        <f t="shared" si="3"/>
        <v>1259254</v>
      </c>
      <c r="K183" s="184" t="s">
        <v>291</v>
      </c>
      <c r="L183" s="187" t="s">
        <v>12</v>
      </c>
      <c r="M183" s="219"/>
      <c r="N183" s="219"/>
      <c r="O183" s="219"/>
      <c r="P183" s="219"/>
      <c r="Q183" s="84"/>
    </row>
    <row r="184" spans="1:17" s="10" customFormat="1" ht="57" customHeight="1" x14ac:dyDescent="0.25">
      <c r="A184" s="330"/>
      <c r="B184" s="157"/>
      <c r="C184" s="157" t="s">
        <v>15</v>
      </c>
      <c r="D184" s="187"/>
      <c r="E184" s="184" t="s">
        <v>292</v>
      </c>
      <c r="F184" s="156">
        <v>43007.3</v>
      </c>
      <c r="G184" s="156">
        <v>55943.9</v>
      </c>
      <c r="H184" s="156">
        <v>55943.9</v>
      </c>
      <c r="I184" s="156">
        <v>55943.9</v>
      </c>
      <c r="J184" s="156">
        <v>55943.9</v>
      </c>
      <c r="K184" s="183" t="s">
        <v>683</v>
      </c>
      <c r="L184" s="187" t="s">
        <v>293</v>
      </c>
      <c r="M184" s="219">
        <v>10</v>
      </c>
      <c r="N184" s="219">
        <v>10</v>
      </c>
      <c r="O184" s="219">
        <v>10</v>
      </c>
      <c r="P184" s="219">
        <v>10</v>
      </c>
      <c r="Q184" s="84">
        <v>10</v>
      </c>
    </row>
    <row r="185" spans="1:17" s="10" customFormat="1" ht="36.75" customHeight="1" x14ac:dyDescent="0.25">
      <c r="A185" s="330"/>
      <c r="B185" s="260"/>
      <c r="C185" s="260" t="s">
        <v>16</v>
      </c>
      <c r="D185" s="317"/>
      <c r="E185" s="310" t="s">
        <v>294</v>
      </c>
      <c r="F185" s="319">
        <v>7721.9</v>
      </c>
      <c r="G185" s="319">
        <v>11599</v>
      </c>
      <c r="H185" s="319">
        <f>11599+1825</f>
        <v>13424</v>
      </c>
      <c r="I185" s="319">
        <f>11599+1825</f>
        <v>13424</v>
      </c>
      <c r="J185" s="319">
        <f>11599+1825</f>
        <v>13424</v>
      </c>
      <c r="K185" s="184" t="s">
        <v>295</v>
      </c>
      <c r="L185" s="187" t="s">
        <v>36</v>
      </c>
      <c r="M185" s="219">
        <v>305</v>
      </c>
      <c r="N185" s="219">
        <v>600</v>
      </c>
      <c r="O185" s="219">
        <v>600</v>
      </c>
      <c r="P185" s="219">
        <v>600</v>
      </c>
      <c r="Q185" s="84">
        <v>600</v>
      </c>
    </row>
    <row r="186" spans="1:17" s="10" customFormat="1" ht="53.25" customHeight="1" x14ac:dyDescent="0.25">
      <c r="A186" s="330"/>
      <c r="B186" s="260"/>
      <c r="C186" s="260"/>
      <c r="D186" s="317"/>
      <c r="E186" s="310"/>
      <c r="F186" s="319"/>
      <c r="G186" s="319"/>
      <c r="H186" s="319"/>
      <c r="I186" s="319"/>
      <c r="J186" s="319"/>
      <c r="K186" s="184" t="s">
        <v>342</v>
      </c>
      <c r="L186" s="187" t="s">
        <v>293</v>
      </c>
      <c r="M186" s="219">
        <v>0</v>
      </c>
      <c r="N186" s="219">
        <v>2</v>
      </c>
      <c r="O186" s="219">
        <v>2</v>
      </c>
      <c r="P186" s="219">
        <v>2</v>
      </c>
      <c r="Q186" s="84">
        <v>0</v>
      </c>
    </row>
    <row r="187" spans="1:17" s="10" customFormat="1" ht="38.25" customHeight="1" x14ac:dyDescent="0.25">
      <c r="A187" s="330"/>
      <c r="B187" s="260"/>
      <c r="C187" s="260" t="s">
        <v>14</v>
      </c>
      <c r="D187" s="317"/>
      <c r="E187" s="310" t="s">
        <v>343</v>
      </c>
      <c r="F187" s="259">
        <v>386474.90000000008</v>
      </c>
      <c r="G187" s="259">
        <v>424641.60000000003</v>
      </c>
      <c r="H187" s="259">
        <f>417448.2+46537.5+48206.7</f>
        <v>512192.4</v>
      </c>
      <c r="I187" s="259">
        <f>417639+46537.5+48206.7</f>
        <v>512383.2</v>
      </c>
      <c r="J187" s="259">
        <f>417738.6+46537.5+48206.7</f>
        <v>512482.8</v>
      </c>
      <c r="K187" s="184" t="s">
        <v>344</v>
      </c>
      <c r="L187" s="187" t="s">
        <v>36</v>
      </c>
      <c r="M187" s="132">
        <v>2330</v>
      </c>
      <c r="N187" s="132">
        <v>2726</v>
      </c>
      <c r="O187" s="132">
        <v>2726</v>
      </c>
      <c r="P187" s="132">
        <v>2726</v>
      </c>
      <c r="Q187" s="246">
        <v>2726</v>
      </c>
    </row>
    <row r="188" spans="1:17" s="10" customFormat="1" ht="67.5" hidden="1" customHeight="1" x14ac:dyDescent="0.25">
      <c r="A188" s="330"/>
      <c r="B188" s="260"/>
      <c r="C188" s="260"/>
      <c r="D188" s="317"/>
      <c r="E188" s="310"/>
      <c r="F188" s="259"/>
      <c r="G188" s="259"/>
      <c r="H188" s="259"/>
      <c r="I188" s="259"/>
      <c r="J188" s="259"/>
      <c r="K188" s="28"/>
      <c r="L188" s="187"/>
      <c r="M188" s="247"/>
      <c r="N188" s="247"/>
      <c r="O188" s="247">
        <v>407910.3</v>
      </c>
      <c r="P188" s="247">
        <v>407910.3</v>
      </c>
      <c r="Q188" s="248">
        <v>407910.3</v>
      </c>
    </row>
    <row r="189" spans="1:17" s="10" customFormat="1" ht="37.5" customHeight="1" x14ac:dyDescent="0.25">
      <c r="A189" s="330"/>
      <c r="B189" s="260"/>
      <c r="C189" s="260"/>
      <c r="D189" s="317"/>
      <c r="E189" s="310"/>
      <c r="F189" s="259"/>
      <c r="G189" s="259"/>
      <c r="H189" s="259"/>
      <c r="I189" s="259"/>
      <c r="J189" s="259"/>
      <c r="K189" s="184" t="s">
        <v>296</v>
      </c>
      <c r="L189" s="187" t="s">
        <v>75</v>
      </c>
      <c r="M189" s="249">
        <v>13.542024320457799</v>
      </c>
      <c r="N189" s="249">
        <v>12.686977256052826</v>
      </c>
      <c r="O189" s="249">
        <v>12.5</v>
      </c>
      <c r="P189" s="249">
        <v>12.5</v>
      </c>
      <c r="Q189" s="250">
        <v>12.5</v>
      </c>
    </row>
    <row r="190" spans="1:17" s="10" customFormat="1" ht="54.75" hidden="1" customHeight="1" x14ac:dyDescent="0.25">
      <c r="A190" s="330"/>
      <c r="B190" s="260"/>
      <c r="C190" s="260" t="s">
        <v>18</v>
      </c>
      <c r="D190" s="317"/>
      <c r="E190" s="310" t="s">
        <v>687</v>
      </c>
      <c r="F190" s="328">
        <v>6289</v>
      </c>
      <c r="G190" s="328">
        <v>22394.2</v>
      </c>
      <c r="H190" s="328">
        <v>22394.2</v>
      </c>
      <c r="I190" s="328">
        <v>22394.2</v>
      </c>
      <c r="J190" s="328">
        <v>22394.2</v>
      </c>
      <c r="K190" s="184"/>
      <c r="L190" s="187"/>
      <c r="M190" s="219"/>
      <c r="N190" s="219"/>
      <c r="O190" s="219"/>
      <c r="P190" s="219"/>
      <c r="Q190" s="84"/>
    </row>
    <row r="191" spans="1:17" s="10" customFormat="1" ht="36.75" customHeight="1" x14ac:dyDescent="0.25">
      <c r="A191" s="330"/>
      <c r="B191" s="260"/>
      <c r="C191" s="260"/>
      <c r="D191" s="317"/>
      <c r="E191" s="310"/>
      <c r="F191" s="328"/>
      <c r="G191" s="328"/>
      <c r="H191" s="328"/>
      <c r="I191" s="328"/>
      <c r="J191" s="328"/>
      <c r="K191" s="184" t="s">
        <v>684</v>
      </c>
      <c r="L191" s="187" t="s">
        <v>293</v>
      </c>
      <c r="M191" s="219">
        <v>835</v>
      </c>
      <c r="N191" s="219">
        <v>600</v>
      </c>
      <c r="O191" s="219">
        <v>900</v>
      </c>
      <c r="P191" s="219">
        <v>900</v>
      </c>
      <c r="Q191" s="84">
        <v>900</v>
      </c>
    </row>
    <row r="192" spans="1:17" s="10" customFormat="1" ht="32.25" customHeight="1" x14ac:dyDescent="0.25">
      <c r="A192" s="330"/>
      <c r="B192" s="260"/>
      <c r="C192" s="260"/>
      <c r="D192" s="317"/>
      <c r="E192" s="310"/>
      <c r="F192" s="328"/>
      <c r="G192" s="328"/>
      <c r="H192" s="328"/>
      <c r="I192" s="328"/>
      <c r="J192" s="328"/>
      <c r="K192" s="184" t="s">
        <v>685</v>
      </c>
      <c r="L192" s="187" t="s">
        <v>12</v>
      </c>
      <c r="M192" s="219"/>
      <c r="N192" s="251">
        <v>0.31</v>
      </c>
      <c r="O192" s="219">
        <v>0.46</v>
      </c>
      <c r="P192" s="219">
        <v>0.46</v>
      </c>
      <c r="Q192" s="84">
        <v>0.46</v>
      </c>
    </row>
    <row r="193" spans="1:17" s="10" customFormat="1" ht="60" x14ac:dyDescent="0.25">
      <c r="A193" s="330"/>
      <c r="B193" s="260"/>
      <c r="C193" s="260"/>
      <c r="D193" s="317"/>
      <c r="E193" s="310"/>
      <c r="F193" s="328"/>
      <c r="G193" s="328"/>
      <c r="H193" s="328"/>
      <c r="I193" s="328"/>
      <c r="J193" s="328"/>
      <c r="K193" s="184" t="s">
        <v>686</v>
      </c>
      <c r="L193" s="187" t="s">
        <v>293</v>
      </c>
      <c r="M193" s="219">
        <v>569</v>
      </c>
      <c r="N193" s="219">
        <v>500</v>
      </c>
      <c r="O193" s="219">
        <v>650</v>
      </c>
      <c r="P193" s="219">
        <v>650</v>
      </c>
      <c r="Q193" s="84">
        <v>650</v>
      </c>
    </row>
    <row r="194" spans="1:17" s="10" customFormat="1" ht="45" x14ac:dyDescent="0.25">
      <c r="A194" s="330"/>
      <c r="B194" s="260"/>
      <c r="C194" s="260" t="s">
        <v>19</v>
      </c>
      <c r="D194" s="317"/>
      <c r="E194" s="310" t="s">
        <v>297</v>
      </c>
      <c r="F194" s="320">
        <v>76351</v>
      </c>
      <c r="G194" s="320">
        <v>97000</v>
      </c>
      <c r="H194" s="320">
        <f>65000+14750</f>
        <v>79750</v>
      </c>
      <c r="I194" s="320">
        <f>65000+14750</f>
        <v>79750</v>
      </c>
      <c r="J194" s="320">
        <f>65000+14750</f>
        <v>79750</v>
      </c>
      <c r="K194" s="184" t="s">
        <v>496</v>
      </c>
      <c r="L194" s="187" t="s">
        <v>11</v>
      </c>
      <c r="M194" s="132">
        <v>1598</v>
      </c>
      <c r="N194" s="132">
        <v>2726</v>
      </c>
      <c r="O194" s="132">
        <v>2796</v>
      </c>
      <c r="P194" s="132">
        <v>2796</v>
      </c>
      <c r="Q194" s="246">
        <v>2796</v>
      </c>
    </row>
    <row r="195" spans="1:17" s="10" customFormat="1" ht="57" customHeight="1" x14ac:dyDescent="0.25">
      <c r="A195" s="330"/>
      <c r="B195" s="260"/>
      <c r="C195" s="260"/>
      <c r="D195" s="317"/>
      <c r="E195" s="310"/>
      <c r="F195" s="320"/>
      <c r="G195" s="320"/>
      <c r="H195" s="320"/>
      <c r="I195" s="320"/>
      <c r="J195" s="320"/>
      <c r="K195" s="184" t="s">
        <v>493</v>
      </c>
      <c r="L195" s="187" t="s">
        <v>298</v>
      </c>
      <c r="M195" s="219">
        <v>0</v>
      </c>
      <c r="N195" s="219">
        <v>4</v>
      </c>
      <c r="O195" s="219">
        <v>4</v>
      </c>
      <c r="P195" s="219">
        <v>4</v>
      </c>
      <c r="Q195" s="84">
        <v>4</v>
      </c>
    </row>
    <row r="196" spans="1:17" s="10" customFormat="1" ht="30" x14ac:dyDescent="0.25">
      <c r="A196" s="330"/>
      <c r="B196" s="260"/>
      <c r="C196" s="260"/>
      <c r="D196" s="317"/>
      <c r="E196" s="310"/>
      <c r="F196" s="320"/>
      <c r="G196" s="320"/>
      <c r="H196" s="320"/>
      <c r="I196" s="320"/>
      <c r="J196" s="320"/>
      <c r="K196" s="184" t="s">
        <v>494</v>
      </c>
      <c r="L196" s="187" t="s">
        <v>11</v>
      </c>
      <c r="M196" s="132">
        <v>5525</v>
      </c>
      <c r="N196" s="132">
        <v>13100</v>
      </c>
      <c r="O196" s="132">
        <v>13100</v>
      </c>
      <c r="P196" s="132">
        <v>13300</v>
      </c>
      <c r="Q196" s="246">
        <v>13300</v>
      </c>
    </row>
    <row r="197" spans="1:17" s="10" customFormat="1" ht="15" hidden="1" customHeight="1" x14ac:dyDescent="0.25">
      <c r="A197" s="330"/>
      <c r="B197" s="260"/>
      <c r="C197" s="260" t="s">
        <v>20</v>
      </c>
      <c r="D197" s="317"/>
      <c r="E197" s="310" t="s">
        <v>299</v>
      </c>
      <c r="F197" s="320">
        <v>54191.3</v>
      </c>
      <c r="G197" s="320">
        <v>90000</v>
      </c>
      <c r="H197" s="320">
        <v>90000</v>
      </c>
      <c r="I197" s="320">
        <v>90000</v>
      </c>
      <c r="J197" s="320">
        <v>90000</v>
      </c>
      <c r="K197" s="184"/>
      <c r="L197" s="187"/>
      <c r="M197" s="219"/>
      <c r="N197" s="219">
        <v>1</v>
      </c>
      <c r="O197" s="219">
        <v>0</v>
      </c>
      <c r="P197" s="219">
        <v>0</v>
      </c>
      <c r="Q197" s="84">
        <v>0</v>
      </c>
    </row>
    <row r="198" spans="1:17" s="10" customFormat="1" ht="90" x14ac:dyDescent="0.25">
      <c r="A198" s="330"/>
      <c r="B198" s="260"/>
      <c r="C198" s="260"/>
      <c r="D198" s="317"/>
      <c r="E198" s="310"/>
      <c r="F198" s="320"/>
      <c r="G198" s="320"/>
      <c r="H198" s="320"/>
      <c r="I198" s="320"/>
      <c r="J198" s="320"/>
      <c r="K198" s="184" t="s">
        <v>707</v>
      </c>
      <c r="L198" s="187" t="s">
        <v>345</v>
      </c>
      <c r="M198" s="132">
        <v>6669</v>
      </c>
      <c r="N198" s="132">
        <v>4806</v>
      </c>
      <c r="O198" s="132">
        <v>10485</v>
      </c>
      <c r="P198" s="132">
        <v>10485</v>
      </c>
      <c r="Q198" s="246">
        <v>10485</v>
      </c>
    </row>
    <row r="199" spans="1:17" s="10" customFormat="1" ht="45" x14ac:dyDescent="0.25">
      <c r="A199" s="330"/>
      <c r="B199" s="260"/>
      <c r="C199" s="260"/>
      <c r="D199" s="317"/>
      <c r="E199" s="310"/>
      <c r="F199" s="320"/>
      <c r="G199" s="320"/>
      <c r="H199" s="320"/>
      <c r="I199" s="320"/>
      <c r="J199" s="320"/>
      <c r="K199" s="184" t="s">
        <v>495</v>
      </c>
      <c r="L199" s="187" t="s">
        <v>293</v>
      </c>
      <c r="M199" s="132">
        <v>0</v>
      </c>
      <c r="N199" s="132">
        <v>0</v>
      </c>
      <c r="O199" s="132">
        <v>1000</v>
      </c>
      <c r="P199" s="132">
        <v>2500</v>
      </c>
      <c r="Q199" s="246">
        <v>2500</v>
      </c>
    </row>
    <row r="200" spans="1:17" s="10" customFormat="1" ht="41.25" hidden="1" customHeight="1" x14ac:dyDescent="0.25">
      <c r="A200" s="330"/>
      <c r="B200" s="260"/>
      <c r="C200" s="260" t="s">
        <v>21</v>
      </c>
      <c r="D200" s="317"/>
      <c r="E200" s="310" t="s">
        <v>688</v>
      </c>
      <c r="F200" s="329">
        <v>480129.1</v>
      </c>
      <c r="G200" s="329">
        <v>424624</v>
      </c>
      <c r="H200" s="320">
        <f>((420624+60635.1)+4000)</f>
        <v>485259.1</v>
      </c>
      <c r="I200" s="320">
        <f>424624+60635.1</f>
        <v>485259.1</v>
      </c>
      <c r="J200" s="320">
        <f>424624+60635.1</f>
        <v>485259.1</v>
      </c>
      <c r="K200" s="28"/>
      <c r="L200" s="187" t="s">
        <v>300</v>
      </c>
      <c r="M200" s="132">
        <v>1</v>
      </c>
      <c r="N200" s="132">
        <v>1</v>
      </c>
      <c r="O200" s="132">
        <v>1</v>
      </c>
      <c r="P200" s="132">
        <v>0</v>
      </c>
      <c r="Q200" s="246">
        <v>0</v>
      </c>
    </row>
    <row r="201" spans="1:17" s="10" customFormat="1" ht="53.25" customHeight="1" x14ac:dyDescent="0.25">
      <c r="A201" s="330"/>
      <c r="B201" s="260"/>
      <c r="C201" s="260"/>
      <c r="D201" s="317"/>
      <c r="E201" s="310"/>
      <c r="F201" s="329"/>
      <c r="G201" s="329"/>
      <c r="H201" s="320"/>
      <c r="I201" s="320"/>
      <c r="J201" s="320"/>
      <c r="K201" s="28" t="s">
        <v>301</v>
      </c>
      <c r="L201" s="187" t="s">
        <v>293</v>
      </c>
      <c r="M201" s="132">
        <v>7674</v>
      </c>
      <c r="N201" s="132">
        <v>7400</v>
      </c>
      <c r="O201" s="132">
        <v>8000</v>
      </c>
      <c r="P201" s="132">
        <v>8000</v>
      </c>
      <c r="Q201" s="246">
        <v>8000</v>
      </c>
    </row>
    <row r="202" spans="1:17" s="10" customFormat="1" ht="116.25" customHeight="1" x14ac:dyDescent="0.25">
      <c r="A202" s="330"/>
      <c r="B202" s="160" t="s">
        <v>349</v>
      </c>
      <c r="C202" s="160"/>
      <c r="D202" s="160"/>
      <c r="E202" s="201" t="s">
        <v>336</v>
      </c>
      <c r="F202" s="41">
        <f>F203+F205+F207</f>
        <v>1076893.4999999998</v>
      </c>
      <c r="G202" s="41">
        <f>G203+G205+G207</f>
        <v>1077692.2</v>
      </c>
      <c r="H202" s="41">
        <f>H203+H205+H207</f>
        <v>990641.9</v>
      </c>
      <c r="I202" s="41">
        <f t="shared" ref="I202:J202" si="4">I203+I205+I207</f>
        <v>982655.39999999991</v>
      </c>
      <c r="J202" s="41">
        <f t="shared" si="4"/>
        <v>969829</v>
      </c>
      <c r="K202" s="184" t="s">
        <v>302</v>
      </c>
      <c r="L202" s="187"/>
      <c r="M202" s="219"/>
      <c r="N202" s="219"/>
      <c r="O202" s="219"/>
      <c r="P202" s="219"/>
      <c r="Q202" s="84"/>
    </row>
    <row r="203" spans="1:17" s="10" customFormat="1" ht="80.099999999999994" customHeight="1" x14ac:dyDescent="0.25">
      <c r="A203" s="330"/>
      <c r="B203" s="260"/>
      <c r="C203" s="260" t="s">
        <v>15</v>
      </c>
      <c r="D203" s="260"/>
      <c r="E203" s="310" t="s">
        <v>303</v>
      </c>
      <c r="F203" s="320">
        <v>1021776.5999999997</v>
      </c>
      <c r="G203" s="320">
        <v>1035235.9</v>
      </c>
      <c r="H203" s="320">
        <v>958492</v>
      </c>
      <c r="I203" s="320">
        <v>951989.7</v>
      </c>
      <c r="J203" s="320">
        <v>940705.9</v>
      </c>
      <c r="K203" s="184" t="s">
        <v>304</v>
      </c>
      <c r="L203" s="187" t="s">
        <v>79</v>
      </c>
      <c r="M203" s="223" t="s">
        <v>305</v>
      </c>
      <c r="N203" s="223" t="s">
        <v>305</v>
      </c>
      <c r="O203" s="223" t="s">
        <v>305</v>
      </c>
      <c r="P203" s="223" t="s">
        <v>305</v>
      </c>
      <c r="Q203" s="222" t="s">
        <v>305</v>
      </c>
    </row>
    <row r="204" spans="1:17" s="10" customFormat="1" x14ac:dyDescent="0.25">
      <c r="A204" s="330"/>
      <c r="B204" s="260"/>
      <c r="C204" s="260"/>
      <c r="D204" s="260"/>
      <c r="E204" s="310"/>
      <c r="F204" s="320"/>
      <c r="G204" s="320"/>
      <c r="H204" s="320"/>
      <c r="I204" s="320"/>
      <c r="J204" s="320"/>
      <c r="K204" s="184" t="s">
        <v>306</v>
      </c>
      <c r="L204" s="187" t="s">
        <v>79</v>
      </c>
      <c r="M204" s="219">
        <v>3000</v>
      </c>
      <c r="N204" s="219">
        <v>3000</v>
      </c>
      <c r="O204" s="219">
        <v>3000</v>
      </c>
      <c r="P204" s="219">
        <v>3000</v>
      </c>
      <c r="Q204" s="84">
        <v>3000</v>
      </c>
    </row>
    <row r="205" spans="1:17" s="10" customFormat="1" ht="25.5" customHeight="1" x14ac:dyDescent="0.25">
      <c r="A205" s="330"/>
      <c r="B205" s="260"/>
      <c r="C205" s="260" t="s">
        <v>16</v>
      </c>
      <c r="D205" s="260"/>
      <c r="E205" s="310" t="s">
        <v>307</v>
      </c>
      <c r="F205" s="320">
        <v>44148.4</v>
      </c>
      <c r="G205" s="320">
        <v>30606.3</v>
      </c>
      <c r="H205" s="320">
        <v>20549.900000000001</v>
      </c>
      <c r="I205" s="320">
        <v>18865.7</v>
      </c>
      <c r="J205" s="320">
        <v>17023.099999999999</v>
      </c>
      <c r="K205" s="184" t="s">
        <v>308</v>
      </c>
      <c r="L205" s="187" t="s">
        <v>79</v>
      </c>
      <c r="M205" s="223" t="s">
        <v>309</v>
      </c>
      <c r="N205" s="223" t="s">
        <v>309</v>
      </c>
      <c r="O205" s="223" t="s">
        <v>309</v>
      </c>
      <c r="P205" s="223" t="s">
        <v>309</v>
      </c>
      <c r="Q205" s="222" t="s">
        <v>309</v>
      </c>
    </row>
    <row r="206" spans="1:17" s="10" customFormat="1" ht="36.75" customHeight="1" x14ac:dyDescent="0.25">
      <c r="A206" s="330"/>
      <c r="B206" s="260"/>
      <c r="C206" s="260"/>
      <c r="D206" s="260"/>
      <c r="E206" s="310"/>
      <c r="F206" s="320"/>
      <c r="G206" s="320"/>
      <c r="H206" s="320"/>
      <c r="I206" s="320"/>
      <c r="J206" s="320"/>
      <c r="K206" s="184" t="s">
        <v>310</v>
      </c>
      <c r="L206" s="187" t="s">
        <v>79</v>
      </c>
      <c r="M206" s="223" t="s">
        <v>311</v>
      </c>
      <c r="N206" s="223" t="s">
        <v>312</v>
      </c>
      <c r="O206" s="223" t="s">
        <v>312</v>
      </c>
      <c r="P206" s="223" t="s">
        <v>312</v>
      </c>
      <c r="Q206" s="222" t="s">
        <v>312</v>
      </c>
    </row>
    <row r="207" spans="1:17" s="10" customFormat="1" ht="30" x14ac:dyDescent="0.25">
      <c r="A207" s="330"/>
      <c r="B207" s="157"/>
      <c r="C207" s="157" t="s">
        <v>14</v>
      </c>
      <c r="D207" s="157"/>
      <c r="E207" s="184" t="s">
        <v>313</v>
      </c>
      <c r="F207" s="190">
        <v>10968.5</v>
      </c>
      <c r="G207" s="190">
        <v>11850</v>
      </c>
      <c r="H207" s="190">
        <v>11600</v>
      </c>
      <c r="I207" s="190">
        <v>11800</v>
      </c>
      <c r="J207" s="190">
        <v>12100</v>
      </c>
      <c r="K207" s="184" t="s">
        <v>314</v>
      </c>
      <c r="L207" s="187" t="s">
        <v>79</v>
      </c>
      <c r="M207" s="229" t="s">
        <v>315</v>
      </c>
      <c r="N207" s="229" t="s">
        <v>315</v>
      </c>
      <c r="O207" s="229" t="s">
        <v>315</v>
      </c>
      <c r="P207" s="229" t="s">
        <v>315</v>
      </c>
      <c r="Q207" s="230" t="s">
        <v>315</v>
      </c>
    </row>
    <row r="208" spans="1:17" s="10" customFormat="1" ht="148.5" x14ac:dyDescent="0.25">
      <c r="A208" s="330"/>
      <c r="B208" s="160" t="s">
        <v>348</v>
      </c>
      <c r="C208" s="160"/>
      <c r="D208" s="160"/>
      <c r="E208" s="201" t="s">
        <v>337</v>
      </c>
      <c r="F208" s="41">
        <f>F209+F213+F215</f>
        <v>455360</v>
      </c>
      <c r="G208" s="41">
        <f t="shared" ref="G208:J208" si="5">G209+G213+G215</f>
        <v>473974.2</v>
      </c>
      <c r="H208" s="41">
        <f t="shared" si="5"/>
        <v>494859</v>
      </c>
      <c r="I208" s="41">
        <f t="shared" si="5"/>
        <v>473609</v>
      </c>
      <c r="J208" s="41">
        <f t="shared" si="5"/>
        <v>473609</v>
      </c>
      <c r="K208" s="184" t="s">
        <v>316</v>
      </c>
      <c r="L208" s="187" t="s">
        <v>12</v>
      </c>
      <c r="M208" s="249">
        <v>46</v>
      </c>
      <c r="N208" s="249">
        <v>70</v>
      </c>
      <c r="O208" s="249">
        <v>70</v>
      </c>
      <c r="P208" s="249">
        <v>70</v>
      </c>
      <c r="Q208" s="250">
        <v>70</v>
      </c>
    </row>
    <row r="209" spans="1:17" s="10" customFormat="1" ht="25.5" customHeight="1" x14ac:dyDescent="0.25">
      <c r="A209" s="330"/>
      <c r="B209" s="260"/>
      <c r="C209" s="260" t="s">
        <v>15</v>
      </c>
      <c r="D209" s="260"/>
      <c r="E209" s="310" t="s">
        <v>317</v>
      </c>
      <c r="F209" s="320">
        <v>83988.700000000012</v>
      </c>
      <c r="G209" s="332">
        <v>97632.1</v>
      </c>
      <c r="H209" s="320">
        <f>97632.1+21250</f>
        <v>118882.1</v>
      </c>
      <c r="I209" s="320">
        <v>97632.1</v>
      </c>
      <c r="J209" s="320">
        <v>97632.1</v>
      </c>
      <c r="K209" s="184" t="s">
        <v>318</v>
      </c>
      <c r="L209" s="187" t="s">
        <v>293</v>
      </c>
      <c r="M209" s="252">
        <v>435</v>
      </c>
      <c r="N209" s="252">
        <v>755</v>
      </c>
      <c r="O209" s="252">
        <v>936</v>
      </c>
      <c r="P209" s="252">
        <v>1001</v>
      </c>
      <c r="Q209" s="253">
        <v>1066</v>
      </c>
    </row>
    <row r="210" spans="1:17" s="10" customFormat="1" ht="74.25" customHeight="1" x14ac:dyDescent="0.25">
      <c r="A210" s="330"/>
      <c r="B210" s="260"/>
      <c r="C210" s="260"/>
      <c r="D210" s="260"/>
      <c r="E210" s="310"/>
      <c r="F210" s="320"/>
      <c r="G210" s="332"/>
      <c r="H210" s="320"/>
      <c r="I210" s="320"/>
      <c r="J210" s="320"/>
      <c r="K210" s="184" t="s">
        <v>316</v>
      </c>
      <c r="L210" s="187" t="s">
        <v>12</v>
      </c>
      <c r="M210" s="249">
        <v>46</v>
      </c>
      <c r="N210" s="249">
        <v>70</v>
      </c>
      <c r="O210" s="249">
        <v>70</v>
      </c>
      <c r="P210" s="249">
        <v>70</v>
      </c>
      <c r="Q210" s="250">
        <v>70</v>
      </c>
    </row>
    <row r="211" spans="1:17" s="10" customFormat="1" ht="104.25" customHeight="1" x14ac:dyDescent="0.25">
      <c r="A211" s="330"/>
      <c r="B211" s="260"/>
      <c r="C211" s="260"/>
      <c r="D211" s="260"/>
      <c r="E211" s="310"/>
      <c r="F211" s="320"/>
      <c r="G211" s="332"/>
      <c r="H211" s="320"/>
      <c r="I211" s="320"/>
      <c r="J211" s="320"/>
      <c r="K211" s="184" t="s">
        <v>689</v>
      </c>
      <c r="L211" s="187" t="s">
        <v>80</v>
      </c>
      <c r="M211" s="249">
        <v>15.3</v>
      </c>
      <c r="N211" s="249">
        <v>16.899999999999999</v>
      </c>
      <c r="O211" s="249">
        <v>19.3</v>
      </c>
      <c r="P211" s="249">
        <v>20.3</v>
      </c>
      <c r="Q211" s="250">
        <v>21.3</v>
      </c>
    </row>
    <row r="212" spans="1:17" s="10" customFormat="1" ht="45" x14ac:dyDescent="0.25">
      <c r="A212" s="330"/>
      <c r="B212" s="260"/>
      <c r="C212" s="260"/>
      <c r="D212" s="260"/>
      <c r="E212" s="310"/>
      <c r="F212" s="320"/>
      <c r="G212" s="332"/>
      <c r="H212" s="320"/>
      <c r="I212" s="320"/>
      <c r="J212" s="320"/>
      <c r="K212" s="184" t="s">
        <v>690</v>
      </c>
      <c r="L212" s="187" t="s">
        <v>80</v>
      </c>
      <c r="M212" s="252">
        <v>0</v>
      </c>
      <c r="N212" s="249">
        <v>1</v>
      </c>
      <c r="O212" s="249">
        <v>1.7</v>
      </c>
      <c r="P212" s="249">
        <v>1.7</v>
      </c>
      <c r="Q212" s="250">
        <v>1.4</v>
      </c>
    </row>
    <row r="213" spans="1:17" s="10" customFormat="1" ht="62.25" customHeight="1" x14ac:dyDescent="0.25">
      <c r="A213" s="330"/>
      <c r="B213" s="317"/>
      <c r="C213" s="260" t="s">
        <v>16</v>
      </c>
      <c r="D213" s="317"/>
      <c r="E213" s="310" t="s">
        <v>319</v>
      </c>
      <c r="F213" s="331">
        <v>19534.399999999998</v>
      </c>
      <c r="G213" s="331">
        <v>22059.7</v>
      </c>
      <c r="H213" s="331">
        <v>21694.5</v>
      </c>
      <c r="I213" s="331">
        <v>21694.5</v>
      </c>
      <c r="J213" s="331">
        <v>21694.5</v>
      </c>
      <c r="K213" s="184" t="s">
        <v>320</v>
      </c>
      <c r="L213" s="187" t="s">
        <v>293</v>
      </c>
      <c r="M213" s="132">
        <v>1214</v>
      </c>
      <c r="N213" s="132">
        <v>500</v>
      </c>
      <c r="O213" s="132">
        <v>500</v>
      </c>
      <c r="P213" s="132">
        <v>500</v>
      </c>
      <c r="Q213" s="246">
        <v>500</v>
      </c>
    </row>
    <row r="214" spans="1:17" s="10" customFormat="1" ht="25.5" customHeight="1" x14ac:dyDescent="0.25">
      <c r="A214" s="330"/>
      <c r="B214" s="317"/>
      <c r="C214" s="260"/>
      <c r="D214" s="317"/>
      <c r="E214" s="310"/>
      <c r="F214" s="331"/>
      <c r="G214" s="331"/>
      <c r="H214" s="331"/>
      <c r="I214" s="331"/>
      <c r="J214" s="331"/>
      <c r="K214" s="184" t="s">
        <v>346</v>
      </c>
      <c r="L214" s="187" t="s">
        <v>80</v>
      </c>
      <c r="M214" s="249">
        <v>20</v>
      </c>
      <c r="N214" s="249">
        <v>27</v>
      </c>
      <c r="O214" s="249">
        <v>27</v>
      </c>
      <c r="P214" s="249">
        <v>27</v>
      </c>
      <c r="Q214" s="250">
        <v>27</v>
      </c>
    </row>
    <row r="215" spans="1:17" s="10" customFormat="1" ht="60" x14ac:dyDescent="0.25">
      <c r="A215" s="330"/>
      <c r="B215" s="260"/>
      <c r="C215" s="260" t="s">
        <v>14</v>
      </c>
      <c r="D215" s="260"/>
      <c r="E215" s="310" t="s">
        <v>321</v>
      </c>
      <c r="F215" s="320">
        <v>351836.9</v>
      </c>
      <c r="G215" s="320">
        <v>354282.4</v>
      </c>
      <c r="H215" s="320">
        <v>354282.4</v>
      </c>
      <c r="I215" s="320">
        <v>354282.4</v>
      </c>
      <c r="J215" s="320">
        <v>354282.4</v>
      </c>
      <c r="K215" s="184" t="s">
        <v>322</v>
      </c>
      <c r="L215" s="187" t="s">
        <v>12</v>
      </c>
      <c r="M215" s="249">
        <v>95.5</v>
      </c>
      <c r="N215" s="249">
        <v>98.5</v>
      </c>
      <c r="O215" s="249">
        <v>96.5</v>
      </c>
      <c r="P215" s="249">
        <v>97</v>
      </c>
      <c r="Q215" s="250">
        <v>97</v>
      </c>
    </row>
    <row r="216" spans="1:17" s="10" customFormat="1" ht="60" x14ac:dyDescent="0.25">
      <c r="A216" s="330"/>
      <c r="B216" s="260"/>
      <c r="C216" s="260"/>
      <c r="D216" s="260"/>
      <c r="E216" s="310"/>
      <c r="F216" s="320"/>
      <c r="G216" s="320"/>
      <c r="H216" s="320"/>
      <c r="I216" s="320"/>
      <c r="J216" s="320"/>
      <c r="K216" s="184" t="s">
        <v>323</v>
      </c>
      <c r="L216" s="187" t="s">
        <v>12</v>
      </c>
      <c r="M216" s="229">
        <v>44.3</v>
      </c>
      <c r="N216" s="229">
        <v>39</v>
      </c>
      <c r="O216" s="229">
        <v>47.9</v>
      </c>
      <c r="P216" s="229">
        <v>47.1</v>
      </c>
      <c r="Q216" s="230">
        <v>46.6</v>
      </c>
    </row>
    <row r="217" spans="1:17" s="10" customFormat="1" ht="96.75" customHeight="1" x14ac:dyDescent="0.25">
      <c r="A217" s="330"/>
      <c r="B217" s="160" t="s">
        <v>347</v>
      </c>
      <c r="C217" s="160"/>
      <c r="D217" s="160"/>
      <c r="E217" s="201" t="s">
        <v>500</v>
      </c>
      <c r="F217" s="41">
        <f>F218+F219</f>
        <v>2678.9</v>
      </c>
      <c r="G217" s="41">
        <f t="shared" ref="G217:J217" si="6">G218+G219</f>
        <v>11285.8</v>
      </c>
      <c r="H217" s="41">
        <f t="shared" si="6"/>
        <v>11285.8</v>
      </c>
      <c r="I217" s="41">
        <f t="shared" si="6"/>
        <v>11285.8</v>
      </c>
      <c r="J217" s="41">
        <f t="shared" si="6"/>
        <v>11285.8</v>
      </c>
      <c r="K217" s="184" t="s">
        <v>324</v>
      </c>
      <c r="L217" s="187" t="s">
        <v>12</v>
      </c>
      <c r="M217" s="219"/>
      <c r="N217" s="219"/>
      <c r="O217" s="219"/>
      <c r="P217" s="219"/>
      <c r="Q217" s="84"/>
    </row>
    <row r="218" spans="1:17" s="10" customFormat="1" ht="87" customHeight="1" x14ac:dyDescent="0.25">
      <c r="A218" s="330"/>
      <c r="B218" s="45"/>
      <c r="C218" s="157" t="s">
        <v>15</v>
      </c>
      <c r="D218" s="187"/>
      <c r="E218" s="188" t="s">
        <v>325</v>
      </c>
      <c r="F218" s="44">
        <v>2678.9</v>
      </c>
      <c r="G218" s="44">
        <v>7863.3</v>
      </c>
      <c r="H218" s="44">
        <v>7863.3</v>
      </c>
      <c r="I218" s="44">
        <v>7863.3</v>
      </c>
      <c r="J218" s="44">
        <v>7863.3</v>
      </c>
      <c r="K218" s="184" t="s">
        <v>326</v>
      </c>
      <c r="L218" s="187" t="s">
        <v>327</v>
      </c>
      <c r="M218" s="219">
        <v>9</v>
      </c>
      <c r="N218" s="219">
        <v>8</v>
      </c>
      <c r="O218" s="219">
        <v>8</v>
      </c>
      <c r="P218" s="219">
        <v>8</v>
      </c>
      <c r="Q218" s="84">
        <v>8</v>
      </c>
    </row>
    <row r="219" spans="1:17" s="10" customFormat="1" ht="71.25" customHeight="1" x14ac:dyDescent="0.25">
      <c r="A219" s="330"/>
      <c r="B219" s="45"/>
      <c r="C219" s="157" t="s">
        <v>16</v>
      </c>
      <c r="D219" s="187"/>
      <c r="E219" s="188" t="s">
        <v>328</v>
      </c>
      <c r="F219" s="44">
        <v>0</v>
      </c>
      <c r="G219" s="44">
        <v>3422.5</v>
      </c>
      <c r="H219" s="44">
        <v>3422.5</v>
      </c>
      <c r="I219" s="44">
        <v>3422.5</v>
      </c>
      <c r="J219" s="44">
        <v>3422.5</v>
      </c>
      <c r="K219" s="183" t="s">
        <v>329</v>
      </c>
      <c r="L219" s="187" t="s">
        <v>327</v>
      </c>
      <c r="M219" s="219">
        <v>0</v>
      </c>
      <c r="N219" s="219">
        <v>1</v>
      </c>
      <c r="O219" s="219">
        <v>1</v>
      </c>
      <c r="P219" s="219">
        <v>1</v>
      </c>
      <c r="Q219" s="84">
        <v>1</v>
      </c>
    </row>
    <row r="220" spans="1:17" s="10" customFormat="1" ht="37.5" customHeight="1" x14ac:dyDescent="0.25">
      <c r="A220" s="330"/>
      <c r="B220" s="186" t="s">
        <v>74</v>
      </c>
      <c r="C220" s="161"/>
      <c r="D220" s="161"/>
      <c r="E220" s="113" t="s">
        <v>180</v>
      </c>
      <c r="F220" s="41">
        <f>F221</f>
        <v>0</v>
      </c>
      <c r="G220" s="41">
        <f t="shared" ref="G220:J220" si="7">G221</f>
        <v>0</v>
      </c>
      <c r="H220" s="41">
        <f t="shared" si="7"/>
        <v>2564086.2000000002</v>
      </c>
      <c r="I220" s="41">
        <f t="shared" si="7"/>
        <v>2247436.2000000002</v>
      </c>
      <c r="J220" s="41">
        <f t="shared" si="7"/>
        <v>1675677.7</v>
      </c>
      <c r="K220" s="184"/>
      <c r="L220" s="187"/>
      <c r="M220" s="219"/>
      <c r="N220" s="219"/>
      <c r="O220" s="219"/>
      <c r="P220" s="219"/>
      <c r="Q220" s="84"/>
    </row>
    <row r="221" spans="1:17" s="10" customFormat="1" ht="31.5" customHeight="1" x14ac:dyDescent="0.25">
      <c r="A221" s="330"/>
      <c r="B221" s="186"/>
      <c r="C221" s="161" t="s">
        <v>15</v>
      </c>
      <c r="D221" s="161"/>
      <c r="E221" s="114" t="s">
        <v>181</v>
      </c>
      <c r="F221" s="41"/>
      <c r="G221" s="41"/>
      <c r="H221" s="257">
        <v>2564086.2000000002</v>
      </c>
      <c r="I221" s="190">
        <v>2247436.2000000002</v>
      </c>
      <c r="J221" s="190">
        <v>1675677.7</v>
      </c>
      <c r="K221" s="184"/>
      <c r="L221" s="187"/>
      <c r="M221" s="219"/>
      <c r="N221" s="219"/>
      <c r="O221" s="219"/>
      <c r="P221" s="219"/>
      <c r="Q221" s="84"/>
    </row>
    <row r="222" spans="1:17" s="5" customFormat="1" ht="21.75" customHeight="1" x14ac:dyDescent="0.25">
      <c r="A222" s="314" t="s">
        <v>175</v>
      </c>
      <c r="B222" s="315"/>
      <c r="C222" s="315"/>
      <c r="D222" s="315"/>
      <c r="E222" s="315"/>
      <c r="F222" s="9">
        <v>14669015.751730001</v>
      </c>
      <c r="G222" s="9">
        <v>18989300.450999998</v>
      </c>
      <c r="H222" s="9">
        <f>H102+H111+H125+H148+H183+H202+H208+H217+H168+H220</f>
        <v>24145989</v>
      </c>
      <c r="I222" s="9">
        <f>I102+I111+I125+I148+I183+I202+I208+I217+I168+I220</f>
        <v>23980752.699999999</v>
      </c>
      <c r="J222" s="9">
        <f>J102+J111+J125+J148+J183+J202+J208+J217+J168+J220</f>
        <v>23601591.800000001</v>
      </c>
      <c r="K222" s="13"/>
      <c r="L222" s="22"/>
      <c r="M222" s="22"/>
      <c r="N222" s="22"/>
      <c r="O222" s="22"/>
      <c r="P222" s="22"/>
      <c r="Q222" s="91"/>
    </row>
    <row r="223" spans="1:17" s="5" customFormat="1" x14ac:dyDescent="0.25">
      <c r="A223" s="262" t="s">
        <v>82</v>
      </c>
      <c r="B223" s="263" t="s">
        <v>81</v>
      </c>
      <c r="C223" s="263"/>
      <c r="D223" s="263"/>
      <c r="E223" s="263"/>
      <c r="F223" s="263"/>
      <c r="G223" s="263"/>
      <c r="H223" s="263"/>
      <c r="I223" s="263"/>
      <c r="J223" s="263"/>
      <c r="K223" s="263"/>
      <c r="L223" s="263"/>
      <c r="M223" s="263"/>
      <c r="N223" s="263"/>
      <c r="O223" s="263"/>
      <c r="P223" s="111"/>
      <c r="Q223" s="118"/>
    </row>
    <row r="224" spans="1:17" s="14" customFormat="1" ht="17.649999999999999" customHeight="1" x14ac:dyDescent="0.25">
      <c r="A224" s="365">
        <v>34</v>
      </c>
      <c r="B224" s="316" t="s">
        <v>8</v>
      </c>
      <c r="C224" s="316"/>
      <c r="D224" s="268"/>
      <c r="E224" s="321" t="s">
        <v>34</v>
      </c>
      <c r="F224" s="311">
        <f>F226+F227</f>
        <v>632344.1</v>
      </c>
      <c r="G224" s="311">
        <f t="shared" ref="G224:J224" si="8">G226+G227</f>
        <v>632345.1</v>
      </c>
      <c r="H224" s="311">
        <f>H226+H227</f>
        <v>782624.60000000009</v>
      </c>
      <c r="I224" s="311">
        <f t="shared" si="8"/>
        <v>805743.1</v>
      </c>
      <c r="J224" s="311">
        <f t="shared" si="8"/>
        <v>808547.7</v>
      </c>
      <c r="K224" s="306" t="s">
        <v>9</v>
      </c>
      <c r="L224" s="305" t="s">
        <v>35</v>
      </c>
      <c r="M224" s="305">
        <v>30</v>
      </c>
      <c r="N224" s="305">
        <v>32</v>
      </c>
      <c r="O224" s="305">
        <v>35</v>
      </c>
      <c r="P224" s="305">
        <v>37</v>
      </c>
      <c r="Q224" s="379">
        <v>40</v>
      </c>
    </row>
    <row r="225" spans="1:17" s="14" customFormat="1" ht="14.45" customHeight="1" x14ac:dyDescent="0.25">
      <c r="A225" s="365"/>
      <c r="B225" s="316"/>
      <c r="C225" s="316"/>
      <c r="D225" s="268"/>
      <c r="E225" s="321"/>
      <c r="F225" s="311"/>
      <c r="G225" s="311"/>
      <c r="H225" s="311"/>
      <c r="I225" s="311"/>
      <c r="J225" s="311"/>
      <c r="K225" s="306"/>
      <c r="L225" s="305"/>
      <c r="M225" s="305"/>
      <c r="N225" s="305"/>
      <c r="O225" s="305"/>
      <c r="P225" s="305"/>
      <c r="Q225" s="379"/>
    </row>
    <row r="226" spans="1:17" s="14" customFormat="1" ht="30" x14ac:dyDescent="0.25">
      <c r="A226" s="365"/>
      <c r="B226" s="161"/>
      <c r="C226" s="161" t="s">
        <v>15</v>
      </c>
      <c r="D226" s="162"/>
      <c r="E226" s="177" t="s">
        <v>10</v>
      </c>
      <c r="F226" s="265">
        <v>632344.1</v>
      </c>
      <c r="G226" s="265">
        <v>632345.1</v>
      </c>
      <c r="H226" s="159">
        <f>393762.9+72000+3000</f>
        <v>468762.9</v>
      </c>
      <c r="I226" s="159">
        <f>68068+75000</f>
        <v>143068</v>
      </c>
      <c r="J226" s="159">
        <f>70721+75000</f>
        <v>145721</v>
      </c>
      <c r="K226" s="302"/>
      <c r="L226" s="302"/>
      <c r="M226" s="302"/>
      <c r="N226" s="302"/>
      <c r="O226" s="302"/>
      <c r="P226" s="302"/>
      <c r="Q226" s="303"/>
    </row>
    <row r="227" spans="1:17" s="14" customFormat="1" ht="30" x14ac:dyDescent="0.25">
      <c r="A227" s="365"/>
      <c r="B227" s="161"/>
      <c r="C227" s="161" t="s">
        <v>16</v>
      </c>
      <c r="D227" s="162"/>
      <c r="E227" s="177" t="s">
        <v>37</v>
      </c>
      <c r="F227" s="265"/>
      <c r="G227" s="265"/>
      <c r="H227" s="159">
        <v>313861.7</v>
      </c>
      <c r="I227" s="159">
        <v>662675.1</v>
      </c>
      <c r="J227" s="159">
        <v>662826.69999999995</v>
      </c>
      <c r="K227" s="302"/>
      <c r="L227" s="302"/>
      <c r="M227" s="302"/>
      <c r="N227" s="302"/>
      <c r="O227" s="302"/>
      <c r="P227" s="302"/>
      <c r="Q227" s="303"/>
    </row>
    <row r="228" spans="1:17" s="14" customFormat="1" ht="73.5" x14ac:dyDescent="0.25">
      <c r="A228" s="365"/>
      <c r="B228" s="161" t="s">
        <v>69</v>
      </c>
      <c r="C228" s="186"/>
      <c r="D228" s="162"/>
      <c r="E228" s="191" t="s">
        <v>491</v>
      </c>
      <c r="F228" s="185">
        <f>F229</f>
        <v>3541920</v>
      </c>
      <c r="G228" s="185">
        <f t="shared" ref="G228:J228" si="9">G229</f>
        <v>3500471.5</v>
      </c>
      <c r="H228" s="185">
        <f>H229</f>
        <v>3830249.6</v>
      </c>
      <c r="I228" s="185">
        <f t="shared" si="9"/>
        <v>3880849.6</v>
      </c>
      <c r="J228" s="185">
        <f t="shared" si="9"/>
        <v>4213248.5</v>
      </c>
      <c r="K228" s="181" t="s">
        <v>38</v>
      </c>
      <c r="L228" s="180" t="s">
        <v>12</v>
      </c>
      <c r="M228" s="11">
        <v>39</v>
      </c>
      <c r="N228" s="11">
        <v>45</v>
      </c>
      <c r="O228" s="11">
        <v>50</v>
      </c>
      <c r="P228" s="11">
        <v>55</v>
      </c>
      <c r="Q228" s="103">
        <v>55</v>
      </c>
    </row>
    <row r="229" spans="1:17" s="14" customFormat="1" ht="53.25" customHeight="1" x14ac:dyDescent="0.25">
      <c r="A229" s="365"/>
      <c r="B229" s="161"/>
      <c r="C229" s="161" t="s">
        <v>15</v>
      </c>
      <c r="D229" s="162"/>
      <c r="E229" s="177" t="s">
        <v>39</v>
      </c>
      <c r="F229" s="159">
        <v>3541920</v>
      </c>
      <c r="G229" s="159">
        <v>3500471.5</v>
      </c>
      <c r="H229" s="159">
        <f>3781249.6+49000</f>
        <v>3830249.6</v>
      </c>
      <c r="I229" s="159">
        <f>3831849.6+49000</f>
        <v>3880849.6</v>
      </c>
      <c r="J229" s="159">
        <f>4164248.5+49000</f>
        <v>4213248.5</v>
      </c>
      <c r="K229" s="181" t="s">
        <v>40</v>
      </c>
      <c r="L229" s="180" t="s">
        <v>12</v>
      </c>
      <c r="M229" s="11">
        <v>22</v>
      </c>
      <c r="N229" s="11">
        <v>25</v>
      </c>
      <c r="O229" s="11">
        <v>30</v>
      </c>
      <c r="P229" s="11">
        <v>35</v>
      </c>
      <c r="Q229" s="103">
        <v>40</v>
      </c>
    </row>
    <row r="230" spans="1:17" s="14" customFormat="1" ht="89.25" customHeight="1" x14ac:dyDescent="0.25">
      <c r="A230" s="365"/>
      <c r="B230" s="161" t="s">
        <v>70</v>
      </c>
      <c r="C230" s="186"/>
      <c r="D230" s="162"/>
      <c r="E230" s="191" t="s">
        <v>492</v>
      </c>
      <c r="F230" s="185">
        <f>F231+F236</f>
        <v>22288415.899999999</v>
      </c>
      <c r="G230" s="185">
        <f t="shared" ref="G230:J230" si="10">G231+G236</f>
        <v>22768214.599999998</v>
      </c>
      <c r="H230" s="185">
        <f>H231+H236</f>
        <v>23648689.699999996</v>
      </c>
      <c r="I230" s="185">
        <f t="shared" si="10"/>
        <v>23947891.999999996</v>
      </c>
      <c r="J230" s="185">
        <f t="shared" si="10"/>
        <v>24527867.999999996</v>
      </c>
      <c r="K230" s="181" t="s">
        <v>41</v>
      </c>
      <c r="L230" s="180" t="s">
        <v>12</v>
      </c>
      <c r="M230" s="11">
        <v>97.4</v>
      </c>
      <c r="N230" s="11">
        <v>98</v>
      </c>
      <c r="O230" s="11">
        <v>98</v>
      </c>
      <c r="P230" s="11">
        <v>98</v>
      </c>
      <c r="Q230" s="103">
        <v>98</v>
      </c>
    </row>
    <row r="231" spans="1:17" s="14" customFormat="1" ht="51" customHeight="1" x14ac:dyDescent="0.25">
      <c r="A231" s="365"/>
      <c r="B231" s="267"/>
      <c r="C231" s="267" t="s">
        <v>15</v>
      </c>
      <c r="D231" s="268"/>
      <c r="E231" s="301" t="s">
        <v>42</v>
      </c>
      <c r="F231" s="265">
        <v>22164950</v>
      </c>
      <c r="G231" s="265">
        <v>22644748.699999999</v>
      </c>
      <c r="H231" s="265">
        <f>22928620.9+486560+110042.9</f>
        <v>23525223.799999997</v>
      </c>
      <c r="I231" s="265">
        <f>23227823.2+486560+110042.9</f>
        <v>23824426.099999998</v>
      </c>
      <c r="J231" s="265">
        <f>23807799.2+486560+110042.9</f>
        <v>24404402.099999998</v>
      </c>
      <c r="K231" s="181" t="s">
        <v>708</v>
      </c>
      <c r="L231" s="180" t="s">
        <v>12</v>
      </c>
      <c r="M231" s="11">
        <f>7302/1357408*100</f>
        <v>0.53793700935901356</v>
      </c>
      <c r="N231" s="11">
        <f t="shared" ref="N231:Q231" si="11">7302/1357408*100</f>
        <v>0.53793700935901356</v>
      </c>
      <c r="O231" s="11">
        <f t="shared" si="11"/>
        <v>0.53793700935901356</v>
      </c>
      <c r="P231" s="11">
        <f t="shared" si="11"/>
        <v>0.53793700935901356</v>
      </c>
      <c r="Q231" s="103">
        <f t="shared" si="11"/>
        <v>0.53793700935901356</v>
      </c>
    </row>
    <row r="232" spans="1:17" s="14" customFormat="1" ht="52.5" customHeight="1" x14ac:dyDescent="0.25">
      <c r="A232" s="365"/>
      <c r="B232" s="267"/>
      <c r="C232" s="267"/>
      <c r="D232" s="268"/>
      <c r="E232" s="301"/>
      <c r="F232" s="265"/>
      <c r="G232" s="265"/>
      <c r="H232" s="265"/>
      <c r="I232" s="265"/>
      <c r="J232" s="265"/>
      <c r="K232" s="181" t="s">
        <v>43</v>
      </c>
      <c r="L232" s="180" t="s">
        <v>12</v>
      </c>
      <c r="M232" s="11">
        <v>5.5</v>
      </c>
      <c r="N232" s="11">
        <v>6</v>
      </c>
      <c r="O232" s="11">
        <v>6.5</v>
      </c>
      <c r="P232" s="11">
        <v>7</v>
      </c>
      <c r="Q232" s="103">
        <v>7.5</v>
      </c>
    </row>
    <row r="233" spans="1:17" s="14" customFormat="1" ht="39" customHeight="1" x14ac:dyDescent="0.25">
      <c r="A233" s="365"/>
      <c r="B233" s="267"/>
      <c r="C233" s="267"/>
      <c r="D233" s="268"/>
      <c r="E233" s="301"/>
      <c r="F233" s="265"/>
      <c r="G233" s="265"/>
      <c r="H233" s="265"/>
      <c r="I233" s="265"/>
      <c r="J233" s="265"/>
      <c r="K233" s="181" t="s">
        <v>44</v>
      </c>
      <c r="L233" s="180" t="s">
        <v>12</v>
      </c>
      <c r="M233" s="11">
        <v>71.2</v>
      </c>
      <c r="N233" s="11">
        <v>72</v>
      </c>
      <c r="O233" s="11">
        <v>73</v>
      </c>
      <c r="P233" s="11">
        <v>74</v>
      </c>
      <c r="Q233" s="103">
        <v>75</v>
      </c>
    </row>
    <row r="234" spans="1:17" s="14" customFormat="1" ht="39" customHeight="1" x14ac:dyDescent="0.25">
      <c r="A234" s="365"/>
      <c r="B234" s="267"/>
      <c r="C234" s="267"/>
      <c r="D234" s="268"/>
      <c r="E234" s="301"/>
      <c r="F234" s="265"/>
      <c r="G234" s="265"/>
      <c r="H234" s="265"/>
      <c r="I234" s="265"/>
      <c r="J234" s="265"/>
      <c r="K234" s="181" t="s">
        <v>45</v>
      </c>
      <c r="L234" s="180" t="s">
        <v>46</v>
      </c>
      <c r="M234" s="11">
        <v>120.5</v>
      </c>
      <c r="N234" s="11">
        <v>121</v>
      </c>
      <c r="O234" s="11">
        <v>122</v>
      </c>
      <c r="P234" s="11">
        <v>123</v>
      </c>
      <c r="Q234" s="103">
        <v>123</v>
      </c>
    </row>
    <row r="235" spans="1:17" s="14" customFormat="1" ht="49.5" customHeight="1" x14ac:dyDescent="0.25">
      <c r="A235" s="365"/>
      <c r="B235" s="267"/>
      <c r="C235" s="267"/>
      <c r="D235" s="268"/>
      <c r="E235" s="301"/>
      <c r="F235" s="265"/>
      <c r="G235" s="265"/>
      <c r="H235" s="265"/>
      <c r="I235" s="265"/>
      <c r="J235" s="265"/>
      <c r="K235" s="181" t="s">
        <v>47</v>
      </c>
      <c r="L235" s="180" t="s">
        <v>48</v>
      </c>
      <c r="M235" s="11">
        <v>356429</v>
      </c>
      <c r="N235" s="11">
        <v>381980</v>
      </c>
      <c r="O235" s="11">
        <v>391800</v>
      </c>
      <c r="P235" s="11">
        <v>394600</v>
      </c>
      <c r="Q235" s="103">
        <v>397400</v>
      </c>
    </row>
    <row r="236" spans="1:17" s="14" customFormat="1" ht="39.75" customHeight="1" x14ac:dyDescent="0.25">
      <c r="A236" s="365"/>
      <c r="B236" s="267"/>
      <c r="C236" s="267" t="s">
        <v>16</v>
      </c>
      <c r="D236" s="268"/>
      <c r="E236" s="301" t="s">
        <v>49</v>
      </c>
      <c r="F236" s="265">
        <v>123465.9</v>
      </c>
      <c r="G236" s="265">
        <v>123465.9</v>
      </c>
      <c r="H236" s="265">
        <v>123465.9</v>
      </c>
      <c r="I236" s="265">
        <v>123465.9</v>
      </c>
      <c r="J236" s="265">
        <v>123465.9</v>
      </c>
      <c r="K236" s="181" t="s">
        <v>50</v>
      </c>
      <c r="L236" s="180" t="s">
        <v>12</v>
      </c>
      <c r="M236" s="11">
        <v>25</v>
      </c>
      <c r="N236" s="11">
        <v>26</v>
      </c>
      <c r="O236" s="11">
        <v>27</v>
      </c>
      <c r="P236" s="11">
        <v>28</v>
      </c>
      <c r="Q236" s="103">
        <v>29</v>
      </c>
    </row>
    <row r="237" spans="1:17" s="14" customFormat="1" ht="50.25" customHeight="1" x14ac:dyDescent="0.25">
      <c r="A237" s="365"/>
      <c r="B237" s="267"/>
      <c r="C237" s="267"/>
      <c r="D237" s="268"/>
      <c r="E237" s="301"/>
      <c r="F237" s="265"/>
      <c r="G237" s="265"/>
      <c r="H237" s="265"/>
      <c r="I237" s="265"/>
      <c r="J237" s="265"/>
      <c r="K237" s="181" t="s">
        <v>51</v>
      </c>
      <c r="L237" s="180" t="s">
        <v>12</v>
      </c>
      <c r="M237" s="11"/>
      <c r="N237" s="11"/>
      <c r="O237" s="11"/>
      <c r="P237" s="11"/>
      <c r="Q237" s="103"/>
    </row>
    <row r="238" spans="1:17" s="14" customFormat="1" ht="88.5" x14ac:dyDescent="0.25">
      <c r="A238" s="365"/>
      <c r="B238" s="186" t="s">
        <v>71</v>
      </c>
      <c r="C238" s="186"/>
      <c r="D238" s="162"/>
      <c r="E238" s="191" t="s">
        <v>68</v>
      </c>
      <c r="F238" s="185">
        <f>F239+F242+F244</f>
        <v>1893924.2</v>
      </c>
      <c r="G238" s="185">
        <f t="shared" ref="G238:J238" si="12">G239+G242+G244</f>
        <v>1891626.8</v>
      </c>
      <c r="H238" s="185">
        <f>H239+H242+H244</f>
        <v>1903387.8</v>
      </c>
      <c r="I238" s="185">
        <f t="shared" si="12"/>
        <v>2112117.5999999996</v>
      </c>
      <c r="J238" s="185">
        <f t="shared" si="12"/>
        <v>2128597.2000000002</v>
      </c>
      <c r="K238" s="181" t="s">
        <v>709</v>
      </c>
      <c r="L238" s="180" t="s">
        <v>12</v>
      </c>
      <c r="M238" s="11">
        <f>M239+M242</f>
        <v>33.700000000000003</v>
      </c>
      <c r="N238" s="11">
        <f t="shared" ref="N238:Q238" si="13">N239+N242</f>
        <v>33.799999999999997</v>
      </c>
      <c r="O238" s="11">
        <f t="shared" si="13"/>
        <v>34.799999999999997</v>
      </c>
      <c r="P238" s="11">
        <f t="shared" si="13"/>
        <v>35.799999999999997</v>
      </c>
      <c r="Q238" s="103">
        <f t="shared" si="13"/>
        <v>36.799999999999997</v>
      </c>
    </row>
    <row r="239" spans="1:17" s="14" customFormat="1" ht="45" customHeight="1" x14ac:dyDescent="0.25">
      <c r="A239" s="365"/>
      <c r="B239" s="316"/>
      <c r="C239" s="267" t="s">
        <v>15</v>
      </c>
      <c r="D239" s="268"/>
      <c r="E239" s="301" t="s">
        <v>52</v>
      </c>
      <c r="F239" s="265">
        <v>1414468</v>
      </c>
      <c r="G239" s="265">
        <v>1412170.6</v>
      </c>
      <c r="H239" s="265">
        <v>1414370.6</v>
      </c>
      <c r="I239" s="265">
        <v>1623100.4</v>
      </c>
      <c r="J239" s="265">
        <v>1632710.3</v>
      </c>
      <c r="K239" s="181" t="s">
        <v>710</v>
      </c>
      <c r="L239" s="180" t="s">
        <v>12</v>
      </c>
      <c r="M239" s="11">
        <v>10.9</v>
      </c>
      <c r="N239" s="11">
        <v>11</v>
      </c>
      <c r="O239" s="11">
        <v>12</v>
      </c>
      <c r="P239" s="11">
        <v>13</v>
      </c>
      <c r="Q239" s="103">
        <v>14</v>
      </c>
    </row>
    <row r="240" spans="1:17" s="14" customFormat="1" ht="60" x14ac:dyDescent="0.25">
      <c r="A240" s="365"/>
      <c r="B240" s="316"/>
      <c r="C240" s="267"/>
      <c r="D240" s="268"/>
      <c r="E240" s="301"/>
      <c r="F240" s="265"/>
      <c r="G240" s="265"/>
      <c r="H240" s="265"/>
      <c r="I240" s="265"/>
      <c r="J240" s="265"/>
      <c r="K240" s="181" t="s">
        <v>53</v>
      </c>
      <c r="L240" s="180" t="s">
        <v>12</v>
      </c>
      <c r="M240" s="11">
        <v>9</v>
      </c>
      <c r="N240" s="11">
        <v>10</v>
      </c>
      <c r="O240" s="11">
        <v>12</v>
      </c>
      <c r="P240" s="11">
        <v>12</v>
      </c>
      <c r="Q240" s="103">
        <v>15</v>
      </c>
    </row>
    <row r="241" spans="1:17" s="14" customFormat="1" ht="88.5" customHeight="1" x14ac:dyDescent="0.25">
      <c r="A241" s="365"/>
      <c r="B241" s="316"/>
      <c r="C241" s="267"/>
      <c r="D241" s="268"/>
      <c r="E241" s="301"/>
      <c r="F241" s="265"/>
      <c r="G241" s="265"/>
      <c r="H241" s="265"/>
      <c r="I241" s="265"/>
      <c r="J241" s="265"/>
      <c r="K241" s="181" t="s">
        <v>54</v>
      </c>
      <c r="L241" s="180" t="s">
        <v>12</v>
      </c>
      <c r="M241" s="11">
        <v>45</v>
      </c>
      <c r="N241" s="11">
        <v>50</v>
      </c>
      <c r="O241" s="11">
        <v>52</v>
      </c>
      <c r="P241" s="11">
        <v>53</v>
      </c>
      <c r="Q241" s="103">
        <v>55</v>
      </c>
    </row>
    <row r="242" spans="1:17" s="14" customFormat="1" ht="45" customHeight="1" x14ac:dyDescent="0.25">
      <c r="A242" s="365"/>
      <c r="B242" s="316"/>
      <c r="C242" s="267" t="s">
        <v>19</v>
      </c>
      <c r="D242" s="268"/>
      <c r="E242" s="301" t="s">
        <v>55</v>
      </c>
      <c r="F242" s="265">
        <v>257197.2</v>
      </c>
      <c r="G242" s="265">
        <v>257197.2</v>
      </c>
      <c r="H242" s="265">
        <v>257197.2</v>
      </c>
      <c r="I242" s="265">
        <v>257197.2</v>
      </c>
      <c r="J242" s="265">
        <v>257197.2</v>
      </c>
      <c r="K242" s="181" t="s">
        <v>56</v>
      </c>
      <c r="L242" s="180" t="s">
        <v>12</v>
      </c>
      <c r="M242" s="11">
        <v>22.8</v>
      </c>
      <c r="N242" s="11">
        <v>22.8</v>
      </c>
      <c r="O242" s="11">
        <v>22.8</v>
      </c>
      <c r="P242" s="11">
        <v>22.8</v>
      </c>
      <c r="Q242" s="103">
        <v>22.8</v>
      </c>
    </row>
    <row r="243" spans="1:17" s="14" customFormat="1" ht="39.75" customHeight="1" x14ac:dyDescent="0.25">
      <c r="A243" s="365"/>
      <c r="B243" s="316"/>
      <c r="C243" s="267"/>
      <c r="D243" s="268"/>
      <c r="E243" s="301"/>
      <c r="F243" s="265"/>
      <c r="G243" s="265"/>
      <c r="H243" s="265"/>
      <c r="I243" s="265"/>
      <c r="J243" s="265"/>
      <c r="K243" s="181" t="s">
        <v>498</v>
      </c>
      <c r="L243" s="180" t="s">
        <v>12</v>
      </c>
      <c r="M243" s="11">
        <v>5.8</v>
      </c>
      <c r="N243" s="11">
        <v>5.8</v>
      </c>
      <c r="O243" s="11">
        <v>5.8</v>
      </c>
      <c r="P243" s="11">
        <v>5.8</v>
      </c>
      <c r="Q243" s="103">
        <v>5.8</v>
      </c>
    </row>
    <row r="244" spans="1:17" s="14" customFormat="1" ht="60" x14ac:dyDescent="0.25">
      <c r="A244" s="365"/>
      <c r="B244" s="161"/>
      <c r="C244" s="161" t="s">
        <v>21</v>
      </c>
      <c r="D244" s="162"/>
      <c r="E244" s="177" t="s">
        <v>57</v>
      </c>
      <c r="F244" s="159">
        <v>222259</v>
      </c>
      <c r="G244" s="159">
        <v>222259</v>
      </c>
      <c r="H244" s="159">
        <v>231820</v>
      </c>
      <c r="I244" s="159">
        <v>231820</v>
      </c>
      <c r="J244" s="159">
        <v>238689.7</v>
      </c>
      <c r="K244" s="181" t="s">
        <v>499</v>
      </c>
      <c r="L244" s="180" t="s">
        <v>12</v>
      </c>
      <c r="M244" s="11">
        <v>94.2</v>
      </c>
      <c r="N244" s="11">
        <v>94.2</v>
      </c>
      <c r="O244" s="11">
        <v>94.2</v>
      </c>
      <c r="P244" s="11">
        <v>94.2</v>
      </c>
      <c r="Q244" s="103">
        <v>94.2</v>
      </c>
    </row>
    <row r="245" spans="1:17" s="14" customFormat="1" ht="96.75" customHeight="1" x14ac:dyDescent="0.25">
      <c r="A245" s="365"/>
      <c r="B245" s="186" t="s">
        <v>72</v>
      </c>
      <c r="C245" s="186"/>
      <c r="D245" s="162"/>
      <c r="E245" s="191" t="s">
        <v>178</v>
      </c>
      <c r="F245" s="185">
        <f>F246+F247</f>
        <v>5105064.4000000004</v>
      </c>
      <c r="G245" s="185">
        <f t="shared" ref="G245:J245" si="14">G246+G247</f>
        <v>5105036.4000000004</v>
      </c>
      <c r="H245" s="185">
        <f>H246+H247</f>
        <v>6816625.7000000002</v>
      </c>
      <c r="I245" s="185">
        <f t="shared" si="14"/>
        <v>7036609.5</v>
      </c>
      <c r="J245" s="185">
        <f t="shared" si="14"/>
        <v>7221822.2999999998</v>
      </c>
      <c r="K245" s="181" t="s">
        <v>58</v>
      </c>
      <c r="L245" s="180" t="s">
        <v>12</v>
      </c>
      <c r="M245" s="11">
        <v>19.7</v>
      </c>
      <c r="N245" s="11">
        <v>19.7</v>
      </c>
      <c r="O245" s="11">
        <v>19.7</v>
      </c>
      <c r="P245" s="11">
        <v>19.7</v>
      </c>
      <c r="Q245" s="103">
        <v>19.7</v>
      </c>
    </row>
    <row r="246" spans="1:17" s="14" customFormat="1" ht="56.25" customHeight="1" x14ac:dyDescent="0.25">
      <c r="A246" s="365"/>
      <c r="B246" s="186"/>
      <c r="C246" s="161" t="s">
        <v>15</v>
      </c>
      <c r="D246" s="162"/>
      <c r="E246" s="177" t="s">
        <v>59</v>
      </c>
      <c r="F246" s="159">
        <v>589772</v>
      </c>
      <c r="G246" s="159">
        <v>589772</v>
      </c>
      <c r="H246" s="159">
        <v>589772</v>
      </c>
      <c r="I246" s="159">
        <v>589772</v>
      </c>
      <c r="J246" s="159">
        <v>589772</v>
      </c>
      <c r="K246" s="181" t="s">
        <v>700</v>
      </c>
      <c r="L246" s="180" t="s">
        <v>12</v>
      </c>
      <c r="M246" s="215">
        <v>2.6</v>
      </c>
      <c r="N246" s="215">
        <v>2.6</v>
      </c>
      <c r="O246" s="215">
        <v>2.6</v>
      </c>
      <c r="P246" s="215">
        <v>2.6</v>
      </c>
      <c r="Q246" s="216">
        <v>2.6</v>
      </c>
    </row>
    <row r="247" spans="1:17" s="14" customFormat="1" ht="24.75" customHeight="1" x14ac:dyDescent="0.25">
      <c r="A247" s="365"/>
      <c r="B247" s="316"/>
      <c r="C247" s="267" t="s">
        <v>16</v>
      </c>
      <c r="D247" s="268"/>
      <c r="E247" s="301" t="s">
        <v>60</v>
      </c>
      <c r="F247" s="265">
        <v>4515292.4000000004</v>
      </c>
      <c r="G247" s="265">
        <v>4515264.4000000004</v>
      </c>
      <c r="H247" s="265">
        <v>6226853.7000000002</v>
      </c>
      <c r="I247" s="265">
        <v>6446837.5</v>
      </c>
      <c r="J247" s="265">
        <v>6632050.2999999998</v>
      </c>
      <c r="K247" s="181" t="s">
        <v>61</v>
      </c>
      <c r="L247" s="180" t="s">
        <v>12</v>
      </c>
      <c r="M247" s="215">
        <v>10</v>
      </c>
      <c r="N247" s="215">
        <v>12</v>
      </c>
      <c r="O247" s="215">
        <v>15</v>
      </c>
      <c r="P247" s="215">
        <v>17</v>
      </c>
      <c r="Q247" s="216">
        <v>20</v>
      </c>
    </row>
    <row r="248" spans="1:17" s="14" customFormat="1" ht="28.5" customHeight="1" x14ac:dyDescent="0.25">
      <c r="A248" s="365"/>
      <c r="B248" s="316"/>
      <c r="C248" s="267"/>
      <c r="D248" s="268"/>
      <c r="E248" s="301"/>
      <c r="F248" s="265"/>
      <c r="G248" s="265"/>
      <c r="H248" s="265"/>
      <c r="I248" s="265"/>
      <c r="J248" s="265"/>
      <c r="K248" s="181" t="s">
        <v>62</v>
      </c>
      <c r="L248" s="180" t="s">
        <v>12</v>
      </c>
      <c r="M248" s="215">
        <v>97.4</v>
      </c>
      <c r="N248" s="215">
        <v>97.4</v>
      </c>
      <c r="O248" s="215">
        <v>97.4</v>
      </c>
      <c r="P248" s="215">
        <v>97.4</v>
      </c>
      <c r="Q248" s="216">
        <v>97.4</v>
      </c>
    </row>
    <row r="249" spans="1:17" s="14" customFormat="1" ht="103.5" customHeight="1" x14ac:dyDescent="0.25">
      <c r="A249" s="365"/>
      <c r="B249" s="186" t="s">
        <v>73</v>
      </c>
      <c r="C249" s="186"/>
      <c r="D249" s="162"/>
      <c r="E249" s="191" t="s">
        <v>179</v>
      </c>
      <c r="F249" s="185">
        <f>F250+F251</f>
        <v>160001.19999999998</v>
      </c>
      <c r="G249" s="185">
        <f t="shared" ref="G249:J249" si="15">G250+G251</f>
        <v>148229</v>
      </c>
      <c r="H249" s="185">
        <f>H250+H251</f>
        <v>148885.1</v>
      </c>
      <c r="I249" s="185">
        <f t="shared" si="15"/>
        <v>148835.1</v>
      </c>
      <c r="J249" s="185">
        <f t="shared" si="15"/>
        <v>149255.1</v>
      </c>
      <c r="K249" s="181" t="s">
        <v>691</v>
      </c>
      <c r="L249" s="180" t="s">
        <v>12</v>
      </c>
      <c r="M249" s="215">
        <v>0.5</v>
      </c>
      <c r="N249" s="215">
        <v>0.5</v>
      </c>
      <c r="O249" s="215">
        <v>1</v>
      </c>
      <c r="P249" s="215">
        <v>1</v>
      </c>
      <c r="Q249" s="216">
        <v>1</v>
      </c>
    </row>
    <row r="250" spans="1:17" s="14" customFormat="1" ht="54.75" customHeight="1" x14ac:dyDescent="0.25">
      <c r="A250" s="365"/>
      <c r="B250" s="161"/>
      <c r="C250" s="161" t="s">
        <v>15</v>
      </c>
      <c r="D250" s="162"/>
      <c r="E250" s="177" t="s">
        <v>63</v>
      </c>
      <c r="F250" s="159">
        <v>158309.29999999999</v>
      </c>
      <c r="G250" s="159">
        <v>146537.1</v>
      </c>
      <c r="H250" s="159">
        <v>146567.5</v>
      </c>
      <c r="I250" s="159">
        <v>146535.1</v>
      </c>
      <c r="J250" s="159">
        <v>146535.1</v>
      </c>
      <c r="K250" s="181" t="s">
        <v>64</v>
      </c>
      <c r="L250" s="180" t="s">
        <v>65</v>
      </c>
      <c r="M250" s="215">
        <v>127</v>
      </c>
      <c r="N250" s="215">
        <v>130</v>
      </c>
      <c r="O250" s="215">
        <v>132</v>
      </c>
      <c r="P250" s="215">
        <v>133</v>
      </c>
      <c r="Q250" s="216">
        <v>135</v>
      </c>
    </row>
    <row r="251" spans="1:17" s="14" customFormat="1" ht="75" x14ac:dyDescent="0.25">
      <c r="A251" s="365"/>
      <c r="B251" s="161"/>
      <c r="C251" s="161" t="s">
        <v>16</v>
      </c>
      <c r="D251" s="162"/>
      <c r="E251" s="177" t="s">
        <v>66</v>
      </c>
      <c r="F251" s="159">
        <v>1691.9</v>
      </c>
      <c r="G251" s="159">
        <v>1691.9</v>
      </c>
      <c r="H251" s="159">
        <f>2317.6</f>
        <v>2317.6</v>
      </c>
      <c r="I251" s="159">
        <v>2300</v>
      </c>
      <c r="J251" s="159">
        <v>2720</v>
      </c>
      <c r="K251" s="181" t="s">
        <v>711</v>
      </c>
      <c r="L251" s="180" t="s">
        <v>23</v>
      </c>
      <c r="M251" s="215">
        <v>227</v>
      </c>
      <c r="N251" s="215">
        <v>520</v>
      </c>
      <c r="O251" s="215">
        <v>421</v>
      </c>
      <c r="P251" s="215">
        <v>421</v>
      </c>
      <c r="Q251" s="216">
        <v>421</v>
      </c>
    </row>
    <row r="252" spans="1:17" s="14" customFormat="1" ht="28.5" x14ac:dyDescent="0.25">
      <c r="A252" s="365"/>
      <c r="B252" s="186" t="s">
        <v>177</v>
      </c>
      <c r="C252" s="161" t="s">
        <v>16</v>
      </c>
      <c r="D252" s="162" t="s">
        <v>15</v>
      </c>
      <c r="E252" s="191" t="s">
        <v>67</v>
      </c>
      <c r="F252" s="185">
        <v>632100</v>
      </c>
      <c r="G252" s="185">
        <v>479570</v>
      </c>
      <c r="H252" s="185">
        <v>1444898</v>
      </c>
      <c r="I252" s="185">
        <v>2755144.4</v>
      </c>
      <c r="J252" s="185">
        <v>706680</v>
      </c>
      <c r="K252" s="181"/>
      <c r="L252" s="180"/>
      <c r="M252" s="215"/>
      <c r="N252" s="58"/>
      <c r="O252" s="58"/>
      <c r="P252" s="58"/>
      <c r="Q252" s="123"/>
    </row>
    <row r="253" spans="1:17" s="5" customFormat="1" ht="21.75" customHeight="1" x14ac:dyDescent="0.25">
      <c r="A253" s="314" t="s">
        <v>175</v>
      </c>
      <c r="B253" s="315"/>
      <c r="C253" s="315"/>
      <c r="D253" s="315"/>
      <c r="E253" s="315"/>
      <c r="F253" s="9">
        <f t="shared" ref="F253:G253" si="16">F224+F228+F230+F238+F245+F249+F252</f>
        <v>34253769.800000004</v>
      </c>
      <c r="G253" s="9">
        <f t="shared" si="16"/>
        <v>34525493.399999999</v>
      </c>
      <c r="H253" s="9">
        <f>H224+H228+H230+H238+H245+H249+H252</f>
        <v>38575360.5</v>
      </c>
      <c r="I253" s="9">
        <f>I224+I228+I230+I238+I245+I249+I252</f>
        <v>40687191.299999997</v>
      </c>
      <c r="J253" s="9">
        <f t="shared" ref="J253" si="17">J224+J228+J230+J238+J245+J249+J252</f>
        <v>39756018.799999997</v>
      </c>
      <c r="K253" s="13"/>
      <c r="L253" s="22"/>
      <c r="M253" s="22"/>
      <c r="N253" s="22"/>
      <c r="O253" s="22"/>
      <c r="P253" s="22"/>
      <c r="Q253" s="91"/>
    </row>
    <row r="254" spans="1:17" s="5" customFormat="1" x14ac:dyDescent="0.25">
      <c r="A254" s="262" t="s">
        <v>152</v>
      </c>
      <c r="B254" s="263"/>
      <c r="C254" s="263"/>
      <c r="D254" s="263"/>
      <c r="E254" s="264"/>
      <c r="F254" s="263"/>
      <c r="G254" s="263"/>
      <c r="H254" s="263"/>
      <c r="I254" s="263"/>
      <c r="J254" s="263"/>
      <c r="K254" s="263"/>
      <c r="L254" s="263"/>
      <c r="M254" s="263"/>
      <c r="N254" s="263"/>
      <c r="O254" s="263"/>
      <c r="P254" s="111"/>
      <c r="Q254" s="118"/>
    </row>
    <row r="255" spans="1:17" s="14" customFormat="1" ht="27.6" customHeight="1" x14ac:dyDescent="0.25">
      <c r="A255" s="365">
        <v>43</v>
      </c>
      <c r="B255" s="316" t="s">
        <v>8</v>
      </c>
      <c r="C255" s="338"/>
      <c r="D255" s="337"/>
      <c r="E255" s="335" t="s">
        <v>481</v>
      </c>
      <c r="F255" s="333">
        <f>F258</f>
        <v>34932.400000000009</v>
      </c>
      <c r="G255" s="333">
        <f t="shared" ref="G255:J255" si="18">G258</f>
        <v>43483.8</v>
      </c>
      <c r="H255" s="333">
        <f t="shared" si="18"/>
        <v>88198.7</v>
      </c>
      <c r="I255" s="333">
        <f t="shared" si="18"/>
        <v>85740.1</v>
      </c>
      <c r="J255" s="333">
        <f t="shared" si="18"/>
        <v>66035.399999999994</v>
      </c>
      <c r="K255" s="334" t="s">
        <v>9</v>
      </c>
      <c r="L255" s="334" t="s">
        <v>35</v>
      </c>
      <c r="M255" s="339">
        <v>0.60150000000000003</v>
      </c>
      <c r="N255" s="339">
        <v>0.62149999999999994</v>
      </c>
      <c r="O255" s="339">
        <v>0.63650000000000007</v>
      </c>
      <c r="P255" s="339">
        <v>0.65</v>
      </c>
      <c r="Q255" s="344">
        <v>0.65</v>
      </c>
    </row>
    <row r="256" spans="1:17" s="14" customFormat="1" ht="7.9" customHeight="1" x14ac:dyDescent="0.25">
      <c r="A256" s="365"/>
      <c r="B256" s="316"/>
      <c r="C256" s="338"/>
      <c r="D256" s="337"/>
      <c r="E256" s="336"/>
      <c r="F256" s="333"/>
      <c r="G256" s="333"/>
      <c r="H256" s="333"/>
      <c r="I256" s="333"/>
      <c r="J256" s="333"/>
      <c r="K256" s="334"/>
      <c r="L256" s="334"/>
      <c r="M256" s="339"/>
      <c r="N256" s="339"/>
      <c r="O256" s="339"/>
      <c r="P256" s="339"/>
      <c r="Q256" s="344"/>
    </row>
    <row r="257" spans="1:17" s="14" customFormat="1" ht="61.15" customHeight="1" x14ac:dyDescent="0.25">
      <c r="A257" s="365"/>
      <c r="B257" s="316"/>
      <c r="C257" s="338"/>
      <c r="D257" s="337"/>
      <c r="E257" s="119" t="s">
        <v>83</v>
      </c>
      <c r="F257" s="333"/>
      <c r="G257" s="333"/>
      <c r="H257" s="333"/>
      <c r="I257" s="333"/>
      <c r="J257" s="333"/>
      <c r="K257" s="334"/>
      <c r="L257" s="334"/>
      <c r="M257" s="339"/>
      <c r="N257" s="339"/>
      <c r="O257" s="339"/>
      <c r="P257" s="339"/>
      <c r="Q257" s="344"/>
    </row>
    <row r="258" spans="1:17" s="14" customFormat="1" ht="45" customHeight="1" x14ac:dyDescent="0.25">
      <c r="A258" s="365"/>
      <c r="B258" s="197"/>
      <c r="C258" s="161" t="s">
        <v>15</v>
      </c>
      <c r="D258" s="161"/>
      <c r="E258" s="120" t="s">
        <v>10</v>
      </c>
      <c r="F258" s="198">
        <v>34932.400000000009</v>
      </c>
      <c r="G258" s="198">
        <v>43483.8</v>
      </c>
      <c r="H258" s="198">
        <v>88198.7</v>
      </c>
      <c r="I258" s="198">
        <v>85740.1</v>
      </c>
      <c r="J258" s="198">
        <v>66035.399999999994</v>
      </c>
      <c r="K258" s="334"/>
      <c r="L258" s="334"/>
      <c r="M258" s="339"/>
      <c r="N258" s="339"/>
      <c r="O258" s="339"/>
      <c r="P258" s="339"/>
      <c r="Q258" s="344"/>
    </row>
    <row r="259" spans="1:17" s="14" customFormat="1" ht="29.25" customHeight="1" collapsed="1" x14ac:dyDescent="0.25">
      <c r="A259" s="365"/>
      <c r="B259" s="316" t="s">
        <v>153</v>
      </c>
      <c r="C259" s="338"/>
      <c r="D259" s="352"/>
      <c r="E259" s="353" t="s">
        <v>489</v>
      </c>
      <c r="F259" s="333">
        <f>F262+F264+F265+F266+F267+F269+F271</f>
        <v>787138.99999999988</v>
      </c>
      <c r="G259" s="333">
        <f t="shared" ref="G259:J259" si="19">G262+G264+G265+G266+G267+G269+G271</f>
        <v>690043.9</v>
      </c>
      <c r="H259" s="333">
        <f t="shared" si="19"/>
        <v>2153955.5</v>
      </c>
      <c r="I259" s="333">
        <f t="shared" si="19"/>
        <v>2181496.9</v>
      </c>
      <c r="J259" s="333">
        <f t="shared" si="19"/>
        <v>2242882.5</v>
      </c>
      <c r="K259" s="350" t="s">
        <v>84</v>
      </c>
      <c r="L259" s="351" t="s">
        <v>12</v>
      </c>
      <c r="M259" s="343">
        <v>67.02063958879792</v>
      </c>
      <c r="N259" s="343">
        <v>55</v>
      </c>
      <c r="O259" s="343">
        <v>53</v>
      </c>
      <c r="P259" s="343">
        <v>51</v>
      </c>
      <c r="Q259" s="345">
        <v>51</v>
      </c>
    </row>
    <row r="260" spans="1:17" s="14" customFormat="1" x14ac:dyDescent="0.25">
      <c r="A260" s="365"/>
      <c r="B260" s="316"/>
      <c r="C260" s="338"/>
      <c r="D260" s="352"/>
      <c r="E260" s="354"/>
      <c r="F260" s="333"/>
      <c r="G260" s="333"/>
      <c r="H260" s="333"/>
      <c r="I260" s="333"/>
      <c r="J260" s="333"/>
      <c r="K260" s="350"/>
      <c r="L260" s="351"/>
      <c r="M260" s="343"/>
      <c r="N260" s="343"/>
      <c r="O260" s="343"/>
      <c r="P260" s="343"/>
      <c r="Q260" s="345"/>
    </row>
    <row r="261" spans="1:17" s="14" customFormat="1" ht="62.25" customHeight="1" x14ac:dyDescent="0.25">
      <c r="A261" s="365"/>
      <c r="B261" s="316"/>
      <c r="C261" s="338"/>
      <c r="D261" s="352"/>
      <c r="E261" s="121" t="s">
        <v>85</v>
      </c>
      <c r="F261" s="349"/>
      <c r="G261" s="349"/>
      <c r="H261" s="349"/>
      <c r="I261" s="349"/>
      <c r="J261" s="349"/>
      <c r="K261" s="62" t="s">
        <v>86</v>
      </c>
      <c r="L261" s="80" t="s">
        <v>78</v>
      </c>
      <c r="M261" s="221">
        <v>12647.8</v>
      </c>
      <c r="N261" s="221">
        <v>0</v>
      </c>
      <c r="O261" s="221">
        <v>0</v>
      </c>
      <c r="P261" s="221">
        <v>0</v>
      </c>
      <c r="Q261" s="92">
        <v>0</v>
      </c>
    </row>
    <row r="262" spans="1:17" s="14" customFormat="1" ht="15.6" customHeight="1" x14ac:dyDescent="0.25">
      <c r="A262" s="365"/>
      <c r="B262" s="341"/>
      <c r="C262" s="346">
        <v>1</v>
      </c>
      <c r="D262" s="346"/>
      <c r="E262" s="347" t="s">
        <v>692</v>
      </c>
      <c r="F262" s="342">
        <v>6906.5999999999995</v>
      </c>
      <c r="G262" s="342">
        <v>0</v>
      </c>
      <c r="H262" s="348">
        <v>1000</v>
      </c>
      <c r="I262" s="348">
        <v>1000</v>
      </c>
      <c r="J262" s="348">
        <v>1000</v>
      </c>
      <c r="K262" s="305" t="s">
        <v>87</v>
      </c>
      <c r="L262" s="305" t="s">
        <v>88</v>
      </c>
      <c r="M262" s="267">
        <v>0</v>
      </c>
      <c r="N262" s="267">
        <v>0</v>
      </c>
      <c r="O262" s="267" t="s">
        <v>89</v>
      </c>
      <c r="P262" s="267" t="s">
        <v>89</v>
      </c>
      <c r="Q262" s="340" t="s">
        <v>89</v>
      </c>
    </row>
    <row r="263" spans="1:17" s="14" customFormat="1" ht="19.899999999999999" customHeight="1" x14ac:dyDescent="0.25">
      <c r="A263" s="365"/>
      <c r="B263" s="341"/>
      <c r="C263" s="346"/>
      <c r="D263" s="346"/>
      <c r="E263" s="301"/>
      <c r="F263" s="342"/>
      <c r="G263" s="342"/>
      <c r="H263" s="348"/>
      <c r="I263" s="348"/>
      <c r="J263" s="348"/>
      <c r="K263" s="305"/>
      <c r="L263" s="305"/>
      <c r="M263" s="267"/>
      <c r="N263" s="267"/>
      <c r="O263" s="267"/>
      <c r="P263" s="267"/>
      <c r="Q263" s="340"/>
    </row>
    <row r="264" spans="1:17" s="14" customFormat="1" ht="30" customHeight="1" x14ac:dyDescent="0.25">
      <c r="A264" s="365"/>
      <c r="B264" s="46"/>
      <c r="C264" s="199">
        <v>2</v>
      </c>
      <c r="D264" s="199"/>
      <c r="E264" s="177" t="s">
        <v>160</v>
      </c>
      <c r="F264" s="198">
        <v>3408.8</v>
      </c>
      <c r="G264" s="198">
        <v>0</v>
      </c>
      <c r="H264" s="200">
        <v>20000</v>
      </c>
      <c r="I264" s="200">
        <v>20000</v>
      </c>
      <c r="J264" s="200">
        <v>20000</v>
      </c>
      <c r="K264" s="305"/>
      <c r="L264" s="180" t="s">
        <v>90</v>
      </c>
      <c r="M264" s="254" t="s">
        <v>91</v>
      </c>
      <c r="N264" s="254" t="s">
        <v>91</v>
      </c>
      <c r="O264" s="255" t="s">
        <v>92</v>
      </c>
      <c r="P264" s="255" t="s">
        <v>93</v>
      </c>
      <c r="Q264" s="256" t="s">
        <v>94</v>
      </c>
    </row>
    <row r="265" spans="1:17" s="14" customFormat="1" ht="45" x14ac:dyDescent="0.25">
      <c r="A265" s="365"/>
      <c r="B265" s="46"/>
      <c r="C265" s="161" t="s">
        <v>14</v>
      </c>
      <c r="D265" s="161"/>
      <c r="E265" s="12" t="s">
        <v>161</v>
      </c>
      <c r="F265" s="198">
        <v>216529.09999999998</v>
      </c>
      <c r="G265" s="198">
        <v>120000</v>
      </c>
      <c r="H265" s="179">
        <f>638777.9+800000</f>
        <v>1438777.9</v>
      </c>
      <c r="I265" s="179">
        <f>666319.3+800000</f>
        <v>1466319.3</v>
      </c>
      <c r="J265" s="179">
        <f>727704.9+800000</f>
        <v>1527704.9</v>
      </c>
      <c r="K265" s="305"/>
      <c r="L265" s="180" t="s">
        <v>95</v>
      </c>
      <c r="M265" s="215">
        <v>10.199999999999999</v>
      </c>
      <c r="N265" s="11">
        <v>1</v>
      </c>
      <c r="O265" s="215" t="s">
        <v>96</v>
      </c>
      <c r="P265" s="215" t="s">
        <v>97</v>
      </c>
      <c r="Q265" s="216" t="s">
        <v>98</v>
      </c>
    </row>
    <row r="266" spans="1:17" s="14" customFormat="1" ht="37.5" customHeight="1" x14ac:dyDescent="0.25">
      <c r="A266" s="365"/>
      <c r="B266" s="197"/>
      <c r="C266" s="161" t="s">
        <v>18</v>
      </c>
      <c r="D266" s="161"/>
      <c r="E266" s="177" t="s">
        <v>162</v>
      </c>
      <c r="F266" s="198">
        <v>224165.1</v>
      </c>
      <c r="G266" s="198">
        <v>227050.8</v>
      </c>
      <c r="H266" s="179">
        <f>250000+50000</f>
        <v>300000</v>
      </c>
      <c r="I266" s="179">
        <f>250000+50000</f>
        <v>300000</v>
      </c>
      <c r="J266" s="179">
        <f>250000+50000</f>
        <v>300000</v>
      </c>
      <c r="K266" s="305"/>
      <c r="L266" s="180" t="s">
        <v>99</v>
      </c>
      <c r="M266" s="48" t="s">
        <v>100</v>
      </c>
      <c r="N266" s="48" t="s">
        <v>101</v>
      </c>
      <c r="O266" s="48" t="s">
        <v>102</v>
      </c>
      <c r="P266" s="48" t="s">
        <v>102</v>
      </c>
      <c r="Q266" s="93" t="s">
        <v>102</v>
      </c>
    </row>
    <row r="267" spans="1:17" s="14" customFormat="1" ht="31.9" customHeight="1" x14ac:dyDescent="0.25">
      <c r="A267" s="365"/>
      <c r="B267" s="341"/>
      <c r="C267" s="267" t="s">
        <v>19</v>
      </c>
      <c r="D267" s="267"/>
      <c r="E267" s="301" t="s">
        <v>163</v>
      </c>
      <c r="F267" s="342">
        <v>213139.1</v>
      </c>
      <c r="G267" s="342">
        <v>198000</v>
      </c>
      <c r="H267" s="342">
        <v>198000</v>
      </c>
      <c r="I267" s="342">
        <v>198000</v>
      </c>
      <c r="J267" s="342">
        <v>198000</v>
      </c>
      <c r="K267" s="177" t="s">
        <v>103</v>
      </c>
      <c r="L267" s="180" t="s">
        <v>12</v>
      </c>
      <c r="M267" s="58">
        <v>100</v>
      </c>
      <c r="N267" s="58">
        <v>100</v>
      </c>
      <c r="O267" s="58">
        <v>100</v>
      </c>
      <c r="P267" s="58">
        <v>100</v>
      </c>
      <c r="Q267" s="123">
        <v>100</v>
      </c>
    </row>
    <row r="268" spans="1:17" s="14" customFormat="1" ht="16.5" customHeight="1" x14ac:dyDescent="0.25">
      <c r="A268" s="365"/>
      <c r="B268" s="341"/>
      <c r="C268" s="267"/>
      <c r="D268" s="267"/>
      <c r="E268" s="301"/>
      <c r="F268" s="342"/>
      <c r="G268" s="342"/>
      <c r="H268" s="342"/>
      <c r="I268" s="342"/>
      <c r="J268" s="342"/>
      <c r="K268" s="177" t="s">
        <v>104</v>
      </c>
      <c r="L268" s="180" t="s">
        <v>48</v>
      </c>
      <c r="M268" s="58">
        <v>90</v>
      </c>
      <c r="N268" s="58">
        <v>90</v>
      </c>
      <c r="O268" s="58">
        <v>90</v>
      </c>
      <c r="P268" s="58">
        <v>80</v>
      </c>
      <c r="Q268" s="123">
        <v>75</v>
      </c>
    </row>
    <row r="269" spans="1:17" s="14" customFormat="1" ht="33" customHeight="1" x14ac:dyDescent="0.25">
      <c r="A269" s="365"/>
      <c r="B269" s="341"/>
      <c r="C269" s="267" t="s">
        <v>20</v>
      </c>
      <c r="D269" s="267"/>
      <c r="E269" s="301" t="s">
        <v>164</v>
      </c>
      <c r="F269" s="342">
        <v>290.7</v>
      </c>
      <c r="G269" s="342">
        <v>0</v>
      </c>
      <c r="H269" s="342">
        <v>0</v>
      </c>
      <c r="I269" s="342">
        <v>0</v>
      </c>
      <c r="J269" s="342">
        <v>0</v>
      </c>
      <c r="K269" s="177" t="s">
        <v>105</v>
      </c>
      <c r="L269" s="180" t="s">
        <v>48</v>
      </c>
      <c r="M269" s="215">
        <v>0</v>
      </c>
      <c r="N269" s="58">
        <v>0</v>
      </c>
      <c r="O269" s="58">
        <v>0</v>
      </c>
      <c r="P269" s="58">
        <v>65</v>
      </c>
      <c r="Q269" s="123">
        <v>70</v>
      </c>
    </row>
    <row r="270" spans="1:17" s="14" customFormat="1" ht="30" x14ac:dyDescent="0.25">
      <c r="A270" s="365"/>
      <c r="B270" s="341"/>
      <c r="C270" s="267"/>
      <c r="D270" s="267"/>
      <c r="E270" s="301"/>
      <c r="F270" s="342"/>
      <c r="G270" s="342"/>
      <c r="H270" s="342"/>
      <c r="I270" s="342"/>
      <c r="J270" s="342"/>
      <c r="K270" s="177" t="s">
        <v>106</v>
      </c>
      <c r="L270" s="180" t="s">
        <v>12</v>
      </c>
      <c r="M270" s="215">
        <v>0</v>
      </c>
      <c r="N270" s="58">
        <v>0</v>
      </c>
      <c r="O270" s="58">
        <v>0</v>
      </c>
      <c r="P270" s="58">
        <v>75</v>
      </c>
      <c r="Q270" s="123">
        <v>78</v>
      </c>
    </row>
    <row r="271" spans="1:17" s="14" customFormat="1" ht="51.75" customHeight="1" x14ac:dyDescent="0.25">
      <c r="A271" s="365"/>
      <c r="B271" s="197"/>
      <c r="C271" s="161" t="s">
        <v>21</v>
      </c>
      <c r="D271" s="161"/>
      <c r="E271" s="177" t="s">
        <v>165</v>
      </c>
      <c r="F271" s="198">
        <v>122699.59999999999</v>
      </c>
      <c r="G271" s="198">
        <v>144993.09999999998</v>
      </c>
      <c r="H271" s="198">
        <v>196177.6</v>
      </c>
      <c r="I271" s="198">
        <v>196177.6</v>
      </c>
      <c r="J271" s="198">
        <v>196177.6</v>
      </c>
      <c r="K271" s="181" t="s">
        <v>107</v>
      </c>
      <c r="L271" s="192" t="s">
        <v>78</v>
      </c>
      <c r="M271" s="215">
        <v>250</v>
      </c>
      <c r="N271" s="215">
        <v>250</v>
      </c>
      <c r="O271" s="215">
        <v>250</v>
      </c>
      <c r="P271" s="215">
        <v>210</v>
      </c>
      <c r="Q271" s="216">
        <v>200</v>
      </c>
    </row>
    <row r="272" spans="1:17" s="14" customFormat="1" ht="26.25" customHeight="1" x14ac:dyDescent="0.25">
      <c r="A272" s="365"/>
      <c r="B272" s="197"/>
      <c r="C272" s="161" t="s">
        <v>22</v>
      </c>
      <c r="D272" s="161"/>
      <c r="E272" s="177" t="s">
        <v>166</v>
      </c>
      <c r="F272" s="198">
        <v>0</v>
      </c>
      <c r="G272" s="198">
        <v>0</v>
      </c>
      <c r="H272" s="198">
        <v>0</v>
      </c>
      <c r="I272" s="198">
        <v>0</v>
      </c>
      <c r="J272" s="198">
        <v>0</v>
      </c>
      <c r="K272" s="181" t="s">
        <v>108</v>
      </c>
      <c r="L272" s="180" t="s">
        <v>12</v>
      </c>
      <c r="M272" s="215">
        <v>0</v>
      </c>
      <c r="N272" s="215">
        <v>0</v>
      </c>
      <c r="O272" s="215">
        <v>0</v>
      </c>
      <c r="P272" s="215">
        <v>51</v>
      </c>
      <c r="Q272" s="216">
        <v>53</v>
      </c>
    </row>
    <row r="273" spans="1:17" s="14" customFormat="1" ht="31.5" customHeight="1" x14ac:dyDescent="0.25">
      <c r="A273" s="365"/>
      <c r="B273" s="316" t="s">
        <v>154</v>
      </c>
      <c r="C273" s="316"/>
      <c r="D273" s="316"/>
      <c r="E273" s="62" t="s">
        <v>490</v>
      </c>
      <c r="F273" s="261">
        <f>F275+F278+F280+F282+F284+F286+F288+F290</f>
        <v>5984110.7000000002</v>
      </c>
      <c r="G273" s="261">
        <f t="shared" ref="G273:J273" si="20">G275+G278+G280+G282+G284+G286+G288+G290</f>
        <v>8044807.1500000004</v>
      </c>
      <c r="H273" s="261">
        <f t="shared" si="20"/>
        <v>10141256.84</v>
      </c>
      <c r="I273" s="261">
        <f t="shared" si="20"/>
        <v>12755163.620000001</v>
      </c>
      <c r="J273" s="261">
        <f t="shared" si="20"/>
        <v>10804316.928000001</v>
      </c>
      <c r="K273" s="201" t="s">
        <v>109</v>
      </c>
      <c r="L273" s="202" t="s">
        <v>78</v>
      </c>
      <c r="M273" s="49">
        <v>97.8</v>
      </c>
      <c r="N273" s="49">
        <v>112.5</v>
      </c>
      <c r="O273" s="49">
        <v>143.9</v>
      </c>
      <c r="P273" s="49">
        <v>111</v>
      </c>
      <c r="Q273" s="94">
        <v>70</v>
      </c>
    </row>
    <row r="274" spans="1:17" s="14" customFormat="1" ht="99" customHeight="1" x14ac:dyDescent="0.25">
      <c r="A274" s="365"/>
      <c r="B274" s="316"/>
      <c r="C274" s="316"/>
      <c r="D274" s="316"/>
      <c r="E274" s="115" t="s">
        <v>110</v>
      </c>
      <c r="F274" s="261"/>
      <c r="G274" s="261"/>
      <c r="H274" s="261"/>
      <c r="I274" s="261"/>
      <c r="J274" s="261"/>
      <c r="K274" s="201" t="s">
        <v>111</v>
      </c>
      <c r="L274" s="202">
        <v>4029</v>
      </c>
      <c r="M274" s="50">
        <v>2.4274013402829486E-2</v>
      </c>
      <c r="N274" s="50">
        <v>2.7922561429635145E-2</v>
      </c>
      <c r="O274" s="50">
        <v>3.571605857532887E-2</v>
      </c>
      <c r="P274" s="50">
        <v>2.7550260610573342E-2</v>
      </c>
      <c r="Q274" s="95">
        <v>1.7374038222884091E-2</v>
      </c>
    </row>
    <row r="275" spans="1:17" s="14" customFormat="1" ht="21" customHeight="1" x14ac:dyDescent="0.25">
      <c r="A275" s="365"/>
      <c r="B275" s="260"/>
      <c r="C275" s="267" t="s">
        <v>15</v>
      </c>
      <c r="D275" s="316"/>
      <c r="E275" s="357" t="s">
        <v>159</v>
      </c>
      <c r="F275" s="342">
        <v>393024.8</v>
      </c>
      <c r="G275" s="342">
        <v>266050</v>
      </c>
      <c r="H275" s="342">
        <v>0</v>
      </c>
      <c r="I275" s="342">
        <v>0</v>
      </c>
      <c r="J275" s="342">
        <v>0</v>
      </c>
      <c r="K275" s="177" t="s">
        <v>112</v>
      </c>
      <c r="L275" s="203" t="s">
        <v>78</v>
      </c>
      <c r="M275" s="225">
        <v>18.7</v>
      </c>
      <c r="N275" s="225">
        <v>9.3000000000000007</v>
      </c>
      <c r="O275" s="225">
        <v>0</v>
      </c>
      <c r="P275" s="225">
        <v>0</v>
      </c>
      <c r="Q275" s="226">
        <v>0</v>
      </c>
    </row>
    <row r="276" spans="1:17" s="14" customFormat="1" ht="14.45" customHeight="1" x14ac:dyDescent="0.25">
      <c r="A276" s="365"/>
      <c r="B276" s="260"/>
      <c r="C276" s="267"/>
      <c r="D276" s="316"/>
      <c r="E276" s="357"/>
      <c r="F276" s="342"/>
      <c r="G276" s="342"/>
      <c r="H276" s="342"/>
      <c r="I276" s="342"/>
      <c r="J276" s="342"/>
      <c r="K276" s="301" t="s">
        <v>113</v>
      </c>
      <c r="L276" s="356" t="s">
        <v>12</v>
      </c>
      <c r="M276" s="356">
        <v>18.7</v>
      </c>
      <c r="N276" s="356">
        <v>9.3000000000000007</v>
      </c>
      <c r="O276" s="356">
        <v>0</v>
      </c>
      <c r="P276" s="356">
        <v>0</v>
      </c>
      <c r="Q276" s="355">
        <v>0</v>
      </c>
    </row>
    <row r="277" spans="1:17" s="14" customFormat="1" ht="31.5" customHeight="1" x14ac:dyDescent="0.25">
      <c r="A277" s="365"/>
      <c r="B277" s="260"/>
      <c r="C277" s="267"/>
      <c r="D277" s="316"/>
      <c r="E277" s="357"/>
      <c r="F277" s="342"/>
      <c r="G277" s="342"/>
      <c r="H277" s="342"/>
      <c r="I277" s="342"/>
      <c r="J277" s="342"/>
      <c r="K277" s="301"/>
      <c r="L277" s="356"/>
      <c r="M277" s="356"/>
      <c r="N277" s="356"/>
      <c r="O277" s="356"/>
      <c r="P277" s="356"/>
      <c r="Q277" s="355"/>
    </row>
    <row r="278" spans="1:17" s="14" customFormat="1" ht="21.75" customHeight="1" x14ac:dyDescent="0.25">
      <c r="A278" s="365"/>
      <c r="B278" s="260"/>
      <c r="C278" s="260" t="s">
        <v>16</v>
      </c>
      <c r="D278" s="260"/>
      <c r="E278" s="310" t="s">
        <v>167</v>
      </c>
      <c r="F278" s="342">
        <v>380885.39999999997</v>
      </c>
      <c r="G278" s="342">
        <v>620500</v>
      </c>
      <c r="H278" s="304">
        <v>830429.60000000009</v>
      </c>
      <c r="I278" s="304">
        <v>2821691.72</v>
      </c>
      <c r="J278" s="304">
        <v>4633434</v>
      </c>
      <c r="K278" s="177" t="s">
        <v>112</v>
      </c>
      <c r="L278" s="203" t="s">
        <v>78</v>
      </c>
      <c r="M278" s="29">
        <v>13.6</v>
      </c>
      <c r="N278" s="29">
        <v>8.1999999999999993</v>
      </c>
      <c r="O278" s="29">
        <v>0</v>
      </c>
      <c r="P278" s="29">
        <v>15</v>
      </c>
      <c r="Q278" s="96">
        <v>25</v>
      </c>
    </row>
    <row r="279" spans="1:17" s="14" customFormat="1" ht="62.25" customHeight="1" x14ac:dyDescent="0.25">
      <c r="A279" s="365"/>
      <c r="B279" s="260"/>
      <c r="C279" s="260"/>
      <c r="D279" s="260"/>
      <c r="E279" s="310"/>
      <c r="F279" s="342"/>
      <c r="G279" s="342"/>
      <c r="H279" s="304"/>
      <c r="I279" s="304"/>
      <c r="J279" s="304"/>
      <c r="K279" s="177" t="s">
        <v>113</v>
      </c>
      <c r="L279" s="203" t="s">
        <v>12</v>
      </c>
      <c r="M279" s="17">
        <v>46.618987341772154</v>
      </c>
      <c r="N279" s="17">
        <v>50.429113924050633</v>
      </c>
      <c r="O279" s="52">
        <v>0.85822784810126584</v>
      </c>
      <c r="P279" s="52">
        <v>0.89620253164556962</v>
      </c>
      <c r="Q279" s="97">
        <v>0.95949367088607596</v>
      </c>
    </row>
    <row r="280" spans="1:17" s="14" customFormat="1" ht="20.25" customHeight="1" x14ac:dyDescent="0.25">
      <c r="A280" s="365"/>
      <c r="B280" s="260"/>
      <c r="C280" s="260" t="s">
        <v>14</v>
      </c>
      <c r="D280" s="260"/>
      <c r="E280" s="359" t="s">
        <v>168</v>
      </c>
      <c r="F280" s="342">
        <v>1968845.1</v>
      </c>
      <c r="G280" s="342">
        <v>1980500</v>
      </c>
      <c r="H280" s="304">
        <v>2153167.6399999997</v>
      </c>
      <c r="I280" s="304">
        <v>355245.92</v>
      </c>
      <c r="J280" s="304">
        <v>40145.040000000001</v>
      </c>
      <c r="K280" s="177" t="s">
        <v>112</v>
      </c>
      <c r="L280" s="203" t="s">
        <v>78</v>
      </c>
      <c r="M280" s="225">
        <v>22.5</v>
      </c>
      <c r="N280" s="225">
        <v>39</v>
      </c>
      <c r="O280" s="225">
        <v>38.9</v>
      </c>
      <c r="P280" s="225">
        <v>15.5</v>
      </c>
      <c r="Q280" s="226">
        <v>0</v>
      </c>
    </row>
    <row r="281" spans="1:17" s="14" customFormat="1" ht="47.25" customHeight="1" x14ac:dyDescent="0.25">
      <c r="A281" s="365"/>
      <c r="B281" s="260"/>
      <c r="C281" s="260"/>
      <c r="D281" s="260"/>
      <c r="E281" s="359"/>
      <c r="F281" s="342"/>
      <c r="G281" s="342"/>
      <c r="H281" s="304"/>
      <c r="I281" s="304"/>
      <c r="J281" s="304"/>
      <c r="K281" s="184" t="s">
        <v>114</v>
      </c>
      <c r="L281" s="203" t="s">
        <v>12</v>
      </c>
      <c r="M281" s="52">
        <v>0.497</v>
      </c>
      <c r="N281" s="52">
        <v>0.57899999999999996</v>
      </c>
      <c r="O281" s="52">
        <v>0.88450000000000006</v>
      </c>
      <c r="P281" s="52">
        <v>1</v>
      </c>
      <c r="Q281" s="97">
        <v>0</v>
      </c>
    </row>
    <row r="282" spans="1:17" s="14" customFormat="1" ht="19.5" customHeight="1" x14ac:dyDescent="0.25">
      <c r="A282" s="365"/>
      <c r="B282" s="260"/>
      <c r="C282" s="260" t="s">
        <v>14</v>
      </c>
      <c r="D282" s="260"/>
      <c r="E282" s="358" t="s">
        <v>666</v>
      </c>
      <c r="F282" s="342">
        <v>0</v>
      </c>
      <c r="G282" s="342">
        <v>170000</v>
      </c>
      <c r="H282" s="304">
        <v>677745.12000000011</v>
      </c>
      <c r="I282" s="304">
        <v>1046379.2</v>
      </c>
      <c r="J282" s="304">
        <v>923642.92799999996</v>
      </c>
      <c r="K282" s="177" t="s">
        <v>115</v>
      </c>
      <c r="L282" s="192" t="s">
        <v>48</v>
      </c>
      <c r="M282" s="227">
        <v>0</v>
      </c>
      <c r="N282" s="227">
        <v>0.1</v>
      </c>
      <c r="O282" s="227">
        <v>0.25</v>
      </c>
      <c r="P282" s="227">
        <v>0.2</v>
      </c>
      <c r="Q282" s="82">
        <v>0.2</v>
      </c>
    </row>
    <row r="283" spans="1:17" s="14" customFormat="1" ht="27.6" customHeight="1" x14ac:dyDescent="0.25">
      <c r="A283" s="365"/>
      <c r="B283" s="260"/>
      <c r="C283" s="260"/>
      <c r="D283" s="260"/>
      <c r="E283" s="358"/>
      <c r="F283" s="342"/>
      <c r="G283" s="342"/>
      <c r="H283" s="304"/>
      <c r="I283" s="304"/>
      <c r="J283" s="304"/>
      <c r="K283" s="177" t="s">
        <v>693</v>
      </c>
      <c r="L283" s="192" t="s">
        <v>12</v>
      </c>
      <c r="M283" s="47">
        <v>0</v>
      </c>
      <c r="N283" s="47">
        <v>0</v>
      </c>
      <c r="O283" s="47">
        <v>0</v>
      </c>
      <c r="P283" s="47">
        <v>0</v>
      </c>
      <c r="Q283" s="98">
        <v>1</v>
      </c>
    </row>
    <row r="284" spans="1:17" s="14" customFormat="1" ht="16.5" customHeight="1" x14ac:dyDescent="0.25">
      <c r="A284" s="365"/>
      <c r="B284" s="260"/>
      <c r="C284" s="260" t="s">
        <v>18</v>
      </c>
      <c r="D284" s="260"/>
      <c r="E284" s="310" t="s">
        <v>169</v>
      </c>
      <c r="F284" s="342">
        <v>3207159.2</v>
      </c>
      <c r="G284" s="342">
        <v>4764019.6500000004</v>
      </c>
      <c r="H284" s="304">
        <v>5389164.5599999996</v>
      </c>
      <c r="I284" s="304">
        <v>4398401.9399999995</v>
      </c>
      <c r="J284" s="304">
        <v>395235.36</v>
      </c>
      <c r="K284" s="177" t="s">
        <v>112</v>
      </c>
      <c r="L284" s="203" t="s">
        <v>78</v>
      </c>
      <c r="M284" s="225">
        <v>43</v>
      </c>
      <c r="N284" s="225">
        <v>56</v>
      </c>
      <c r="O284" s="225">
        <v>105</v>
      </c>
      <c r="P284" s="225">
        <v>55</v>
      </c>
      <c r="Q284" s="226">
        <v>0</v>
      </c>
    </row>
    <row r="285" spans="1:17" s="14" customFormat="1" ht="54.75" customHeight="1" x14ac:dyDescent="0.25">
      <c r="A285" s="365"/>
      <c r="B285" s="260"/>
      <c r="C285" s="260"/>
      <c r="D285" s="260"/>
      <c r="E285" s="310"/>
      <c r="F285" s="342"/>
      <c r="G285" s="342"/>
      <c r="H285" s="304"/>
      <c r="I285" s="304"/>
      <c r="J285" s="304"/>
      <c r="K285" s="184" t="s">
        <v>694</v>
      </c>
      <c r="L285" s="192" t="s">
        <v>12</v>
      </c>
      <c r="M285" s="53">
        <v>79.8</v>
      </c>
      <c r="N285" s="54">
        <v>73.7</v>
      </c>
      <c r="O285" s="54">
        <v>81.325000000000003</v>
      </c>
      <c r="P285" s="54">
        <v>100</v>
      </c>
      <c r="Q285" s="99">
        <v>0</v>
      </c>
    </row>
    <row r="286" spans="1:17" s="14" customFormat="1" ht="23.25" customHeight="1" x14ac:dyDescent="0.25">
      <c r="A286" s="365"/>
      <c r="B286" s="260"/>
      <c r="C286" s="260" t="s">
        <v>19</v>
      </c>
      <c r="D286" s="260"/>
      <c r="E286" s="301" t="s">
        <v>170</v>
      </c>
      <c r="F286" s="342">
        <v>8932</v>
      </c>
      <c r="G286" s="342">
        <v>0</v>
      </c>
      <c r="H286" s="342">
        <v>569543.52</v>
      </c>
      <c r="I286" s="342">
        <v>551537.36</v>
      </c>
      <c r="J286" s="342">
        <v>295233.11999999994</v>
      </c>
      <c r="K286" s="177" t="s">
        <v>112</v>
      </c>
      <c r="L286" s="203" t="s">
        <v>78</v>
      </c>
      <c r="M286" s="55">
        <v>0</v>
      </c>
      <c r="N286" s="55">
        <v>0</v>
      </c>
      <c r="O286" s="55">
        <v>0</v>
      </c>
      <c r="P286" s="55">
        <v>0</v>
      </c>
      <c r="Q286" s="100">
        <v>0</v>
      </c>
    </row>
    <row r="287" spans="1:17" s="14" customFormat="1" ht="46.5" customHeight="1" x14ac:dyDescent="0.25">
      <c r="A287" s="365"/>
      <c r="B287" s="260"/>
      <c r="C287" s="260"/>
      <c r="D287" s="260"/>
      <c r="E287" s="301"/>
      <c r="F287" s="342"/>
      <c r="G287" s="342"/>
      <c r="H287" s="342"/>
      <c r="I287" s="342"/>
      <c r="J287" s="342"/>
      <c r="K287" s="177" t="s">
        <v>695</v>
      </c>
      <c r="L287" s="203" t="s">
        <v>12</v>
      </c>
      <c r="M287" s="225">
        <v>100</v>
      </c>
      <c r="N287" s="225">
        <v>0</v>
      </c>
      <c r="O287" s="225">
        <v>0</v>
      </c>
      <c r="P287" s="225">
        <v>0</v>
      </c>
      <c r="Q287" s="226">
        <v>100</v>
      </c>
    </row>
    <row r="288" spans="1:17" s="14" customFormat="1" ht="31.15" customHeight="1" x14ac:dyDescent="0.25">
      <c r="A288" s="365"/>
      <c r="B288" s="260"/>
      <c r="C288" s="260" t="s">
        <v>20</v>
      </c>
      <c r="D288" s="260"/>
      <c r="E288" s="310" t="s">
        <v>171</v>
      </c>
      <c r="F288" s="342">
        <v>0</v>
      </c>
      <c r="G288" s="342">
        <v>30149.5</v>
      </c>
      <c r="H288" s="342">
        <v>9724</v>
      </c>
      <c r="I288" s="342">
        <v>1092215.04</v>
      </c>
      <c r="J288" s="342">
        <v>2746008.7199999997</v>
      </c>
      <c r="K288" s="177" t="s">
        <v>112</v>
      </c>
      <c r="L288" s="203" t="s">
        <v>78</v>
      </c>
      <c r="M288" s="225">
        <v>0</v>
      </c>
      <c r="N288" s="225">
        <v>0</v>
      </c>
      <c r="O288" s="225">
        <v>0</v>
      </c>
      <c r="P288" s="225">
        <v>15.5</v>
      </c>
      <c r="Q288" s="226">
        <v>20</v>
      </c>
    </row>
    <row r="289" spans="1:17" s="14" customFormat="1" ht="66" customHeight="1" x14ac:dyDescent="0.25">
      <c r="A289" s="365"/>
      <c r="B289" s="260"/>
      <c r="C289" s="260"/>
      <c r="D289" s="260"/>
      <c r="E289" s="310"/>
      <c r="F289" s="342"/>
      <c r="G289" s="342"/>
      <c r="H289" s="342"/>
      <c r="I289" s="342"/>
      <c r="J289" s="342"/>
      <c r="K289" s="177" t="s">
        <v>695</v>
      </c>
      <c r="L289" s="203" t="s">
        <v>12</v>
      </c>
      <c r="M289" s="225">
        <v>0</v>
      </c>
      <c r="N289" s="225">
        <v>0</v>
      </c>
      <c r="O289" s="225">
        <v>0</v>
      </c>
      <c r="P289" s="56">
        <v>0.437</v>
      </c>
      <c r="Q289" s="226">
        <v>78.2</v>
      </c>
    </row>
    <row r="290" spans="1:17" s="14" customFormat="1" ht="30.75" customHeight="1" x14ac:dyDescent="0.25">
      <c r="A290" s="365"/>
      <c r="B290" s="260"/>
      <c r="C290" s="260" t="s">
        <v>20</v>
      </c>
      <c r="D290" s="260"/>
      <c r="E290" s="310" t="s">
        <v>172</v>
      </c>
      <c r="F290" s="342">
        <v>25264.2</v>
      </c>
      <c r="G290" s="342">
        <v>213588</v>
      </c>
      <c r="H290" s="304">
        <v>511482.4</v>
      </c>
      <c r="I290" s="304">
        <f>2491352.24-1659.8</f>
        <v>2489692.4400000004</v>
      </c>
      <c r="J290" s="304">
        <f>1772325.36-1707.6</f>
        <v>1770617.76</v>
      </c>
      <c r="K290" s="177" t="s">
        <v>112</v>
      </c>
      <c r="L290" s="203" t="s">
        <v>78</v>
      </c>
      <c r="M290" s="55">
        <v>0</v>
      </c>
      <c r="N290" s="55">
        <v>0</v>
      </c>
      <c r="O290" s="55">
        <v>0</v>
      </c>
      <c r="P290" s="55">
        <v>10</v>
      </c>
      <c r="Q290" s="100">
        <v>25</v>
      </c>
    </row>
    <row r="291" spans="1:17" s="14" customFormat="1" ht="24.6" customHeight="1" x14ac:dyDescent="0.25">
      <c r="A291" s="365"/>
      <c r="B291" s="260"/>
      <c r="C291" s="260"/>
      <c r="D291" s="260"/>
      <c r="E291" s="310"/>
      <c r="F291" s="342"/>
      <c r="G291" s="342"/>
      <c r="H291" s="304"/>
      <c r="I291" s="304"/>
      <c r="J291" s="304"/>
      <c r="K291" s="301" t="s">
        <v>695</v>
      </c>
      <c r="L291" s="356" t="s">
        <v>12</v>
      </c>
      <c r="M291" s="52">
        <v>0.51315789473684215</v>
      </c>
      <c r="N291" s="52">
        <v>0.51315789473684215</v>
      </c>
      <c r="O291" s="52">
        <v>0.51315789473684215</v>
      </c>
      <c r="P291" s="52">
        <v>0.64473684210526316</v>
      </c>
      <c r="Q291" s="97">
        <v>0.97368421052631582</v>
      </c>
    </row>
    <row r="292" spans="1:17" s="14" customFormat="1" ht="39" customHeight="1" x14ac:dyDescent="0.25">
      <c r="A292" s="365"/>
      <c r="B292" s="260"/>
      <c r="C292" s="260"/>
      <c r="D292" s="260"/>
      <c r="E292" s="310"/>
      <c r="F292" s="342"/>
      <c r="G292" s="342"/>
      <c r="H292" s="304"/>
      <c r="I292" s="304"/>
      <c r="J292" s="304"/>
      <c r="K292" s="301"/>
      <c r="L292" s="356"/>
      <c r="M292" s="225"/>
      <c r="N292" s="225"/>
      <c r="O292" s="225"/>
      <c r="P292" s="225"/>
      <c r="Q292" s="226"/>
    </row>
    <row r="293" spans="1:17" s="14" customFormat="1" ht="60.75" customHeight="1" x14ac:dyDescent="0.25">
      <c r="A293" s="365"/>
      <c r="B293" s="266" t="s">
        <v>155</v>
      </c>
      <c r="C293" s="266"/>
      <c r="D293" s="266"/>
      <c r="E293" s="360" t="s">
        <v>501</v>
      </c>
      <c r="F293" s="261">
        <f>F299+F302</f>
        <v>290747.2</v>
      </c>
      <c r="G293" s="261">
        <f t="shared" ref="G293:J293" si="21">G299+G302</f>
        <v>318593.8</v>
      </c>
      <c r="H293" s="261">
        <f t="shared" si="21"/>
        <v>370454.3</v>
      </c>
      <c r="I293" s="261">
        <f t="shared" si="21"/>
        <v>379268.2</v>
      </c>
      <c r="J293" s="261">
        <f t="shared" si="21"/>
        <v>388619.1</v>
      </c>
      <c r="K293" s="59" t="s">
        <v>116</v>
      </c>
      <c r="L293" s="80" t="s">
        <v>12</v>
      </c>
      <c r="M293" s="218">
        <v>88.3</v>
      </c>
      <c r="N293" s="218">
        <v>87.7</v>
      </c>
      <c r="O293" s="218">
        <v>88</v>
      </c>
      <c r="P293" s="218">
        <v>88.5</v>
      </c>
      <c r="Q293" s="101">
        <v>88.5</v>
      </c>
    </row>
    <row r="294" spans="1:17" s="14" customFormat="1" ht="50.25" customHeight="1" x14ac:dyDescent="0.25">
      <c r="A294" s="365"/>
      <c r="B294" s="266"/>
      <c r="C294" s="266"/>
      <c r="D294" s="266"/>
      <c r="E294" s="361"/>
      <c r="F294" s="261"/>
      <c r="G294" s="261"/>
      <c r="H294" s="261"/>
      <c r="I294" s="261"/>
      <c r="J294" s="261"/>
      <c r="K294" s="191" t="s">
        <v>117</v>
      </c>
      <c r="L294" s="80" t="s">
        <v>118</v>
      </c>
      <c r="M294" s="218">
        <v>2288.9564</v>
      </c>
      <c r="N294" s="218">
        <v>2746.7476799999999</v>
      </c>
      <c r="O294" s="218">
        <v>3295.8872199999996</v>
      </c>
      <c r="P294" s="218">
        <v>3954.7496699999992</v>
      </c>
      <c r="Q294" s="101">
        <v>4745.3846099999992</v>
      </c>
    </row>
    <row r="295" spans="1:17" s="14" customFormat="1" ht="39" customHeight="1" x14ac:dyDescent="0.25">
      <c r="A295" s="365"/>
      <c r="B295" s="266"/>
      <c r="C295" s="266"/>
      <c r="D295" s="266"/>
      <c r="E295" s="361"/>
      <c r="F295" s="261"/>
      <c r="G295" s="261"/>
      <c r="H295" s="261"/>
      <c r="I295" s="261"/>
      <c r="J295" s="261"/>
      <c r="K295" s="191" t="s">
        <v>119</v>
      </c>
      <c r="L295" s="59" t="s">
        <v>120</v>
      </c>
      <c r="M295" s="218">
        <v>436</v>
      </c>
      <c r="N295" s="218">
        <v>523.20000000000005</v>
      </c>
      <c r="O295" s="218">
        <v>627.79999999999995</v>
      </c>
      <c r="P295" s="218">
        <v>753.3</v>
      </c>
      <c r="Q295" s="101">
        <v>903.9</v>
      </c>
    </row>
    <row r="296" spans="1:17" s="14" customFormat="1" ht="38.450000000000003" customHeight="1" x14ac:dyDescent="0.25">
      <c r="A296" s="365"/>
      <c r="B296" s="266"/>
      <c r="C296" s="266"/>
      <c r="D296" s="266"/>
      <c r="E296" s="361"/>
      <c r="F296" s="261"/>
      <c r="G296" s="261"/>
      <c r="H296" s="261"/>
      <c r="I296" s="261"/>
      <c r="J296" s="261"/>
      <c r="K296" s="191" t="s">
        <v>121</v>
      </c>
      <c r="L296" s="59" t="s">
        <v>122</v>
      </c>
      <c r="M296" s="218">
        <v>3019.2174899999995</v>
      </c>
      <c r="N296" s="218">
        <v>3321.0867399999997</v>
      </c>
      <c r="O296" s="218">
        <v>3652.8804199999995</v>
      </c>
      <c r="P296" s="218">
        <v>4018.2734599999994</v>
      </c>
      <c r="Q296" s="101">
        <v>4419.8908099999999</v>
      </c>
    </row>
    <row r="297" spans="1:17" s="14" customFormat="1" ht="39.6" customHeight="1" x14ac:dyDescent="0.25">
      <c r="A297" s="365"/>
      <c r="B297" s="266"/>
      <c r="C297" s="266"/>
      <c r="D297" s="266"/>
      <c r="E297" s="361"/>
      <c r="F297" s="261"/>
      <c r="G297" s="261"/>
      <c r="H297" s="261"/>
      <c r="I297" s="261"/>
      <c r="J297" s="261"/>
      <c r="K297" s="201" t="s">
        <v>123</v>
      </c>
      <c r="L297" s="59" t="s">
        <v>124</v>
      </c>
      <c r="M297" s="218" t="s">
        <v>148</v>
      </c>
      <c r="N297" s="218" t="s">
        <v>149</v>
      </c>
      <c r="O297" s="218" t="s">
        <v>150</v>
      </c>
      <c r="P297" s="218" t="s">
        <v>151</v>
      </c>
      <c r="Q297" s="101" t="s">
        <v>151</v>
      </c>
    </row>
    <row r="298" spans="1:17" s="14" customFormat="1" ht="39.6" customHeight="1" x14ac:dyDescent="0.25">
      <c r="A298" s="365"/>
      <c r="B298" s="266"/>
      <c r="C298" s="266"/>
      <c r="D298" s="266"/>
      <c r="E298" s="362"/>
      <c r="F298" s="261"/>
      <c r="G298" s="261"/>
      <c r="H298" s="261"/>
      <c r="I298" s="261"/>
      <c r="J298" s="261"/>
      <c r="K298" s="191" t="s">
        <v>125</v>
      </c>
      <c r="L298" s="59" t="s">
        <v>126</v>
      </c>
      <c r="M298" s="218">
        <v>575.1</v>
      </c>
      <c r="N298" s="218">
        <v>632.6</v>
      </c>
      <c r="O298" s="218">
        <v>695.8</v>
      </c>
      <c r="P298" s="218">
        <v>765.4</v>
      </c>
      <c r="Q298" s="101">
        <v>841.9</v>
      </c>
    </row>
    <row r="299" spans="1:17" s="14" customFormat="1" ht="30" x14ac:dyDescent="0.25">
      <c r="A299" s="365"/>
      <c r="B299" s="260"/>
      <c r="C299" s="260" t="s">
        <v>15</v>
      </c>
      <c r="D299" s="260"/>
      <c r="E299" s="301" t="s">
        <v>173</v>
      </c>
      <c r="F299" s="363">
        <v>118596.99999999999</v>
      </c>
      <c r="G299" s="363">
        <v>120519.9</v>
      </c>
      <c r="H299" s="363">
        <v>172380.4</v>
      </c>
      <c r="I299" s="363">
        <v>174400</v>
      </c>
      <c r="J299" s="363">
        <v>177400</v>
      </c>
      <c r="K299" s="12" t="s">
        <v>127</v>
      </c>
      <c r="L299" s="205" t="s">
        <v>11</v>
      </c>
      <c r="M299" s="224">
        <v>15483</v>
      </c>
      <c r="N299" s="224">
        <v>20520</v>
      </c>
      <c r="O299" s="224">
        <v>20550</v>
      </c>
      <c r="P299" s="224">
        <v>20550</v>
      </c>
      <c r="Q299" s="102">
        <v>20550</v>
      </c>
    </row>
    <row r="300" spans="1:17" s="14" customFormat="1" ht="47.45" customHeight="1" x14ac:dyDescent="0.25">
      <c r="A300" s="365"/>
      <c r="B300" s="260"/>
      <c r="C300" s="260"/>
      <c r="D300" s="260"/>
      <c r="E300" s="301"/>
      <c r="F300" s="363"/>
      <c r="G300" s="363"/>
      <c r="H300" s="363"/>
      <c r="I300" s="363"/>
      <c r="J300" s="363"/>
      <c r="K300" s="181" t="s">
        <v>128</v>
      </c>
      <c r="L300" s="180" t="s">
        <v>11</v>
      </c>
      <c r="M300" s="224">
        <v>19002</v>
      </c>
      <c r="N300" s="224">
        <v>48700</v>
      </c>
      <c r="O300" s="224">
        <v>49300</v>
      </c>
      <c r="P300" s="224">
        <v>50500</v>
      </c>
      <c r="Q300" s="102">
        <v>50500</v>
      </c>
    </row>
    <row r="301" spans="1:17" s="14" customFormat="1" ht="30" x14ac:dyDescent="0.25">
      <c r="A301" s="365"/>
      <c r="B301" s="260"/>
      <c r="C301" s="260"/>
      <c r="D301" s="260"/>
      <c r="E301" s="301"/>
      <c r="F301" s="363"/>
      <c r="G301" s="363"/>
      <c r="H301" s="363"/>
      <c r="I301" s="363"/>
      <c r="J301" s="363"/>
      <c r="K301" s="181" t="s">
        <v>129</v>
      </c>
      <c r="L301" s="180" t="s">
        <v>130</v>
      </c>
      <c r="M301" s="224">
        <v>957.5</v>
      </c>
      <c r="N301" s="224">
        <v>1000</v>
      </c>
      <c r="O301" s="224">
        <v>1000</v>
      </c>
      <c r="P301" s="224">
        <v>1000</v>
      </c>
      <c r="Q301" s="102">
        <v>1000</v>
      </c>
    </row>
    <row r="302" spans="1:17" s="14" customFormat="1" ht="30" x14ac:dyDescent="0.25">
      <c r="A302" s="365"/>
      <c r="B302" s="267"/>
      <c r="C302" s="267" t="s">
        <v>16</v>
      </c>
      <c r="D302" s="267"/>
      <c r="E302" s="301" t="s">
        <v>174</v>
      </c>
      <c r="F302" s="342">
        <v>172150.2</v>
      </c>
      <c r="G302" s="342">
        <v>198073.9</v>
      </c>
      <c r="H302" s="342">
        <v>198073.9</v>
      </c>
      <c r="I302" s="342">
        <v>204868.2</v>
      </c>
      <c r="J302" s="342">
        <v>211219.1</v>
      </c>
      <c r="K302" s="181" t="s">
        <v>131</v>
      </c>
      <c r="L302" s="58" t="s">
        <v>120</v>
      </c>
      <c r="M302" s="11">
        <v>436</v>
      </c>
      <c r="N302" s="11">
        <v>523.20000000000005</v>
      </c>
      <c r="O302" s="11">
        <v>627.79999999999995</v>
      </c>
      <c r="P302" s="11">
        <v>753.3</v>
      </c>
      <c r="Q302" s="103">
        <v>903.9</v>
      </c>
    </row>
    <row r="303" spans="1:17" s="14" customFormat="1" ht="30" x14ac:dyDescent="0.25">
      <c r="A303" s="365"/>
      <c r="B303" s="267"/>
      <c r="C303" s="267"/>
      <c r="D303" s="267"/>
      <c r="E303" s="301"/>
      <c r="F303" s="342"/>
      <c r="G303" s="342"/>
      <c r="H303" s="342"/>
      <c r="I303" s="342"/>
      <c r="J303" s="342"/>
      <c r="K303" s="177" t="s">
        <v>132</v>
      </c>
      <c r="L303" s="180" t="s">
        <v>77</v>
      </c>
      <c r="M303" s="11">
        <v>575.1</v>
      </c>
      <c r="N303" s="11">
        <v>632.6</v>
      </c>
      <c r="O303" s="11">
        <v>695.8</v>
      </c>
      <c r="P303" s="11">
        <v>765.4</v>
      </c>
      <c r="Q303" s="103">
        <v>841.9</v>
      </c>
    </row>
    <row r="304" spans="1:17" s="14" customFormat="1" ht="133.5" x14ac:dyDescent="0.25">
      <c r="A304" s="365"/>
      <c r="B304" s="186"/>
      <c r="C304" s="186"/>
      <c r="D304" s="195"/>
      <c r="E304" s="112" t="s">
        <v>502</v>
      </c>
      <c r="F304" s="158">
        <f>F305+F307+F308</f>
        <v>60905.7</v>
      </c>
      <c r="G304" s="158">
        <f t="shared" ref="G304:J304" si="22">G305+G307+G308</f>
        <v>56458</v>
      </c>
      <c r="H304" s="158">
        <f t="shared" si="22"/>
        <v>87547.199999999997</v>
      </c>
      <c r="I304" s="158">
        <f t="shared" si="22"/>
        <v>88009.2</v>
      </c>
      <c r="J304" s="158">
        <f t="shared" si="22"/>
        <v>88471.1</v>
      </c>
      <c r="K304" s="122" t="s">
        <v>133</v>
      </c>
      <c r="L304" s="122" t="s">
        <v>36</v>
      </c>
      <c r="M304" s="80" t="s">
        <v>134</v>
      </c>
      <c r="N304" s="80" t="s">
        <v>135</v>
      </c>
      <c r="O304" s="80" t="s">
        <v>136</v>
      </c>
      <c r="P304" s="80" t="s">
        <v>137</v>
      </c>
      <c r="Q304" s="80" t="s">
        <v>138</v>
      </c>
    </row>
    <row r="305" spans="1:17" s="14" customFormat="1" ht="15" hidden="1" customHeight="1" x14ac:dyDescent="0.25">
      <c r="A305" s="365"/>
      <c r="B305" s="267"/>
      <c r="C305" s="161"/>
      <c r="D305" s="267"/>
      <c r="E305" s="367" t="s">
        <v>158</v>
      </c>
      <c r="F305" s="304">
        <v>12434.3</v>
      </c>
      <c r="G305" s="304">
        <v>12436</v>
      </c>
      <c r="H305" s="304">
        <v>14438.2</v>
      </c>
      <c r="I305" s="304">
        <v>14900.2</v>
      </c>
      <c r="J305" s="304">
        <v>15362.1</v>
      </c>
      <c r="K305" s="310" t="s">
        <v>139</v>
      </c>
      <c r="L305" s="325" t="s">
        <v>36</v>
      </c>
      <c r="M305" s="325" t="s">
        <v>140</v>
      </c>
      <c r="N305" s="325">
        <v>48</v>
      </c>
      <c r="O305" s="325">
        <v>60</v>
      </c>
      <c r="P305" s="325">
        <v>60</v>
      </c>
      <c r="Q305" s="366">
        <v>60</v>
      </c>
    </row>
    <row r="306" spans="1:17" s="14" customFormat="1" x14ac:dyDescent="0.25">
      <c r="A306" s="365"/>
      <c r="B306" s="267"/>
      <c r="C306" s="161" t="s">
        <v>15</v>
      </c>
      <c r="D306" s="267"/>
      <c r="E306" s="367"/>
      <c r="F306" s="304"/>
      <c r="G306" s="304"/>
      <c r="H306" s="304"/>
      <c r="I306" s="304"/>
      <c r="J306" s="304"/>
      <c r="K306" s="310"/>
      <c r="L306" s="325"/>
      <c r="M306" s="325"/>
      <c r="N306" s="325"/>
      <c r="O306" s="325"/>
      <c r="P306" s="325"/>
      <c r="Q306" s="366"/>
    </row>
    <row r="307" spans="1:17" s="14" customFormat="1" ht="66" customHeight="1" x14ac:dyDescent="0.25">
      <c r="A307" s="365"/>
      <c r="B307" s="161"/>
      <c r="C307" s="161" t="s">
        <v>16</v>
      </c>
      <c r="D307" s="161"/>
      <c r="E307" s="207" t="s">
        <v>157</v>
      </c>
      <c r="F307" s="179">
        <v>23338.400000000001</v>
      </c>
      <c r="G307" s="179">
        <v>21566.400000000001</v>
      </c>
      <c r="H307" s="179">
        <v>36805</v>
      </c>
      <c r="I307" s="179">
        <v>36805</v>
      </c>
      <c r="J307" s="179">
        <v>36805</v>
      </c>
      <c r="K307" s="184" t="s">
        <v>141</v>
      </c>
      <c r="L307" s="192" t="s">
        <v>36</v>
      </c>
      <c r="M307" s="223">
        <v>0</v>
      </c>
      <c r="N307" s="215">
        <v>0</v>
      </c>
      <c r="O307" s="215">
        <v>205</v>
      </c>
      <c r="P307" s="215">
        <v>243</v>
      </c>
      <c r="Q307" s="216">
        <v>268</v>
      </c>
    </row>
    <row r="308" spans="1:17" s="14" customFormat="1" ht="60" x14ac:dyDescent="0.25">
      <c r="A308" s="365"/>
      <c r="B308" s="161"/>
      <c r="C308" s="161" t="s">
        <v>14</v>
      </c>
      <c r="D308" s="161"/>
      <c r="E308" s="51" t="s">
        <v>156</v>
      </c>
      <c r="F308" s="179">
        <v>25133</v>
      </c>
      <c r="G308" s="179">
        <v>22455.599999999999</v>
      </c>
      <c r="H308" s="179">
        <v>36304</v>
      </c>
      <c r="I308" s="179">
        <v>36304</v>
      </c>
      <c r="J308" s="179">
        <v>36304</v>
      </c>
      <c r="K308" s="184" t="s">
        <v>142</v>
      </c>
      <c r="L308" s="192" t="s">
        <v>36</v>
      </c>
      <c r="M308" s="215" t="s">
        <v>143</v>
      </c>
      <c r="N308" s="215" t="s">
        <v>144</v>
      </c>
      <c r="O308" s="215" t="s">
        <v>145</v>
      </c>
      <c r="P308" s="215" t="s">
        <v>146</v>
      </c>
      <c r="Q308" s="216" t="s">
        <v>147</v>
      </c>
    </row>
    <row r="309" spans="1:17" s="5" customFormat="1" x14ac:dyDescent="0.25">
      <c r="A309" s="314" t="s">
        <v>13</v>
      </c>
      <c r="B309" s="315"/>
      <c r="C309" s="315"/>
      <c r="D309" s="315"/>
      <c r="E309" s="315"/>
      <c r="F309" s="9">
        <f>F255+F259+F273+F293+F304</f>
        <v>7157835</v>
      </c>
      <c r="G309" s="9">
        <f t="shared" ref="G309:J309" si="23">G255+G259+G273+G293+G304</f>
        <v>9153386.6500000004</v>
      </c>
      <c r="H309" s="9">
        <f t="shared" si="23"/>
        <v>12841412.539999999</v>
      </c>
      <c r="I309" s="9">
        <f t="shared" si="23"/>
        <v>15489678.02</v>
      </c>
      <c r="J309" s="9">
        <f t="shared" si="23"/>
        <v>13590325.028000001</v>
      </c>
      <c r="K309" s="13"/>
      <c r="L309" s="22"/>
      <c r="M309" s="22"/>
      <c r="N309" s="22"/>
      <c r="O309" s="22"/>
      <c r="P309" s="22"/>
      <c r="Q309" s="91"/>
    </row>
    <row r="310" spans="1:17" x14ac:dyDescent="0.25">
      <c r="A310" s="288" t="s">
        <v>357</v>
      </c>
      <c r="B310" s="289"/>
      <c r="C310" s="289"/>
      <c r="D310" s="289"/>
      <c r="E310" s="289"/>
      <c r="F310" s="289"/>
      <c r="G310" s="289"/>
      <c r="H310" s="289"/>
      <c r="I310" s="289"/>
      <c r="J310" s="289"/>
      <c r="K310" s="289"/>
      <c r="L310" s="289"/>
      <c r="M310" s="289"/>
      <c r="N310" s="289"/>
      <c r="O310" s="289"/>
      <c r="P310" s="289"/>
      <c r="Q310" s="290"/>
    </row>
    <row r="311" spans="1:17" ht="70.5" customHeight="1" x14ac:dyDescent="0.25">
      <c r="A311" s="274">
        <v>55</v>
      </c>
      <c r="B311" s="173" t="s">
        <v>8</v>
      </c>
      <c r="C311" s="174"/>
      <c r="D311" s="174"/>
      <c r="E311" s="178" t="s">
        <v>483</v>
      </c>
      <c r="F311" s="65">
        <f>F312+F313</f>
        <v>81893.3</v>
      </c>
      <c r="G311" s="65">
        <f t="shared" ref="G311:J311" si="24">G312+G313</f>
        <v>64704.9</v>
      </c>
      <c r="H311" s="65">
        <f t="shared" si="24"/>
        <v>56280</v>
      </c>
      <c r="I311" s="65">
        <f t="shared" si="24"/>
        <v>57891.7</v>
      </c>
      <c r="J311" s="65">
        <f t="shared" si="24"/>
        <v>59736.399999999994</v>
      </c>
      <c r="K311" s="57" t="s">
        <v>9</v>
      </c>
      <c r="L311" s="175" t="s">
        <v>17</v>
      </c>
      <c r="M311" s="15">
        <v>27.5</v>
      </c>
      <c r="N311" s="15">
        <v>26</v>
      </c>
      <c r="O311" s="233">
        <v>26.5</v>
      </c>
      <c r="P311" s="233">
        <v>27</v>
      </c>
      <c r="Q311" s="104">
        <v>27</v>
      </c>
    </row>
    <row r="312" spans="1:17" ht="42.75" customHeight="1" x14ac:dyDescent="0.25">
      <c r="A312" s="274"/>
      <c r="B312" s="173"/>
      <c r="C312" s="174" t="s">
        <v>15</v>
      </c>
      <c r="D312" s="174"/>
      <c r="E312" s="178" t="s">
        <v>10</v>
      </c>
      <c r="F312" s="65">
        <v>0</v>
      </c>
      <c r="G312" s="65">
        <v>0</v>
      </c>
      <c r="H312" s="169">
        <v>23700</v>
      </c>
      <c r="I312" s="169">
        <v>24555.200000000001</v>
      </c>
      <c r="J312" s="169">
        <v>25648.2</v>
      </c>
      <c r="K312" s="291" t="s">
        <v>358</v>
      </c>
      <c r="L312" s="293" t="s">
        <v>12</v>
      </c>
      <c r="M312" s="269">
        <v>20</v>
      </c>
      <c r="N312" s="269">
        <v>10</v>
      </c>
      <c r="O312" s="269">
        <v>20</v>
      </c>
      <c r="P312" s="269">
        <v>20</v>
      </c>
      <c r="Q312" s="294">
        <v>20</v>
      </c>
    </row>
    <row r="313" spans="1:17" ht="44.25" customHeight="1" x14ac:dyDescent="0.25">
      <c r="A313" s="274"/>
      <c r="B313" s="173"/>
      <c r="C313" s="174" t="s">
        <v>16</v>
      </c>
      <c r="D313" s="174"/>
      <c r="E313" s="166" t="s">
        <v>359</v>
      </c>
      <c r="F313" s="171">
        <v>81893.3</v>
      </c>
      <c r="G313" s="171">
        <v>64704.9</v>
      </c>
      <c r="H313" s="170">
        <v>32580</v>
      </c>
      <c r="I313" s="170">
        <v>33336.5</v>
      </c>
      <c r="J313" s="170">
        <v>34088.199999999997</v>
      </c>
      <c r="K313" s="292"/>
      <c r="L313" s="293"/>
      <c r="M313" s="269"/>
      <c r="N313" s="269"/>
      <c r="O313" s="269"/>
      <c r="P313" s="269"/>
      <c r="Q313" s="294"/>
    </row>
    <row r="314" spans="1:17" ht="89.25" customHeight="1" x14ac:dyDescent="0.25">
      <c r="A314" s="274"/>
      <c r="B314" s="173" t="s">
        <v>360</v>
      </c>
      <c r="C314" s="173"/>
      <c r="D314" s="174"/>
      <c r="E314" s="116" t="s">
        <v>484</v>
      </c>
      <c r="F314" s="63">
        <v>0</v>
      </c>
      <c r="G314" s="63">
        <f>G315</f>
        <v>57357.3</v>
      </c>
      <c r="H314" s="63">
        <f>H315</f>
        <v>33284.699999999997</v>
      </c>
      <c r="I314" s="63">
        <f>I315</f>
        <v>34260</v>
      </c>
      <c r="J314" s="63">
        <f>J315</f>
        <v>35822.5</v>
      </c>
      <c r="K314" s="66" t="s">
        <v>361</v>
      </c>
      <c r="L314" s="175" t="s">
        <v>12</v>
      </c>
      <c r="M314" s="236" t="s">
        <v>355</v>
      </c>
      <c r="N314" s="233">
        <v>90</v>
      </c>
      <c r="O314" s="233">
        <v>90</v>
      </c>
      <c r="P314" s="233">
        <v>90</v>
      </c>
      <c r="Q314" s="104">
        <v>90</v>
      </c>
    </row>
    <row r="315" spans="1:17" ht="30" x14ac:dyDescent="0.25">
      <c r="A315" s="274"/>
      <c r="B315" s="286"/>
      <c r="C315" s="287" t="s">
        <v>15</v>
      </c>
      <c r="D315" s="287"/>
      <c r="E315" s="278" t="s">
        <v>362</v>
      </c>
      <c r="F315" s="284">
        <v>0</v>
      </c>
      <c r="G315" s="284">
        <v>57357.3</v>
      </c>
      <c r="H315" s="283">
        <v>33284.699999999997</v>
      </c>
      <c r="I315" s="283">
        <v>34260</v>
      </c>
      <c r="J315" s="283">
        <v>35822.5</v>
      </c>
      <c r="K315" s="19" t="s">
        <v>363</v>
      </c>
      <c r="L315" s="163"/>
      <c r="M315" s="237"/>
      <c r="N315" s="234"/>
      <c r="O315" s="234"/>
      <c r="P315" s="234"/>
      <c r="Q315" s="235"/>
    </row>
    <row r="316" spans="1:17" x14ac:dyDescent="0.25">
      <c r="A316" s="274"/>
      <c r="B316" s="286"/>
      <c r="C316" s="287"/>
      <c r="D316" s="287"/>
      <c r="E316" s="278"/>
      <c r="F316" s="284"/>
      <c r="G316" s="284"/>
      <c r="H316" s="283"/>
      <c r="I316" s="283"/>
      <c r="J316" s="283"/>
      <c r="K316" s="67" t="s">
        <v>364</v>
      </c>
      <c r="L316" s="163" t="s">
        <v>12</v>
      </c>
      <c r="M316" s="237" t="s">
        <v>365</v>
      </c>
      <c r="N316" s="234">
        <v>101</v>
      </c>
      <c r="O316" s="234">
        <v>101</v>
      </c>
      <c r="P316" s="234">
        <v>101</v>
      </c>
      <c r="Q316" s="235">
        <v>101</v>
      </c>
    </row>
    <row r="317" spans="1:17" x14ac:dyDescent="0.25">
      <c r="A317" s="274"/>
      <c r="B317" s="286"/>
      <c r="C317" s="287"/>
      <c r="D317" s="287"/>
      <c r="E317" s="278"/>
      <c r="F317" s="284"/>
      <c r="G317" s="284"/>
      <c r="H317" s="283"/>
      <c r="I317" s="283"/>
      <c r="J317" s="283"/>
      <c r="K317" s="67" t="s">
        <v>366</v>
      </c>
      <c r="L317" s="163" t="s">
        <v>12</v>
      </c>
      <c r="M317" s="237" t="s">
        <v>365</v>
      </c>
      <c r="N317" s="234">
        <v>102</v>
      </c>
      <c r="O317" s="234">
        <v>102</v>
      </c>
      <c r="P317" s="234">
        <v>102</v>
      </c>
      <c r="Q317" s="235">
        <v>102</v>
      </c>
    </row>
    <row r="318" spans="1:17" ht="207" x14ac:dyDescent="0.25">
      <c r="A318" s="274"/>
      <c r="B318" s="173" t="s">
        <v>367</v>
      </c>
      <c r="C318" s="174"/>
      <c r="D318" s="174"/>
      <c r="E318" s="68" t="s">
        <v>485</v>
      </c>
      <c r="F318" s="65">
        <f>F319+F320+F322</f>
        <v>16876</v>
      </c>
      <c r="G318" s="65">
        <f>G319+G320+G322</f>
        <v>31569</v>
      </c>
      <c r="H318" s="65">
        <f>H319+H320+H322</f>
        <v>27000</v>
      </c>
      <c r="I318" s="65">
        <f>I319+I320+I322</f>
        <v>27000</v>
      </c>
      <c r="J318" s="65">
        <f>J319+J320+J322</f>
        <v>27000</v>
      </c>
      <c r="K318" s="57" t="s">
        <v>368</v>
      </c>
      <c r="L318" s="163" t="s">
        <v>12</v>
      </c>
      <c r="M318" s="69">
        <v>100</v>
      </c>
      <c r="N318" s="234">
        <v>5</v>
      </c>
      <c r="O318" s="234">
        <v>100</v>
      </c>
      <c r="P318" s="234">
        <v>100</v>
      </c>
      <c r="Q318" s="105">
        <v>100</v>
      </c>
    </row>
    <row r="319" spans="1:17" ht="30" x14ac:dyDescent="0.25">
      <c r="A319" s="274"/>
      <c r="B319" s="173"/>
      <c r="C319" s="174" t="s">
        <v>15</v>
      </c>
      <c r="D319" s="174"/>
      <c r="E319" s="166" t="s">
        <v>369</v>
      </c>
      <c r="F319" s="170">
        <v>4080</v>
      </c>
      <c r="G319" s="170">
        <v>14000</v>
      </c>
      <c r="H319" s="170">
        <v>14500</v>
      </c>
      <c r="I319" s="170">
        <v>14500</v>
      </c>
      <c r="J319" s="170">
        <v>14500</v>
      </c>
      <c r="K319" s="178" t="s">
        <v>370</v>
      </c>
      <c r="L319" s="163" t="s">
        <v>12</v>
      </c>
      <c r="M319" s="234">
        <v>100</v>
      </c>
      <c r="N319" s="24">
        <v>5</v>
      </c>
      <c r="O319" s="24">
        <v>20</v>
      </c>
      <c r="P319" s="24">
        <v>20</v>
      </c>
      <c r="Q319" s="238">
        <v>20</v>
      </c>
    </row>
    <row r="320" spans="1:17" ht="45" x14ac:dyDescent="0.25">
      <c r="A320" s="274"/>
      <c r="B320" s="277"/>
      <c r="C320" s="280" t="s">
        <v>16</v>
      </c>
      <c r="D320" s="280"/>
      <c r="E320" s="278" t="s">
        <v>371</v>
      </c>
      <c r="F320" s="283">
        <v>3362.5</v>
      </c>
      <c r="G320" s="283">
        <v>8500</v>
      </c>
      <c r="H320" s="283">
        <v>5500</v>
      </c>
      <c r="I320" s="283">
        <v>5500</v>
      </c>
      <c r="J320" s="283">
        <v>5500</v>
      </c>
      <c r="K320" s="164" t="s">
        <v>372</v>
      </c>
      <c r="L320" s="163" t="s">
        <v>12</v>
      </c>
      <c r="M320" s="234">
        <v>100</v>
      </c>
      <c r="N320" s="24">
        <v>100</v>
      </c>
      <c r="O320" s="24">
        <v>100</v>
      </c>
      <c r="P320" s="24">
        <v>100</v>
      </c>
      <c r="Q320" s="238">
        <v>100</v>
      </c>
    </row>
    <row r="321" spans="1:17" ht="45" x14ac:dyDescent="0.25">
      <c r="A321" s="274"/>
      <c r="B321" s="277"/>
      <c r="C321" s="280"/>
      <c r="D321" s="280"/>
      <c r="E321" s="278"/>
      <c r="F321" s="283"/>
      <c r="G321" s="283"/>
      <c r="H321" s="283"/>
      <c r="I321" s="283"/>
      <c r="J321" s="283"/>
      <c r="K321" s="164" t="s">
        <v>373</v>
      </c>
      <c r="L321" s="163" t="s">
        <v>12</v>
      </c>
      <c r="M321" s="234">
        <v>100</v>
      </c>
      <c r="N321" s="24">
        <v>100</v>
      </c>
      <c r="O321" s="234">
        <v>100</v>
      </c>
      <c r="P321" s="234">
        <v>100</v>
      </c>
      <c r="Q321" s="235">
        <v>100</v>
      </c>
    </row>
    <row r="322" spans="1:17" ht="81.75" customHeight="1" x14ac:dyDescent="0.25">
      <c r="A322" s="274"/>
      <c r="B322" s="286"/>
      <c r="C322" s="287" t="s">
        <v>14</v>
      </c>
      <c r="D322" s="287"/>
      <c r="E322" s="278" t="s">
        <v>374</v>
      </c>
      <c r="F322" s="283">
        <v>9433.5</v>
      </c>
      <c r="G322" s="283">
        <v>9069</v>
      </c>
      <c r="H322" s="283">
        <v>7000</v>
      </c>
      <c r="I322" s="283">
        <v>7000</v>
      </c>
      <c r="J322" s="283">
        <v>7000</v>
      </c>
      <c r="K322" s="178" t="s">
        <v>375</v>
      </c>
      <c r="L322" s="163" t="s">
        <v>12</v>
      </c>
      <c r="M322" s="234">
        <v>100</v>
      </c>
      <c r="N322" s="24">
        <v>20</v>
      </c>
      <c r="O322" s="24">
        <v>100</v>
      </c>
      <c r="P322" s="24">
        <v>100</v>
      </c>
      <c r="Q322" s="238">
        <v>100</v>
      </c>
    </row>
    <row r="323" spans="1:17" ht="60" x14ac:dyDescent="0.25">
      <c r="A323" s="274"/>
      <c r="B323" s="286"/>
      <c r="C323" s="287"/>
      <c r="D323" s="287"/>
      <c r="E323" s="278"/>
      <c r="F323" s="283"/>
      <c r="G323" s="283"/>
      <c r="H323" s="283"/>
      <c r="I323" s="283"/>
      <c r="J323" s="283"/>
      <c r="K323" s="164" t="s">
        <v>376</v>
      </c>
      <c r="L323" s="163" t="s">
        <v>12</v>
      </c>
      <c r="M323" s="234">
        <v>100</v>
      </c>
      <c r="N323" s="24">
        <v>20</v>
      </c>
      <c r="O323" s="24">
        <v>100</v>
      </c>
      <c r="P323" s="24">
        <v>100</v>
      </c>
      <c r="Q323" s="238">
        <v>100</v>
      </c>
    </row>
    <row r="324" spans="1:17" ht="103.5" x14ac:dyDescent="0.25">
      <c r="A324" s="274"/>
      <c r="B324" s="165" t="s">
        <v>377</v>
      </c>
      <c r="C324" s="168"/>
      <c r="D324" s="165"/>
      <c r="E324" s="6" t="s">
        <v>486</v>
      </c>
      <c r="F324" s="65">
        <f>F325+F328</f>
        <v>21779.200000000001</v>
      </c>
      <c r="G324" s="117">
        <f>G325+G328</f>
        <v>17664.41</v>
      </c>
      <c r="H324" s="117">
        <f>H325+H328</f>
        <v>17988.099999999999</v>
      </c>
      <c r="I324" s="117">
        <f>I325+I328</f>
        <v>18330</v>
      </c>
      <c r="J324" s="117">
        <f>J325+J328</f>
        <v>18878.099999999999</v>
      </c>
      <c r="K324" s="70" t="s">
        <v>378</v>
      </c>
      <c r="L324" s="6" t="s">
        <v>12</v>
      </c>
      <c r="M324" s="233">
        <v>53.2</v>
      </c>
      <c r="N324" s="233">
        <v>20</v>
      </c>
      <c r="O324" s="15">
        <v>31.5</v>
      </c>
      <c r="P324" s="15">
        <v>31.5</v>
      </c>
      <c r="Q324" s="106">
        <v>26.6</v>
      </c>
    </row>
    <row r="325" spans="1:17" ht="30" x14ac:dyDescent="0.25">
      <c r="A325" s="274"/>
      <c r="B325" s="280"/>
      <c r="C325" s="280" t="s">
        <v>15</v>
      </c>
      <c r="D325" s="277"/>
      <c r="E325" s="271" t="s">
        <v>379</v>
      </c>
      <c r="F325" s="281">
        <v>10889.6</v>
      </c>
      <c r="G325" s="285">
        <v>8832.2000000000007</v>
      </c>
      <c r="H325" s="285">
        <v>8994.1</v>
      </c>
      <c r="I325" s="285">
        <v>9165</v>
      </c>
      <c r="J325" s="285">
        <v>9439.1</v>
      </c>
      <c r="K325" s="61" t="s">
        <v>380</v>
      </c>
      <c r="L325" s="178" t="s">
        <v>11</v>
      </c>
      <c r="M325" s="234">
        <v>38</v>
      </c>
      <c r="N325" s="234">
        <v>46</v>
      </c>
      <c r="O325" s="24">
        <v>31</v>
      </c>
      <c r="P325" s="24">
        <v>36</v>
      </c>
      <c r="Q325" s="238">
        <v>36</v>
      </c>
    </row>
    <row r="326" spans="1:17" ht="30" x14ac:dyDescent="0.25">
      <c r="A326" s="274"/>
      <c r="B326" s="280"/>
      <c r="C326" s="280"/>
      <c r="D326" s="277"/>
      <c r="E326" s="271"/>
      <c r="F326" s="281"/>
      <c r="G326" s="285"/>
      <c r="H326" s="285"/>
      <c r="I326" s="285"/>
      <c r="J326" s="285"/>
      <c r="K326" s="61" t="s">
        <v>381</v>
      </c>
      <c r="L326" s="178" t="s">
        <v>11</v>
      </c>
      <c r="M326" s="234">
        <v>12</v>
      </c>
      <c r="N326" s="234">
        <v>12</v>
      </c>
      <c r="O326" s="24">
        <v>12</v>
      </c>
      <c r="P326" s="24">
        <v>12</v>
      </c>
      <c r="Q326" s="238">
        <v>12</v>
      </c>
    </row>
    <row r="327" spans="1:17" x14ac:dyDescent="0.25">
      <c r="A327" s="274"/>
      <c r="B327" s="280"/>
      <c r="C327" s="280"/>
      <c r="D327" s="277"/>
      <c r="E327" s="271"/>
      <c r="F327" s="281"/>
      <c r="G327" s="285"/>
      <c r="H327" s="285"/>
      <c r="I327" s="285"/>
      <c r="J327" s="285"/>
      <c r="K327" s="61" t="s">
        <v>382</v>
      </c>
      <c r="L327" s="178" t="s">
        <v>11</v>
      </c>
      <c r="M327" s="234">
        <v>2</v>
      </c>
      <c r="N327" s="234">
        <v>2</v>
      </c>
      <c r="O327" s="24">
        <v>2</v>
      </c>
      <c r="P327" s="24">
        <v>2</v>
      </c>
      <c r="Q327" s="238">
        <v>2</v>
      </c>
    </row>
    <row r="328" spans="1:17" ht="34.5" customHeight="1" x14ac:dyDescent="0.25">
      <c r="A328" s="274"/>
      <c r="B328" s="168"/>
      <c r="C328" s="168" t="s">
        <v>16</v>
      </c>
      <c r="D328" s="165"/>
      <c r="E328" s="178" t="s">
        <v>383</v>
      </c>
      <c r="F328" s="169">
        <v>10889.6</v>
      </c>
      <c r="G328" s="172">
        <v>8832.2099999999991</v>
      </c>
      <c r="H328" s="172">
        <v>8994</v>
      </c>
      <c r="I328" s="172">
        <v>9165</v>
      </c>
      <c r="J328" s="172">
        <v>9439</v>
      </c>
      <c r="K328" s="61" t="s">
        <v>384</v>
      </c>
      <c r="L328" s="178" t="s">
        <v>12</v>
      </c>
      <c r="M328" s="16">
        <v>64</v>
      </c>
      <c r="N328" s="16">
        <v>64</v>
      </c>
      <c r="O328" s="23">
        <v>100</v>
      </c>
      <c r="P328" s="23">
        <v>100</v>
      </c>
      <c r="Q328" s="107">
        <v>100</v>
      </c>
    </row>
    <row r="329" spans="1:17" ht="42.75" x14ac:dyDescent="0.25">
      <c r="A329" s="274"/>
      <c r="B329" s="165" t="s">
        <v>385</v>
      </c>
      <c r="C329" s="165"/>
      <c r="D329" s="165"/>
      <c r="E329" s="6" t="s">
        <v>386</v>
      </c>
      <c r="F329" s="65">
        <v>0</v>
      </c>
      <c r="G329" s="117">
        <f>G330+G331+G332+G333+G334</f>
        <v>25365.8</v>
      </c>
      <c r="H329" s="117">
        <f t="shared" ref="H329:J329" si="25">H330+H331+H332+H333+H334</f>
        <v>40192.400000000001</v>
      </c>
      <c r="I329" s="117">
        <f t="shared" si="25"/>
        <v>41000</v>
      </c>
      <c r="J329" s="117">
        <f t="shared" si="25"/>
        <v>42226</v>
      </c>
      <c r="K329" s="71" t="s">
        <v>387</v>
      </c>
      <c r="L329" s="6" t="s">
        <v>12</v>
      </c>
      <c r="M329" s="233"/>
      <c r="N329" s="233">
        <v>1</v>
      </c>
      <c r="O329" s="15">
        <v>1</v>
      </c>
      <c r="P329" s="15">
        <v>1</v>
      </c>
      <c r="Q329" s="106">
        <v>1</v>
      </c>
    </row>
    <row r="330" spans="1:17" x14ac:dyDescent="0.25">
      <c r="A330" s="274"/>
      <c r="B330" s="168"/>
      <c r="C330" s="168" t="s">
        <v>15</v>
      </c>
      <c r="D330" s="165"/>
      <c r="E330" s="178" t="s">
        <v>388</v>
      </c>
      <c r="F330" s="169">
        <v>0</v>
      </c>
      <c r="G330" s="172">
        <v>5809</v>
      </c>
      <c r="H330" s="172">
        <v>9204.4</v>
      </c>
      <c r="I330" s="172">
        <v>9389.2999999999993</v>
      </c>
      <c r="J330" s="172">
        <v>9670.1</v>
      </c>
      <c r="K330" s="164" t="s">
        <v>389</v>
      </c>
      <c r="L330" s="6" t="s">
        <v>12</v>
      </c>
      <c r="M330" s="234">
        <v>0</v>
      </c>
      <c r="N330" s="20">
        <v>0.41099999999999998</v>
      </c>
      <c r="O330" s="72">
        <v>0.97</v>
      </c>
      <c r="P330" s="72">
        <v>0.98</v>
      </c>
      <c r="Q330" s="108">
        <v>0.99</v>
      </c>
    </row>
    <row r="331" spans="1:17" x14ac:dyDescent="0.25">
      <c r="A331" s="274"/>
      <c r="B331" s="168"/>
      <c r="C331" s="168" t="s">
        <v>16</v>
      </c>
      <c r="D331" s="165"/>
      <c r="E331" s="178" t="s">
        <v>390</v>
      </c>
      <c r="F331" s="169">
        <v>0</v>
      </c>
      <c r="G331" s="172">
        <v>13360.5</v>
      </c>
      <c r="H331" s="172">
        <v>21170</v>
      </c>
      <c r="I331" s="172">
        <v>21595.4</v>
      </c>
      <c r="J331" s="172">
        <v>22241.200000000001</v>
      </c>
      <c r="K331" s="61" t="s">
        <v>391</v>
      </c>
      <c r="L331" s="163" t="s">
        <v>12</v>
      </c>
      <c r="M331" s="234">
        <v>0</v>
      </c>
      <c r="N331" s="234">
        <v>0</v>
      </c>
      <c r="O331" s="24">
        <v>10</v>
      </c>
      <c r="P331" s="24">
        <v>20</v>
      </c>
      <c r="Q331" s="238">
        <v>30</v>
      </c>
    </row>
    <row r="332" spans="1:17" ht="30" x14ac:dyDescent="0.25">
      <c r="A332" s="274"/>
      <c r="B332" s="168"/>
      <c r="C332" s="168" t="s">
        <v>14</v>
      </c>
      <c r="D332" s="165"/>
      <c r="E332" s="178" t="s">
        <v>392</v>
      </c>
      <c r="F332" s="169">
        <v>0</v>
      </c>
      <c r="G332" s="172">
        <v>2904.5</v>
      </c>
      <c r="H332" s="172">
        <v>4602.2</v>
      </c>
      <c r="I332" s="172">
        <v>4694.7</v>
      </c>
      <c r="J332" s="172">
        <v>4835</v>
      </c>
      <c r="K332" s="61" t="s">
        <v>393</v>
      </c>
      <c r="L332" s="163" t="s">
        <v>12</v>
      </c>
      <c r="M332" s="234">
        <v>0</v>
      </c>
      <c r="N332" s="234">
        <v>0</v>
      </c>
      <c r="O332" s="72">
        <v>0.1</v>
      </c>
      <c r="P332" s="8">
        <v>0.2</v>
      </c>
      <c r="Q332" s="108">
        <v>0.3</v>
      </c>
    </row>
    <row r="333" spans="1:17" ht="30" x14ac:dyDescent="0.25">
      <c r="A333" s="274"/>
      <c r="B333" s="168"/>
      <c r="C333" s="168" t="s">
        <v>18</v>
      </c>
      <c r="D333" s="165"/>
      <c r="E333" s="164" t="s">
        <v>394</v>
      </c>
      <c r="F333" s="169">
        <v>0</v>
      </c>
      <c r="G333" s="172">
        <v>1161.8</v>
      </c>
      <c r="H333" s="172">
        <v>1840.9</v>
      </c>
      <c r="I333" s="172">
        <v>1877.9</v>
      </c>
      <c r="J333" s="172">
        <v>1934</v>
      </c>
      <c r="K333" s="61" t="s">
        <v>393</v>
      </c>
      <c r="L333" s="163" t="s">
        <v>12</v>
      </c>
      <c r="M333" s="234">
        <v>0</v>
      </c>
      <c r="N333" s="234">
        <v>0</v>
      </c>
      <c r="O333" s="72">
        <v>0.1</v>
      </c>
      <c r="P333" s="72">
        <v>0.15</v>
      </c>
      <c r="Q333" s="108">
        <v>0.2</v>
      </c>
    </row>
    <row r="334" spans="1:17" ht="30" x14ac:dyDescent="0.25">
      <c r="A334" s="274"/>
      <c r="B334" s="168"/>
      <c r="C334" s="168" t="s">
        <v>19</v>
      </c>
      <c r="D334" s="165"/>
      <c r="E334" s="164" t="s">
        <v>395</v>
      </c>
      <c r="F334" s="169">
        <v>0</v>
      </c>
      <c r="G334" s="172">
        <v>2130</v>
      </c>
      <c r="H334" s="172">
        <v>3374.9</v>
      </c>
      <c r="I334" s="172">
        <v>3442.7</v>
      </c>
      <c r="J334" s="172">
        <v>3545.7</v>
      </c>
      <c r="K334" s="61" t="s">
        <v>393</v>
      </c>
      <c r="L334" s="163" t="s">
        <v>12</v>
      </c>
      <c r="M334" s="234">
        <v>0</v>
      </c>
      <c r="N334" s="234">
        <v>0</v>
      </c>
      <c r="O334" s="72">
        <v>0.1</v>
      </c>
      <c r="P334" s="72">
        <v>0.2</v>
      </c>
      <c r="Q334" s="108">
        <v>0.3</v>
      </c>
    </row>
    <row r="335" spans="1:17" ht="103.5" x14ac:dyDescent="0.25">
      <c r="A335" s="274"/>
      <c r="B335" s="165" t="s">
        <v>396</v>
      </c>
      <c r="C335" s="168"/>
      <c r="D335" s="165"/>
      <c r="E335" s="57" t="s">
        <v>487</v>
      </c>
      <c r="F335" s="65">
        <f>F336+F337</f>
        <v>5008.3</v>
      </c>
      <c r="G335" s="65">
        <f t="shared" ref="G335:J335" si="26">G336+G337</f>
        <v>5768.8</v>
      </c>
      <c r="H335" s="65">
        <f t="shared" si="26"/>
        <v>5768.8</v>
      </c>
      <c r="I335" s="65">
        <f t="shared" si="26"/>
        <v>5768.8</v>
      </c>
      <c r="J335" s="65">
        <f t="shared" si="26"/>
        <v>5768.8</v>
      </c>
      <c r="K335" s="6"/>
      <c r="L335" s="163"/>
      <c r="M335" s="234"/>
      <c r="N335" s="234"/>
      <c r="O335" s="234"/>
      <c r="P335" s="234"/>
      <c r="Q335" s="238"/>
    </row>
    <row r="336" spans="1:17" ht="60" x14ac:dyDescent="0.25">
      <c r="A336" s="274"/>
      <c r="B336" s="168"/>
      <c r="C336" s="168" t="s">
        <v>15</v>
      </c>
      <c r="D336" s="165"/>
      <c r="E336" s="164" t="s">
        <v>397</v>
      </c>
      <c r="F336" s="169">
        <v>3008.3</v>
      </c>
      <c r="G336" s="172">
        <v>3768.8</v>
      </c>
      <c r="H336" s="172">
        <v>3768.8</v>
      </c>
      <c r="I336" s="172">
        <v>3768.8</v>
      </c>
      <c r="J336" s="172">
        <v>3768.8</v>
      </c>
      <c r="K336" s="61" t="s">
        <v>398</v>
      </c>
      <c r="L336" s="178" t="s">
        <v>399</v>
      </c>
      <c r="M336" s="234">
        <v>1</v>
      </c>
      <c r="N336" s="234" t="s">
        <v>400</v>
      </c>
      <c r="O336" s="24">
        <v>1</v>
      </c>
      <c r="P336" s="24">
        <v>1</v>
      </c>
      <c r="Q336" s="238">
        <v>1</v>
      </c>
    </row>
    <row r="337" spans="1:17" ht="60" x14ac:dyDescent="0.25">
      <c r="A337" s="274"/>
      <c r="B337" s="168"/>
      <c r="C337" s="168" t="s">
        <v>16</v>
      </c>
      <c r="D337" s="165"/>
      <c r="E337" s="178" t="s">
        <v>401</v>
      </c>
      <c r="F337" s="169">
        <v>2000</v>
      </c>
      <c r="G337" s="172">
        <v>2000</v>
      </c>
      <c r="H337" s="172">
        <v>2000</v>
      </c>
      <c r="I337" s="172">
        <v>2000</v>
      </c>
      <c r="J337" s="172">
        <v>2000</v>
      </c>
      <c r="K337" s="61" t="s">
        <v>667</v>
      </c>
      <c r="L337" s="178" t="s">
        <v>12</v>
      </c>
      <c r="M337" s="234">
        <v>15</v>
      </c>
      <c r="N337" s="234">
        <v>15</v>
      </c>
      <c r="O337" s="24">
        <v>15</v>
      </c>
      <c r="P337" s="24">
        <v>15</v>
      </c>
      <c r="Q337" s="238">
        <v>15</v>
      </c>
    </row>
    <row r="338" spans="1:17" ht="81.75" customHeight="1" x14ac:dyDescent="0.25">
      <c r="A338" s="274"/>
      <c r="B338" s="165" t="s">
        <v>402</v>
      </c>
      <c r="C338" s="168"/>
      <c r="D338" s="165"/>
      <c r="E338" s="73" t="s">
        <v>488</v>
      </c>
      <c r="F338" s="74">
        <f>F339+F340+F341+F342+F343+F344+F346+F351</f>
        <v>3637448.1</v>
      </c>
      <c r="G338" s="75">
        <f>G339+G340+G341+G342+G343+G344+G346+G349+G350+G352</f>
        <v>10719333.85</v>
      </c>
      <c r="H338" s="75">
        <f>H339+H340+H341+H342+H343+H344+H345+H346+H349+H350+H351+H352</f>
        <v>8436339.0799999982</v>
      </c>
      <c r="I338" s="75">
        <f>I339+I340+I341+I342+I343+I344+I345+I346+I349+I350+I351+I352</f>
        <v>11335898.76</v>
      </c>
      <c r="J338" s="75">
        <f>J339+J340+J341+J342+J343+J344+J345+J346+J349+J350+J351+J352</f>
        <v>9520374.2400000002</v>
      </c>
      <c r="K338" s="57" t="s">
        <v>403</v>
      </c>
      <c r="L338" s="175" t="s">
        <v>12</v>
      </c>
      <c r="M338" s="233" t="s">
        <v>404</v>
      </c>
      <c r="N338" s="15">
        <v>100.95</v>
      </c>
      <c r="O338" s="15">
        <v>100.97</v>
      </c>
      <c r="P338" s="76">
        <v>101</v>
      </c>
      <c r="Q338" s="106">
        <v>101.2</v>
      </c>
    </row>
    <row r="339" spans="1:17" ht="45" x14ac:dyDescent="0.25">
      <c r="A339" s="274"/>
      <c r="B339" s="168"/>
      <c r="C339" s="168" t="s">
        <v>18</v>
      </c>
      <c r="D339" s="165"/>
      <c r="E339" s="73" t="s">
        <v>405</v>
      </c>
      <c r="F339" s="170">
        <v>296144.59999999998</v>
      </c>
      <c r="G339" s="171" t="s">
        <v>406</v>
      </c>
      <c r="H339" s="170">
        <v>477978.8</v>
      </c>
      <c r="I339" s="170">
        <v>0</v>
      </c>
      <c r="J339" s="170">
        <v>0</v>
      </c>
      <c r="K339" s="164" t="s">
        <v>407</v>
      </c>
      <c r="L339" s="163" t="s">
        <v>408</v>
      </c>
      <c r="M339" s="234" t="s">
        <v>409</v>
      </c>
      <c r="N339" s="234" t="s">
        <v>410</v>
      </c>
      <c r="O339" s="234" t="s">
        <v>409</v>
      </c>
      <c r="P339" s="234">
        <v>0</v>
      </c>
      <c r="Q339" s="238">
        <v>0</v>
      </c>
    </row>
    <row r="340" spans="1:17" x14ac:dyDescent="0.25">
      <c r="A340" s="274"/>
      <c r="B340" s="168"/>
      <c r="C340" s="168" t="s">
        <v>20</v>
      </c>
      <c r="D340" s="165"/>
      <c r="E340" s="73" t="s">
        <v>411</v>
      </c>
      <c r="F340" s="170">
        <v>2347885.7000000002</v>
      </c>
      <c r="G340" s="171" t="s">
        <v>412</v>
      </c>
      <c r="H340" s="170">
        <v>2486161.6</v>
      </c>
      <c r="I340" s="170">
        <v>2224600</v>
      </c>
      <c r="J340" s="170"/>
      <c r="K340" s="164" t="s">
        <v>413</v>
      </c>
      <c r="L340" s="163" t="s">
        <v>408</v>
      </c>
      <c r="M340" s="234"/>
      <c r="N340" s="269" t="s">
        <v>414</v>
      </c>
      <c r="O340" s="269"/>
      <c r="P340" s="269"/>
      <c r="Q340" s="238"/>
    </row>
    <row r="341" spans="1:17" ht="30" x14ac:dyDescent="0.25">
      <c r="A341" s="274"/>
      <c r="B341" s="168"/>
      <c r="C341" s="168" t="s">
        <v>21</v>
      </c>
      <c r="D341" s="165"/>
      <c r="E341" s="73" t="s">
        <v>415</v>
      </c>
      <c r="F341" s="170">
        <v>17735</v>
      </c>
      <c r="G341" s="171" t="s">
        <v>356</v>
      </c>
      <c r="H341" s="170">
        <v>0</v>
      </c>
      <c r="I341" s="75">
        <v>0</v>
      </c>
      <c r="J341" s="75">
        <v>0</v>
      </c>
      <c r="K341" s="164" t="s">
        <v>416</v>
      </c>
      <c r="L341" s="163" t="s">
        <v>408</v>
      </c>
      <c r="M341" s="234">
        <v>0</v>
      </c>
      <c r="N341" s="24">
        <v>0</v>
      </c>
      <c r="O341" s="24">
        <v>0</v>
      </c>
      <c r="P341" s="24">
        <v>0</v>
      </c>
      <c r="Q341" s="238">
        <v>0</v>
      </c>
    </row>
    <row r="342" spans="1:17" ht="30" x14ac:dyDescent="0.25">
      <c r="A342" s="274"/>
      <c r="B342" s="168"/>
      <c r="C342" s="168" t="s">
        <v>22</v>
      </c>
      <c r="D342" s="165"/>
      <c r="E342" s="73" t="s">
        <v>417</v>
      </c>
      <c r="F342" s="170">
        <v>252559.4</v>
      </c>
      <c r="G342" s="171" t="s">
        <v>418</v>
      </c>
      <c r="H342" s="170">
        <v>0</v>
      </c>
      <c r="I342" s="75">
        <v>0</v>
      </c>
      <c r="J342" s="75">
        <v>0</v>
      </c>
      <c r="K342" s="164" t="s">
        <v>419</v>
      </c>
      <c r="L342" s="163" t="s">
        <v>408</v>
      </c>
      <c r="M342" s="234">
        <v>0</v>
      </c>
      <c r="N342" s="234">
        <v>0</v>
      </c>
      <c r="O342" s="234">
        <v>0</v>
      </c>
      <c r="P342" s="24">
        <v>0</v>
      </c>
      <c r="Q342" s="238">
        <v>0</v>
      </c>
    </row>
    <row r="343" spans="1:17" ht="37.5" customHeight="1" x14ac:dyDescent="0.25">
      <c r="A343" s="274"/>
      <c r="B343" s="168"/>
      <c r="C343" s="168" t="s">
        <v>26</v>
      </c>
      <c r="D343" s="165"/>
      <c r="E343" s="73" t="s">
        <v>420</v>
      </c>
      <c r="F343" s="170">
        <v>0</v>
      </c>
      <c r="G343" s="171" t="s">
        <v>421</v>
      </c>
      <c r="H343" s="170">
        <v>945880</v>
      </c>
      <c r="I343" s="170">
        <v>2811168</v>
      </c>
      <c r="J343" s="170">
        <v>3833856</v>
      </c>
      <c r="K343" s="164" t="s">
        <v>422</v>
      </c>
      <c r="L343" s="163" t="s">
        <v>408</v>
      </c>
      <c r="M343" s="234">
        <v>0</v>
      </c>
      <c r="N343" s="269" t="s">
        <v>423</v>
      </c>
      <c r="O343" s="269"/>
      <c r="P343" s="269"/>
      <c r="Q343" s="294"/>
    </row>
    <row r="344" spans="1:17" ht="90" x14ac:dyDescent="0.25">
      <c r="A344" s="274"/>
      <c r="B344" s="168"/>
      <c r="C344" s="168" t="s">
        <v>27</v>
      </c>
      <c r="D344" s="165"/>
      <c r="E344" s="73" t="s">
        <v>424</v>
      </c>
      <c r="F344" s="170">
        <v>656226.30000000005</v>
      </c>
      <c r="G344" s="171" t="s">
        <v>425</v>
      </c>
      <c r="H344" s="170">
        <v>2177468.7999999998</v>
      </c>
      <c r="I344" s="170">
        <v>2072056</v>
      </c>
      <c r="J344" s="170">
        <v>1447430.4</v>
      </c>
      <c r="K344" s="164" t="s">
        <v>426</v>
      </c>
      <c r="L344" s="163" t="s">
        <v>408</v>
      </c>
      <c r="M344" s="234">
        <v>0</v>
      </c>
      <c r="N344" s="234" t="s">
        <v>712</v>
      </c>
      <c r="O344" s="234" t="s">
        <v>713</v>
      </c>
      <c r="P344" s="234">
        <v>0</v>
      </c>
      <c r="Q344" s="235">
        <v>0</v>
      </c>
    </row>
    <row r="345" spans="1:17" ht="90" x14ac:dyDescent="0.25">
      <c r="A345" s="274"/>
      <c r="B345" s="168"/>
      <c r="C345" s="168"/>
      <c r="D345" s="165"/>
      <c r="E345" s="73" t="s">
        <v>427</v>
      </c>
      <c r="F345" s="170"/>
      <c r="G345" s="171"/>
      <c r="H345" s="170">
        <v>137638.79999999999</v>
      </c>
      <c r="I345" s="170">
        <v>1493206</v>
      </c>
      <c r="J345" s="170">
        <v>2211300</v>
      </c>
      <c r="K345" s="164" t="s">
        <v>428</v>
      </c>
      <c r="L345" s="163"/>
      <c r="M345" s="234"/>
      <c r="N345" s="234"/>
      <c r="O345" s="234"/>
      <c r="P345" s="234" t="s">
        <v>714</v>
      </c>
      <c r="Q345" s="235" t="s">
        <v>715</v>
      </c>
    </row>
    <row r="346" spans="1:17" ht="90" x14ac:dyDescent="0.25">
      <c r="A346" s="274"/>
      <c r="B346" s="280"/>
      <c r="C346" s="280" t="s">
        <v>29</v>
      </c>
      <c r="D346" s="277"/>
      <c r="E346" s="282" t="s">
        <v>429</v>
      </c>
      <c r="F346" s="283">
        <v>22599.7</v>
      </c>
      <c r="G346" s="284" t="s">
        <v>430</v>
      </c>
      <c r="H346" s="283">
        <v>1429498.72</v>
      </c>
      <c r="I346" s="283">
        <v>794981.24</v>
      </c>
      <c r="J346" s="283">
        <v>28080</v>
      </c>
      <c r="K346" s="178" t="s">
        <v>431</v>
      </c>
      <c r="L346" s="163" t="s">
        <v>432</v>
      </c>
      <c r="M346" s="234">
        <v>0</v>
      </c>
      <c r="N346" s="234">
        <v>0</v>
      </c>
      <c r="O346" s="234" t="s">
        <v>433</v>
      </c>
      <c r="P346" s="234">
        <v>0</v>
      </c>
      <c r="Q346" s="238">
        <v>0</v>
      </c>
    </row>
    <row r="347" spans="1:17" ht="30" x14ac:dyDescent="0.25">
      <c r="A347" s="274"/>
      <c r="B347" s="280"/>
      <c r="C347" s="280"/>
      <c r="D347" s="277"/>
      <c r="E347" s="282"/>
      <c r="F347" s="283"/>
      <c r="G347" s="284"/>
      <c r="H347" s="283"/>
      <c r="I347" s="283"/>
      <c r="J347" s="283"/>
      <c r="K347" s="178" t="s">
        <v>434</v>
      </c>
      <c r="L347" s="163" t="s">
        <v>435</v>
      </c>
      <c r="M347" s="234"/>
      <c r="N347" s="269" t="s">
        <v>436</v>
      </c>
      <c r="O347" s="269"/>
      <c r="P347" s="269"/>
      <c r="Q347" s="238"/>
    </row>
    <row r="348" spans="1:17" ht="60" x14ac:dyDescent="0.25">
      <c r="A348" s="274"/>
      <c r="B348" s="280"/>
      <c r="C348" s="280"/>
      <c r="D348" s="277"/>
      <c r="E348" s="282"/>
      <c r="F348" s="283"/>
      <c r="G348" s="284"/>
      <c r="H348" s="283"/>
      <c r="I348" s="283"/>
      <c r="J348" s="283"/>
      <c r="K348" s="178" t="s">
        <v>661</v>
      </c>
      <c r="L348" s="163" t="s">
        <v>437</v>
      </c>
      <c r="M348" s="234">
        <v>0</v>
      </c>
      <c r="N348" s="234"/>
      <c r="O348" s="234" t="s">
        <v>438</v>
      </c>
      <c r="P348" s="234">
        <v>0</v>
      </c>
      <c r="Q348" s="238">
        <v>0</v>
      </c>
    </row>
    <row r="349" spans="1:17" ht="75" x14ac:dyDescent="0.25">
      <c r="A349" s="274"/>
      <c r="B349" s="168"/>
      <c r="C349" s="168" t="s">
        <v>30</v>
      </c>
      <c r="D349" s="165"/>
      <c r="E349" s="73" t="s">
        <v>439</v>
      </c>
      <c r="F349" s="63"/>
      <c r="G349" s="171" t="s">
        <v>440</v>
      </c>
      <c r="H349" s="170">
        <v>195540.8</v>
      </c>
      <c r="I349" s="170">
        <v>0</v>
      </c>
      <c r="J349" s="170">
        <v>0</v>
      </c>
      <c r="K349" s="178" t="s">
        <v>662</v>
      </c>
      <c r="L349" s="178" t="s">
        <v>441</v>
      </c>
      <c r="M349" s="234">
        <v>0</v>
      </c>
      <c r="N349" s="234"/>
      <c r="O349" s="234" t="s">
        <v>442</v>
      </c>
      <c r="P349" s="234" t="s">
        <v>443</v>
      </c>
      <c r="Q349" s="235" t="s">
        <v>444</v>
      </c>
    </row>
    <row r="350" spans="1:17" ht="60" x14ac:dyDescent="0.25">
      <c r="A350" s="274"/>
      <c r="B350" s="168"/>
      <c r="C350" s="168" t="s">
        <v>33</v>
      </c>
      <c r="D350" s="165"/>
      <c r="E350" s="73" t="s">
        <v>445</v>
      </c>
      <c r="F350" s="63"/>
      <c r="G350" s="171" t="s">
        <v>446</v>
      </c>
      <c r="H350" s="170">
        <v>315588</v>
      </c>
      <c r="I350" s="75"/>
      <c r="J350" s="75"/>
      <c r="K350" s="178" t="s">
        <v>663</v>
      </c>
      <c r="L350" s="178" t="s">
        <v>447</v>
      </c>
      <c r="M350" s="234">
        <v>0</v>
      </c>
      <c r="N350" s="234"/>
      <c r="O350" s="234" t="s">
        <v>716</v>
      </c>
      <c r="P350" s="234" t="s">
        <v>448</v>
      </c>
      <c r="Q350" s="238">
        <v>0</v>
      </c>
    </row>
    <row r="351" spans="1:17" x14ac:dyDescent="0.25">
      <c r="A351" s="274"/>
      <c r="B351" s="168"/>
      <c r="C351" s="168" t="s">
        <v>16</v>
      </c>
      <c r="D351" s="165"/>
      <c r="E351" s="73" t="s">
        <v>449</v>
      </c>
      <c r="F351" s="171" t="s">
        <v>450</v>
      </c>
      <c r="G351" s="171" t="s">
        <v>356</v>
      </c>
      <c r="H351" s="170">
        <v>0</v>
      </c>
      <c r="I351" s="75">
        <v>0</v>
      </c>
      <c r="J351" s="75">
        <v>0</v>
      </c>
      <c r="K351" s="178"/>
      <c r="L351" s="178" t="s">
        <v>23</v>
      </c>
      <c r="M351" s="234">
        <v>0</v>
      </c>
      <c r="N351" s="234">
        <v>0</v>
      </c>
      <c r="O351" s="234">
        <v>0</v>
      </c>
      <c r="P351" s="234">
        <v>0</v>
      </c>
      <c r="Q351" s="238">
        <v>0</v>
      </c>
    </row>
    <row r="352" spans="1:17" ht="75" x14ac:dyDescent="0.25">
      <c r="A352" s="274"/>
      <c r="B352" s="168"/>
      <c r="C352" s="168" t="s">
        <v>28</v>
      </c>
      <c r="D352" s="165"/>
      <c r="E352" s="73" t="s">
        <v>451</v>
      </c>
      <c r="F352" s="7"/>
      <c r="G352" s="60" t="s">
        <v>452</v>
      </c>
      <c r="H352" s="77">
        <v>270583.56</v>
      </c>
      <c r="I352" s="77">
        <v>1939887.52</v>
      </c>
      <c r="J352" s="77">
        <v>1999707.84</v>
      </c>
      <c r="K352" s="178" t="s">
        <v>453</v>
      </c>
      <c r="L352" s="178" t="s">
        <v>23</v>
      </c>
      <c r="M352" s="234">
        <v>0</v>
      </c>
      <c r="N352" s="234" t="s">
        <v>454</v>
      </c>
      <c r="O352" s="234" t="s">
        <v>455</v>
      </c>
      <c r="P352" s="234" t="s">
        <v>456</v>
      </c>
      <c r="Q352" s="235" t="s">
        <v>457</v>
      </c>
    </row>
    <row r="353" spans="1:17" ht="42.75" x14ac:dyDescent="0.25">
      <c r="A353" s="274"/>
      <c r="B353" s="165" t="s">
        <v>458</v>
      </c>
      <c r="C353" s="168"/>
      <c r="D353" s="165"/>
      <c r="E353" s="6" t="s">
        <v>459</v>
      </c>
      <c r="F353" s="7">
        <f>F354</f>
        <v>1181548.8</v>
      </c>
      <c r="G353" s="7">
        <f t="shared" ref="G353:J353" si="27">G354</f>
        <v>1181575.2</v>
      </c>
      <c r="H353" s="7">
        <f t="shared" si="27"/>
        <v>1396575.2</v>
      </c>
      <c r="I353" s="7">
        <f t="shared" si="27"/>
        <v>1419290.8</v>
      </c>
      <c r="J353" s="7">
        <f t="shared" si="27"/>
        <v>1455716.1</v>
      </c>
      <c r="K353" s="6" t="s">
        <v>717</v>
      </c>
      <c r="L353" s="6" t="s">
        <v>12</v>
      </c>
      <c r="M353" s="233">
        <v>100</v>
      </c>
      <c r="N353" s="233">
        <v>100</v>
      </c>
      <c r="O353" s="233">
        <v>100</v>
      </c>
      <c r="P353" s="233">
        <v>100</v>
      </c>
      <c r="Q353" s="106">
        <v>100</v>
      </c>
    </row>
    <row r="354" spans="1:17" ht="30" x14ac:dyDescent="0.25">
      <c r="A354" s="274"/>
      <c r="B354" s="277"/>
      <c r="C354" s="277" t="s">
        <v>15</v>
      </c>
      <c r="D354" s="277"/>
      <c r="E354" s="278" t="s">
        <v>460</v>
      </c>
      <c r="F354" s="279">
        <v>1181548.8</v>
      </c>
      <c r="G354" s="279">
        <v>1181575.2</v>
      </c>
      <c r="H354" s="281">
        <v>1396575.2</v>
      </c>
      <c r="I354" s="281">
        <v>1419290.8</v>
      </c>
      <c r="J354" s="281">
        <v>1455716.1</v>
      </c>
      <c r="K354" s="178" t="s">
        <v>461</v>
      </c>
      <c r="L354" s="78" t="s">
        <v>462</v>
      </c>
      <c r="M354" s="24">
        <v>353.7</v>
      </c>
      <c r="N354" s="24">
        <v>353.7</v>
      </c>
      <c r="O354" s="24">
        <v>353.7</v>
      </c>
      <c r="P354" s="24">
        <v>353.7</v>
      </c>
      <c r="Q354" s="238">
        <v>353.7</v>
      </c>
    </row>
    <row r="355" spans="1:17" ht="30" x14ac:dyDescent="0.25">
      <c r="A355" s="274"/>
      <c r="B355" s="277"/>
      <c r="C355" s="277"/>
      <c r="D355" s="277"/>
      <c r="E355" s="278"/>
      <c r="F355" s="279"/>
      <c r="G355" s="279"/>
      <c r="H355" s="281"/>
      <c r="I355" s="281"/>
      <c r="J355" s="281"/>
      <c r="K355" s="271" t="s">
        <v>718</v>
      </c>
      <c r="L355" s="164" t="s">
        <v>463</v>
      </c>
      <c r="M355" s="24">
        <v>417</v>
      </c>
      <c r="N355" s="24">
        <v>417</v>
      </c>
      <c r="O355" s="24">
        <v>417</v>
      </c>
      <c r="P355" s="24">
        <v>417</v>
      </c>
      <c r="Q355" s="238">
        <v>417</v>
      </c>
    </row>
    <row r="356" spans="1:17" ht="30" x14ac:dyDescent="0.25">
      <c r="A356" s="274"/>
      <c r="B356" s="277"/>
      <c r="C356" s="277"/>
      <c r="D356" s="277"/>
      <c r="E356" s="278"/>
      <c r="F356" s="279"/>
      <c r="G356" s="279"/>
      <c r="H356" s="281"/>
      <c r="I356" s="281"/>
      <c r="J356" s="281"/>
      <c r="K356" s="271"/>
      <c r="L356" s="164" t="s">
        <v>464</v>
      </c>
      <c r="M356" s="24">
        <v>160</v>
      </c>
      <c r="N356" s="24">
        <v>160</v>
      </c>
      <c r="O356" s="24">
        <v>160</v>
      </c>
      <c r="P356" s="24">
        <v>160</v>
      </c>
      <c r="Q356" s="238">
        <v>160</v>
      </c>
    </row>
    <row r="357" spans="1:17" x14ac:dyDescent="0.25">
      <c r="A357" s="274"/>
      <c r="B357" s="277"/>
      <c r="C357" s="277"/>
      <c r="D357" s="277"/>
      <c r="E357" s="278"/>
      <c r="F357" s="279"/>
      <c r="G357" s="279"/>
      <c r="H357" s="281"/>
      <c r="I357" s="281"/>
      <c r="J357" s="281"/>
      <c r="K357" s="271"/>
      <c r="L357" s="164" t="s">
        <v>465</v>
      </c>
      <c r="M357" s="24">
        <v>142</v>
      </c>
      <c r="N357" s="24">
        <v>142</v>
      </c>
      <c r="O357" s="24">
        <v>142</v>
      </c>
      <c r="P357" s="24">
        <v>142</v>
      </c>
      <c r="Q357" s="238">
        <v>142</v>
      </c>
    </row>
    <row r="358" spans="1:17" x14ac:dyDescent="0.25">
      <c r="A358" s="274"/>
      <c r="B358" s="277"/>
      <c r="C358" s="277"/>
      <c r="D358" s="277"/>
      <c r="E358" s="278"/>
      <c r="F358" s="279"/>
      <c r="G358" s="279"/>
      <c r="H358" s="281"/>
      <c r="I358" s="281"/>
      <c r="J358" s="281"/>
      <c r="K358" s="271"/>
      <c r="L358" s="164" t="s">
        <v>466</v>
      </c>
      <c r="M358" s="24">
        <v>1195</v>
      </c>
      <c r="N358" s="24">
        <v>1195</v>
      </c>
      <c r="O358" s="24">
        <v>1195</v>
      </c>
      <c r="P358" s="24">
        <v>1195</v>
      </c>
      <c r="Q358" s="238">
        <v>1195</v>
      </c>
    </row>
    <row r="359" spans="1:17" ht="30" x14ac:dyDescent="0.25">
      <c r="A359" s="274"/>
      <c r="B359" s="277"/>
      <c r="C359" s="277" t="s">
        <v>16</v>
      </c>
      <c r="D359" s="277"/>
      <c r="E359" s="282" t="s">
        <v>467</v>
      </c>
      <c r="F359" s="279"/>
      <c r="G359" s="279"/>
      <c r="H359" s="281"/>
      <c r="I359" s="281"/>
      <c r="J359" s="281"/>
      <c r="K359" s="178" t="s">
        <v>468</v>
      </c>
      <c r="L359" s="6" t="s">
        <v>12</v>
      </c>
      <c r="M359" s="15">
        <v>100</v>
      </c>
      <c r="N359" s="15">
        <v>100</v>
      </c>
      <c r="O359" s="15">
        <v>100</v>
      </c>
      <c r="P359" s="15">
        <v>100</v>
      </c>
      <c r="Q359" s="106">
        <v>100</v>
      </c>
    </row>
    <row r="360" spans="1:17" x14ac:dyDescent="0.25">
      <c r="A360" s="274"/>
      <c r="B360" s="277"/>
      <c r="C360" s="277"/>
      <c r="D360" s="277"/>
      <c r="E360" s="282"/>
      <c r="F360" s="279"/>
      <c r="G360" s="279"/>
      <c r="H360" s="281"/>
      <c r="I360" s="281"/>
      <c r="J360" s="281"/>
      <c r="K360" s="178" t="s">
        <v>469</v>
      </c>
      <c r="L360" s="6" t="s">
        <v>12</v>
      </c>
      <c r="M360" s="15">
        <v>70</v>
      </c>
      <c r="N360" s="15">
        <v>70</v>
      </c>
      <c r="O360" s="15">
        <v>70</v>
      </c>
      <c r="P360" s="15">
        <v>70</v>
      </c>
      <c r="Q360" s="106">
        <v>70</v>
      </c>
    </row>
    <row r="361" spans="1:17" ht="41.25" customHeight="1" x14ac:dyDescent="0.25">
      <c r="A361" s="274"/>
      <c r="B361" s="277"/>
      <c r="C361" s="277"/>
      <c r="D361" s="277"/>
      <c r="E361" s="282"/>
      <c r="F361" s="279"/>
      <c r="G361" s="279"/>
      <c r="H361" s="281"/>
      <c r="I361" s="281"/>
      <c r="J361" s="281"/>
      <c r="K361" s="178" t="s">
        <v>470</v>
      </c>
      <c r="L361" s="6" t="s">
        <v>12</v>
      </c>
      <c r="M361" s="15">
        <v>31.3</v>
      </c>
      <c r="N361" s="15">
        <v>31.3</v>
      </c>
      <c r="O361" s="15">
        <v>31.5</v>
      </c>
      <c r="P361" s="15">
        <v>31.7</v>
      </c>
      <c r="Q361" s="106">
        <v>31.7</v>
      </c>
    </row>
    <row r="362" spans="1:17" ht="35.25" customHeight="1" x14ac:dyDescent="0.25">
      <c r="A362" s="274"/>
      <c r="B362" s="165" t="s">
        <v>471</v>
      </c>
      <c r="C362" s="168"/>
      <c r="D362" s="165"/>
      <c r="E362" s="6" t="s">
        <v>472</v>
      </c>
      <c r="F362" s="64">
        <v>14138.1</v>
      </c>
      <c r="G362" s="64">
        <v>13938.1</v>
      </c>
      <c r="H362" s="64">
        <v>13938.1</v>
      </c>
      <c r="I362" s="64">
        <v>13938.1</v>
      </c>
      <c r="J362" s="64">
        <v>13938.1</v>
      </c>
      <c r="K362" s="6" t="s">
        <v>473</v>
      </c>
      <c r="L362" s="15" t="s">
        <v>474</v>
      </c>
      <c r="M362" s="76">
        <v>131</v>
      </c>
      <c r="N362" s="15">
        <v>180</v>
      </c>
      <c r="O362" s="15">
        <v>180</v>
      </c>
      <c r="P362" s="15">
        <v>180</v>
      </c>
      <c r="Q362" s="106">
        <v>180</v>
      </c>
    </row>
    <row r="363" spans="1:17" ht="60" x14ac:dyDescent="0.25">
      <c r="A363" s="274"/>
      <c r="B363" s="168"/>
      <c r="C363" s="168" t="s">
        <v>15</v>
      </c>
      <c r="D363" s="165"/>
      <c r="E363" s="73" t="s">
        <v>475</v>
      </c>
      <c r="F363" s="167">
        <v>14138.1</v>
      </c>
      <c r="G363" s="167">
        <v>13938.1</v>
      </c>
      <c r="H363" s="167">
        <v>13938.1</v>
      </c>
      <c r="I363" s="167">
        <v>13938.1</v>
      </c>
      <c r="J363" s="167">
        <v>13938.1</v>
      </c>
      <c r="K363" s="178" t="s">
        <v>476</v>
      </c>
      <c r="L363" s="24" t="s">
        <v>76</v>
      </c>
      <c r="M363" s="24">
        <v>59.5</v>
      </c>
      <c r="N363" s="24">
        <v>40</v>
      </c>
      <c r="O363" s="24">
        <v>40</v>
      </c>
      <c r="P363" s="24">
        <v>40</v>
      </c>
      <c r="Q363" s="238">
        <v>40</v>
      </c>
    </row>
    <row r="364" spans="1:17" x14ac:dyDescent="0.25">
      <c r="A364" s="274"/>
      <c r="B364" s="165"/>
      <c r="C364" s="165"/>
      <c r="D364" s="165"/>
      <c r="E364" s="73" t="s">
        <v>477</v>
      </c>
      <c r="F364" s="64">
        <v>11957.9</v>
      </c>
      <c r="G364" s="64">
        <v>12627.2</v>
      </c>
      <c r="H364" s="64">
        <v>12627.2</v>
      </c>
      <c r="I364" s="64">
        <v>12867.1</v>
      </c>
      <c r="J364" s="64">
        <v>13251.8</v>
      </c>
      <c r="K364" s="6" t="s">
        <v>477</v>
      </c>
      <c r="L364" s="6" t="s">
        <v>12</v>
      </c>
      <c r="M364" s="233">
        <v>100</v>
      </c>
      <c r="N364" s="233">
        <v>100</v>
      </c>
      <c r="O364" s="233">
        <v>100</v>
      </c>
      <c r="P364" s="233">
        <v>100</v>
      </c>
      <c r="Q364" s="106">
        <v>100</v>
      </c>
    </row>
    <row r="365" spans="1:17" ht="30" x14ac:dyDescent="0.25">
      <c r="A365" s="274"/>
      <c r="B365" s="280"/>
      <c r="C365" s="280"/>
      <c r="D365" s="277"/>
      <c r="E365" s="73" t="s">
        <v>478</v>
      </c>
      <c r="F365" s="279">
        <v>11957.9</v>
      </c>
      <c r="G365" s="279">
        <v>12627.2</v>
      </c>
      <c r="H365" s="279">
        <v>12627.2</v>
      </c>
      <c r="I365" s="279">
        <v>12867.1</v>
      </c>
      <c r="J365" s="279">
        <v>13251.8</v>
      </c>
      <c r="K365" s="271" t="s">
        <v>479</v>
      </c>
      <c r="L365" s="269" t="s">
        <v>480</v>
      </c>
      <c r="M365" s="269">
        <v>18154</v>
      </c>
      <c r="N365" s="269">
        <v>35000</v>
      </c>
      <c r="O365" s="269">
        <v>35000</v>
      </c>
      <c r="P365" s="269">
        <v>35000</v>
      </c>
      <c r="Q365" s="270">
        <v>35000</v>
      </c>
    </row>
    <row r="366" spans="1:17" x14ac:dyDescent="0.25">
      <c r="A366" s="274"/>
      <c r="B366" s="280"/>
      <c r="C366" s="280"/>
      <c r="D366" s="277"/>
      <c r="E366" s="271" t="s">
        <v>696</v>
      </c>
      <c r="F366" s="279"/>
      <c r="G366" s="279"/>
      <c r="H366" s="279"/>
      <c r="I366" s="279"/>
      <c r="J366" s="279"/>
      <c r="K366" s="271"/>
      <c r="L366" s="269"/>
      <c r="M366" s="269"/>
      <c r="N366" s="269"/>
      <c r="O366" s="269"/>
      <c r="P366" s="269"/>
      <c r="Q366" s="270"/>
    </row>
    <row r="367" spans="1:17" x14ac:dyDescent="0.25">
      <c r="A367" s="274"/>
      <c r="B367" s="280"/>
      <c r="C367" s="280"/>
      <c r="D367" s="277"/>
      <c r="E367" s="271"/>
      <c r="F367" s="279"/>
      <c r="G367" s="279"/>
      <c r="H367" s="279"/>
      <c r="I367" s="279"/>
      <c r="J367" s="279"/>
      <c r="K367" s="271"/>
      <c r="L367" s="269"/>
      <c r="M367" s="269"/>
      <c r="N367" s="269"/>
      <c r="O367" s="269"/>
      <c r="P367" s="269"/>
      <c r="Q367" s="270"/>
    </row>
    <row r="368" spans="1:17" ht="15" customHeight="1" thickBot="1" x14ac:dyDescent="0.3">
      <c r="A368" s="275" t="s">
        <v>13</v>
      </c>
      <c r="B368" s="276"/>
      <c r="C368" s="276"/>
      <c r="D368" s="276"/>
      <c r="E368" s="276"/>
      <c r="F368" s="109">
        <f>F311+F314+F318+F324+F329+F335+F338+F353+F362+F364</f>
        <v>4970649.7</v>
      </c>
      <c r="G368" s="109">
        <f>G311+G314+G318+G324+G329+G335+G338+G353+G362+G364</f>
        <v>12129904.559999999</v>
      </c>
      <c r="H368" s="109">
        <f>H311+H314+H318+H324+H329+H335+H338+H353+H362+H364</f>
        <v>10039993.579999996</v>
      </c>
      <c r="I368" s="109">
        <f>I311+I314+I318+I324+I329+I335+I338+I353+I362+I364</f>
        <v>12966245.26</v>
      </c>
      <c r="J368" s="109">
        <f>J311+J314+J318+J324+J329+J335+J338+J353+J362+J364</f>
        <v>11192712.040000001</v>
      </c>
      <c r="K368" s="110"/>
      <c r="L368" s="272"/>
      <c r="M368" s="272"/>
      <c r="N368" s="272"/>
      <c r="O368" s="272"/>
      <c r="P368" s="272"/>
      <c r="Q368" s="273"/>
    </row>
  </sheetData>
  <mergeCells count="876">
    <mergeCell ref="A5:A6"/>
    <mergeCell ref="B5:B6"/>
    <mergeCell ref="C5:C6"/>
    <mergeCell ref="D5:D6"/>
    <mergeCell ref="E5:E6"/>
    <mergeCell ref="F5:J5"/>
    <mergeCell ref="K5:K6"/>
    <mergeCell ref="L5:L6"/>
    <mergeCell ref="N5:Q5"/>
    <mergeCell ref="A101:O101"/>
    <mergeCell ref="A102:A221"/>
    <mergeCell ref="B102:B105"/>
    <mergeCell ref="C102:C105"/>
    <mergeCell ref="D102:D105"/>
    <mergeCell ref="E102:E105"/>
    <mergeCell ref="F102:F105"/>
    <mergeCell ref="G102:G105"/>
    <mergeCell ref="I113:I114"/>
    <mergeCell ref="J113:J114"/>
    <mergeCell ref="B116:B121"/>
    <mergeCell ref="C116:C121"/>
    <mergeCell ref="D116:D121"/>
    <mergeCell ref="E116:E121"/>
    <mergeCell ref="H111:H112"/>
    <mergeCell ref="I111:I112"/>
    <mergeCell ref="J111:J112"/>
    <mergeCell ref="B113:B114"/>
    <mergeCell ref="C113:C114"/>
    <mergeCell ref="D113:D114"/>
    <mergeCell ref="E113:E114"/>
    <mergeCell ref="F113:F114"/>
    <mergeCell ref="G113:G114"/>
    <mergeCell ref="H113:H114"/>
    <mergeCell ref="N102:N105"/>
    <mergeCell ref="O102:O105"/>
    <mergeCell ref="P102:P105"/>
    <mergeCell ref="Q102:Q105"/>
    <mergeCell ref="B111:B112"/>
    <mergeCell ref="C111:C112"/>
    <mergeCell ref="D111:D112"/>
    <mergeCell ref="E111:E112"/>
    <mergeCell ref="F111:F112"/>
    <mergeCell ref="G111:G112"/>
    <mergeCell ref="H102:H105"/>
    <mergeCell ref="I102:I105"/>
    <mergeCell ref="J102:J105"/>
    <mergeCell ref="K102:K105"/>
    <mergeCell ref="L102:L105"/>
    <mergeCell ref="M102:M105"/>
    <mergeCell ref="G126:G128"/>
    <mergeCell ref="J116:J121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F116:F121"/>
    <mergeCell ref="G116:G121"/>
    <mergeCell ref="H116:H121"/>
    <mergeCell ref="I116:I121"/>
    <mergeCell ref="H126:H128"/>
    <mergeCell ref="I126:I128"/>
    <mergeCell ref="J126:J128"/>
    <mergeCell ref="B126:B128"/>
    <mergeCell ref="C126:C128"/>
    <mergeCell ref="D126:D128"/>
    <mergeCell ref="E126:E128"/>
    <mergeCell ref="F126:F128"/>
    <mergeCell ref="B149:B154"/>
    <mergeCell ref="C149:C154"/>
    <mergeCell ref="D149:D154"/>
    <mergeCell ref="E149:E154"/>
    <mergeCell ref="F149:F154"/>
    <mergeCell ref="G149:G154"/>
    <mergeCell ref="H149:H154"/>
    <mergeCell ref="I149:I154"/>
    <mergeCell ref="J149:J154"/>
    <mergeCell ref="I131:I135"/>
    <mergeCell ref="J131:J135"/>
    <mergeCell ref="B136:B144"/>
    <mergeCell ref="C136:C144"/>
    <mergeCell ref="D136:D144"/>
    <mergeCell ref="E136:E144"/>
    <mergeCell ref="F136:F144"/>
    <mergeCell ref="G136:G144"/>
    <mergeCell ref="H136:H144"/>
    <mergeCell ref="I136:I144"/>
    <mergeCell ref="B131:B135"/>
    <mergeCell ref="C131:C135"/>
    <mergeCell ref="D131:D135"/>
    <mergeCell ref="E131:E135"/>
    <mergeCell ref="F131:F135"/>
    <mergeCell ref="G131:G135"/>
    <mergeCell ref="H131:H135"/>
    <mergeCell ref="J136:J144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J164:J165"/>
    <mergeCell ref="H155:H156"/>
    <mergeCell ref="I155:I156"/>
    <mergeCell ref="J155:J156"/>
    <mergeCell ref="B157:B163"/>
    <mergeCell ref="C157:C163"/>
    <mergeCell ref="D157:D163"/>
    <mergeCell ref="E157:E163"/>
    <mergeCell ref="F157:F163"/>
    <mergeCell ref="G157:G163"/>
    <mergeCell ref="H157:H163"/>
    <mergeCell ref="B155:B156"/>
    <mergeCell ref="C155:C156"/>
    <mergeCell ref="D155:D156"/>
    <mergeCell ref="E155:E156"/>
    <mergeCell ref="F155:F156"/>
    <mergeCell ref="G155:G156"/>
    <mergeCell ref="I157:I163"/>
    <mergeCell ref="J157:J163"/>
    <mergeCell ref="H169:H171"/>
    <mergeCell ref="I169:I171"/>
    <mergeCell ref="J169:J171"/>
    <mergeCell ref="B172:B175"/>
    <mergeCell ref="C172:C175"/>
    <mergeCell ref="D172:D175"/>
    <mergeCell ref="E172:E175"/>
    <mergeCell ref="F172:F175"/>
    <mergeCell ref="G172:G175"/>
    <mergeCell ref="H172:H175"/>
    <mergeCell ref="B169:B171"/>
    <mergeCell ref="C169:C171"/>
    <mergeCell ref="D169:D171"/>
    <mergeCell ref="E169:E171"/>
    <mergeCell ref="F169:F171"/>
    <mergeCell ref="G169:G171"/>
    <mergeCell ref="I172:I175"/>
    <mergeCell ref="J172:J175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J166:J167"/>
    <mergeCell ref="J176:J177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B190:B193"/>
    <mergeCell ref="C190:C193"/>
    <mergeCell ref="D190:D193"/>
    <mergeCell ref="E190:E193"/>
    <mergeCell ref="F190:F193"/>
    <mergeCell ref="G190:G193"/>
    <mergeCell ref="H190:H193"/>
    <mergeCell ref="I190:I193"/>
    <mergeCell ref="J190:J193"/>
    <mergeCell ref="H185:H186"/>
    <mergeCell ref="I185:I186"/>
    <mergeCell ref="J185:J186"/>
    <mergeCell ref="B187:B189"/>
    <mergeCell ref="C187:C189"/>
    <mergeCell ref="D187:D189"/>
    <mergeCell ref="E187:E189"/>
    <mergeCell ref="F187:F189"/>
    <mergeCell ref="G187:G189"/>
    <mergeCell ref="H187:H189"/>
    <mergeCell ref="B185:B186"/>
    <mergeCell ref="C185:C186"/>
    <mergeCell ref="D185:D186"/>
    <mergeCell ref="E185:E186"/>
    <mergeCell ref="F185:F186"/>
    <mergeCell ref="G185:G186"/>
    <mergeCell ref="I187:I189"/>
    <mergeCell ref="J187:J189"/>
    <mergeCell ref="H197:H199"/>
    <mergeCell ref="I197:I199"/>
    <mergeCell ref="J197:J199"/>
    <mergeCell ref="B200:B201"/>
    <mergeCell ref="C200:C201"/>
    <mergeCell ref="D200:D201"/>
    <mergeCell ref="E200:E201"/>
    <mergeCell ref="F200:F201"/>
    <mergeCell ref="G200:G201"/>
    <mergeCell ref="H200:H201"/>
    <mergeCell ref="B197:B199"/>
    <mergeCell ref="C197:C199"/>
    <mergeCell ref="D197:D199"/>
    <mergeCell ref="E197:E199"/>
    <mergeCell ref="F197:F199"/>
    <mergeCell ref="G197:G199"/>
    <mergeCell ref="I200:I201"/>
    <mergeCell ref="J200:J201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J203:J204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H209:H212"/>
    <mergeCell ref="I209:I212"/>
    <mergeCell ref="J209:J212"/>
    <mergeCell ref="B213:B214"/>
    <mergeCell ref="C213:C214"/>
    <mergeCell ref="D213:D214"/>
    <mergeCell ref="E213:E214"/>
    <mergeCell ref="F213:F214"/>
    <mergeCell ref="G213:G214"/>
    <mergeCell ref="H213:H214"/>
    <mergeCell ref="B209:B212"/>
    <mergeCell ref="C209:C212"/>
    <mergeCell ref="D209:D212"/>
    <mergeCell ref="E209:E212"/>
    <mergeCell ref="F209:F212"/>
    <mergeCell ref="G209:G212"/>
    <mergeCell ref="I213:I214"/>
    <mergeCell ref="J213:J214"/>
    <mergeCell ref="N224:N225"/>
    <mergeCell ref="O224:O225"/>
    <mergeCell ref="P224:P225"/>
    <mergeCell ref="Q224:Q225"/>
    <mergeCell ref="F226:F227"/>
    <mergeCell ref="G226:G227"/>
    <mergeCell ref="K226:Q226"/>
    <mergeCell ref="K227:Q227"/>
    <mergeCell ref="H224:H225"/>
    <mergeCell ref="I224:I225"/>
    <mergeCell ref="J224:J225"/>
    <mergeCell ref="K224:K225"/>
    <mergeCell ref="L224:L225"/>
    <mergeCell ref="M224:M225"/>
    <mergeCell ref="A222:E222"/>
    <mergeCell ref="A223:O223"/>
    <mergeCell ref="A224:A252"/>
    <mergeCell ref="B224:B225"/>
    <mergeCell ref="C224:C225"/>
    <mergeCell ref="D224:D225"/>
    <mergeCell ref="E224:E225"/>
    <mergeCell ref="F224:F225"/>
    <mergeCell ref="G224:G225"/>
    <mergeCell ref="I236:I237"/>
    <mergeCell ref="J236:J237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H231:H235"/>
    <mergeCell ref="I231:I235"/>
    <mergeCell ref="J231:J235"/>
    <mergeCell ref="B236:B237"/>
    <mergeCell ref="C236:C237"/>
    <mergeCell ref="D236:D237"/>
    <mergeCell ref="E236:E237"/>
    <mergeCell ref="F236:F237"/>
    <mergeCell ref="G236:G237"/>
    <mergeCell ref="H236:H237"/>
    <mergeCell ref="B231:B235"/>
    <mergeCell ref="C231:C235"/>
    <mergeCell ref="D231:D235"/>
    <mergeCell ref="E231:E235"/>
    <mergeCell ref="F231:F235"/>
    <mergeCell ref="G231:G235"/>
    <mergeCell ref="H247:H248"/>
    <mergeCell ref="I247:I248"/>
    <mergeCell ref="J247:J248"/>
    <mergeCell ref="A253:E253"/>
    <mergeCell ref="A254:O254"/>
    <mergeCell ref="A255:A308"/>
    <mergeCell ref="B255:B257"/>
    <mergeCell ref="C255:C257"/>
    <mergeCell ref="D255:D257"/>
    <mergeCell ref="E255:E256"/>
    <mergeCell ref="B247:B248"/>
    <mergeCell ref="C247:C248"/>
    <mergeCell ref="D247:D248"/>
    <mergeCell ref="E247:E248"/>
    <mergeCell ref="F247:F248"/>
    <mergeCell ref="G247:G248"/>
    <mergeCell ref="B259:B261"/>
    <mergeCell ref="C259:C261"/>
    <mergeCell ref="D259:D261"/>
    <mergeCell ref="E259:E260"/>
    <mergeCell ref="F259:F261"/>
    <mergeCell ref="G259:G261"/>
    <mergeCell ref="L255:L258"/>
    <mergeCell ref="M255:M258"/>
    <mergeCell ref="J239:J241"/>
    <mergeCell ref="B242:B243"/>
    <mergeCell ref="C242:C243"/>
    <mergeCell ref="D242:D243"/>
    <mergeCell ref="E242:E243"/>
    <mergeCell ref="F242:F243"/>
    <mergeCell ref="G242:G243"/>
    <mergeCell ref="H242:H243"/>
    <mergeCell ref="I242:I243"/>
    <mergeCell ref="J242:J243"/>
    <mergeCell ref="N255:N258"/>
    <mergeCell ref="O255:O258"/>
    <mergeCell ref="P255:P258"/>
    <mergeCell ref="Q255:Q258"/>
    <mergeCell ref="F255:F257"/>
    <mergeCell ref="G255:G257"/>
    <mergeCell ref="H255:H257"/>
    <mergeCell ref="I255:I257"/>
    <mergeCell ref="J255:J257"/>
    <mergeCell ref="K255:K258"/>
    <mergeCell ref="B267:B268"/>
    <mergeCell ref="C267:C268"/>
    <mergeCell ref="D267:D268"/>
    <mergeCell ref="E267:E268"/>
    <mergeCell ref="F267:F268"/>
    <mergeCell ref="G267:G268"/>
    <mergeCell ref="H262:H263"/>
    <mergeCell ref="I262:I263"/>
    <mergeCell ref="J262:J263"/>
    <mergeCell ref="H267:H268"/>
    <mergeCell ref="I267:I268"/>
    <mergeCell ref="J267:J268"/>
    <mergeCell ref="N259:N260"/>
    <mergeCell ref="O259:O260"/>
    <mergeCell ref="P259:P260"/>
    <mergeCell ref="Q259:Q260"/>
    <mergeCell ref="B262:B263"/>
    <mergeCell ref="C262:C263"/>
    <mergeCell ref="D262:D263"/>
    <mergeCell ref="E262:E263"/>
    <mergeCell ref="F262:F263"/>
    <mergeCell ref="G262:G263"/>
    <mergeCell ref="H259:H261"/>
    <mergeCell ref="I259:I261"/>
    <mergeCell ref="J259:J261"/>
    <mergeCell ref="K259:K260"/>
    <mergeCell ref="L259:L260"/>
    <mergeCell ref="M259:M260"/>
    <mergeCell ref="N262:N263"/>
    <mergeCell ref="O262:O263"/>
    <mergeCell ref="P262:P263"/>
    <mergeCell ref="Q262:Q263"/>
    <mergeCell ref="K262:K266"/>
    <mergeCell ref="L262:L263"/>
    <mergeCell ref="M262:M263"/>
    <mergeCell ref="I269:I270"/>
    <mergeCell ref="J269:J270"/>
    <mergeCell ref="B273:B274"/>
    <mergeCell ref="C273:C274"/>
    <mergeCell ref="D273:D274"/>
    <mergeCell ref="F273:F274"/>
    <mergeCell ref="G273:G274"/>
    <mergeCell ref="H273:H274"/>
    <mergeCell ref="I273:I274"/>
    <mergeCell ref="J273:J274"/>
    <mergeCell ref="B269:B270"/>
    <mergeCell ref="C269:C270"/>
    <mergeCell ref="D269:D270"/>
    <mergeCell ref="E269:E270"/>
    <mergeCell ref="F269:F270"/>
    <mergeCell ref="G269:G270"/>
    <mergeCell ref="H269:H270"/>
    <mergeCell ref="N276:N277"/>
    <mergeCell ref="O276:O277"/>
    <mergeCell ref="P276:P277"/>
    <mergeCell ref="Q276:Q277"/>
    <mergeCell ref="B278:B279"/>
    <mergeCell ref="C278:C279"/>
    <mergeCell ref="D278:D279"/>
    <mergeCell ref="E278:E279"/>
    <mergeCell ref="F278:F279"/>
    <mergeCell ref="G278:G279"/>
    <mergeCell ref="H275:H277"/>
    <mergeCell ref="I275:I277"/>
    <mergeCell ref="J275:J277"/>
    <mergeCell ref="K276:K277"/>
    <mergeCell ref="L276:L277"/>
    <mergeCell ref="M276:M277"/>
    <mergeCell ref="B275:B277"/>
    <mergeCell ref="C275:C277"/>
    <mergeCell ref="D275:D277"/>
    <mergeCell ref="E275:E277"/>
    <mergeCell ref="F275:F277"/>
    <mergeCell ref="G275:G277"/>
    <mergeCell ref="H278:H279"/>
    <mergeCell ref="I278:I279"/>
    <mergeCell ref="H284:H285"/>
    <mergeCell ref="I284:I285"/>
    <mergeCell ref="J284:J285"/>
    <mergeCell ref="I280:I281"/>
    <mergeCell ref="J280:J281"/>
    <mergeCell ref="B282:B283"/>
    <mergeCell ref="C282:C283"/>
    <mergeCell ref="D282:D283"/>
    <mergeCell ref="E282:E283"/>
    <mergeCell ref="F282:F283"/>
    <mergeCell ref="G282:G283"/>
    <mergeCell ref="H282:H283"/>
    <mergeCell ref="I282:I283"/>
    <mergeCell ref="B286:B287"/>
    <mergeCell ref="C286:C287"/>
    <mergeCell ref="D286:D287"/>
    <mergeCell ref="E286:E287"/>
    <mergeCell ref="F286:F287"/>
    <mergeCell ref="G286:G287"/>
    <mergeCell ref="J278:J279"/>
    <mergeCell ref="B280:B281"/>
    <mergeCell ref="C280:C281"/>
    <mergeCell ref="D280:D281"/>
    <mergeCell ref="E280:E281"/>
    <mergeCell ref="F280:F281"/>
    <mergeCell ref="G280:G281"/>
    <mergeCell ref="H280:H281"/>
    <mergeCell ref="H286:H287"/>
    <mergeCell ref="I286:I287"/>
    <mergeCell ref="J286:J287"/>
    <mergeCell ref="J282:J283"/>
    <mergeCell ref="B284:B285"/>
    <mergeCell ref="C284:C285"/>
    <mergeCell ref="D284:D285"/>
    <mergeCell ref="E284:E285"/>
    <mergeCell ref="F284:F285"/>
    <mergeCell ref="G284:G285"/>
    <mergeCell ref="K291:K292"/>
    <mergeCell ref="L291:L292"/>
    <mergeCell ref="B293:B298"/>
    <mergeCell ref="C293:C298"/>
    <mergeCell ref="D293:D298"/>
    <mergeCell ref="E293:E298"/>
    <mergeCell ref="F293:F298"/>
    <mergeCell ref="G293:G298"/>
    <mergeCell ref="H293:H298"/>
    <mergeCell ref="I293:I298"/>
    <mergeCell ref="J293:J298"/>
    <mergeCell ref="I288:I289"/>
    <mergeCell ref="J288:J289"/>
    <mergeCell ref="B290:B292"/>
    <mergeCell ref="C290:C292"/>
    <mergeCell ref="D290:D292"/>
    <mergeCell ref="E290:E292"/>
    <mergeCell ref="F290:F292"/>
    <mergeCell ref="G290:G292"/>
    <mergeCell ref="H290:H292"/>
    <mergeCell ref="I290:I292"/>
    <mergeCell ref="J290:J292"/>
    <mergeCell ref="B288:B289"/>
    <mergeCell ref="C288:C289"/>
    <mergeCell ref="D288:D289"/>
    <mergeCell ref="E288:E289"/>
    <mergeCell ref="F288:F289"/>
    <mergeCell ref="G288:G289"/>
    <mergeCell ref="H288:H289"/>
    <mergeCell ref="J299:J301"/>
    <mergeCell ref="B302:B303"/>
    <mergeCell ref="C302:C303"/>
    <mergeCell ref="D302:D303"/>
    <mergeCell ref="E302:E303"/>
    <mergeCell ref="F302:F303"/>
    <mergeCell ref="G302:G303"/>
    <mergeCell ref="H302:H303"/>
    <mergeCell ref="I302:I303"/>
    <mergeCell ref="J302:J303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O305:O306"/>
    <mergeCell ref="P305:P306"/>
    <mergeCell ref="Q305:Q306"/>
    <mergeCell ref="A309:E309"/>
    <mergeCell ref="A310:Q310"/>
    <mergeCell ref="A311:A367"/>
    <mergeCell ref="K312:K313"/>
    <mergeCell ref="L312:L313"/>
    <mergeCell ref="M312:M313"/>
    <mergeCell ref="N312:N313"/>
    <mergeCell ref="I305:I306"/>
    <mergeCell ref="J305:J306"/>
    <mergeCell ref="K305:K306"/>
    <mergeCell ref="L305:L306"/>
    <mergeCell ref="M305:M306"/>
    <mergeCell ref="N305:N306"/>
    <mergeCell ref="B305:B306"/>
    <mergeCell ref="D305:D306"/>
    <mergeCell ref="E305:E306"/>
    <mergeCell ref="F305:F306"/>
    <mergeCell ref="G305:G306"/>
    <mergeCell ref="H305:H306"/>
    <mergeCell ref="I315:I317"/>
    <mergeCell ref="J315:J317"/>
    <mergeCell ref="B320:B321"/>
    <mergeCell ref="C320:C321"/>
    <mergeCell ref="D320:D321"/>
    <mergeCell ref="E320:E321"/>
    <mergeCell ref="F320:F321"/>
    <mergeCell ref="G320:G321"/>
    <mergeCell ref="H320:H321"/>
    <mergeCell ref="I320:I321"/>
    <mergeCell ref="O312:O313"/>
    <mergeCell ref="J320:J321"/>
    <mergeCell ref="P312:P313"/>
    <mergeCell ref="Q312:Q313"/>
    <mergeCell ref="B315:B317"/>
    <mergeCell ref="C315:C317"/>
    <mergeCell ref="D315:D317"/>
    <mergeCell ref="E315:E317"/>
    <mergeCell ref="F315:F317"/>
    <mergeCell ref="G315:G317"/>
    <mergeCell ref="H315:H317"/>
    <mergeCell ref="H325:H327"/>
    <mergeCell ref="I325:I327"/>
    <mergeCell ref="J325:J327"/>
    <mergeCell ref="N340:P340"/>
    <mergeCell ref="N343:Q343"/>
    <mergeCell ref="B346:B348"/>
    <mergeCell ref="C346:C348"/>
    <mergeCell ref="D346:D348"/>
    <mergeCell ref="E346:E348"/>
    <mergeCell ref="F346:F348"/>
    <mergeCell ref="B325:B327"/>
    <mergeCell ref="C325:C327"/>
    <mergeCell ref="D325:D327"/>
    <mergeCell ref="E325:E327"/>
    <mergeCell ref="F325:F327"/>
    <mergeCell ref="G325:G327"/>
    <mergeCell ref="G346:G348"/>
    <mergeCell ref="H346:H348"/>
    <mergeCell ref="I346:I348"/>
    <mergeCell ref="J346:J348"/>
    <mergeCell ref="N347:P347"/>
    <mergeCell ref="B322:B323"/>
    <mergeCell ref="C322:C323"/>
    <mergeCell ref="D322:D323"/>
    <mergeCell ref="E322:E323"/>
    <mergeCell ref="F322:F323"/>
    <mergeCell ref="G322:G323"/>
    <mergeCell ref="H322:H323"/>
    <mergeCell ref="I322:I323"/>
    <mergeCell ref="J322:J323"/>
    <mergeCell ref="G354:G361"/>
    <mergeCell ref="H354:H361"/>
    <mergeCell ref="I354:I361"/>
    <mergeCell ref="J354:J361"/>
    <mergeCell ref="K355:K358"/>
    <mergeCell ref="B359:B361"/>
    <mergeCell ref="C359:C361"/>
    <mergeCell ref="D359:D361"/>
    <mergeCell ref="E359:E361"/>
    <mergeCell ref="B354:B358"/>
    <mergeCell ref="C354:C358"/>
    <mergeCell ref="D354:D358"/>
    <mergeCell ref="E354:E358"/>
    <mergeCell ref="F354:F361"/>
    <mergeCell ref="O365:O367"/>
    <mergeCell ref="P365:P367"/>
    <mergeCell ref="Q365:Q367"/>
    <mergeCell ref="E366:E367"/>
    <mergeCell ref="A368:E368"/>
    <mergeCell ref="L368:Q368"/>
    <mergeCell ref="I365:I367"/>
    <mergeCell ref="J365:J367"/>
    <mergeCell ref="K365:K367"/>
    <mergeCell ref="L365:L367"/>
    <mergeCell ref="M365:M367"/>
    <mergeCell ref="N365:N367"/>
    <mergeCell ref="B365:B367"/>
    <mergeCell ref="C365:C367"/>
    <mergeCell ref="D365:D367"/>
    <mergeCell ref="F365:F367"/>
    <mergeCell ref="G365:G367"/>
    <mergeCell ref="H365:H367"/>
    <mergeCell ref="A7:O7"/>
    <mergeCell ref="A8:A99"/>
    <mergeCell ref="K9:Q9"/>
    <mergeCell ref="K10:Q10"/>
    <mergeCell ref="B12:B14"/>
    <mergeCell ref="C12:C14"/>
    <mergeCell ref="D12:D14"/>
    <mergeCell ref="E12:E14"/>
    <mergeCell ref="G18:G19"/>
    <mergeCell ref="H18:H19"/>
    <mergeCell ref="I18:I19"/>
    <mergeCell ref="J18:J19"/>
    <mergeCell ref="B20:B23"/>
    <mergeCell ref="C20:C23"/>
    <mergeCell ref="D20:D23"/>
    <mergeCell ref="E20:E23"/>
    <mergeCell ref="F20:F23"/>
    <mergeCell ref="G20:G23"/>
    <mergeCell ref="F12:F14"/>
    <mergeCell ref="G12:G14"/>
    <mergeCell ref="H12:H14"/>
    <mergeCell ref="I12:I14"/>
    <mergeCell ref="J12:J14"/>
    <mergeCell ref="B18:B19"/>
    <mergeCell ref="C18:C19"/>
    <mergeCell ref="D18:D19"/>
    <mergeCell ref="E18:E19"/>
    <mergeCell ref="F18:F19"/>
    <mergeCell ref="B28:B29"/>
    <mergeCell ref="C28:C29"/>
    <mergeCell ref="D28:D29"/>
    <mergeCell ref="E28:E29"/>
    <mergeCell ref="F28:F29"/>
    <mergeCell ref="H20:H23"/>
    <mergeCell ref="I20:I23"/>
    <mergeCell ref="J20:J23"/>
    <mergeCell ref="B24:B26"/>
    <mergeCell ref="C24:C26"/>
    <mergeCell ref="D24:D26"/>
    <mergeCell ref="E24:E26"/>
    <mergeCell ref="F24:F26"/>
    <mergeCell ref="G24:G26"/>
    <mergeCell ref="H24:H26"/>
    <mergeCell ref="I24:I26"/>
    <mergeCell ref="J24:J26"/>
    <mergeCell ref="Q28:Q29"/>
    <mergeCell ref="K30:K31"/>
    <mergeCell ref="L30:L31"/>
    <mergeCell ref="M30:M31"/>
    <mergeCell ref="N30:N31"/>
    <mergeCell ref="O30:O31"/>
    <mergeCell ref="P30:P31"/>
    <mergeCell ref="Q30:Q31"/>
    <mergeCell ref="K28:K29"/>
    <mergeCell ref="L28:L29"/>
    <mergeCell ref="M28:M29"/>
    <mergeCell ref="N28:N29"/>
    <mergeCell ref="O28:O29"/>
    <mergeCell ref="E42:E43"/>
    <mergeCell ref="F42:F43"/>
    <mergeCell ref="G42:G43"/>
    <mergeCell ref="H42:H43"/>
    <mergeCell ref="P28:P29"/>
    <mergeCell ref="G28:G29"/>
    <mergeCell ref="H28:H29"/>
    <mergeCell ref="I28:I29"/>
    <mergeCell ref="J28:J29"/>
    <mergeCell ref="N32:N33"/>
    <mergeCell ref="O32:O33"/>
    <mergeCell ref="P32:P33"/>
    <mergeCell ref="O42:O43"/>
    <mergeCell ref="P42:P43"/>
    <mergeCell ref="Q32:Q33"/>
    <mergeCell ref="B35:B39"/>
    <mergeCell ref="C35:C39"/>
    <mergeCell ref="D35:D39"/>
    <mergeCell ref="E35:E39"/>
    <mergeCell ref="F35:F39"/>
    <mergeCell ref="G35:G39"/>
    <mergeCell ref="H32:H33"/>
    <mergeCell ref="I32:I33"/>
    <mergeCell ref="J32:J33"/>
    <mergeCell ref="K32:K33"/>
    <mergeCell ref="L32:L33"/>
    <mergeCell ref="M32:M33"/>
    <mergeCell ref="B32:B33"/>
    <mergeCell ref="C32:C33"/>
    <mergeCell ref="D32:D33"/>
    <mergeCell ref="E32:E33"/>
    <mergeCell ref="F32:F33"/>
    <mergeCell ref="G32:G33"/>
    <mergeCell ref="H35:H39"/>
    <mergeCell ref="I35:I39"/>
    <mergeCell ref="J35:J39"/>
    <mergeCell ref="B52:B53"/>
    <mergeCell ref="C52:C53"/>
    <mergeCell ref="D52:D53"/>
    <mergeCell ref="E52:E53"/>
    <mergeCell ref="F52:F53"/>
    <mergeCell ref="G52:G53"/>
    <mergeCell ref="H52:H53"/>
    <mergeCell ref="I47:I48"/>
    <mergeCell ref="J47:J48"/>
    <mergeCell ref="I52:I53"/>
    <mergeCell ref="J52:J53"/>
    <mergeCell ref="Q42:Q43"/>
    <mergeCell ref="B47:B48"/>
    <mergeCell ref="C47:C48"/>
    <mergeCell ref="D47:D48"/>
    <mergeCell ref="E47:E48"/>
    <mergeCell ref="F47:F48"/>
    <mergeCell ref="G47:G48"/>
    <mergeCell ref="H47:H48"/>
    <mergeCell ref="I42:I43"/>
    <mergeCell ref="J42:J43"/>
    <mergeCell ref="K42:K43"/>
    <mergeCell ref="L42:L43"/>
    <mergeCell ref="M42:M43"/>
    <mergeCell ref="N42:N43"/>
    <mergeCell ref="O47:O48"/>
    <mergeCell ref="P47:P48"/>
    <mergeCell ref="Q47:Q48"/>
    <mergeCell ref="K47:K48"/>
    <mergeCell ref="L47:L48"/>
    <mergeCell ref="M47:M48"/>
    <mergeCell ref="N47:N48"/>
    <mergeCell ref="B42:B43"/>
    <mergeCell ref="C42:C43"/>
    <mergeCell ref="D42:D43"/>
    <mergeCell ref="J54:J55"/>
    <mergeCell ref="L54:L55"/>
    <mergeCell ref="B57:B59"/>
    <mergeCell ref="C57:C59"/>
    <mergeCell ref="D57:D59"/>
    <mergeCell ref="E57:E59"/>
    <mergeCell ref="F57:F59"/>
    <mergeCell ref="G57:G59"/>
    <mergeCell ref="H57:H59"/>
    <mergeCell ref="I57:I59"/>
    <mergeCell ref="B54:B55"/>
    <mergeCell ref="C54:C55"/>
    <mergeCell ref="D54:D55"/>
    <mergeCell ref="E54:E55"/>
    <mergeCell ref="F54:F55"/>
    <mergeCell ref="G54:G55"/>
    <mergeCell ref="H54:H55"/>
    <mergeCell ref="I54:I55"/>
    <mergeCell ref="J57:J59"/>
    <mergeCell ref="Q63:Q64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3:K64"/>
    <mergeCell ref="L63:L64"/>
    <mergeCell ref="M63:M64"/>
    <mergeCell ref="N63:N64"/>
    <mergeCell ref="O63:O64"/>
    <mergeCell ref="P63:P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I71:I73"/>
    <mergeCell ref="J71:J73"/>
    <mergeCell ref="B74:B75"/>
    <mergeCell ref="C74:C75"/>
    <mergeCell ref="D74:D75"/>
    <mergeCell ref="E74:E75"/>
    <mergeCell ref="F74:F75"/>
    <mergeCell ref="G74:G75"/>
    <mergeCell ref="H74:H75"/>
    <mergeCell ref="I74:I75"/>
    <mergeCell ref="H67:H68"/>
    <mergeCell ref="I67:I68"/>
    <mergeCell ref="J67:J68"/>
    <mergeCell ref="B71:B73"/>
    <mergeCell ref="C71:C73"/>
    <mergeCell ref="D71:D73"/>
    <mergeCell ref="E71:E73"/>
    <mergeCell ref="F71:F73"/>
    <mergeCell ref="G71:G73"/>
    <mergeCell ref="H71:H73"/>
    <mergeCell ref="B67:B68"/>
    <mergeCell ref="C67:C68"/>
    <mergeCell ref="D67:D68"/>
    <mergeCell ref="D78:D81"/>
    <mergeCell ref="E78:E81"/>
    <mergeCell ref="F78:F81"/>
    <mergeCell ref="G78:G81"/>
    <mergeCell ref="J74:J75"/>
    <mergeCell ref="B76:B77"/>
    <mergeCell ref="C76:C77"/>
    <mergeCell ref="D76:D77"/>
    <mergeCell ref="E76:E77"/>
    <mergeCell ref="A100:E100"/>
    <mergeCell ref="J91:J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B91:B94"/>
    <mergeCell ref="C91:C94"/>
    <mergeCell ref="D91:D94"/>
    <mergeCell ref="E91:E94"/>
    <mergeCell ref="F91:F94"/>
    <mergeCell ref="G91:G94"/>
    <mergeCell ref="H91:H94"/>
    <mergeCell ref="I91:I94"/>
    <mergeCell ref="K1:Q1"/>
    <mergeCell ref="A3:Q3"/>
    <mergeCell ref="F76:F77"/>
    <mergeCell ref="G76:G77"/>
    <mergeCell ref="H76:H77"/>
    <mergeCell ref="I76:I77"/>
    <mergeCell ref="J76:J77"/>
    <mergeCell ref="I88:I90"/>
    <mergeCell ref="J88:J90"/>
    <mergeCell ref="E67:E68"/>
    <mergeCell ref="F67:F68"/>
    <mergeCell ref="G67:G68"/>
    <mergeCell ref="H78:H81"/>
    <mergeCell ref="I78:I81"/>
    <mergeCell ref="J78:J81"/>
    <mergeCell ref="B88:B90"/>
    <mergeCell ref="C88:C90"/>
    <mergeCell ref="D88:D90"/>
    <mergeCell ref="E88:E90"/>
    <mergeCell ref="F88:F90"/>
    <mergeCell ref="G88:G90"/>
    <mergeCell ref="H88:H90"/>
    <mergeCell ref="B78:B81"/>
    <mergeCell ref="C78:C81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48" fitToHeight="0" orientation="landscape" r:id="rId1"/>
  <headerFooter>
    <oddFooter>&amp;R&amp;"Times New Roman,обычный"&amp;10&amp;P</oddFooter>
  </headerFooter>
  <rowBreaks count="5" manualBreakCount="5">
    <brk id="208" max="16" man="1"/>
    <brk id="246" max="16" man="1"/>
    <brk id="272" max="16" man="1"/>
    <brk id="298" max="16" man="1"/>
    <brk id="361" max="1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9F6C8F1-4A02-42C9-B25F-E82306763FA6}"/>
</file>

<file path=customXml/itemProps2.xml><?xml version="1.0" encoding="utf-8"?>
<ds:datastoreItem xmlns:ds="http://schemas.openxmlformats.org/officeDocument/2006/customXml" ds:itemID="{4D0942D6-6AE2-4BD3-B7DD-2B97C5D42B92}"/>
</file>

<file path=customXml/itemProps3.xml><?xml version="1.0" encoding="utf-8"?>
<ds:datastoreItem xmlns:ds="http://schemas.openxmlformats.org/officeDocument/2006/customXml" ds:itemID="{4F775C3F-66F0-4A08-B448-637518D06D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 11-1</vt:lpstr>
      <vt:lpstr>'Прил 11-1'!Заголовки_для_печати</vt:lpstr>
      <vt:lpstr>'Прил 11-1'!Область_печати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2022-01-21T03:26:02Z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