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persons/person0.xml" ContentType="application/vnd.ms-excel.person+xml"/>
  <Override PartName="/xl/persons/person.xml" ContentType="application/vnd.ms-excel.perso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05" yWindow="-105" windowWidth="23250" windowHeight="12570" tabRatio="567"/>
  </bookViews>
  <sheets>
    <sheet name="11 Тиркеме" sheetId="4" r:id="rId1"/>
    <sheet name="11-1 Тиркеме пилот" sheetId="5" r:id="rId2"/>
  </sheets>
  <externalReferences>
    <externalReference r:id="rId3"/>
  </externalReferences>
  <definedNames>
    <definedName name="_xlnm.Print_Titles" localSheetId="0">'11 Тиркеме'!$5:$6</definedName>
    <definedName name="_xlnm.Print_Titles" localSheetId="1">'11-1 Тиркеме пилот'!$5:$7</definedName>
    <definedName name="_xlnm.Print_Area" localSheetId="0">'11 Тиркеме'!$A$1:$Q$878</definedName>
    <definedName name="_xlnm.Print_Area" localSheetId="1">'11-1 Тиркеме пилот'!$A$1:$Q$355</definedName>
  </definedNames>
  <calcPr calcId="144525"/>
  <fileRecoveryPr autoRecover="0"/>
</workbook>
</file>

<file path=xl/calcChain.xml><?xml version="1.0" encoding="utf-8"?>
<calcChain xmlns="http://schemas.openxmlformats.org/spreadsheetml/2006/main">
  <c r="G345" i="5" l="1"/>
  <c r="H345" i="5"/>
  <c r="I345" i="5"/>
  <c r="J345" i="5"/>
  <c r="F345" i="5"/>
  <c r="J341" i="5"/>
  <c r="I341" i="5"/>
  <c r="H341" i="5"/>
  <c r="G341" i="5"/>
  <c r="F341" i="5"/>
  <c r="J333" i="5"/>
  <c r="I333" i="5"/>
  <c r="H333" i="5"/>
  <c r="G333" i="5"/>
  <c r="F333" i="5"/>
  <c r="G328" i="5" l="1"/>
  <c r="H328" i="5"/>
  <c r="I328" i="5"/>
  <c r="J328" i="5"/>
  <c r="H320" i="5"/>
  <c r="I320" i="5"/>
  <c r="J320" i="5"/>
  <c r="G320" i="5"/>
  <c r="F315" i="5" l="1"/>
  <c r="G315" i="5"/>
  <c r="G355" i="5" s="1"/>
  <c r="H315" i="5"/>
  <c r="H355" i="5" s="1"/>
  <c r="I315" i="5"/>
  <c r="I355" i="5" s="1"/>
  <c r="J315" i="5"/>
  <c r="J355" i="5" s="1"/>
  <c r="I305" i="5"/>
  <c r="J305" i="5"/>
  <c r="H305" i="5"/>
  <c r="I275" i="5"/>
  <c r="J275" i="5"/>
  <c r="H275" i="5"/>
  <c r="I262" i="5"/>
  <c r="J262" i="5"/>
  <c r="H262" i="5"/>
  <c r="I260" i="5"/>
  <c r="J260" i="5"/>
  <c r="H260" i="5"/>
  <c r="I200" i="5"/>
  <c r="J200" i="5"/>
  <c r="H200" i="5"/>
  <c r="H117" i="5"/>
  <c r="I101" i="5"/>
  <c r="J101" i="5"/>
  <c r="H101" i="5"/>
  <c r="I90" i="5"/>
  <c r="J90" i="5"/>
  <c r="H90" i="5"/>
  <c r="H139" i="5"/>
  <c r="I84" i="5"/>
  <c r="J84" i="5"/>
  <c r="H84" i="5"/>
  <c r="I81" i="5"/>
  <c r="J81" i="5"/>
  <c r="H81" i="5"/>
  <c r="I75" i="5"/>
  <c r="J75" i="5"/>
  <c r="H75" i="5"/>
  <c r="I70" i="5"/>
  <c r="J70" i="5"/>
  <c r="H70" i="5"/>
  <c r="I64" i="5"/>
  <c r="J64" i="5"/>
  <c r="H64" i="5"/>
  <c r="I61" i="5"/>
  <c r="J61" i="5"/>
  <c r="H61" i="5"/>
  <c r="J15" i="5"/>
  <c r="J13" i="5" s="1"/>
  <c r="I32" i="5"/>
  <c r="I29" i="5" s="1"/>
  <c r="I42" i="5"/>
  <c r="I15" i="5"/>
  <c r="I13" i="5" s="1"/>
  <c r="I36" i="5"/>
  <c r="I45" i="5"/>
  <c r="J45" i="5"/>
  <c r="H45" i="5"/>
  <c r="I57" i="5"/>
  <c r="J57" i="5"/>
  <c r="H57" i="5"/>
  <c r="I53" i="5"/>
  <c r="J53" i="5"/>
  <c r="H53" i="5"/>
  <c r="J33" i="5"/>
  <c r="H33" i="5"/>
  <c r="J29" i="5"/>
  <c r="H29" i="5"/>
  <c r="H13" i="5"/>
  <c r="I9" i="5"/>
  <c r="J9" i="5"/>
  <c r="H9" i="5"/>
  <c r="I313" i="5" l="1"/>
  <c r="H313" i="5"/>
  <c r="J313" i="5"/>
  <c r="H59" i="5"/>
  <c r="J88" i="5"/>
  <c r="H88" i="5"/>
  <c r="I88" i="5"/>
  <c r="H148" i="5"/>
  <c r="J59" i="5"/>
  <c r="I33" i="5"/>
  <c r="I59" i="5" s="1"/>
  <c r="H779" i="4"/>
  <c r="I774" i="4"/>
  <c r="J774" i="4"/>
  <c r="H774" i="4"/>
  <c r="J717" i="4"/>
  <c r="J716" i="4" s="1"/>
  <c r="I717" i="4"/>
  <c r="I710" i="4"/>
  <c r="I709" i="4" s="1"/>
  <c r="I720" i="4"/>
  <c r="J720" i="4"/>
  <c r="H720" i="4"/>
  <c r="I716" i="4"/>
  <c r="H716" i="4"/>
  <c r="J709" i="4"/>
  <c r="H709" i="4"/>
  <c r="I699" i="4"/>
  <c r="J699" i="4"/>
  <c r="H699" i="4"/>
  <c r="I696" i="4"/>
  <c r="J696" i="4"/>
  <c r="H696" i="4"/>
  <c r="I690" i="4"/>
  <c r="J690" i="4"/>
  <c r="H690" i="4"/>
  <c r="I685" i="4"/>
  <c r="J685" i="4"/>
  <c r="H685" i="4"/>
  <c r="I683" i="4"/>
  <c r="J683" i="4"/>
  <c r="H683" i="4"/>
  <c r="I640" i="4"/>
  <c r="J640" i="4"/>
  <c r="H640" i="4"/>
  <c r="I636" i="4"/>
  <c r="I643" i="4" s="1"/>
  <c r="J636" i="4"/>
  <c r="H636" i="4"/>
  <c r="I632" i="4"/>
  <c r="J632" i="4"/>
  <c r="H632" i="4"/>
  <c r="H610" i="4"/>
  <c r="I624" i="4"/>
  <c r="J624" i="4"/>
  <c r="H624" i="4"/>
  <c r="I621" i="4"/>
  <c r="J621" i="4"/>
  <c r="H621" i="4"/>
  <c r="I615" i="4"/>
  <c r="J615" i="4"/>
  <c r="H615" i="4"/>
  <c r="I610" i="4"/>
  <c r="J610" i="4"/>
  <c r="I608" i="4"/>
  <c r="J608" i="4"/>
  <c r="H608" i="4"/>
  <c r="H576" i="4"/>
  <c r="H575" i="4" s="1"/>
  <c r="I601" i="4"/>
  <c r="J601" i="4"/>
  <c r="H601" i="4"/>
  <c r="I598" i="4"/>
  <c r="J598" i="4"/>
  <c r="H598" i="4"/>
  <c r="I593" i="4"/>
  <c r="J593" i="4"/>
  <c r="H593" i="4"/>
  <c r="J576" i="4"/>
  <c r="J575" i="4" s="1"/>
  <c r="I576" i="4"/>
  <c r="I575" i="4" s="1"/>
  <c r="G576" i="4"/>
  <c r="I572" i="4"/>
  <c r="J572" i="4"/>
  <c r="H572" i="4"/>
  <c r="I550" i="4"/>
  <c r="J550" i="4"/>
  <c r="H550" i="4"/>
  <c r="I525" i="4"/>
  <c r="J525" i="4"/>
  <c r="H525" i="4"/>
  <c r="I506" i="4"/>
  <c r="J506" i="4"/>
  <c r="H506" i="4"/>
  <c r="I540" i="4"/>
  <c r="J540" i="4"/>
  <c r="H540" i="4"/>
  <c r="I531" i="4"/>
  <c r="J531" i="4"/>
  <c r="H531" i="4"/>
  <c r="I491" i="4"/>
  <c r="J491" i="4"/>
  <c r="H491" i="4"/>
  <c r="I488" i="4"/>
  <c r="J488" i="4"/>
  <c r="H488" i="4"/>
  <c r="I392" i="4"/>
  <c r="J392" i="4"/>
  <c r="H392" i="4"/>
  <c r="I366" i="4"/>
  <c r="J366" i="4"/>
  <c r="H366" i="4"/>
  <c r="I355" i="4"/>
  <c r="J355" i="4"/>
  <c r="H355" i="4"/>
  <c r="I290" i="4"/>
  <c r="J290" i="4"/>
  <c r="H290" i="4"/>
  <c r="I282" i="4"/>
  <c r="I288" i="4" s="1"/>
  <c r="J282" i="4"/>
  <c r="J288" i="4" s="1"/>
  <c r="H282" i="4"/>
  <c r="H288" i="4" s="1"/>
  <c r="G275" i="4"/>
  <c r="G280" i="4" s="1"/>
  <c r="H275" i="4"/>
  <c r="H280" i="4" s="1"/>
  <c r="I275" i="4"/>
  <c r="I280" i="4" s="1"/>
  <c r="J275" i="4"/>
  <c r="J280" i="4" s="1"/>
  <c r="F275" i="4"/>
  <c r="F280" i="4" s="1"/>
  <c r="H217" i="4"/>
  <c r="J218" i="4"/>
  <c r="J217" i="4" s="1"/>
  <c r="I218" i="4"/>
  <c r="I217" i="4" s="1"/>
  <c r="I199" i="4"/>
  <c r="J199" i="4"/>
  <c r="H199" i="4"/>
  <c r="I244" i="4"/>
  <c r="J244" i="4"/>
  <c r="H244" i="4"/>
  <c r="H250" i="4" s="1"/>
  <c r="I234" i="4"/>
  <c r="J234" i="4"/>
  <c r="H234" i="4"/>
  <c r="I229" i="4"/>
  <c r="J229" i="4"/>
  <c r="H229" i="4"/>
  <c r="I225" i="4"/>
  <c r="J225" i="4"/>
  <c r="H225" i="4"/>
  <c r="I223" i="4"/>
  <c r="J223" i="4"/>
  <c r="H223" i="4"/>
  <c r="I219" i="4"/>
  <c r="J219" i="4"/>
  <c r="H219" i="4"/>
  <c r="I213" i="4"/>
  <c r="J213" i="4"/>
  <c r="H213" i="4"/>
  <c r="I206" i="4"/>
  <c r="J206" i="4"/>
  <c r="H206" i="4"/>
  <c r="H195" i="4"/>
  <c r="I189" i="4"/>
  <c r="I193" i="4" s="1"/>
  <c r="J189" i="4"/>
  <c r="J193" i="4" s="1"/>
  <c r="H189" i="4"/>
  <c r="H193" i="4" s="1"/>
  <c r="I184" i="4"/>
  <c r="J184" i="4"/>
  <c r="H184" i="4"/>
  <c r="I181" i="4"/>
  <c r="J181" i="4"/>
  <c r="H181" i="4"/>
  <c r="I177" i="4"/>
  <c r="J177" i="4"/>
  <c r="H177" i="4"/>
  <c r="I174" i="4"/>
  <c r="J174" i="4"/>
  <c r="H174" i="4"/>
  <c r="I165" i="4"/>
  <c r="J165" i="4"/>
  <c r="H165" i="4"/>
  <c r="I168" i="4"/>
  <c r="J168" i="4"/>
  <c r="H168" i="4"/>
  <c r="I163" i="4"/>
  <c r="J163" i="4"/>
  <c r="H163" i="4"/>
  <c r="I150" i="4"/>
  <c r="J150" i="4"/>
  <c r="H155" i="4"/>
  <c r="H150" i="4"/>
  <c r="I143" i="4"/>
  <c r="J143" i="4"/>
  <c r="H143" i="4"/>
  <c r="H726" i="4" l="1"/>
  <c r="H643" i="4"/>
  <c r="J643" i="4"/>
  <c r="H783" i="4"/>
  <c r="J726" i="4"/>
  <c r="I726" i="4"/>
  <c r="H422" i="4"/>
  <c r="I606" i="4"/>
  <c r="J628" i="4"/>
  <c r="H543" i="4"/>
  <c r="J543" i="4"/>
  <c r="J606" i="4"/>
  <c r="I628" i="4"/>
  <c r="I543" i="4"/>
  <c r="J422" i="4"/>
  <c r="I422" i="4"/>
  <c r="H628" i="4"/>
  <c r="H606" i="4"/>
  <c r="H227" i="4"/>
  <c r="I242" i="4"/>
  <c r="H242" i="4"/>
  <c r="J172" i="4"/>
  <c r="H187" i="4"/>
  <c r="J227" i="4"/>
  <c r="J187" i="4"/>
  <c r="I172" i="4"/>
  <c r="I187" i="4"/>
  <c r="H221" i="4"/>
  <c r="I227" i="4"/>
  <c r="J221" i="4"/>
  <c r="I221" i="4"/>
  <c r="J242" i="4"/>
  <c r="H172" i="4"/>
  <c r="I139" i="4" l="1"/>
  <c r="J139" i="4"/>
  <c r="H139" i="4"/>
  <c r="I137" i="4"/>
  <c r="J137" i="4"/>
  <c r="H137" i="4"/>
  <c r="I133" i="4"/>
  <c r="J133" i="4"/>
  <c r="H133" i="4"/>
  <c r="I126" i="4"/>
  <c r="J126" i="4"/>
  <c r="H126" i="4"/>
  <c r="H141" i="4" l="1"/>
  <c r="J141" i="4"/>
  <c r="I141" i="4"/>
  <c r="I109" i="4"/>
  <c r="J109" i="4"/>
  <c r="H109" i="4"/>
  <c r="I104" i="4"/>
  <c r="J104" i="4"/>
  <c r="H104" i="4"/>
  <c r="I87" i="4"/>
  <c r="J87" i="4"/>
  <c r="H87" i="4"/>
  <c r="I78" i="4"/>
  <c r="J78" i="4"/>
  <c r="H78" i="4"/>
  <c r="I72" i="4"/>
  <c r="J72" i="4"/>
  <c r="I67" i="4"/>
  <c r="J67" i="4"/>
  <c r="I56" i="4"/>
  <c r="I65" i="4" s="1"/>
  <c r="J56" i="4"/>
  <c r="J65" i="4" s="1"/>
  <c r="H56" i="4"/>
  <c r="H65" i="4" s="1"/>
  <c r="H72" i="4"/>
  <c r="H67" i="4"/>
  <c r="G54" i="4"/>
  <c r="H54" i="4"/>
  <c r="I54" i="4"/>
  <c r="J54" i="4"/>
  <c r="F54" i="4"/>
  <c r="J33" i="4"/>
  <c r="J36" i="4" s="1"/>
  <c r="I33" i="4"/>
  <c r="I36" i="4" s="1"/>
  <c r="H33" i="4"/>
  <c r="H36" i="4" s="1"/>
  <c r="G33" i="4"/>
  <c r="G36" i="4" s="1"/>
  <c r="F33" i="4"/>
  <c r="F36" i="4" s="1"/>
  <c r="H9" i="4"/>
  <c r="H17" i="4" s="1"/>
  <c r="I123" i="4" l="1"/>
  <c r="H76" i="4"/>
  <c r="J76" i="4"/>
  <c r="I76" i="4"/>
  <c r="I124" i="4" s="1"/>
  <c r="H123" i="4"/>
  <c r="J123" i="4"/>
  <c r="J124" i="4" l="1"/>
  <c r="H124" i="4"/>
  <c r="G862" i="4"/>
  <c r="G33" i="5" l="1"/>
  <c r="F33" i="5"/>
  <c r="H272" i="4" l="1"/>
  <c r="H25" i="4"/>
  <c r="I25" i="4"/>
  <c r="J25" i="4"/>
  <c r="G59" i="5" l="1"/>
  <c r="H259" i="4" l="1"/>
  <c r="H254" i="4"/>
  <c r="J325" i="4" l="1"/>
  <c r="I325" i="4"/>
  <c r="H325" i="4"/>
  <c r="G325" i="4"/>
  <c r="F325" i="4"/>
  <c r="F290" i="4"/>
  <c r="F328" i="5" l="1"/>
  <c r="F320" i="5"/>
  <c r="F355" i="5" s="1"/>
  <c r="J253" i="5"/>
  <c r="I253" i="5"/>
  <c r="H253" i="5"/>
  <c r="J250" i="5"/>
  <c r="I250" i="5"/>
  <c r="H250" i="5"/>
  <c r="H249" i="5"/>
  <c r="G244" i="5"/>
  <c r="F244" i="5"/>
  <c r="I234" i="5"/>
  <c r="I233" i="5" s="1"/>
  <c r="J233" i="5"/>
  <c r="H233" i="5"/>
  <c r="G233" i="5"/>
  <c r="F233" i="5"/>
  <c r="J210" i="5"/>
  <c r="I210" i="5"/>
  <c r="H210" i="5"/>
  <c r="G210" i="5"/>
  <c r="F210" i="5"/>
  <c r="G205" i="5"/>
  <c r="G200" i="5" s="1"/>
  <c r="F200" i="5"/>
  <c r="J170" i="5"/>
  <c r="I170" i="5"/>
  <c r="H170" i="5"/>
  <c r="G170" i="5"/>
  <c r="F170" i="5"/>
  <c r="J153" i="5"/>
  <c r="I153" i="5"/>
  <c r="H153" i="5"/>
  <c r="G153" i="5"/>
  <c r="F153" i="5"/>
  <c r="J150" i="5"/>
  <c r="I150" i="5"/>
  <c r="H150" i="5"/>
  <c r="G150" i="5"/>
  <c r="F150" i="5"/>
  <c r="I146" i="5"/>
  <c r="I139" i="5" s="1"/>
  <c r="J139" i="5"/>
  <c r="J117" i="5"/>
  <c r="I117" i="5"/>
  <c r="H244" i="5" l="1"/>
  <c r="H258" i="5" s="1"/>
  <c r="J244" i="5"/>
  <c r="J258" i="5" s="1"/>
  <c r="I244" i="5"/>
  <c r="I258" i="5" s="1"/>
  <c r="J148" i="5"/>
  <c r="I148" i="5"/>
  <c r="G610" i="4" l="1"/>
  <c r="F610" i="4"/>
  <c r="G624" i="4"/>
  <c r="F624" i="4"/>
  <c r="G621" i="4"/>
  <c r="F621" i="4"/>
  <c r="G615" i="4"/>
  <c r="F615" i="4"/>
  <c r="G547" i="4"/>
  <c r="H547" i="4"/>
  <c r="I547" i="4"/>
  <c r="J547" i="4"/>
  <c r="F547" i="4"/>
  <c r="J545" i="4"/>
  <c r="G545" i="4"/>
  <c r="H545" i="4"/>
  <c r="I545" i="4"/>
  <c r="F545" i="4"/>
  <c r="H877" i="4"/>
  <c r="H876" i="4" s="1"/>
  <c r="J876" i="4"/>
  <c r="I876" i="4"/>
  <c r="G876" i="4"/>
  <c r="F876" i="4"/>
  <c r="J874" i="4"/>
  <c r="J878" i="4" s="1"/>
  <c r="I874" i="4"/>
  <c r="H874" i="4"/>
  <c r="G874" i="4"/>
  <c r="F874" i="4"/>
  <c r="J869" i="4"/>
  <c r="J871" i="4" s="1"/>
  <c r="I869" i="4"/>
  <c r="I871" i="4" s="1"/>
  <c r="H869" i="4"/>
  <c r="H871" i="4" s="1"/>
  <c r="G869" i="4"/>
  <c r="G871" i="4" s="1"/>
  <c r="J850" i="4"/>
  <c r="I850" i="4"/>
  <c r="H850" i="4"/>
  <c r="G850" i="4"/>
  <c r="F850" i="4"/>
  <c r="J848" i="4"/>
  <c r="I848" i="4"/>
  <c r="H848" i="4"/>
  <c r="G848" i="4"/>
  <c r="F848" i="4"/>
  <c r="J844" i="4"/>
  <c r="I844" i="4"/>
  <c r="H844" i="4"/>
  <c r="G844" i="4"/>
  <c r="F844" i="4"/>
  <c r="J842" i="4"/>
  <c r="I842" i="4"/>
  <c r="H842" i="4"/>
  <c r="J841" i="4"/>
  <c r="I841" i="4"/>
  <c r="H841" i="4"/>
  <c r="G840" i="4"/>
  <c r="F840" i="4"/>
  <c r="J838" i="4"/>
  <c r="J837" i="4" s="1"/>
  <c r="I838" i="4"/>
  <c r="I837" i="4" s="1"/>
  <c r="H838" i="4"/>
  <c r="H837" i="4" s="1"/>
  <c r="F838" i="4"/>
  <c r="F837" i="4" s="1"/>
  <c r="G837" i="4"/>
  <c r="J836" i="4"/>
  <c r="J835" i="4" s="1"/>
  <c r="I836" i="4"/>
  <c r="I835" i="4" s="1"/>
  <c r="H836" i="4"/>
  <c r="H835" i="4" s="1"/>
  <c r="Q835" i="4"/>
  <c r="P835" i="4"/>
  <c r="O835" i="4"/>
  <c r="N835" i="4"/>
  <c r="M835" i="4"/>
  <c r="G835" i="4"/>
  <c r="F835" i="4"/>
  <c r="J830" i="4"/>
  <c r="J832" i="4" s="1"/>
  <c r="I830" i="4"/>
  <c r="I832" i="4" s="1"/>
  <c r="H830" i="4"/>
  <c r="H832" i="4" s="1"/>
  <c r="G830" i="4"/>
  <c r="G832" i="4" s="1"/>
  <c r="F830" i="4"/>
  <c r="F832" i="4" s="1"/>
  <c r="J821" i="4"/>
  <c r="I821" i="4"/>
  <c r="H821" i="4"/>
  <c r="G821" i="4"/>
  <c r="F821" i="4"/>
  <c r="J812" i="4"/>
  <c r="I812" i="4"/>
  <c r="H812" i="4"/>
  <c r="G812" i="4"/>
  <c r="F812" i="4"/>
  <c r="J809" i="4"/>
  <c r="J808" i="4" s="1"/>
  <c r="J810" i="4" s="1"/>
  <c r="I809" i="4"/>
  <c r="I808" i="4" s="1"/>
  <c r="I810" i="4" s="1"/>
  <c r="H809" i="4"/>
  <c r="H808" i="4" s="1"/>
  <c r="H810" i="4" s="1"/>
  <c r="G808" i="4"/>
  <c r="G810" i="4" s="1"/>
  <c r="F808" i="4"/>
  <c r="F810" i="4" s="1"/>
  <c r="J802" i="4"/>
  <c r="I802" i="4"/>
  <c r="H802" i="4"/>
  <c r="G802" i="4"/>
  <c r="F802" i="4"/>
  <c r="J798" i="4"/>
  <c r="I798" i="4"/>
  <c r="H798" i="4"/>
  <c r="G798" i="4"/>
  <c r="F798" i="4"/>
  <c r="J793" i="4"/>
  <c r="I793" i="4"/>
  <c r="H793" i="4"/>
  <c r="G793" i="4"/>
  <c r="F793" i="4"/>
  <c r="J792" i="4"/>
  <c r="I792" i="4"/>
  <c r="H792" i="4"/>
  <c r="G792" i="4"/>
  <c r="J791" i="4"/>
  <c r="I791" i="4"/>
  <c r="H791" i="4"/>
  <c r="H790" i="4" s="1"/>
  <c r="H806" i="4" s="1"/>
  <c r="G791" i="4"/>
  <c r="G790" i="4" s="1"/>
  <c r="F790" i="4"/>
  <c r="J785" i="4"/>
  <c r="J788" i="4" s="1"/>
  <c r="I785" i="4"/>
  <c r="I788" i="4" s="1"/>
  <c r="H785" i="4"/>
  <c r="H788" i="4" s="1"/>
  <c r="G785" i="4"/>
  <c r="G788" i="4" s="1"/>
  <c r="F785" i="4"/>
  <c r="F788" i="4" s="1"/>
  <c r="J770" i="4"/>
  <c r="I770" i="4"/>
  <c r="H770" i="4"/>
  <c r="G770" i="4"/>
  <c r="F770" i="4"/>
  <c r="J766" i="4"/>
  <c r="I766" i="4"/>
  <c r="H766" i="4"/>
  <c r="G766" i="4"/>
  <c r="F766" i="4"/>
  <c r="J763" i="4"/>
  <c r="I763" i="4"/>
  <c r="H763" i="4"/>
  <c r="G763" i="4"/>
  <c r="F763" i="4"/>
  <c r="J760" i="4"/>
  <c r="I760" i="4"/>
  <c r="H760" i="4"/>
  <c r="G760" i="4"/>
  <c r="F760" i="4"/>
  <c r="Q756" i="4"/>
  <c r="P756" i="4"/>
  <c r="O756" i="4"/>
  <c r="J756" i="4"/>
  <c r="I756" i="4"/>
  <c r="H756" i="4"/>
  <c r="G756" i="4"/>
  <c r="F756" i="4"/>
  <c r="F758" i="4" s="1"/>
  <c r="J754" i="4"/>
  <c r="I754" i="4"/>
  <c r="H754" i="4"/>
  <c r="G754" i="4"/>
  <c r="J750" i="4"/>
  <c r="I750" i="4"/>
  <c r="H750" i="4"/>
  <c r="G750" i="4"/>
  <c r="F750" i="4"/>
  <c r="J748" i="4"/>
  <c r="I748" i="4"/>
  <c r="H748" i="4"/>
  <c r="G748" i="4"/>
  <c r="F748" i="4"/>
  <c r="F746" i="4"/>
  <c r="F745" i="4" s="1"/>
  <c r="J745" i="4"/>
  <c r="I745" i="4"/>
  <c r="H745" i="4"/>
  <c r="G745" i="4"/>
  <c r="J742" i="4"/>
  <c r="I742" i="4"/>
  <c r="H742" i="4"/>
  <c r="G742" i="4"/>
  <c r="F742" i="4"/>
  <c r="J738" i="4"/>
  <c r="I738" i="4"/>
  <c r="H738" i="4"/>
  <c r="G738" i="4"/>
  <c r="F738" i="4"/>
  <c r="J735" i="4"/>
  <c r="I735" i="4"/>
  <c r="H735" i="4"/>
  <c r="G735" i="4"/>
  <c r="F735" i="4"/>
  <c r="J733" i="4"/>
  <c r="I733" i="4"/>
  <c r="H733" i="4"/>
  <c r="G733" i="4"/>
  <c r="F733" i="4"/>
  <c r="J731" i="4"/>
  <c r="I731" i="4"/>
  <c r="H731" i="4"/>
  <c r="G731" i="4"/>
  <c r="F730" i="4"/>
  <c r="F729" i="4"/>
  <c r="J728" i="4"/>
  <c r="I728" i="4"/>
  <c r="H728" i="4"/>
  <c r="G728" i="4"/>
  <c r="J790" i="4" l="1"/>
  <c r="I790" i="4"/>
  <c r="I806" i="4" s="1"/>
  <c r="I878" i="4"/>
  <c r="F628" i="4"/>
  <c r="G628" i="4"/>
  <c r="H828" i="4"/>
  <c r="I752" i="4"/>
  <c r="F853" i="4"/>
  <c r="J853" i="4"/>
  <c r="F728" i="4"/>
  <c r="F731" i="4"/>
  <c r="F752" i="4"/>
  <c r="J752" i="4"/>
  <c r="G758" i="4"/>
  <c r="F772" i="4"/>
  <c r="J772" i="4"/>
  <c r="G806" i="4"/>
  <c r="I772" i="4"/>
  <c r="G828" i="4"/>
  <c r="H853" i="4"/>
  <c r="F828" i="4"/>
  <c r="J828" i="4"/>
  <c r="I828" i="4"/>
  <c r="G853" i="4"/>
  <c r="G878" i="4"/>
  <c r="G752" i="4"/>
  <c r="G772" i="4"/>
  <c r="J806" i="4"/>
  <c r="F846" i="4"/>
  <c r="H840" i="4"/>
  <c r="H846" i="4" s="1"/>
  <c r="H752" i="4"/>
  <c r="I758" i="4"/>
  <c r="H758" i="4"/>
  <c r="H772" i="4"/>
  <c r="F806" i="4"/>
  <c r="I840" i="4"/>
  <c r="I846" i="4" s="1"/>
  <c r="J840" i="4"/>
  <c r="J846" i="4" s="1"/>
  <c r="F878" i="4"/>
  <c r="J758" i="4"/>
  <c r="G846" i="4"/>
  <c r="G872" i="4" s="1"/>
  <c r="I853" i="4"/>
  <c r="F871" i="4"/>
  <c r="H878" i="4"/>
  <c r="F872" i="4" l="1"/>
  <c r="J872" i="4"/>
  <c r="H872" i="4"/>
  <c r="I872" i="4"/>
  <c r="H678" i="4" l="1"/>
  <c r="J678" i="4" s="1"/>
  <c r="J677" i="4" s="1"/>
  <c r="G677" i="4"/>
  <c r="F677" i="4"/>
  <c r="H676" i="4"/>
  <c r="J676" i="4" s="1"/>
  <c r="H675" i="4"/>
  <c r="I675" i="4" s="1"/>
  <c r="H673" i="4"/>
  <c r="J673" i="4" s="1"/>
  <c r="G673" i="4"/>
  <c r="F673" i="4"/>
  <c r="F666" i="4" s="1"/>
  <c r="H668" i="4"/>
  <c r="I668" i="4" s="1"/>
  <c r="H667" i="4"/>
  <c r="J667" i="4" s="1"/>
  <c r="G667" i="4"/>
  <c r="J665" i="4"/>
  <c r="I665" i="4"/>
  <c r="H664" i="4"/>
  <c r="I664" i="4" s="1"/>
  <c r="G663" i="4"/>
  <c r="F663" i="4"/>
  <c r="J661" i="4"/>
  <c r="I661" i="4"/>
  <c r="H661" i="4"/>
  <c r="G661" i="4"/>
  <c r="J660" i="4"/>
  <c r="I660" i="4"/>
  <c r="H660" i="4"/>
  <c r="G660" i="4"/>
  <c r="F659" i="4"/>
  <c r="J648" i="4"/>
  <c r="J647" i="4" s="1"/>
  <c r="J649" i="4" s="1"/>
  <c r="I648" i="4"/>
  <c r="I647" i="4" s="1"/>
  <c r="I649" i="4" s="1"/>
  <c r="H648" i="4"/>
  <c r="H647" i="4" s="1"/>
  <c r="H649" i="4" s="1"/>
  <c r="J630" i="4"/>
  <c r="J634" i="4" s="1"/>
  <c r="I630" i="4"/>
  <c r="I634" i="4" s="1"/>
  <c r="H630" i="4"/>
  <c r="H634" i="4" s="1"/>
  <c r="G630" i="4"/>
  <c r="F630" i="4"/>
  <c r="Q624" i="4"/>
  <c r="O624" i="4"/>
  <c r="N624" i="4"/>
  <c r="M624" i="4"/>
  <c r="G558" i="4"/>
  <c r="F558" i="4"/>
  <c r="J556" i="4"/>
  <c r="J558" i="4" s="1"/>
  <c r="I556" i="4"/>
  <c r="I558" i="4" s="1"/>
  <c r="H556" i="4"/>
  <c r="H558" i="4" s="1"/>
  <c r="J554" i="4"/>
  <c r="I554" i="4"/>
  <c r="H554" i="4"/>
  <c r="G552" i="4"/>
  <c r="G554" i="4" s="1"/>
  <c r="F552" i="4"/>
  <c r="F554" i="4" s="1"/>
  <c r="G666" i="4" l="1"/>
  <c r="I663" i="4"/>
  <c r="H666" i="4"/>
  <c r="H677" i="4"/>
  <c r="I678" i="4"/>
  <c r="I677" i="4" s="1"/>
  <c r="J664" i="4"/>
  <c r="J663" i="4" s="1"/>
  <c r="F681" i="4"/>
  <c r="G681" i="4"/>
  <c r="I676" i="4"/>
  <c r="I667" i="4"/>
  <c r="J668" i="4"/>
  <c r="I673" i="4"/>
  <c r="J675" i="4"/>
  <c r="H663" i="4"/>
  <c r="H681" i="4" l="1"/>
  <c r="J666" i="4"/>
  <c r="J681" i="4" s="1"/>
  <c r="I666" i="4"/>
  <c r="I681" i="4" s="1"/>
  <c r="H483" i="4" l="1"/>
  <c r="I483" i="4"/>
  <c r="J483" i="4"/>
  <c r="G189" i="4"/>
  <c r="G193" i="4" s="1"/>
  <c r="F189" i="4"/>
  <c r="F193" i="4" s="1"/>
  <c r="G337" i="4" l="1"/>
  <c r="F337" i="4"/>
  <c r="J336" i="4" l="1"/>
  <c r="J337" i="4" s="1"/>
  <c r="I336" i="4"/>
  <c r="I337" i="4" s="1"/>
  <c r="H336" i="4"/>
  <c r="H337" i="4" s="1"/>
  <c r="J254" i="4" l="1"/>
  <c r="J210" i="4" l="1"/>
  <c r="J209" i="4" s="1"/>
  <c r="I210" i="4"/>
  <c r="I209" i="4" s="1"/>
  <c r="H210" i="4"/>
  <c r="H209" i="4" s="1"/>
  <c r="H215" i="4" s="1"/>
  <c r="H251" i="4" s="1"/>
  <c r="J197" i="4"/>
  <c r="J195" i="4" s="1"/>
  <c r="I197" i="4"/>
  <c r="I195" i="4" s="1"/>
  <c r="G197" i="4"/>
  <c r="F197" i="4"/>
  <c r="J215" i="4" l="1"/>
  <c r="J251" i="4" s="1"/>
  <c r="I215" i="4"/>
  <c r="I251" i="4" s="1"/>
  <c r="G265" i="4"/>
  <c r="Q209" i="4" l="1"/>
  <c r="P209" i="4"/>
  <c r="O209" i="4"/>
  <c r="N209" i="4"/>
  <c r="M209" i="4"/>
  <c r="O204" i="4"/>
  <c r="P204" i="4" s="1"/>
  <c r="Q204" i="4" s="1"/>
  <c r="O203" i="4"/>
  <c r="P203" i="4" s="1"/>
  <c r="Q203" i="4" s="1"/>
  <c r="O202" i="4"/>
  <c r="P202" i="4" s="1"/>
  <c r="Q202" i="4" s="1"/>
  <c r="O201" i="4"/>
  <c r="P201" i="4" s="1"/>
  <c r="N199" i="4"/>
  <c r="M199" i="4"/>
  <c r="P199" i="4" l="1"/>
  <c r="Q201" i="4"/>
  <c r="Q199" i="4" s="1"/>
  <c r="O199" i="4"/>
  <c r="G27" i="4" l="1"/>
  <c r="H27" i="4"/>
  <c r="I27" i="4"/>
  <c r="J27" i="4"/>
  <c r="F27" i="4"/>
  <c r="G19" i="4"/>
  <c r="H19" i="4"/>
  <c r="I19" i="4"/>
  <c r="J19" i="4"/>
  <c r="F19" i="4"/>
  <c r="H265" i="4" l="1"/>
  <c r="I272" i="4"/>
  <c r="I265" i="4" s="1"/>
  <c r="J272" i="4"/>
  <c r="J265" i="4" s="1"/>
  <c r="F339" i="4" l="1"/>
  <c r="G339" i="4"/>
  <c r="H339" i="4"/>
  <c r="I339" i="4"/>
  <c r="J339" i="4"/>
  <c r="F341" i="4"/>
  <c r="G341" i="4"/>
  <c r="H341" i="4"/>
  <c r="I341" i="4"/>
  <c r="J348" i="4"/>
  <c r="J341" i="4" s="1"/>
  <c r="F349" i="4"/>
  <c r="G349" i="4"/>
  <c r="H349" i="4"/>
  <c r="I349" i="4"/>
  <c r="J349" i="4"/>
  <c r="F427" i="4"/>
  <c r="F430" i="4"/>
  <c r="F429" i="4" s="1"/>
  <c r="G430" i="4"/>
  <c r="G429" i="4" s="1"/>
  <c r="H429" i="4"/>
  <c r="I430" i="4"/>
  <c r="I429" i="4" s="1"/>
  <c r="J430" i="4"/>
  <c r="J429" i="4" s="1"/>
  <c r="J353" i="4" l="1"/>
  <c r="F353" i="4"/>
  <c r="H353" i="4"/>
  <c r="G353" i="4"/>
  <c r="I353" i="4"/>
  <c r="H258" i="4" l="1"/>
  <c r="J259" i="4"/>
  <c r="J258" i="4" s="1"/>
  <c r="I259" i="4"/>
  <c r="I258" i="4" s="1"/>
  <c r="G259" i="4"/>
  <c r="G258" i="4" s="1"/>
  <c r="F259" i="4"/>
  <c r="F258" i="4" s="1"/>
  <c r="J257" i="4"/>
  <c r="J256" i="4" s="1"/>
  <c r="I257" i="4"/>
  <c r="I256" i="4" s="1"/>
  <c r="H257" i="4"/>
  <c r="H256" i="4" s="1"/>
  <c r="G257" i="4"/>
  <c r="G256" i="4" s="1"/>
  <c r="F257" i="4"/>
  <c r="F256" i="4" s="1"/>
  <c r="J255" i="4"/>
  <c r="J253" i="4" s="1"/>
  <c r="I255" i="4"/>
  <c r="H255" i="4"/>
  <c r="H253" i="4" s="1"/>
  <c r="G255" i="4"/>
  <c r="F255" i="4"/>
  <c r="I254" i="4"/>
  <c r="G254" i="4"/>
  <c r="F254" i="4"/>
  <c r="J263" i="4" l="1"/>
  <c r="H263" i="4"/>
  <c r="G253" i="4"/>
  <c r="G263" i="4" s="1"/>
  <c r="I253" i="4"/>
  <c r="I263" i="4" s="1"/>
  <c r="F253" i="4"/>
  <c r="F263" i="4" s="1"/>
  <c r="J135" i="4" l="1"/>
  <c r="I135" i="4"/>
  <c r="H135" i="4"/>
  <c r="G135" i="4"/>
  <c r="F135" i="4"/>
  <c r="G485" i="4" l="1"/>
  <c r="F485" i="4"/>
  <c r="G484" i="4"/>
  <c r="G483" i="4" s="1"/>
  <c r="F484" i="4"/>
  <c r="F477" i="4"/>
  <c r="J460" i="4"/>
  <c r="I460" i="4"/>
  <c r="G460" i="4"/>
  <c r="F460" i="4"/>
  <c r="J446" i="4"/>
  <c r="J445" i="4" s="1"/>
  <c r="J486" i="4" s="1"/>
  <c r="I446" i="4"/>
  <c r="G446" i="4"/>
  <c r="F446" i="4"/>
  <c r="F483" i="4" l="1"/>
  <c r="F445" i="4"/>
  <c r="F486" i="4" s="1"/>
  <c r="G445" i="4"/>
  <c r="G486" i="4" s="1"/>
  <c r="I445" i="4"/>
  <c r="I486" i="4" s="1"/>
  <c r="H445" i="4"/>
  <c r="H486" i="4" s="1"/>
  <c r="G31" i="4"/>
  <c r="H31" i="4"/>
  <c r="I31" i="4"/>
  <c r="J31" i="4"/>
  <c r="F31" i="4"/>
  <c r="Q9" i="4"/>
  <c r="P9" i="4"/>
  <c r="O9" i="4"/>
  <c r="N9" i="4"/>
  <c r="M9" i="4"/>
</calcChain>
</file>

<file path=xl/sharedStrings.xml><?xml version="1.0" encoding="utf-8"?>
<sst xmlns="http://schemas.openxmlformats.org/spreadsheetml/2006/main" count="3946" uniqueCount="2094">
  <si>
    <t>001</t>
  </si>
  <si>
    <t>ед.</t>
  </si>
  <si>
    <t>шт.</t>
  </si>
  <si>
    <t>%</t>
  </si>
  <si>
    <t>03</t>
  </si>
  <si>
    <t>01</t>
  </si>
  <si>
    <t>02</t>
  </si>
  <si>
    <t>04</t>
  </si>
  <si>
    <t>05</t>
  </si>
  <si>
    <t>06</t>
  </si>
  <si>
    <t>07</t>
  </si>
  <si>
    <t>08</t>
  </si>
  <si>
    <t>002</t>
  </si>
  <si>
    <t>ед</t>
  </si>
  <si>
    <t>09</t>
  </si>
  <si>
    <t>10</t>
  </si>
  <si>
    <t>12</t>
  </si>
  <si>
    <t>22</t>
  </si>
  <si>
    <t>балл</t>
  </si>
  <si>
    <t>шт</t>
  </si>
  <si>
    <t>млн.сом</t>
  </si>
  <si>
    <t>0</t>
  </si>
  <si>
    <t>42</t>
  </si>
  <si>
    <t>37</t>
  </si>
  <si>
    <t>коэф.</t>
  </si>
  <si>
    <t>Борбордук деңгээлде тармакты башкаруу жана администрациялоо</t>
  </si>
  <si>
    <t>Парламенттин учурунда иш-аракеттери менен калкты тааныштыруу (алдын ала тааныш үчүн жеткиликтүү мыйзам дорбоорлорун үлүшү)</t>
  </si>
  <si>
    <t xml:space="preserve">Кызматташуу жөнүндө кол коюлган документтердин саны </t>
  </si>
  <si>
    <t xml:space="preserve">Иштери аяктаган депутаттык комиссиялардын саны </t>
  </si>
  <si>
    <t>13</t>
  </si>
  <si>
    <t>Иш-чараларды жана кызматтарды уюштуруу</t>
  </si>
  <si>
    <t>Кыргыз Республикасынын Президентинин  Архивдик фондунда алардын туруктуу сакталышын камсыз кылуучу ченемдик шарттардагы документтердин үлүшү.</t>
  </si>
  <si>
    <t>Архивге жаны кабыл алынган документтердин үлүшү(архивдик документтердин жалпы санында)</t>
  </si>
  <si>
    <t>Электрондук форматка өткөрүлгөн  документтердин үлүшү</t>
  </si>
  <si>
    <t>Шайлоо боюнча БШКнын аппаратынын ишин координациялоо жана камсыз кылуу</t>
  </si>
  <si>
    <t>Бардыгы (контролдук сандар)</t>
  </si>
  <si>
    <t>Бардык программалар боюнча эмгек акыга чыгымдардын суммасына карата 001 Программа боюнча эмгек акыга чыгымдардын катышы</t>
  </si>
  <si>
    <t>Добуш берүүнүн жыйынтыктарын чыгаруу жана шайлоонун натыйжаларын аныктоо</t>
  </si>
  <si>
    <t xml:space="preserve"> </t>
  </si>
  <si>
    <t xml:space="preserve">Кыргыз Республикасынын мыйзамдарын так жана бирдей аткарылышын көзөмөлдөө </t>
  </si>
  <si>
    <t xml:space="preserve">Мыйзамдардын жана аскер уставдарынын аткарылышын көзөмөлдөө </t>
  </si>
  <si>
    <t xml:space="preserve">Куралдуу күчтөрдө чыгарылган ченемдик актылардын шайкештигине көзөмөл  </t>
  </si>
  <si>
    <t>003</t>
  </si>
  <si>
    <t xml:space="preserve">Куралдуу күчтөрдөгү кылмыш иштеринин алдын алуу жана бетин ачуу </t>
  </si>
  <si>
    <t xml:space="preserve">Куралдуу күчтөрдөгү кылмышкерлерди кылмыш жоопкерчилигине тартуу </t>
  </si>
  <si>
    <t xml:space="preserve">Куралдуу күчтөрдө кылмыштуулуктун алдын алуу </t>
  </si>
  <si>
    <t>004</t>
  </si>
  <si>
    <t xml:space="preserve">Аскер сотторундагы мамлекеттик айыптоону колдоо </t>
  </si>
  <si>
    <t xml:space="preserve">Сот процесстерине катышуу </t>
  </si>
  <si>
    <t xml:space="preserve">Соттордо мамлекеттик айыптоону даярдоо жана айып тагуу </t>
  </si>
  <si>
    <t xml:space="preserve">Кыргыз Республикасынын Аскер прокуратурасынын органдарынын ишмердүүлүгүнө сапаттуу көзөмөл жана натыйжалуу башкаруу </t>
  </si>
  <si>
    <t xml:space="preserve">Аскер мыйзамдары боюнча укук бузууларды азайтуу </t>
  </si>
  <si>
    <t xml:space="preserve">Аскер мыйзамдарын сактабоо боюнча жүргүзүлгөн текшерүүлөрдүн саны </t>
  </si>
  <si>
    <t xml:space="preserve">Саны </t>
  </si>
  <si>
    <t>290/5280623</t>
  </si>
  <si>
    <t>500/7000,0</t>
  </si>
  <si>
    <t>600/8000,0</t>
  </si>
  <si>
    <t>650/8500,0</t>
  </si>
  <si>
    <t>700/9000,0</t>
  </si>
  <si>
    <t xml:space="preserve">Командирлер менен начальниктердин иш-аракеттерине арыздануулар менен даттануулардын саны </t>
  </si>
  <si>
    <t xml:space="preserve">Сунуштоо жана жазма буйрук </t>
  </si>
  <si>
    <t xml:space="preserve">Иштелип чыккан ченемдик актылардын жалпы санындагы кошумча иштеп чыгууга кайтарылган ченемдик актылардын үлүшү </t>
  </si>
  <si>
    <t xml:space="preserve">Куралдуу Күчтөрдөгү кылмыштардын бетин ачуунун пайыздык көрсөткүчүнүн жогорулашы </t>
  </si>
  <si>
    <t>Куралдуу Күчтөрдөгү бети ачылган кылмыштардын үлүшү</t>
  </si>
  <si>
    <t xml:space="preserve">Кылм.иштеринин саны </t>
  </si>
  <si>
    <t>106/226 942 794</t>
  </si>
  <si>
    <t>200/31000,0</t>
  </si>
  <si>
    <t>250/32000,0</t>
  </si>
  <si>
    <t>300/33000,0</t>
  </si>
  <si>
    <t>350/35000,0</t>
  </si>
  <si>
    <t xml:space="preserve">Аскер сотунун чечими менен колдоого алынган мамлекеттик айыптоолордун үлүшү </t>
  </si>
  <si>
    <t xml:space="preserve">Соттор караган кылмыш иштеринин сапаты </t>
  </si>
  <si>
    <t>50/700368</t>
  </si>
  <si>
    <t>150/18000,0</t>
  </si>
  <si>
    <t>160/19000,0</t>
  </si>
  <si>
    <t>170/20000,0</t>
  </si>
  <si>
    <t>180/21000,0</t>
  </si>
  <si>
    <t>да</t>
  </si>
  <si>
    <t>27 Кыргыз Республикасынын Конституциялык соту</t>
  </si>
  <si>
    <t>Соттордун конституциялык  сот адилеттигин жүзөгө ашыруу боююнча ишин камсыз кылуу</t>
  </si>
  <si>
    <t>Конституциялык сотунун эл аралык сот адилеттиги системасына интеграциялоо</t>
  </si>
  <si>
    <t>Конституционализмдин актуалдуу маселелерине арналган эл аралык конференцияларды өткөрүү</t>
  </si>
  <si>
    <t>Кыргызстандагы конституционализмдин актуалдуу маселелерине арналган улуттук илимий-практикалык конференцияларды өткөрүү</t>
  </si>
  <si>
    <t>Конституционализмдин жайкы мектептерин уюштуруу жана студенттердин арасында меймандык лекциялардын конкурстарын өткөрүү</t>
  </si>
  <si>
    <t>Сот отурумдарында аудио-видео жазуу системасын камсыз кылуу, КС веб-сайты</t>
  </si>
  <si>
    <t xml:space="preserve">Кыргыз Республикасынын Конституциялык сотунун бардык программалары боюнча  чыгашаларга карата 001 программасы боюнча эмгек акыга чыгашалардын катышы </t>
  </si>
  <si>
    <t xml:space="preserve">KСко келип түшкөн кайрылуулардын жана КС судьяларынын жана аппараттын кызматкерлеринин кесиптик деңгээлин жогорулатууга багытталган иш-чаралардын саны </t>
  </si>
  <si>
    <t>бирдик</t>
  </si>
  <si>
    <t>Конституциялуулукту камсыз кылуу боюнча каралган иштердин саны</t>
  </si>
  <si>
    <t xml:space="preserve">КС өкүлдөрүнүн эл аралык иш-чараларда катышуусунун саны </t>
  </si>
  <si>
    <t>Эларалык конференцияларды  эки жылда 1 жолу өткөрүү</t>
  </si>
  <si>
    <t>Улуттук конференцияларды  эки жылда 1 жолу өткөрүү</t>
  </si>
  <si>
    <t>Ачык-айкындыкуулукту камсыз кылууга багытталган иш-чараларды жана бул иш-чаралардын катышуучуларынын саны</t>
  </si>
  <si>
    <t>Катышуучулардын саны</t>
  </si>
  <si>
    <t>Чыгарылган продукциялардын саны</t>
  </si>
  <si>
    <t>Конституциялык сот адилеттигин автоматташтыруунун бардык системасынын иштеши</t>
  </si>
  <si>
    <t>ооба/жок</t>
  </si>
  <si>
    <t>ооба</t>
  </si>
  <si>
    <t>Министрликтерге, Кыргыз Республикасынын Министрлер Кабинетине аналитикалык эскертүүлөрдү даярдоо</t>
  </si>
  <si>
    <t>Докладдарды, буклеттерди, брошюраларды, презентацияларды чыгаруу</t>
  </si>
  <si>
    <t>-</t>
  </si>
  <si>
    <t>2</t>
  </si>
  <si>
    <t>Обеспечение подачи и обработки заявок на регистрацию объектов промышленной собственности с использованием цифровых 3D-моделей и 3D-изображений</t>
  </si>
  <si>
    <t>Разработка электронной платформы для обеспечения взаимодействия ключевых участников сектора ИС и инноваций, с целью объединения субъектов ИС и заинтересованных лиц для коммерциализации ИС</t>
  </si>
  <si>
    <t xml:space="preserve">Борбордук деңгээлде тармакты башкаруу жана администрациялоо
</t>
  </si>
  <si>
    <t>ИМ маселелери боюнча окуу-усулдук материалдарды даярдоо</t>
  </si>
  <si>
    <t>бир.</t>
  </si>
  <si>
    <t>Ата мекендик авторлордун китептерин, каталогдорун, маалымдамаларын, усулдук сунуштамаларын, окуу куралдарын басып чыгаруу</t>
  </si>
  <si>
    <t>ИМОго коргоо документтеринин электрондук формасын киргизүү</t>
  </si>
  <si>
    <t xml:space="preserve">ИМ, инновациялар жана ИИТКИ чөйрөсүндө маалымат базаларын, порталдарды жана электрондук платформаларды коштоо боюнча Кыргызпатенттин IT-секторун чыңдоо </t>
  </si>
  <si>
    <t>Кыргыз Республикасынын мыйзамдарына кызматтык ИИНдин авторлорун мотивациялоо системасынын натыйжалуулугун жогорулатууга багытталган өзгөртүүлөрдү киргизүү</t>
  </si>
  <si>
    <t xml:space="preserve">“Инновациялык ишмердүүлүк жөнүндө” Кыргыз Республикасынын Мыйзамына өзгөртүүлөрдү жана толуктоолорду киргизүү </t>
  </si>
  <si>
    <t>Аймактык инновациялык борборлорду түзүү</t>
  </si>
  <si>
    <t>Чет элдик технологияларды же алдыңкы технологияларга багытталган компанияларды тартуу</t>
  </si>
  <si>
    <t>PR-стратегия иштеп чыгуу жана ишке ашыруу</t>
  </si>
  <si>
    <t xml:space="preserve">Жарнамалык өнөктүктү жана көргөзмөлөрдү өткөрүү аркылуу ата мекендик ишканаларды тышкы рынокторго илгерилетүү </t>
  </si>
  <si>
    <t>Идеяларды ачууга жана кийинки генерациялоого көмөктөшүү, авторлорду чыгармачыл эмгектерди жаратууга жана жайылтууга мотивациялоо</t>
  </si>
  <si>
    <t xml:space="preserve">ИМ маселелери боюнча окуу-усулдук материалдарды даярдоо
</t>
  </si>
  <si>
    <t>Пайдалануучулардын түрдүү категорияларына ИМ жана инновациялар боюнча маалыматтык/билим берүү ресурстарынын дүйнөлүк булактарына жетүү мүмкүнчүлүгүн берүү максатында аларга  багытталган электрондук платформа түзүү</t>
  </si>
  <si>
    <t xml:space="preserve">ЖОЖдордун билим берүү программаларына атайын “IP-сабаттуулук” курсун иштеп чыгуу жана аны киргизүүгө көмөктөшүү </t>
  </si>
  <si>
    <t>Мамлекеттик жана муниципалдык кызматкерлердин, уюмдардын, ишканалардын жана мекемелердин, акционердик коомдордун жетекчилеринин, анын ичинде сот органдарынын, ИМ жана инновациялар жаатында квалификациясын жогорулатуу жана кесиптик кайра даярдоо программаларын иштеп чыгуу жана ишке ашыруу</t>
  </si>
  <si>
    <t>Авторлордун жана укук ээлеринин мүлктүк укуктарын жамааттык башкаруу боюнча коомду түзүүгө көмөк көрсөтүү</t>
  </si>
  <si>
    <t>Авторлордун жана укук ээлеринин мүлктүк укуктарын жамааттык башкаруу чөйрөсүнүн категорияларын кеңейтүү</t>
  </si>
  <si>
    <t xml:space="preserve">Кыргыз Республикасынын чыгармачыл союздары жана ассоциациялары менен биргеликте, анын ичинде аймактарда иш-чараларды өткөрүү </t>
  </si>
  <si>
    <t xml:space="preserve">“Антиконтрафакт” эл аралык форумун уюштуруу жана өткөрүү
</t>
  </si>
  <si>
    <t>Интернет маалыматтык-телекоммуникация тармагында өнөр жай менчик объектилерине жана автордук укук объектилерине укуктарды бузууга каршы күрөшүү жолдорун иштеп чыгуу</t>
  </si>
  <si>
    <t>Кыргыз Республикасынын ички иштер органдарынын кызматкерлеринин интеллектуалдык менчикке кол салууларга каршы аракеттенүү боюнча квалификациясын жогорулатуу</t>
  </si>
  <si>
    <t>ИМОну каттоо жол-жобосун өркүндөтүү, ИМ укуктарын коргоо үчүн натыйжалуу укуктук негизди камсыздоо</t>
  </si>
  <si>
    <t>Аймактардын инновациялык өнүгүү деңгээлин баалоо элементи катары Кыргыз Республикасынын аймактарындагы жетекчилердин ишинин натыйжалуулугун баалоо критерийлерине аймактын ойлоп табуучулук активдүүлүгүнүн деңгээлин киргизүү</t>
  </si>
  <si>
    <t>Илим жана билим берүү уюмдарынын ишмердүүлүгүнүн натыйжалуулугун баалоо системасына корголгон ИМОлорду түзүү жана коммерциялаштыруу көрсөткүчтөрүн киргизүү</t>
  </si>
  <si>
    <t>Мамлекеттик тапшырыкчылардын милдеттерине ИИТКИни аткаруу боюнча мамлекеттик контракттарга патенттик изилдөөлөрдү жүргүзүү, коргоого жөндөмдүү ИИНди түзүү жана аныктоо, ошондой эле аларды укуктук коргоону жана андан ары пайдаланууну камсыздоо боюнча милдеттенмелерди киргизүү бөлүгүндө ЧУАларды иштеп чыгуу</t>
  </si>
  <si>
    <t xml:space="preserve">“Географиялык көрсөткүч” жаңы ИМОну жарандык жүгүртүүгө киргизүү </t>
  </si>
  <si>
    <t xml:space="preserve">Ата мекендик бренддерди илгерилетүүгө көмөктөшүү  </t>
  </si>
  <si>
    <t xml:space="preserve">Салттуу билимдер, товарлар чыгарылган жерлердин аталыштары, географиялык көрсөткүчтөр боюнча маалыматтык ресурстарды түзүү </t>
  </si>
  <si>
    <t>Өнөр жай менчик объекттерин каттоо процесстерин оптималдаштыруу</t>
  </si>
  <si>
    <t>Экспертиза жүргүзүү процессинде “Жасалма интеллект-чечим” программалык продуктусун пайдалануу</t>
  </si>
  <si>
    <t xml:space="preserve">Өнөр жай менчик объекттери жөнүндө маалыматтарды онлайн режимде издөөгө мүмкүндүк берүүчү сервистерди түзүү, эл аралык уюмдардын маалыматтык системалары менен интеграциялоо </t>
  </si>
  <si>
    <t>Кыргыз Республикасынын өнөр жай менчик объекттеринин электрондук мамлекеттик реестрлерин түзүү</t>
  </si>
  <si>
    <t>Республиканын бүткүл аймагында ИМ жана инновациялар боюнча билим берүү программаларын иштеп чыгуу жана ишке ашыруу, анын ичинде STEAM-билим берүү концепциясы боюнча долбоорлорду ишке ашыруу</t>
  </si>
  <si>
    <t>ИМО жана инновациялык продукция рыногун түзүү үчүн ИМ жана инновациялар экосистемасын өнүктүрүү</t>
  </si>
  <si>
    <t>ИМ боюнча олимпиадаларды, конкурстарды, балдар чыгармачылыгынын көргөзмөлөрүн өткөрүү</t>
  </si>
  <si>
    <t>Республиканын аймактарында балдар техникалык чыгармачылык ийримдеринин тармагын өнүктүрүү</t>
  </si>
  <si>
    <t>Аялдар арасында ИМ жана инновациялар чөйрөсүндө конкурстарды жана көргөзмөлөрдү уюштуруу</t>
  </si>
  <si>
    <t>“40 райондон 40 демилге” долбоорунун алкагында аймактарда инновациялык долбоорлорду тандоо жана ишке ашыруу</t>
  </si>
  <si>
    <t xml:space="preserve">2022-жылга чейинки мезгилге КРны илимий-инновациялык өнүктүрүүнүн концепциясын ишке ашыруу                                                                                                                                                                             </t>
  </si>
  <si>
    <t>Инновациялык ишти өнүктүрүүнү финансылык колдоо үчүн шарттарды түзүү</t>
  </si>
  <si>
    <t xml:space="preserve">Мамлекеттик инновациялык фонд </t>
  </si>
  <si>
    <t xml:space="preserve">Инновациялык адистиктер боюнча кадрларды кесиптик даярдоо жана квалификацияны жогорулатуу процессин уюштуруу  </t>
  </si>
  <si>
    <t xml:space="preserve">Инновацияларды өнүктүрүү чөйрөсүндө окутулган адистердин саны </t>
  </si>
  <si>
    <t xml:space="preserve">35 Кыргыз Республикасынын Министрлер Кабинетине караштуу Интеллектуалдык менчик жана инновациялар мамлекеттик агенттиги </t>
  </si>
  <si>
    <t>кол.</t>
  </si>
  <si>
    <t xml:space="preserve">Кыргыз Республикасынын Эсептөө палатасынын отчетун Кыргыз Республикасынын Жогорку Кеңешине берүү </t>
  </si>
  <si>
    <t xml:space="preserve"> Кызматкерлердин жалпы санынан, ишти баалоодон жогорку балл (4,1-5) менен өткөн кызматкерлердин үлүшү  </t>
  </si>
  <si>
    <t xml:space="preserve">Кызматкердердин жалпы санынан, квалификациясын жогорулаткан кызматкерлердин үлүшү </t>
  </si>
  <si>
    <t xml:space="preserve">Каралган ченемдик-укуктук актылардын долбоорлорунун, ведомство аралык макулдашуулардын саны  </t>
  </si>
  <si>
    <t xml:space="preserve">Кыргыз Республикасынын Эсептөө палатасынын Кеңешинин токтомдорунун каралган долбоорлорунун саны   </t>
  </si>
  <si>
    <t xml:space="preserve">Пландалган аудитордук-иш чаралардын саны   </t>
  </si>
  <si>
    <t>Адамдын укугун жана эркиндигин коргоо</t>
  </si>
  <si>
    <t>Уюштруучулук ишмердүүлүк жана камсыздоо кызматы</t>
  </si>
  <si>
    <t>Коомчулук менен тышкы байланышты колдоо</t>
  </si>
  <si>
    <t>балл.</t>
  </si>
  <si>
    <t>Ички териштирүүлөрдүжүргүзүү</t>
  </si>
  <si>
    <t>Аткаруу бийлик органдары тарабынан чыгарылган ЧУА мыйзамдуулугуна жана мыйзамдардын аткарылышына көзөмөл жүргүзүү</t>
  </si>
  <si>
    <t>Балдардын укуктарын коргоо боюнча  мыйзамдардын аткарылышына көзөмөл жүргүзүү</t>
  </si>
  <si>
    <t xml:space="preserve">Ички иштер жана жаза аткаруу органдарындагы тергөөнү жана изин суутпай издөө ишин көзөмөлдөө </t>
  </si>
  <si>
    <t xml:space="preserve">Экономикалык кылмыштуулукка каршы күрөшүү органдарындагы тергөө жана изин суутпай издөө ишин көзөмөлдөө жана Аскердик прокуратурасы менен улуттук коопсуздук органдарында тергөө </t>
  </si>
  <si>
    <t xml:space="preserve">Экономикалык кылмыштуулукка каршы күрөшүү боюнча мамлекеттик кызмат жана бажы органдарындагы тергөөнү жана изин суутпай издөө ишин көзөмөлдөө </t>
  </si>
  <si>
    <t>Аскер прокуратурасында кылмыш иштерин тергөө</t>
  </si>
  <si>
    <t xml:space="preserve">Соттордо мамлекеттик айыптоону жана өкүлчүлүктү колдоону камсыз кылуу </t>
  </si>
  <si>
    <t xml:space="preserve">Сотто мамлекеттик айыптоону колдоо </t>
  </si>
  <si>
    <t xml:space="preserve">Мамлекеттин кызыкчылыгында жарандык, административдик жана экономикалык иштерде прокуратуранын өкүлчүлүгү  </t>
  </si>
  <si>
    <t xml:space="preserve">Укуктук статистика жана эсепке алууну камсыз кылуу </t>
  </si>
  <si>
    <t>Соттук-укуктук реформа</t>
  </si>
  <si>
    <t>КЖБР АИС түзүү жана киргизүү долбоорун ишке ашыруу</t>
  </si>
  <si>
    <t>Эл аралык мамилелер жаатында жогорку кесиптик, дипломдон кийинки жана кошумча кесиптик билим берүү</t>
  </si>
  <si>
    <t>Чет элдик жумушчу күчүн тартуу жана пайдалануу процесстерин жөнгө салуу, иммигрант макамын кароо</t>
  </si>
  <si>
    <t>Кыргыз Республикасынын жарандарына тышкы рынокто жумушка орношууга көмөктөшүү, мекенине кайтууга байланыштуу чыгымдардын ордун толтуруу</t>
  </si>
  <si>
    <t>Калктын ишеним индекси</t>
  </si>
  <si>
    <t>Кыргыз Республикасынын жарандары үчүн визасыз кирүүгө уруксат берилген өлкөлөрдүн саны</t>
  </si>
  <si>
    <t>Чет өлкөлөрдө өткөрүлгөн тышкы саясий иш-чаралардын саны</t>
  </si>
  <si>
    <t>даана</t>
  </si>
  <si>
    <t>Академиянын бүтүрүүчүлөрүнүн жумушка орношуусу жана кесибинде калуу пайызы</t>
  </si>
  <si>
    <t>Маалыматтык-консультациялык борбордун жана жеке иш менен камсыз кылуу агенттигинин жардамы менен тышкы рынокто иштеген Кыргыз Республикасынын жарандарынын саны</t>
  </si>
  <si>
    <t>Чет өлкөлүк жарандарга жана жарандыгы жок адамдарга каралган уруксат документтеринин саны</t>
  </si>
  <si>
    <t>Берилген иммигрант статусу</t>
  </si>
  <si>
    <t>коэф</t>
  </si>
  <si>
    <t>аудит жүргүзүлгөн эмес</t>
  </si>
  <si>
    <t>0                     111                     0</t>
  </si>
  <si>
    <t>0                     111                   0</t>
  </si>
  <si>
    <t>0                      111                      0</t>
  </si>
  <si>
    <t>саны</t>
  </si>
  <si>
    <t>коэфф.</t>
  </si>
  <si>
    <t>сом</t>
  </si>
  <si>
    <t>≥ 35%</t>
  </si>
  <si>
    <t>"А"</t>
  </si>
  <si>
    <t>7 к 1</t>
  </si>
  <si>
    <t xml:space="preserve">сом </t>
  </si>
  <si>
    <t>сом.</t>
  </si>
  <si>
    <t>Бюджетти түзүү жана бюджеттин балансын жана туруктуулугун камсыз кылуу</t>
  </si>
  <si>
    <t>Жергиликтүү бюджетти пландаштыруу жана аткаруу</t>
  </si>
  <si>
    <t xml:space="preserve">Мамлекеттик жана ЖӨБ органдарынын кызматкерлери мамлекеттик финансыны натыйжалуу башкаруу боюнча кайра даярдоо жана квалификациясын жогорулатуу </t>
  </si>
  <si>
    <t xml:space="preserve">Мамлекеттик сатып алуулардын натыйжалуулугун камсыз кылуу
</t>
  </si>
  <si>
    <t>Бюджеттик мекемелерде, мамлекеттик жана муниципалдык ишканаларда ички аудитти жана ички контролду жүргүзүү/ ички аудитти жүзөгө ашыруу</t>
  </si>
  <si>
    <t xml:space="preserve">Ведомстволук деңгээлде бажы ишин администрациялоо, бажы төлөмдөрүнүн, жыйымдардын жана төлөмдөрдүн башка түрлөрүн  өз учурунда жана толук түшүүсүн камсыздоо   
</t>
  </si>
  <si>
    <t>Террористтик ишти каржылоого жана кылмыштуу кирешелерди легализациялоого (адалдоого) каршы аракеттенүүнү координациялоону жана жалпы жетекчиликти камсыз кылуу</t>
  </si>
  <si>
    <t>Мамлекеттик инвестициялык долбоорлорду ишке ашыруу</t>
  </si>
  <si>
    <t>Аймактык денгээлде салыктардын, камсыздандыруу төгүмдөрүнүн жана башка төлөмдөрдүн келип түшүүсүнүн толуктугун жана өз убагында болушун камсыз кылуу</t>
  </si>
  <si>
    <t>Бюджеттин ачыктыгынын индекси</t>
  </si>
  <si>
    <t>ЖӨБО, райондордун саны</t>
  </si>
  <si>
    <t>Сатып алуучу уюмдардын жана жеткирүүчүлөрдүн (подрядчылардын) көрсөтүлгөн жардамга канааттануусу</t>
  </si>
  <si>
    <t>баа</t>
  </si>
  <si>
    <t>Мамлекеттик сатып алуулар порталында Мамлекеттик сатып алуулар жөнүндө жарыялардын Департаментке берилген маалыматтын жалпы көлөмүнүн үлүшү</t>
  </si>
  <si>
    <t>үлүш</t>
  </si>
  <si>
    <t>Салыктарды, камсыздандыруу төгүмдөрүн жана башка төлөмдөрдү чогултуу боюнча пландуу көрсөткүчтөрдүн % аткарылышы</t>
  </si>
  <si>
    <t>Бажы алымдарын, жыйымдарды жана төлөмдөрдүн башка түрлөрүн чогултуунун пландуу көрсөткүчтөрүнүн аткарылышынын пайызы (%)</t>
  </si>
  <si>
    <t>Түзүлгөн жана жиберилген жалпыланган материалдардын жана компетенттүү органдарга берилген маалыматтардын саны</t>
  </si>
  <si>
    <t>Шектүү операциялар жөнүндө иштетилген билдирүүлөрдүн саны</t>
  </si>
  <si>
    <t>Укук коргоо органдарынан алынган жана иштетилген суроо-талаптардын саны</t>
  </si>
  <si>
    <t>25.Кыргыз Республикасынын финансы министрлиги</t>
  </si>
  <si>
    <t>17</t>
  </si>
  <si>
    <t>19</t>
  </si>
  <si>
    <t>640</t>
  </si>
  <si>
    <t>630</t>
  </si>
  <si>
    <t>2058</t>
  </si>
  <si>
    <t>11</t>
  </si>
  <si>
    <t>14</t>
  </si>
  <si>
    <t>15</t>
  </si>
  <si>
    <t>16</t>
  </si>
  <si>
    <t>009</t>
  </si>
  <si>
    <t xml:space="preserve">Тиешелүү стандарттагы имарат менен ЖС камсыз кылуу </t>
  </si>
  <si>
    <t xml:space="preserve">ЖС имаратын заманбап жабдуулар менен жабдуулоо  (эмерек, ПК ж.б.)/ Аларды сатып алууга каржылоону  бөлүү </t>
  </si>
  <si>
    <t>Жумушчу абалды техникалык жабдууну колдоо  (эмерек, ПК, МФУ, ксерокөчүрмө)</t>
  </si>
  <si>
    <t>Судьяларды   үзгүлтүксүз окутууну жана  квалификациясын жогорулатуу боюнча  аппараттын кызматкерлерине семинарларды өткөрүү ( УЦС  КР ЖС планын эске албаганда)</t>
  </si>
  <si>
    <t>Жалпылоо жана соттук практикадан жакшыртуу</t>
  </si>
  <si>
    <t>Мыйзам долбоорлор менен иштөө</t>
  </si>
  <si>
    <t>КРЖС бюллетендери үчүн  материалдарды топтоо</t>
  </si>
  <si>
    <t>Баардыгы  (көзөмөлдүк сандар)</t>
  </si>
  <si>
    <t>Кыргыз Республикасынын Жогорку сотуна караштуу Сот адилеттүүлүгүнүн жогорку мектеби</t>
  </si>
  <si>
    <t xml:space="preserve"> Финансылык менеджмент жана эсепке алууну камсыз кылуу</t>
  </si>
  <si>
    <t xml:space="preserve"> Адам  ресурстарын башкаруу</t>
  </si>
  <si>
    <t xml:space="preserve"> Ишти камсыздоо жана камсыз кылуу кызматы </t>
  </si>
  <si>
    <t>Кыргыз Республикасында сот системасынын кадрдык потенциалын чыңдоо</t>
  </si>
  <si>
    <t>Судьяларды, прокурорлорду жана  адвокаттарды биргелешип окутуу практикасын киргизүү</t>
  </si>
  <si>
    <t>Эл аралык байланыштарды өнүктүрүү (КМШ,  алыскы  чет өлкөлөр) судьяларды кесиптик даярдоо  чөйрөсүнө Жогорку сот акыйкаттыгы мектеби жана судьялар кеңешинде  тематикалык конференциялар жана семинарлар</t>
  </si>
  <si>
    <t>Кыргыз Республикасынын Жогорку сотуна караштуу Сот департаменти</t>
  </si>
  <si>
    <t>Борбордук деңгээлде  тармакты башкаруу жана администрациялоо</t>
  </si>
  <si>
    <t>Аймактык деңгээлде  тармакты башкаруу жана администрациялоо</t>
  </si>
  <si>
    <t>Адам ресурстарын башкаруу</t>
  </si>
  <si>
    <t>Укуктук колдоо</t>
  </si>
  <si>
    <t>Тышкы байланышты жана коомчулук менен  байланышты колдоо</t>
  </si>
  <si>
    <t>Ишти жана камсыздоо кызматын уюштуруу</t>
  </si>
  <si>
    <t>Мониторинг, анализ жана стратегиялык пландоону камсыз кылуу</t>
  </si>
  <si>
    <t xml:space="preserve"> Автоматташкан  маалыматтык системаны киргизүү  (АМС)</t>
  </si>
  <si>
    <t xml:space="preserve"> Соттук актыларынын  мамлекеттик реестрин түзүү  </t>
  </si>
  <si>
    <t xml:space="preserve"> Электрондук архивди түзүү</t>
  </si>
  <si>
    <t xml:space="preserve">Соттордун имаратынын коопсуздугун камсыздоо жана кайтаруу </t>
  </si>
  <si>
    <t xml:space="preserve">Сот процесстерине аудио видео фиксациялоо системасын киргизүү  </t>
  </si>
  <si>
    <t xml:space="preserve">Сот адилеттүүлүгүн ишке ашыруу </t>
  </si>
  <si>
    <t xml:space="preserve">Соттордун, жергиликтүү соттордун кызматкерлеринин кесиптик деңгээлин тийиштүү түрдө камсыз кылуу </t>
  </si>
  <si>
    <t xml:space="preserve">Сот приставдар кызматынын  ишин камсыздоо </t>
  </si>
  <si>
    <t xml:space="preserve">Аткаруу өндүрүшүнүн институтунун ишин камсыздоо </t>
  </si>
  <si>
    <t xml:space="preserve">Сот адилеттүүлүгүн ишке ашыруу үчүн зарыл болгон эмгек шарттарын түзүү </t>
  </si>
  <si>
    <t xml:space="preserve">Сот өндүрүшүнүн процесстеринин оперативдүүлүгүн камсыздоо </t>
  </si>
  <si>
    <t>Соттук актыларды аралыктан режиминде алуу  үчүн системаны иштеп чыгуу жана киргизүү  (электрондук сот адилеттүүлүгү системасы)</t>
  </si>
  <si>
    <t>Соттук актыларды автоматташтырылган түрдө бөлүштүрүү  (ААБ)</t>
  </si>
  <si>
    <t xml:space="preserve">Сот арачыларынын институтун киргизүү </t>
  </si>
  <si>
    <t>Тергөө судьяларын жана аппарат кызматкерлеринин институтун киргизүү</t>
  </si>
  <si>
    <t>Сот аткаруучу жана сот приставдар институтун киргизүү</t>
  </si>
  <si>
    <t>Соттордун жана КР сот тутумунун башка субъекттеринин коопсуздугун камсыз кылуу үчүн ички жана тышкы видео байкоо тутумун ишке ашыруу</t>
  </si>
  <si>
    <t>Электрондук төлөмдөрдү колдогон КР сот тутумунун электрондук кызмат көрсөтүүлөрүнүн порталын иштеп чыгуу жана жүзөгө ашыруу (анын ичинде жарандын жана сот процессинин катышуучусунун жеке эсебин)</t>
  </si>
  <si>
    <t>КР сот тутумунун Call-борборун түзүү жана IP-телефониянын корпоративдик тутумун киргизүү</t>
  </si>
  <si>
    <t>КР сот тутумунун маалыматтык-техникалык инфраструктурасын контролдоону, мониторинг жүргүзүүнү, башкарууну камсыз кылуу үчүн кырдаалдык борборду түзүү</t>
  </si>
  <si>
    <t>Аралыктан сот адилеттигин ишке ашыруу</t>
  </si>
  <si>
    <t>КР сот системасынын информациалык коопсуздугун камсыздоо</t>
  </si>
  <si>
    <t>"Сот отурумдарын аудио-видео жазуу жана протоколдоштуруу" аппараттык-программалык комплексин иштеп чыгуу жана колдоо</t>
  </si>
  <si>
    <t>"Суд" автоматташтырылган маалымат тутумун техникалык тейлөө жана өнүктүрүү</t>
  </si>
  <si>
    <t>Жалпысы  (көзөмөлдүк сандар)</t>
  </si>
  <si>
    <t>Жергиликтүү сотторудун сапатсыз сот адилетсиздигинин себеби боюнча кайтарылган иштердин саны</t>
  </si>
  <si>
    <t>Жергиликтүү соттордун сапатсыз сот адилетсиздигинин  себеби боюнча жокко чыгарылган иштердин саны</t>
  </si>
  <si>
    <t>Аянты  боюнча белгиленген стандарттарга КР ЖС имараттарын шайкеш келтирүү: ооба/жок</t>
  </si>
  <si>
    <t>Жабдуулар менен жабдылышы – 0-100%</t>
  </si>
  <si>
    <t>Жабдууларды колдоо</t>
  </si>
  <si>
    <t>КР ЖС аппаратынын кызматкерлерин семинарлар жана башкалар менен камтуу</t>
  </si>
  <si>
    <t>адам</t>
  </si>
  <si>
    <t>Жалпыланган сот практикасын  саны</t>
  </si>
  <si>
    <t>Сунуш  киргизилген мыйзам долбоорлордун саны</t>
  </si>
  <si>
    <t>Топтолгон  материалдардын саны</t>
  </si>
  <si>
    <t xml:space="preserve"> КР ЖС АЖМ аппаратынын кызматкерлеринин кызматтык милдеттерине байланыштуу бузуулардын саны</t>
  </si>
  <si>
    <t xml:space="preserve"> КР ЖС АЖМ  бузуусуз жана  себепсиз кармалууларсыз бюджетти аткаруунун пайызы  </t>
  </si>
  <si>
    <t xml:space="preserve"> Эмгек талаштары боюнча сот процесстеринин саны</t>
  </si>
  <si>
    <t xml:space="preserve"> ЖМК мекемелерге оң эскертүүлөрдүн саны</t>
  </si>
  <si>
    <t xml:space="preserve"> Соттук корпусунун  ачыктыгын жана кесипкөйлүгүн күчөтүү</t>
  </si>
  <si>
    <t>Кесипкөйлүк деңгээлин жогорулатуу</t>
  </si>
  <si>
    <t xml:space="preserve"> Сот системасынын кызматкерлеринин кесиптик маданиятынын деңгээлин жогорулатуу</t>
  </si>
  <si>
    <t>КР жергиликтүү сотторго жана Сот департаментинин сот өндүрүшү процессинин ишин үзгүлтүксүз камсыздоо</t>
  </si>
  <si>
    <t>КР ЖС караштуу Сот департаментинин бюджетининн бузуусуз негизсиз кармалуусуз  аткарылышынын үлүшүнүн  пайызы</t>
  </si>
  <si>
    <t>Эмгек талаштары боюнча  утуп алынган  сот процесстеринин  үлүшү</t>
  </si>
  <si>
    <t>Утуп алынган сот процесстеринин жалпы санга карата катышы</t>
  </si>
  <si>
    <t>ЖМК  мекемелерге  оң эскертүүлөрднүн саны</t>
  </si>
  <si>
    <t xml:space="preserve">Борбордук аппараттын  жалпы санынан  камсыздоо кызматынын кызматкерлеринин   үлүшү </t>
  </si>
  <si>
    <t xml:space="preserve">Тиешелүү жылга пландалган мамлекеттик максаттуу программанын иш-чараларын  өз учурундаишке ашыруу   үлүшү </t>
  </si>
  <si>
    <t>Сот корпусунун ачыктуулугун жана кесипкөйлүгүн күчөтүү</t>
  </si>
  <si>
    <t>Маалыматтык системалар менен жабдылган соттордун саны (видео жазуу жана сот процесстерин трансляциялоо, аудио жана протоколдоштуруу ж.б.) / Соттук териштирүүлөрдүн толук ачык-айкындыгын камсыз кылуу</t>
  </si>
  <si>
    <t>Сот процесстеринин тараптарынын катышуучуары үчүн коопсуздукту камсыз кылуу</t>
  </si>
  <si>
    <t xml:space="preserve">Аудио, видео фиксация  жана сот жыйындарын протоколдоо менен жабдылган соттордун системасынын саны </t>
  </si>
  <si>
    <t>Сот корпусунун ачыктыгын жана кесипкөйлүгүн күчөтүү</t>
  </si>
  <si>
    <t>Сот имараттарына техникалык каражаттарды жана коопсуздук системасын киргизүү</t>
  </si>
  <si>
    <t>Сот чечимдеринин аткаруунун өз ара аракет моделин өркүндөтүү / сот чечимдерин аткаруунун үлүшүнүн көбөйүшү</t>
  </si>
  <si>
    <t>Канааттандырылбаган сот иштери уюштурулду деп эсептелген жарандардын , анын ичинде сурамжылангандардын үлүшү</t>
  </si>
  <si>
    <t>Жарандарга реалдуу жеткиликтүүлүк жана квалификациялуу юридикалык жардам</t>
  </si>
  <si>
    <t>Сот адилеттүүлүгүн жүргүзүү  сапатын жакшыртуу</t>
  </si>
  <si>
    <t xml:space="preserve">Соттордун саны, сот иштерин тез  маалыматтык технологиялардын киргизүүлөрдүн тез чечилишин киргизүү  </t>
  </si>
  <si>
    <t>Сот арачыларынын катышуусу менен соттук иштерди карай турган район аралык соттордун саны</t>
  </si>
  <si>
    <t>Сот тутумундагы ачыктыктын үлүшү жана адамдардын сот адилеттигине жетүү мүмкүнчүлүгүн жогорулатуу</t>
  </si>
  <si>
    <t>Соттордун адистигин өркүндөтүүнүн пайызы</t>
  </si>
  <si>
    <t xml:space="preserve"> 
Сот актыларын аткаруунун жана мажбурлап сотко алып келүүнүн  үлүшү жана сот залындагы процесстин жүрүшүнө таасир эткен окуялардын саны (кийинкиге жылдыруу, узак тыныгуу) </t>
  </si>
  <si>
    <t>Сот арачыларынын ишин караган административдик соттордун саны</t>
  </si>
  <si>
    <t>Аудио-видео жазуу жана протоколдоштуруу боюнча камсыздалган сот залдарын саны</t>
  </si>
  <si>
    <t>Сот адилеттигин ишке ашыруунун сапатын жогорулатуу</t>
  </si>
  <si>
    <t>чел.</t>
  </si>
  <si>
    <t>Аймактардын резервдик жана башка фонду</t>
  </si>
  <si>
    <t>Ысык-Көл облусунун өнүктүрүү фонду</t>
  </si>
  <si>
    <t>Облустун социалдык-экономикалык өнүгүшү</t>
  </si>
  <si>
    <t>Райондордун өнүктүрүү фонду</t>
  </si>
  <si>
    <t>Райондордун инфраструктурасын өнүктүрүү</t>
  </si>
  <si>
    <t>Областтардын өнүктүрүү фонду</t>
  </si>
  <si>
    <t>Облустардын инфраструктурасын өнүктүрүү</t>
  </si>
  <si>
    <t>Кыргыз Республикасынын Өкмөтүнүн облустардагы ыйгарым укуктуу өкүлүнүн резервдик фонду</t>
  </si>
  <si>
    <t>Облустардагы маанилүү маселелерди чечүү</t>
  </si>
  <si>
    <t>Акимдердин резервдик фонду</t>
  </si>
  <si>
    <t>Мамлекеттик-жеке өнөктөштүк долбоорун даярдоону каржылоо фонду</t>
  </si>
  <si>
    <t>24. Аймактардын резервдик жана башка фонду</t>
  </si>
  <si>
    <t>Пенсиянын базалык бөлүгүн камсыздоо</t>
  </si>
  <si>
    <t>Пенсионерлерге электр энергиясы үчүн компенсацияларды төлөө</t>
  </si>
  <si>
    <t>Аскер кызматчыларын пенсиялык камсыздоо, ички иштер органдарынын кызматкерлерине жана алардын үй-бүлө мүчөлөрүнө бир жолку жөлөкпул төлөп берүү</t>
  </si>
  <si>
    <t>Кыргыз Республикасынын ченемдик укуктук актыларын кабыл алуунун натыйжасында түзүлгөн Социалдык фонддун бюджетинин кошумча чыгашаларын же кирешелеринин жоготууларын компенсациялоо</t>
  </si>
  <si>
    <t>−</t>
  </si>
  <si>
    <t>18</t>
  </si>
  <si>
    <t>20</t>
  </si>
  <si>
    <t>26</t>
  </si>
  <si>
    <t>27</t>
  </si>
  <si>
    <t>Мамлекеттик программалар</t>
  </si>
  <si>
    <t>Жалпы мамлекеттик программалар боюнча бюджеттин аткаруу пайызы</t>
  </si>
  <si>
    <t>Кыргыз Республикасында мамлекеттик тилди жана тил саясатын өркүндөтүү, өнүктүрүү боюнча мамлекеттик программаны ишке ашыруу</t>
  </si>
  <si>
    <t>Улуттук программаны ишке ашыруу планын аткаруу</t>
  </si>
  <si>
    <t>Санарип экономика</t>
  </si>
  <si>
    <t>Туруктуу санариптик инфраструктураны түзүү боюнча планды ишке ашыруу пайызы</t>
  </si>
  <si>
    <t>Контролдоо чекиттерин байкоо каражаттары менен камтуу</t>
  </si>
  <si>
    <t>Эл аралык уюмдарга тɵлɵмдɵр</t>
  </si>
  <si>
    <t>Жыл сайын мүчөлүк акыны төлөө боюнча милдеттенмелерди аткаруу</t>
  </si>
  <si>
    <t>Мамлекеттик карыз</t>
  </si>
  <si>
    <t>Негизги сумманы жана пайыздарды төлөө боюнча милдеттенмелерди аткаруу жыл сайын</t>
  </si>
  <si>
    <t>КНС ордун толтуруу жана  кайтарып берүү</t>
  </si>
  <si>
    <t>Жыл сайын КНСти кайтарып берүү боюнча милдеттенмелерди аткаруу</t>
  </si>
  <si>
    <t>Соттун чечимдерин өз убагында аткаруу пайызы</t>
  </si>
  <si>
    <t>Банктын кызматынын  төлөмдөру</t>
  </si>
  <si>
    <t>Банктардын кызмат көрсөтүүлөрүнө төлөө боюнча милдеттенмелерди аткаруу</t>
  </si>
  <si>
    <t>Коммерциялык банктардын пайыздык ченемдерин субсидиялоо</t>
  </si>
  <si>
    <t>Пайыздык чендерди субсидиялоо боюнча милдеттенмелерди аткаруу</t>
  </si>
  <si>
    <t>Чек арага жакын аймактарды өнүктүрүү</t>
  </si>
  <si>
    <t>Чек ара аймактарын өнүктүрүү боюнча планды ишке ашыруу пайызы</t>
  </si>
  <si>
    <t xml:space="preserve">"Улуттук Ипотекалык компаниясы" ААК </t>
  </si>
  <si>
    <t>Фискалдаштыруу</t>
  </si>
  <si>
    <t>Фискалдаштыруу боюнча иш-чаралардын бюджетин аткаруу</t>
  </si>
  <si>
    <t>"Электр станциялар"ААК</t>
  </si>
  <si>
    <t>Милдеттенмелерди төлөп берүү</t>
  </si>
  <si>
    <t>Экономикалык өнүктүрүү долбоорлорун каржылоо боюнча бюджетти аткаруу</t>
  </si>
  <si>
    <t>Covid - 19 каршы күрөшүү боюнча иш-чаралардын бюджетти аткаруу жана анын экономикага тийгизген таасири</t>
  </si>
  <si>
    <t>Стратегиялык объекттерди сатып алуу</t>
  </si>
  <si>
    <t>Стратегиялык объектилерди сатып алуу планын ишке ашыруу</t>
  </si>
  <si>
    <t>"Улуу көчмөндөрдүн мурасы"улуттук холдинг компаниясы" ААК</t>
  </si>
  <si>
    <t>Баткен облусунун коопсуздугун камсыз кылуу жана социалдык-экономикалык өнүктүрүү боюнча мамлекеттик программа</t>
  </si>
  <si>
    <t>Мамлекеттик программаны ишке ашыруу планын аткаруу</t>
  </si>
  <si>
    <t>Мамлекеттик программалар, иш-чаралар жана төлөмдөр</t>
  </si>
  <si>
    <t>Мамлекеттик программалар, иш-чаралар жана төлөөлөр боюнча бюджетти аткаруу пайызы</t>
  </si>
  <si>
    <t>Капиталдык салымдар</t>
  </si>
  <si>
    <t>Капиталдык салымдарды каржылоо боюнча бюджетти аткаруу</t>
  </si>
  <si>
    <t>Табигый кырсыктарды жоюу боюнча иш-чаралар</t>
  </si>
  <si>
    <t>Жаратылыш кырсыктарын жоюуну каржылоо боюнча бюджетти аткаруу</t>
  </si>
  <si>
    <t>Социалдык тɵлɵмдɵрду жогорулату</t>
  </si>
  <si>
    <t>Жогорулатылган социалдык төлөөлөр боюнча милдеттенмелерди аткаруу</t>
  </si>
  <si>
    <t>Тендɵɵчу трансферттер</t>
  </si>
  <si>
    <t>Теңдештирүүчү трансферттер боюнча бюджетти аткаруу</t>
  </si>
  <si>
    <t>Максаттуу трансферттер</t>
  </si>
  <si>
    <t>Максаттуу трансферттер боюнча бюджеттин аткарылышы</t>
  </si>
  <si>
    <t>Түрткү берүүчү гранттар</t>
  </si>
  <si>
    <t>ЖЖБ боюнча бюджеттин аткарылышы</t>
  </si>
  <si>
    <t xml:space="preserve">Жергиликтүү бюджеттен республикалык бюджетке которулган мекемелер </t>
  </si>
  <si>
    <t xml:space="preserve">Райондук бюджеттен республикалык бюджетке которулган мекемелер </t>
  </si>
  <si>
    <t>Мамлекеттик бюджеттик резерв</t>
  </si>
  <si>
    <t>Мамлекеттик бюджеттик резервдин жыл сайын пландык мааниден болгон суммасынын үлүшү</t>
  </si>
  <si>
    <t>Өзгөчө кырдаалдар министрлигинин атайын эсеби</t>
  </si>
  <si>
    <t>МЧМ атайын эсебинин пландык мааниден турган суммасынын үлүшү</t>
  </si>
  <si>
    <t>Жыйынтыгы (контролдук сандар)</t>
  </si>
  <si>
    <t>Кыргыз Республикасынын Президентинин эксперттик-аналитикалык, маалыматтык, укуктук, протоколдук, уюштуруучулук, документациялык ишин камсыздоо</t>
  </si>
  <si>
    <t>Экономикалык, социалдык-маданий жана башка иш-чараларга, ошондой эле өзгөчө кырдаалдарга күтүүсүз чыгымдар болгондо мамлекеттик колдоо көрсөтүү</t>
  </si>
  <si>
    <t>Кыргыз Республикасынын мамлекеттик чек арасын делимитациялоо жана демаркациялоо маселелеринде координация жана чечим кабыл алуу</t>
  </si>
  <si>
    <t>Республикада өткөрүлгөн социалдык, маданий жана башка иш -чараларга байланыштуу күтүүсүз чыгымдар болгондо мамлекеттик колдоо көрсөтүү</t>
  </si>
  <si>
    <t>Бюджеттик чара боюнча чыгашалардын республикалык бюджеттин жалпы чыгашаларына катышы</t>
  </si>
  <si>
    <t>Мамлекеттик чек араларды делимитациялоо жана демаркациялоо боюнча өткөрүлгөн жолугушуулардын саны</t>
  </si>
  <si>
    <t>Чыгарылган финансылык жардам боюнча буйруктардын саны</t>
  </si>
  <si>
    <t xml:space="preserve">Мамлекеттин демократиялык корголушуна жана чыңдалышына, элдин биримдигине, ошондой эле мамлекет менен элдин алдында ар кандай иштерде кызмат көрсөткөн адамдарга мамлекеттик сыйлыктарды берүү боюнча иш -чараларды уюштурууну камсыз кылуу </t>
  </si>
  <si>
    <t>Кыргыз Республикасынын экс-президенти жана Кыргыз ССРинин мурдагы жетекчилери үчүн транспорттук камсыз кылуу</t>
  </si>
  <si>
    <t>Саммиттерди жана башка мамлекеттик иш-чараларды өткөрүү жана уюштуруу</t>
  </si>
  <si>
    <t>Мамлекеттик сектордо транспорттук кызмат көрсөтүү</t>
  </si>
  <si>
    <t>Мамлекеттик мектепке чейинки билим берүү уюмдарынын иштеп жаткан тармагын колдоо</t>
  </si>
  <si>
    <t>Кызмат көрсөтүүнүн сапатын жогорулатуу жана калкты профессионалдык искусство менен тартуу</t>
  </si>
  <si>
    <t>Тейленген сметалардын саны</t>
  </si>
  <si>
    <t>Уютурулган протоколдук иш-чаралардын саны</t>
  </si>
  <si>
    <t>Мамлекеттик мекемелердин саны</t>
  </si>
  <si>
    <t>Даярдалган сыйлыктардын саны</t>
  </si>
  <si>
    <t>адамдардын саны</t>
  </si>
  <si>
    <t>Мам маанидеги иш-чаралардын саны</t>
  </si>
  <si>
    <t>Жалпы бюджеттеги салымынын пайыздык көрсөткүчү</t>
  </si>
  <si>
    <t>Жылдык бюджеттеги салымынын пайыздык көрсөткүчү</t>
  </si>
  <si>
    <t>Республикалык бюджеттен тейленген автомашиналардын саны</t>
  </si>
  <si>
    <t xml:space="preserve">Атайын эсептен тейленген автомашиналардын саны </t>
  </si>
  <si>
    <t>Балдардын саны</t>
  </si>
  <si>
    <t>Башка программалар боюнча жалпы чыгашаларда БМСЖнын чыгашаларынын үлүшү</t>
  </si>
  <si>
    <t>1 жашоочуга ҮДТнын врачтарына баруулардын саны</t>
  </si>
  <si>
    <t>Бейтаптардын канааттануу деңгээли (баалоо картасы боюнча)</t>
  </si>
  <si>
    <t>224</t>
  </si>
  <si>
    <t>055</t>
  </si>
  <si>
    <t>056</t>
  </si>
  <si>
    <t>±5</t>
  </si>
  <si>
    <t>+1</t>
  </si>
  <si>
    <t>млн.долл.</t>
  </si>
  <si>
    <t>млр.сом</t>
  </si>
  <si>
    <t>Бюджетти бузууларсыз аткаруу пайызы (өлчөө бирд.%)</t>
  </si>
  <si>
    <t>Министрликтин мыйзам долбоордук иш планын аткаруу (өлчөө бирд%)</t>
  </si>
  <si>
    <t xml:space="preserve"> Башка мам.органдар иштеп чыккан мыйзам долбоорлоруна экспертиза (өлчөө бирд.%)</t>
  </si>
  <si>
    <t>Жеке жана юридикалык жактардын арыздарын жана кайрылууларын кароодо министрликтин түзүмдүк бөлүмдөрүнө укуктук консультация (өлчөө бирд%)</t>
  </si>
  <si>
    <t>Министрликтин тармактык ЧУА жана актыларына инвентаризация жүргүзүү боюнча иш-чаралар (өлчөө бирд%)</t>
  </si>
  <si>
    <t xml:space="preserve">Министрликтин түзүмдүк бөлүмдөрү менен биргеликте сот органдарында кызыкчыылктарды көрсөтүү </t>
  </si>
  <si>
    <t xml:space="preserve">Товарларды, жумуштарды, кызматтарды жана консультациялык кызматтарды сатып алууну бузууларсыз жүргүзүү </t>
  </si>
  <si>
    <t>Макро көрсөткүчтөрдүниш жүзүндөгү маанилеринен  болжолдук маанилердин четтөөсү (ИДП өсүш темпи)</t>
  </si>
  <si>
    <t>Иштелип чыккан ЧУА саны</t>
  </si>
  <si>
    <t>ТМИ мониторинг жүргүзүү</t>
  </si>
  <si>
    <t>ТМИ долбоорлоруна баалоо жүргүзүү</t>
  </si>
  <si>
    <t xml:space="preserve">ЕӨРБ  Башкаруучулар Кеңешинин ар жылдык жыйынына катышуу </t>
  </si>
  <si>
    <t>Кош салык салуудан качуу жөнүндө келишимдерге кол коюлган жана ратификацияланган өлкөлөрдүн саны</t>
  </si>
  <si>
    <t>ЧУАлардын саны</t>
  </si>
  <si>
    <t>Бекитилген ички стратегиялык документтердин жана пландардын саны</t>
  </si>
  <si>
    <t>Өкмөттөр аралык комиссиялардын алкагында ишке ашырылган келишимдердин пайыздары</t>
  </si>
  <si>
    <t>Техникалык жөнгө салуу жана метрология чөйрөсүндөгү ЧУАлардын саны</t>
  </si>
  <si>
    <t>Өткөрүлгөн иш-чаралардын саны</t>
  </si>
  <si>
    <t>Республикалык бюджетке түшүүлөр</t>
  </si>
  <si>
    <t>Текстиль өндүрүшүнүн, кийим-кече жана бут кийим, булгаары жана башка булгаары буюмдарын өндүрүүнүн өсүү темпи</t>
  </si>
  <si>
    <t xml:space="preserve">Жетекчилик үчүн аналитикалык маалымкат </t>
  </si>
  <si>
    <t>Өлкөнүн эл аралык рейтингдери боюнча жылдык отчетту жаңыртуу жана жарыялоо (Бизнес жүргүзүү жана суверендүү рейтинг)</t>
  </si>
  <si>
    <t>о.</t>
  </si>
  <si>
    <t>Тике чет өлкөлүк инвестициялардын агымы</t>
  </si>
  <si>
    <t>Киргизилген жаңы ишканалардын саны</t>
  </si>
  <si>
    <t>Түзүлгөн жаңы жумуш орундарынын саны</t>
  </si>
  <si>
    <t>Кыргыз Республикасынын ДСУ өлкөлөрү менен тышкы соода жүгүртүүсүнүн көлөмү</t>
  </si>
  <si>
    <t>Реструктуризациялоо, реабилитациялоо, санация жана жарашуу макулдашуусу колдонулган ишканалардын саны</t>
  </si>
  <si>
    <t>Шайкештикти баалоо боюнча органдардын компетенттүүлүгүн тастыктоо</t>
  </si>
  <si>
    <t>Тамак-аш азыктарын стандартташтыруу жана метрология боюнча мамлекеттер аралык техникалык комитеттердин иштерине катышуу</t>
  </si>
  <si>
    <t>Доминант мамреестрден чыгарылган доминант субъекттеринин саны</t>
  </si>
  <si>
    <t>анализдин жыйынтыгы боюнча</t>
  </si>
  <si>
    <t>Республика боюнча табигый монополиялардын субъекттеринин Мамреестрине киргизилген чарба объектилеринин саны</t>
  </si>
  <si>
    <t>Атаандаштыктын абалына жүргүзүлгөн анализдердин саны</t>
  </si>
  <si>
    <t>план 2022-жылдын аягында түзүлөт</t>
  </si>
  <si>
    <t>план отчеттук өткөн жылдын аягында түзүлөт</t>
  </si>
  <si>
    <t>Мамлекеттик катышуусу бар акционердик коомдордун акцияларынын мамлекеттик пакетине дивиденддердин республикалык бюджетке түшүүсү</t>
  </si>
  <si>
    <t>Мамлекеттик ишканалардын таза пайдасынын республикалык бюджетке түшүүсү</t>
  </si>
  <si>
    <t>Мамлекеттик мүлктү менчиктештирүүдөн каражаттардын түшүүсү</t>
  </si>
  <si>
    <t>Мамлекеттик мүлктү ижарага алуудан каражаттардын түшүүсү</t>
  </si>
  <si>
    <t>Фондулук рыноктогу эмиссиянын көлөмү</t>
  </si>
  <si>
    <t>Тооруктардык көлөмү</t>
  </si>
  <si>
    <t>Камсыздандыруунун милдеттүү жана ыктыярдуу түрлөрү боюнча чогултулган камсыздандыруу сыйлыктарынын көлөмү</t>
  </si>
  <si>
    <t>ӨЭПФнын пенсиялык топтоо каражаттарынын көлөмү</t>
  </si>
  <si>
    <t xml:space="preserve">Катталган аудитордук уюмдардын саны  </t>
  </si>
  <si>
    <t xml:space="preserve">Баалуу кагаздар менен бүтүмдөрдүн көлөмү </t>
  </si>
  <si>
    <t>Жаңы МЖӨ долбоорлорунун саны</t>
  </si>
  <si>
    <t>МЖӨ долбоорлорун каржылоо  фондуна жыл сайын кошумча каражаттарды тартуу</t>
  </si>
  <si>
    <t>Системалык документтерди иштеп чыгуу аркылуу КРде Адал индустриясын өнүктүрүү үчүн шарттарды түзүү</t>
  </si>
  <si>
    <t xml:space="preserve">28. Кыргыз Республикасынын Экономика жана коммерция министрлиги </t>
  </si>
  <si>
    <t>Кыргыз Республикасынын Президентинин Администрациясы</t>
  </si>
  <si>
    <t>23.Кыргыз Республикасынын Тышкы иштер министрлиги</t>
  </si>
  <si>
    <t>23</t>
  </si>
  <si>
    <t>Башкаруу жана администрациялоо</t>
  </si>
  <si>
    <t>Тармакты борбордук деңгээлде башкаруу жана администрациялоо</t>
  </si>
  <si>
    <t xml:space="preserve">Апостилденген документ. саны </t>
  </si>
  <si>
    <t>Кыргыз Республикасынын жарандарына мамлекеттик юридикалык жардам көрсөтүү</t>
  </si>
  <si>
    <t>Иштетилген суроо-талаптардын саны</t>
  </si>
  <si>
    <t>Аткарылган соттук экспертизалардын саны</t>
  </si>
  <si>
    <t>Эл аралык жана жергиликтүү сот органдарында Кыргыз Республикасынын Министрлер Кабинети, ошондой эле Кыргыз Республикасынын укуктарын жана кызыкчылыктарын коргоо</t>
  </si>
  <si>
    <t>Алардын жалпы санына жеңип чыккан сот  иштеринин катышынын натыйжалуулук индикатору</t>
  </si>
  <si>
    <t>фактысы боюнча</t>
  </si>
  <si>
    <t>Талаш-тартыштардын кыйла жагымдуу чечилиши үчүн эл аралык жана жергиликтүү сотторго катышуу</t>
  </si>
  <si>
    <t>Утуп чыккан сот иштеринин санынын натыйжалуулук индикатору</t>
  </si>
  <si>
    <t>ЖАМКнын ишин жетектөө, камсыздалышын контролдоо жана ишин уюштуруу</t>
  </si>
  <si>
    <t xml:space="preserve">ЖАМКнын ишинин ачык-айкындыгын камсыздоо </t>
  </si>
  <si>
    <t>Эркиндигинен ажыратуучу жайларда соттолгондордун жаза өтөөсүн уюштуруу</t>
  </si>
  <si>
    <t>Жазык аткаруу системасындагы жаза өтөөнүн тартибин жана шарттарын уюштуруу</t>
  </si>
  <si>
    <t>Соттолгондордун дарылоочу мекемелерде жаза өтөөсүн уюштуруу</t>
  </si>
  <si>
    <t>Соттолгондорго алгачкы медициналык-санитардык жардам көрсөтүү</t>
  </si>
  <si>
    <t>Мектепке чейинки мекемелерди колдоо жана кеңейтүү</t>
  </si>
  <si>
    <t>Мектепке чейинки мекемелерди каржылоо процентин жакшыртуу</t>
  </si>
  <si>
    <t>Жаза өтөөнүн белгиленген тартибин дайыма бузуп, түзөтүү колонияларынан которулган соттолгондор үчүн түрмө куруу</t>
  </si>
  <si>
    <t>Курулуш, реконструкция, ремонт-калыбына келтирүү жумуштары</t>
  </si>
  <si>
    <t>Соттолгондорду кармоо шарттарын градациялоо</t>
  </si>
  <si>
    <t>Түзөтүүчү колонияда эркектерди, аялдарды, ар түрдүү инфекциялык оорулары бар соттолгондорду кармоо үчүн режимдин ар кандай түрлөрүндөгү участокторду уюштуруу (жалпы, күчөтүлгөн жана катаал режимдеги жана жашы жете элек кыздар жана балдар үчүн участоктор)</t>
  </si>
  <si>
    <t>Соттолгондордун билим алууга укуктарын камсыздоо</t>
  </si>
  <si>
    <t xml:space="preserve">Окуу процессин уюштуруу-методикалык камсыздоо </t>
  </si>
  <si>
    <t>Түзөтүү мекемелерин жана СИЗОлорду реконструкциялоо жана заманбап ИТСО менен жабдуу (коопсуздукту арттыруу)</t>
  </si>
  <si>
    <t>Түзөтүү мекемелерин жана тергөө изоляторлорун заманбап инженердик-техникалык каражаттар менен жабдуу (радио-нур)</t>
  </si>
  <si>
    <t>Социалдык-маданий жана тиричилик багыттагы обькттерди куруу жана реконструкциялоо</t>
  </si>
  <si>
    <t>Эркиндигинен ажыратуучу жайлардан бошонгон адамдардга социалдык жардамды уюштуруу</t>
  </si>
  <si>
    <t>Соттолгондордун качуусун болтурбай калган учурлардын саны</t>
  </si>
  <si>
    <t>Түзөтүүчү жайларды кайтаруу, коргоо жана соттолгондорго конвой</t>
  </si>
  <si>
    <t>Ички зонага уруксатсыз кирүүлөрдүн саны</t>
  </si>
  <si>
    <t>Сот мекемелерин конвой менен камсыздоо</t>
  </si>
  <si>
    <t>Конвойлонгон соттолгондордун жана соттолуп жаткандардын саны</t>
  </si>
  <si>
    <t>киши</t>
  </si>
  <si>
    <t>Кыргыз Республикасынын Юстиция министрлигине караштуу Соттук-эксперттик кызматы</t>
  </si>
  <si>
    <t>Кыргыз Республикасынын Юстиция министрлигине караштуу Соттук өкүлчүлүк борбору</t>
  </si>
  <si>
    <t>Кыргыз Республикасынын Юстиция министрлигине караштуу Жазаларды аткаруу кызматы</t>
  </si>
  <si>
    <t>Жалпы (контролдук сандар)</t>
  </si>
  <si>
    <t>Кыргыз Республикасынын Юстиция министрлигине караштуу Жазаларды аткаруу кызматынын Түзөтүү мекемелерин кайтаруу, соттолгондорду жана камакка алынган адамдарды конвой менен коштоп жүрүү боюнча департаменти</t>
  </si>
  <si>
    <t>34. Кыргыз Республикасынын Билим берүү жана илим министрлиги</t>
  </si>
  <si>
    <t xml:space="preserve">Башкаруу жана администрациялоо </t>
  </si>
  <si>
    <t xml:space="preserve">Мектепке чейинки билим берүү уюмдарына балдарды камтуу                                 </t>
  </si>
  <si>
    <t xml:space="preserve">Мектепке чейинки билим берүү уюмдарынын тармагынын иштешин сактоо   </t>
  </si>
  <si>
    <t xml:space="preserve">Мектепке чейинки даярдоодо билим берүү уюмдарына  5,5-7 жаштагы балдардын камтылышы                                       </t>
  </si>
  <si>
    <t>Эрте өнүгүүнүн бардык формаларына тартылган 0-3 жаштагы балдардын камтылышы</t>
  </si>
  <si>
    <t xml:space="preserve">Мектепке чейинки билим берүүнүн бардык формаларына камтылган 3-7 жаштагы балдар                              </t>
  </si>
  <si>
    <t>Бала бакчалардын вариативдик формаларынын тармагын кеңейтүү</t>
  </si>
  <si>
    <t xml:space="preserve">3-5 жаштагы балдар үчүн кыска мөөнөттүү бала бакчалардын саны          </t>
  </si>
  <si>
    <t xml:space="preserve">Китепканалардын базасында балдарды өнүктүрүү борборлорунун саны         </t>
  </si>
  <si>
    <t>Жалпы орто билимге тартылган балдардын санынын ичинен 7-17 жаштагы балдардын саны (жалпы ичинен)</t>
  </si>
  <si>
    <t xml:space="preserve">Балдардын жалпы санына карата мектеп-интернаттарда жана балдар үйлөрүндө балдардын жалпы санынын камсыздалышы (Билим берүү жана илим министрлигинин мекемелери боюнча)                   </t>
  </si>
  <si>
    <t xml:space="preserve">Балдардын жалпы санынын ичинен мектептен тышкаркы билимге тартылган балдардын пайызы                  </t>
  </si>
  <si>
    <t xml:space="preserve">Өлкө боюнча ЖРТнын орточо баллынын көрсөткүчтөрү                                            </t>
  </si>
  <si>
    <t xml:space="preserve">Билим берүүнүн сапатын жогорулатуу        </t>
  </si>
  <si>
    <t xml:space="preserve">Мугалимдердин профессионалдык өнүгүү программалары менен камтылышы                 </t>
  </si>
  <si>
    <t xml:space="preserve">Башталгыч жана орто кесиптик билим берүү уюмдарында окуган жаштардын пайызы (15-20 жаштагы калктын ичинен)                             </t>
  </si>
  <si>
    <t xml:space="preserve">Башталгыч кесиптик билим берүү уюмдарына жаштарды камтуу пайызы (15-18 жаштагы калктын ичинен) </t>
  </si>
  <si>
    <t xml:space="preserve">Билим берүү программаларын жана модулдарын иштеп чыгууда квалификациясын жогорулатуудан өткөн педагогикалык кадрлардын саны (ӨЭУ)               </t>
  </si>
  <si>
    <t xml:space="preserve">Орто кесиптик билим берүү уюмдарына жаштарды кабыл алуу пайызы (17-20 жаштагы калктын ичинен)      </t>
  </si>
  <si>
    <t xml:space="preserve">Орто кесиптик билим берүү мекемелеринин студенттерине инклюзивдүү билим берүү жана тарбия берүү                  </t>
  </si>
  <si>
    <t>Ден соолугунун мүмкүнчүлүктөрү чектелүү адамдар үчүн жагымдуу инфраструктурасы жана окуу чөйрөсү бар баштапкы кесиптик билим берүүнүн билим берүү уюмдарынын үлүшү</t>
  </si>
  <si>
    <t xml:space="preserve">Жогорку кесиптик окуу жайларына жаштарды кабыл алуу пайызы (17-24 жаштагы калктын ичинен)                 </t>
  </si>
  <si>
    <t>ЖОЖдордогу студенттердин жалпы санына мамлекеттик заказ боюнча студенттердин саны</t>
  </si>
  <si>
    <t xml:space="preserve">Жогорку кесиптик билим берүү уюмдарынын тармагын өнүктүрүү                                    </t>
  </si>
  <si>
    <t xml:space="preserve">Контракттык негизде окуган студенттердин саны  </t>
  </si>
  <si>
    <t xml:space="preserve">Тармактык илимий, илимий-техникалык уюмдардын жана аймактык жогорку окуу жайларыдын мамлекеттик заказдарды аткарууга катышуу үлүшү
</t>
  </si>
  <si>
    <t>Прикладдык илимдин өнүгүшү</t>
  </si>
  <si>
    <t xml:space="preserve">Scopus, Web of Science системалары тарабынан индекстелген мезгилдүү илимий  басылмалардагы публикациялардын саны, Импакт факторунун өсүшү (илимий изилдөөлөрдүн цитата индекси)                    </t>
  </si>
  <si>
    <t>Илимий-конструктордук иштердин натыйжалары боюнча өндүрүшкө, коомдук турмушка киргизилген илимий натыйжалардын саны</t>
  </si>
  <si>
    <t xml:space="preserve">Мамлекеттик инвестициялык долбоорлорду ишке ашыруу  </t>
  </si>
  <si>
    <t>Сатып алуу процессиндеги орточо сан (мамлекеттик сатып алуулар жөнүндө жарыялардын жалпы санына арыздардын жалпы санынын катышы)</t>
  </si>
  <si>
    <t>Порталдын жыл ичинде үзгүлтүксүз иштөөсүнүн жалпы убактысы</t>
  </si>
  <si>
    <t>колому</t>
  </si>
  <si>
    <t>Ченем чыгарууда укуктук саясатты өркүндөтүү</t>
  </si>
  <si>
    <t>ЧУА долбоорлорун иштеп чыгуу</t>
  </si>
  <si>
    <t>Мамлекеттик инвестициялардын долбоорун ишке ашыруу</t>
  </si>
  <si>
    <t>Кыргыз Республикасынын Турукташтыруу фонду</t>
  </si>
  <si>
    <t>39</t>
  </si>
  <si>
    <t>24</t>
  </si>
  <si>
    <t>32</t>
  </si>
  <si>
    <t>34</t>
  </si>
  <si>
    <t>44</t>
  </si>
  <si>
    <t>38</t>
  </si>
  <si>
    <t>"Айыл банк" ААК</t>
  </si>
  <si>
    <t>"Кыргыз Республикасында туризмди өнүктүрүүнү колдоо фонду"</t>
  </si>
  <si>
    <t>"РСК банк" ААК</t>
  </si>
  <si>
    <t>"Ишкердикти өнүктүрүү фонду"</t>
  </si>
  <si>
    <t>Финансы кредиттик уюмдарга кепилдик</t>
  </si>
  <si>
    <t>Энергетикалык компаниялардын уставдык капиталын көбөйтүү</t>
  </si>
  <si>
    <t>Камбар-Ата ГЭСин куруу</t>
  </si>
  <si>
    <t>Милдеттенмелерди аткаруу</t>
  </si>
  <si>
    <t>43</t>
  </si>
  <si>
    <t>45</t>
  </si>
  <si>
    <t>"Майлу-суу лампа заводу" ААК</t>
  </si>
  <si>
    <t>Баткен облусуна женилдетилген каржылоо</t>
  </si>
  <si>
    <t>индекси</t>
  </si>
  <si>
    <t>005</t>
  </si>
  <si>
    <t>006</t>
  </si>
  <si>
    <t>007</t>
  </si>
  <si>
    <t>Экспортту өнүктүрүү</t>
  </si>
  <si>
    <t>ТМИ долбоорлоруна көчмө мониторинг жүргүзүү</t>
  </si>
  <si>
    <t xml:space="preserve"> Кыргыз Республикасында эл аралык гранттык жана техникалык жардам долбоорлорунун натыйжалуулугуна мониторинг жүргүзүү жана баалоо</t>
  </si>
  <si>
    <t xml:space="preserve">Кыргыз Республикасы менен башка мамлекеттердин ортосунда кош салык салууну камсыздоо </t>
  </si>
  <si>
    <t>Товардык рыноктордо жагымдуу атаандаштык чөйрөсүн түзүү, товарлардын (жумуштардын, кызмат көрсөтүүлөрдүн) калкка экономикалык жеткиликтүүлүгүн камсыз кылуу, керектөөчүлөрдүн укуктарын коргоо (монополияга каршы жөнгө салуу, атаандаштыкты коргоо жана өнүктүрүү, баа түзүү, керектөөчүлөрдүн укуктарын коргоо жана жарнама чөйрөсүндө тиешелүү ЧУАларды кабыл алуу жолу менен)</t>
  </si>
  <si>
    <t>Стратегиялык пландаштырууну камсыз кылуу. Өлкөнүн экономикасын туруктуу өнүктүрүүнү камсыз кылууга багытталган мамлекеттик саясат чараларын иштеп чыгуу</t>
  </si>
  <si>
    <t>КР чет өлкөлөр менен соода-экономикалык кызматташтык боюнча өкмөттөр аралык комиссиялардын отурумдарын өткөрүү жолу менен тышкы экономикалык кызматташтыкты өнүктүрүүнү камсыз кылуу</t>
  </si>
  <si>
    <t>Кыргыз Республикасында банкроттук жол-жоболорун жүргүзүүнү жана мамлекеттик мүлктү башкарууну жөнгө салуучу ченемдик-укуктук базаны өркүндөтүү</t>
  </si>
  <si>
    <t>Ишкердик иш чөйрөсүндө тиешелүү ЧУАларды кабыл алуу жолу менен жагымдуу ишкердик чөйрөсүн түзүү (ишкердик ишти өнүктүрүү жана колдоо, ЖСТТ талдоо системасында, лицензиялык-уруксат берүү жана контролдоо-көзөмөлдөө чөйрөсүндө, монополияга каршы жөнгө салуу, атаандаштыкты коргоо жана өнүктүрүү, керектөөчүлөрдүн укуктарын коргоо жана жарнама чөйрөсүндө жаңы ыкмаларды киргизүү)</t>
  </si>
  <si>
    <t>БС/ЕАЭБ техникалык регламенттеринде белгиленген талаптар жана эрежелер жөнүндө Ишкердик субъекттеринин, продукцияны керектөөчүлөрдүн арасында маалыматтык-түшүндүрүү иштерин жүргүзүү</t>
  </si>
  <si>
    <t>Мамлекеттик органдардын, мамлекеттик органдардын жетекчилеринин, маморгандардын түзүмдүк бөлүмдөрүнүн натыйжаларына багытталган мамлекеттик башкаруунун сапатын баалоо системасын киргизүү</t>
  </si>
  <si>
    <t>21</t>
  </si>
  <si>
    <t>Салык жол-жоболорун фискалдаштыруунун электрондук системасын киргизүү</t>
  </si>
  <si>
    <t>Кыргыз Республикасынын Жеңил өнөр жай саясатына Мониторинг жүргүзүү, талдоо жүргүзүү жана ишке ашыруу</t>
  </si>
  <si>
    <t>Кыргыз Республикасынын ЕАЭБге киришинен экономикалык жана социалдык таасирлерге комплекстүү баа берүү</t>
  </si>
  <si>
    <t>Эл аралык рейтингдерде өлкөнүн позициясын жакшыртуу</t>
  </si>
  <si>
    <t>МЖӨ долбоорлорун илгерилетүү жана инвестициялык жагымдуулукту жогорулатуу</t>
  </si>
  <si>
    <t>Региондорду комплекстүү өнүктүрүү программасын иштеп чыгууга көмөктөшүү, анын ичинде экономикалык божомолдорду түзүү</t>
  </si>
  <si>
    <t>Кыргыз Республикасынын Дүйнөлүк Соода Уюмунун алдындагы Эл аралык милдеттенмелерин сактоону камсыз кылуу жана көп тараптуу соода системасынын алкагында Кыргыз Республикасынын катышуусунун артыкчылыктарын натыйжалуу пайдалануу</t>
  </si>
  <si>
    <t>Карызкордун өндүрүшүн сактоо максатында банкроттун ден соолукту чыңдоо жол-жоболорун колдонуу боюнча чараларды жүзөгө ашыруу.</t>
  </si>
  <si>
    <t>КАБдын ИСО/МЭК 17011 шайкештигине шайкештигин тастыктоо</t>
  </si>
  <si>
    <t>Борбордук деңгээлде монополияга каршы башкаруу</t>
  </si>
  <si>
    <t>Аймактык деңгээлдеги жалпы координация</t>
  </si>
  <si>
    <t>Мамлекеттик мүлк объекттерин башкаруу жана мамлекеттик менчик объекттерин системалаштырылган эсепке алуу ;</t>
  </si>
  <si>
    <t>Электрондук аукциондорду жана тооруктарды өткөрүү жолу менен Мамлекеттик мүлктү ижарага берүү</t>
  </si>
  <si>
    <t>Банктык эмес финансы рынокторун көзөмөлдөө</t>
  </si>
  <si>
    <t>Банктык эмес финансы рынокторун аймактык деңгээлде көзөмөлдөө</t>
  </si>
  <si>
    <t>Мамлекеттик-жеке өнөктөштүк (МЖӨ) долбоорлорун демилгелөө жана координациялоо, МЖӨ механизмин Кыргыз Республикасында жайылтуу</t>
  </si>
  <si>
    <t>Эл аралык стандарттарга жана халал-продукцияга коюлган талаптарга ылайык ички жана тышкы рыноктордо атаандаштыкка жөндөмдүү айыл чарба продукциясын жана кайра иштетүү өнөр жай продукциясын өндүрүү жана экспорттоо үчүн шарттарды түзүү бөлүгүндө Кыргыз Республикасында халал-индустрияны өнүктүрүү</t>
  </si>
  <si>
    <t>39. Государственная академия управления при Президенте Кыргызской Республики</t>
  </si>
  <si>
    <t>Бала төрөлгөндө  бир жолку төлөм жана 16 жашка чейинки балдары бар муктаж үй-бүлөлөргө ар айлык жөлөкпулдар менен камсыз кылуу</t>
  </si>
  <si>
    <t>Учурдагы жылдын бала төрөлгөндө "Балага сүйүнчү" - бир жолку төлөмүнүн өлчөмүн өткөн жылга карата сактоо</t>
  </si>
  <si>
    <t>Учурдагы жылдын 16 жашка чейинки баласы бар жарандарга (үй-бүлөлөргө) "Үй-бүлөгө көмөк" ар айлык жөлөкпулдун өлчөмүнүн базалык жылга карата катышы</t>
  </si>
  <si>
    <t>810 сом</t>
  </si>
  <si>
    <t>Учурдагы жылдын кепилденген эң төмөнкү кирешенин (КЭТК) өлчөмүнүн базалык жылга карата катышы</t>
  </si>
  <si>
    <t>Пенсия менен камсыздоого укугу жок адамдарды ай сайын социалдык жөлөкпулдар (АСЖ), ошондой эле 2010-жылдагы окуядан жана 2002-жылдагы Аксы окуясында жабыр тарткандарды ай сайын кошумча берилүүчү социалдык жөлөкпулдар менен камсыздоо</t>
  </si>
  <si>
    <t>Ден соолугунун мүмкүнчүлүктөрү чектелүү (ДМЧ) балдарга жөлөкпулдардын өлчөмүнүн базалык жылдын бир балага эсептелген жашоо минимумуна карата катышы</t>
  </si>
  <si>
    <t>Бала кезинен I, II, III топтогу майыптарга берилүүчү жөлөкпулдардын базалык жылдын бардык калкы үчүн жашоо минимумуна карата катышы</t>
  </si>
  <si>
    <t>64,6-95,7</t>
  </si>
  <si>
    <t>86,2-127,6</t>
  </si>
  <si>
    <t>Ата-энесинин бирөө/экөө тең ажыраган жана ата-энесинин экөө тең белгисиз болгон учурда балдарга берилүүчү жөлөкпулдардын өлчөмүнүн пенсиянын базалык бөлүгүнө карата катышы</t>
  </si>
  <si>
    <t>84,3-168,5</t>
  </si>
  <si>
    <t>112,4-337,0</t>
  </si>
  <si>
    <t xml:space="preserve">Кошумча ай сайын берилүүчү социалдык жөлөкпулдун өлчөмү </t>
  </si>
  <si>
    <t>эсептөө көрсөткүчтөрүнүн саны</t>
  </si>
  <si>
    <t>Мамлекеттик социалдык заказдын алкагында турмуштук оорк ырдаалда турган балдар үчүн социалдык кызматтарды өнүктүрүү</t>
  </si>
  <si>
    <t>Борбордун барлыгы</t>
  </si>
  <si>
    <t>борборлордун саны</t>
  </si>
  <si>
    <t>Мурда түзүлгөн борборлорду колдоо</t>
  </si>
  <si>
    <t>Министрликтин аймактык жана ведомстволук бөлүмдөрүнүн кызматкерлеринин потенциалын жогорулатуу</t>
  </si>
  <si>
    <t>Окутууга Министрликтин системасы боюнча  100дөн кем эмес кызматкерлер камтылган</t>
  </si>
  <si>
    <t>Багып алуучу (фостердик) үй-бүлөлөр институтун өнүктүрүү</t>
  </si>
  <si>
    <t xml:space="preserve">Окутулган багып алуучу үй-бүлөлөрдүн саны </t>
  </si>
  <si>
    <t>Багып алуучу үй-булөгө жайгаштырылган балдардын саны</t>
  </si>
  <si>
    <t>Чет элдик мамлекеттин аймагында КРдин жараны болгон, ата-энесинин кароосуз калган балдарды кайтаруу (репатриациялоо)</t>
  </si>
  <si>
    <t>Кайтарылган балдардын саны</t>
  </si>
  <si>
    <t>Телефон аркылуу абоненттерге, анын ичинде балдарга консультативдик-психологиялык жардам көрсөтүү</t>
  </si>
  <si>
    <t>Абоненттерден, анын ичинде балдардан түшкөн чалуулардын саны</t>
  </si>
  <si>
    <t>абонент</t>
  </si>
  <si>
    <t>ЭАИК жаңыртылган методикасы иштелип чыккан</t>
  </si>
  <si>
    <t>документ</t>
  </si>
  <si>
    <t>Эл аралык иштөө классификациясы (ЭАИК) боюнча окутулган дарыгер-эксперттердин саны</t>
  </si>
  <si>
    <t>Ден соолугунун мүмкүнчүлүгү чектелген адамдарды (ДМЧА) реабилитациялоо</t>
  </si>
  <si>
    <t>Реабилитацияга камтылган ДМЧА саны</t>
  </si>
  <si>
    <t>Окутулган дарыгерлердин саны</t>
  </si>
  <si>
    <t xml:space="preserve">Социалдык стационардык мекемелерде кызмат көрсөтүү
</t>
  </si>
  <si>
    <t>миң сом</t>
  </si>
  <si>
    <t>Мамлекеттик социалдык заказдын алкагында улгайган жарандарга жана ден соолугунун мүмкүнчүлүгү чектелген адамдарга (ДМЧА) социалдык кызматтарды көрсөтүү</t>
  </si>
  <si>
    <t>ДМЧА реабилитациялоо үчүн техникалык каражаттар менен камсыздоо (протездик-ортопедиялык буюмдар, техникалык көмөкчү каражаттар жана башка адистештирилген каражаттар)</t>
  </si>
  <si>
    <t>Кам көрүүгө жана көзөмөлгө дайыма муктаж болгон ден соолугунун мүмкүнчүлүгү чектелүү балдарын караган энелерге социалдык жардам</t>
  </si>
  <si>
    <t>Жеке ассистенттердин кызматы менен камтылган ДМЧ балдардын саны</t>
  </si>
  <si>
    <t>Жеке ассистенттердин кызматы менен камтылган 18 жаштан жогору ДМЧАнын саны</t>
  </si>
  <si>
    <t>Жарандардын 25 категориясына ай сайынкы акчалай компенсацияларды жана Улуу Ата Мекендик согуштун ардаргерлерине ай сайын берилүүчү стипендияны төлөөнү камсыздоо</t>
  </si>
  <si>
    <t>Базалык жылдын деңгээлинде жарандардын 25 категориясына акчалай компенсациялардын өлчөмүн сактоо</t>
  </si>
  <si>
    <t>1000-7000</t>
  </si>
  <si>
    <t>Өмүр бою берилүүчү стипендиянын өлчөмү</t>
  </si>
  <si>
    <t>Улуу Ата Мекендик согуштун ардагерлерине 9-майга жыл сайын бир жолку акчалай жөлөкпулду төлөөнү камсыздоо</t>
  </si>
  <si>
    <t>Акчалай жөлөкпулдун өлчөмү</t>
  </si>
  <si>
    <t>100-600</t>
  </si>
  <si>
    <t>Кошумча акчалай жөлөкпулдун өлчөмдөрү</t>
  </si>
  <si>
    <t>10000-15000</t>
  </si>
  <si>
    <t>15000-20000</t>
  </si>
  <si>
    <t>Расымдык жөлөкпул (сөөк коюуга) төлөөнү камсыздоо</t>
  </si>
  <si>
    <t>Расымдык жөлөкпулдун өлчөмү</t>
  </si>
  <si>
    <t>1438-7189</t>
  </si>
  <si>
    <t>Жөлөкпул алуучулардын саны</t>
  </si>
  <si>
    <t xml:space="preserve">Жумушсуз жарандардын үлүшү, окутуудан кийин ишке орношкондор, кайра окутуу, квалификациясын жогорулатуу    </t>
  </si>
  <si>
    <t xml:space="preserve">Акы төлөнгөн коомдук иштердин линиясы боюнча камтылган ишсиздердин саны </t>
  </si>
  <si>
    <t>миң адам</t>
  </si>
  <si>
    <t>Көндүмдөрдү өнүктүрүү фонду (КӨФ) аркылуу кыска мөөнөттүү окуу курстарынан өткөн жарандардын саны</t>
  </si>
  <si>
    <t>Бош орундар Жарманкесине баруунун жыйынтыгында ишсиз, ишке орношкондордун саны</t>
  </si>
  <si>
    <t>Ишке орноштурууга көмөк көрсөтүү</t>
  </si>
  <si>
    <t>Он биринчи иш күндөн тартып кош бойлуулук жана төрөт боюнча жөлөкпул төлөөнү камсыздоо</t>
  </si>
  <si>
    <t>Кош бойлуулук жана төрөт боюнча орточо жөлөкпулдун өлчөмүнүн 10 эсептик көрсөткүчкө карата катышы % менен (бийик тоолуу шартта эмес)</t>
  </si>
  <si>
    <t>Кош бойлуулук жана төрөт боюнча орточо жөлөкпулдун өлчөмүнүн орточо эмгек акыга карата катышы % менен (бийик тоолуу шартта)</t>
  </si>
  <si>
    <t>Гендердик жана үй-бүлөлүк зомбулуктан жабыр тарткандарга жардам көрсөтүү үчүн социалдык кызматтарды/кризистик борборлорду өнүктүрүү жана үй-бүлөлүк зомбулукка кабылган адамдарга түзөтүү программаларын киргизүү</t>
  </si>
  <si>
    <t>Зордук-зомбулуктан жабыр тарткандарга жардам көрсөтүү жана үй-бүлөдөгү зомбулук кырдаалындагы үй-бүлөлөргө колдоо көрсөтүү үчүн мамлекеттик кризистик борборду түзүү</t>
  </si>
  <si>
    <t>Жаңы мамлекеттик кризистик борборлордун саны</t>
  </si>
  <si>
    <t>Бардыгы (контролдук цифралар)</t>
  </si>
  <si>
    <t>001 Программасы боюнча чыгашанын айлык акыга карата бардык программалар боюнча айлык акыга карата чыгашалардын суммасына болгон катышы</t>
  </si>
  <si>
    <t>Ийгиликтүү академиясынын бүтүрүүчүлөрү курсту аяктаган күндөн тартып жогорку окуу жайларынын бүтүрүүчүлөрүнүн үлүшү</t>
  </si>
  <si>
    <t>201</t>
  </si>
  <si>
    <t>Окуу программасын ишке ашыруу</t>
  </si>
  <si>
    <t>Окуп жаткан студенттердин жылдык колому</t>
  </si>
  <si>
    <t>Жогорку кесиптик билимдүү квалификациялуу кадрларды даярдоо</t>
  </si>
  <si>
    <t>Мелдештерде байгелүү орундарды окуучулардын үлүшү, сынактар, улуттук жана эл аралык уюмдар менен карым</t>
  </si>
  <si>
    <t>Күбөлүктөрдү алган мамлекеттик жана муниципалдык кызматкерлердин саны</t>
  </si>
  <si>
    <t>Тренингдерди өткөрүү</t>
  </si>
  <si>
    <t xml:space="preserve">Ардагерлердин жана ардагерлер уюмдарынын материалдык жана социалдык укуктарын коргоо боюнча сунуштарды киргизүү </t>
  </si>
  <si>
    <t>Ардагерлердин, ардагер уюмдардын жашоо деңгээлин камсыз кылуу жана жогорулатуу боюнча</t>
  </si>
  <si>
    <t>Өлкөнүн маданий жана маалымат процессине тартылган жалпы калктын пайызы</t>
  </si>
  <si>
    <t>Китепканалардын, музейлердин, театралдык-оюн-зоок мекемелеринин, Улуттук маданий борбору, Маданият үйлөрүнүн кызматтарынын жеткиликтүүлүгүн жана сапатын жогорулатуу жана жаштар саясатын ишке ашыруу</t>
  </si>
  <si>
    <t>Мамлекеттик театр жана оюн-зоок мекемелерине келгендердин саны</t>
  </si>
  <si>
    <t>Мамлекеттик театр жана оюн-зоок мекемелери тарабынан коюлган спектаклдердин саны</t>
  </si>
  <si>
    <t>Китепканаларга, музейлерге, маданият үйлөрүнө келгендердин саны</t>
  </si>
  <si>
    <t>Өткөрүлгөн музей көргөзмөлөрүнүн саны</t>
  </si>
  <si>
    <t>Китепканалар, музейлер, маданият үйлөрү тарабынан өткөрүлгөн иш-чаралардын саны (УМБ)</t>
  </si>
  <si>
    <t>Өлкөнүн жаштар саясатын өнүктүрүү боюнча өткөрүлгөн иш-чаралардын саны</t>
  </si>
  <si>
    <t>Тарыхый-маданий объекттеринин коопсуздугун жана корголушун камсыз кылуу үчүн шарттарды түзүү (Инспекция)</t>
  </si>
  <si>
    <t>Тарыхый-маданий мурас объекттеринин аймагынын корголуучу чөлкөмүнүн бекитилген долбоорлорунун алардын жалпы санынан пайызы</t>
  </si>
  <si>
    <t>Улуттук кинематографияны сактоо, өнүктүрүү жана популяризациялоо</t>
  </si>
  <si>
    <t>Чыгарылган фильмдердин саны (анын ичинде улуттук фильмдер; фантастикалык, анимациялык, даректүү тасмалар, кыска метраждуу фильмдер, биргелешкен өндүрүш)</t>
  </si>
  <si>
    <t>Маалымат чөйрөсүн өнүктүрүү</t>
  </si>
  <si>
    <t>КР мамлекеттик бийлигинин расмий булактарынан Кыргызстандын калкына жана чет олколук аудиторияга маалыматтарды жеткирүү</t>
  </si>
  <si>
    <t>Жарыяланган маалыматтык жана аналитикалык материалдардын, чет тилдерге которулган материалдардын жалпы саны</t>
  </si>
  <si>
    <t>Квалификацияны жогорулатуу жана кайра даярдоо курстарынан өткөн педагогикалык жана административдик кызматкерлердин саны</t>
  </si>
  <si>
    <t xml:space="preserve"> Маданият жана искусство окуу жайларынын (жогорку окуу жайларынын, орто билим берүү мекемелеринин), анын ичинде бүтүрүүчүлөрдүн үлүшү жынысы боюнча;</t>
  </si>
  <si>
    <t>Билим берүү мекемелеринин педагогикалык кадрларынын квалификациясын жогорулатуу</t>
  </si>
  <si>
    <t>Кошумча билим берүүнүн билим берүү программасын (Балдар музыкалык мектептери (БММ), Балдар искусство мектептери (БИМ), Балдар көркөм-өнөр мектептери (БКӨМ)), анын ичинде бүтүрүүчүлөрдүн үлүшү жынысы боюнча бөлүнөт</t>
  </si>
  <si>
    <t>Маданият жана искусство боюнча мектепке чейинки билим берүү мекемелерин колдоо</t>
  </si>
  <si>
    <t>Дене тарбияны жана массалык спортту өнүктүрүү</t>
  </si>
  <si>
    <t>Республиканын калкынын арасында спортту жайылтуу, активдүү жашоо образын жана спортту өнүктүрүү боюнча өткөрүлгөн иш-чаралардын саны</t>
  </si>
  <si>
    <t>Спорттук аренада байгелүү орундарга ээ болгондордун саны</t>
  </si>
  <si>
    <t>Дүйнөлүк Туризм Уюмунун классификациясына кирген алыскы жана жакынкы чет өлкөлөрдөн келгендердин саны</t>
  </si>
  <si>
    <t>ИДПдагы туризмдин үлүшү</t>
  </si>
  <si>
    <t>туристтик кызматтардын экспорту (чет элдик жарандарды кабыл алуудан түшкөн киреше)</t>
  </si>
  <si>
    <t>млн долл</t>
  </si>
  <si>
    <t>млн сом</t>
  </si>
  <si>
    <t>15 211,8</t>
  </si>
  <si>
    <t>15 442,4</t>
  </si>
  <si>
    <t>15 614,5</t>
  </si>
  <si>
    <t>бал</t>
  </si>
  <si>
    <t>Божомолдоо</t>
  </si>
  <si>
    <t>Профилактикалык иштерге мониторинг жүргүзүү жана божомолдоо</t>
  </si>
  <si>
    <t>Коркунучтуу жаратылыш кубулуштарын жана процесстерин божомолдоо</t>
  </si>
  <si>
    <t>88</t>
  </si>
  <si>
    <t>90</t>
  </si>
  <si>
    <t>Өздөштүрүү</t>
  </si>
  <si>
    <t>суткада</t>
  </si>
  <si>
    <t xml:space="preserve">
Корголуучу турак жайлардын саны / айыл чарба жерлери (га) / жыл</t>
  </si>
  <si>
    <t>7493/5205</t>
  </si>
  <si>
    <t>6184/3008</t>
  </si>
  <si>
    <t>7979/1920</t>
  </si>
  <si>
    <t>8748/3815</t>
  </si>
  <si>
    <t>Жакынкы куруу жана инженердик курулмаларды селден коргоо, өзгөчө кырдаалдардын кесепеттерин жоюунун алдын алуу</t>
  </si>
  <si>
    <t xml:space="preserve">Корголуучу турак жайлардын саны/жыл     
</t>
  </si>
  <si>
    <t>7493</t>
  </si>
  <si>
    <t>6184</t>
  </si>
  <si>
    <t>7979</t>
  </si>
  <si>
    <t>8748</t>
  </si>
  <si>
    <t>5205</t>
  </si>
  <si>
    <t>3008</t>
  </si>
  <si>
    <t>1920</t>
  </si>
  <si>
    <t>3815</t>
  </si>
  <si>
    <t>Мурунку уран казып алуучу өндүрүштүн калдыктарын сактоочу жайларга жана төгүндүлөргө ар тараптуу мониторинг, авариялык-профилактикалык коргонуу иштерин жүргүзүү</t>
  </si>
  <si>
    <t>Мониторинг жана объектилерди тейлөө</t>
  </si>
  <si>
    <t>50</t>
  </si>
  <si>
    <t>70</t>
  </si>
  <si>
    <t>100</t>
  </si>
  <si>
    <t>7</t>
  </si>
  <si>
    <t>4</t>
  </si>
  <si>
    <t>5</t>
  </si>
  <si>
    <t>Материалдык зыяндын деңгээлин төмөндөтүү</t>
  </si>
  <si>
    <t>73</t>
  </si>
  <si>
    <t>75</t>
  </si>
  <si>
    <t>80</t>
  </si>
  <si>
    <t>12 000  /150</t>
  </si>
  <si>
    <t>10 456    /98</t>
  </si>
  <si>
    <t>14 000     /100</t>
  </si>
  <si>
    <t>15 000  /100</t>
  </si>
  <si>
    <t xml:space="preserve">Жарандык коргонуу жана суучулдардын иши боюнча даярдалган адистердин саны  </t>
  </si>
  <si>
    <t>12 000</t>
  </si>
  <si>
    <t>10 456</t>
  </si>
  <si>
    <t>14 000</t>
  </si>
  <si>
    <t>15 000</t>
  </si>
  <si>
    <t>Суучулдардын иши боюнча даярдалган адистердин саны</t>
  </si>
  <si>
    <t>150</t>
  </si>
  <si>
    <t>98</t>
  </si>
  <si>
    <t>Мамлекеттик жана мобилизациялык резервдин материалдык баалуулуктарын башкаруу</t>
  </si>
  <si>
    <t>Мамлекеттик материалдык  резервдерди топтоону, сактоону жана пайдаланууну уюштуруу</t>
  </si>
  <si>
    <t>Материалдык баалуулуктарды топтоо (мамлекеттик резерв)</t>
  </si>
  <si>
    <t>Материалдык баалуулуктарды топтоо (мобилдик резерв)</t>
  </si>
  <si>
    <t>Бюджеттик программа боюнча натыйжалуулуктун көрсөткүчү</t>
  </si>
  <si>
    <t>31322     10506</t>
  </si>
  <si>
    <t>31500         10554</t>
  </si>
  <si>
    <t>31600           10600</t>
  </si>
  <si>
    <t>31600    10650</t>
  </si>
  <si>
    <t>31600         10700</t>
  </si>
  <si>
    <t>Кыргыз азиздер жана дүлөйлөр коомунун окутуу жана өндүрүштүк ишканасында майыптарды жумуш менен камсыз кылуу</t>
  </si>
  <si>
    <t xml:space="preserve"> миң сом</t>
  </si>
  <si>
    <t>Мамлекеттик жана расмий тилдерди билүү деңгээлин баалоо</t>
  </si>
  <si>
    <t xml:space="preserve"> Тест тапшырмаларынын саны</t>
  </si>
  <si>
    <t>БАРДЫГЫ (контролдук цифралар)</t>
  </si>
  <si>
    <t>57</t>
  </si>
  <si>
    <t>Инвесторлордун мамлекеттик органдар жана жергиликтүү өз алдынча башкаруу органдары менен чечилген маселелеринин саны</t>
  </si>
  <si>
    <t>Жыл сайын тартылган түз чет өлкөлүк инвестициялардын көлөмү</t>
  </si>
  <si>
    <t>АКШ млн. долл.</t>
  </si>
  <si>
    <t>Жыл сайын инвестициялык долбоорлордун саны</t>
  </si>
  <si>
    <t>Инвестициялык долбоорлордун санынын өсүү темпи</t>
  </si>
  <si>
    <t>Экспортко келишимдерди түзүү</t>
  </si>
  <si>
    <t xml:space="preserve">АКШ млн.долл. </t>
  </si>
  <si>
    <t xml:space="preserve"> 2021-жылы Кыргыз Республикасынын Министрлер Кабинетинин орун басары тарабынан бекитилген 2021-2022-жылдарга Жеке маалыматтарды коргоо агенттигинин иш-чаралар планы, “Жеке маалыматтарды коргоо деңгээлин жогорулатуу” </t>
  </si>
  <si>
    <t xml:space="preserve">Борбордук денгээлде  башкаруу жана администрациялоо </t>
  </si>
  <si>
    <t>Мониторинг жүргүзүлгөн органдардын жалпы санынан мониторингдин жыйынтыгы боюнча мамлекеттик органдар жана жергиликтүү өз алдынча башкаруу органдары тарабынан аткарылган сунуштамалардын үлүшү</t>
  </si>
  <si>
    <t>Кайрылуулардын жалпы санына карата мамлекеттик жарандык кызмат жана муниципалдык кызмат жөнүндө мыйзамдарды сактабагандык жөнүндө Жарандардын кайрылууларынын үлүшү</t>
  </si>
  <si>
    <t>МККга кирүүдө жана андан өтүүдө мыйзамдарды билүү үчүн объективдүү жана ачык-айкын компьютердик тестирлөөнү камсыз кылуу</t>
  </si>
  <si>
    <t>Тест тутумуна канааттанган  катышуучуларынын үлүшү</t>
  </si>
  <si>
    <t>Мамлекеттик жарандык кызмат жана муниципалдык кызмат чөйрөсүндө адам ресурстарын башкаруунун автоматташтырылган маалыматтык системасын киргизүү (талдоо, колдоо жана коштоо)</t>
  </si>
  <si>
    <t xml:space="preserve">"e-Кyzmat" автоматташтырылган маалыматтык системасынын "Электрондук штаттык ыраатама" модулуна  кошулган мамлекеттик органдардын жана жергиликтүү өз алдынча башкаруу органдарынын пландаштырылган сандарынын үлүшү </t>
  </si>
  <si>
    <t xml:space="preserve">"e-Кyzmat" автоматташтырылган маалыматтык системасынын "Колдонуучунун жеке кабинети" жана "Электрондук эмгек китепчеси" модулдарына  кошулган мамлекеттик органдардын жана жергиликтүү өз алдынча башкаруу органдарынын пландаштырылган сандарынын үлүшү </t>
  </si>
  <si>
    <t xml:space="preserve">"e-Кyzmat" автоматташтырылган маалыматтык системасынын "Ангалитикалык блок" модулуна  кошулган мамлекеттик органдардын жана жергиликтүү өз алдынча башкаруу органдарынын пландаштырылган сандарынын үлүшү </t>
  </si>
  <si>
    <t>"Санарип аймак" автоматташтырылган маалыматтык системасынын "Үй-чарба  китеби",“Айыл өкмөтүн электрондук  паспорту” модулдарына кошулган жергиликтүү өз алдынча башкаруу органдарынын пландаштырылган сандарынын үлүшү</t>
  </si>
  <si>
    <t>Мамзаказдарды ишке ашыруу жана донордук колдоо алкагында кызматчыларды окутуу жана квалификациясын жогорулатуу маселелерин координациялоо</t>
  </si>
  <si>
    <t>Окуудан өткөн мамлекеттик кызматчылардын пландаштырылган санынан үлүшү</t>
  </si>
  <si>
    <t xml:space="preserve">% </t>
  </si>
  <si>
    <t>Окуудан өткөн муниципалдык кызматчылардын пландаштырылган санынан үлүшү</t>
  </si>
  <si>
    <t>Кадрлар резервинен орун алган администрациялык мамлекеттик кызмат орундарынын үлүшү</t>
  </si>
  <si>
    <t>Кадр резервинен орун алган администрациялык муниципалдык кызмат орундарынын үлүшү</t>
  </si>
  <si>
    <t xml:space="preserve">Дотациядан чыккан жергиликтүү өз алдынча башкаруунун аткаруучу органдарынын саны </t>
  </si>
  <si>
    <t>ЖӨБ органдарынын ишин координациялоо жана колдоо</t>
  </si>
  <si>
    <t>Жергиликтүү маанидеги маселелерди чечүү боюнча Мыкты Тажрыйбалар киргизилген жергиликтүү өз алдынча башкаруу органдарынын саны</t>
  </si>
  <si>
    <t>Айылдардын жана шаарлардын инфраструктурасын жакшыртуу үчүн инвестицияларды тартуу боюнча эл аралык долбоорлор менен иштеген жергиликтүү өз алдынча башкаруу органдарынын саны</t>
  </si>
  <si>
    <t>Эл аралык донорлордун инвестицияларын тартуу менен инфраструктураны жакшыртуу боюнча долбоорлордун ишке ашырылган айылдарынын саны</t>
  </si>
  <si>
    <t xml:space="preserve">Экологиялык көрсөткучөр </t>
  </si>
  <si>
    <t>Орун</t>
  </si>
  <si>
    <t>Таштанды чыгаруучу жайлардын саны стандарттык абалга келтирилди</t>
  </si>
  <si>
    <t>Таштандылар жана полигондор астындагы жерлердин өзгөргөн категорияларынын саны</t>
  </si>
  <si>
    <t>га</t>
  </si>
  <si>
    <t>Радиациялык коопсуздук тармагындагы объектердин санын нормативдик абалга келтирилгени</t>
  </si>
  <si>
    <t>Коркунучтуу, уулуу химиялык заттардын жана иондотуруучу нурлануунун булактарынын айлана-чөйрөгө жана калктын деп соолугуна коркунучтуу азайтуу</t>
  </si>
  <si>
    <t>Лицензия жана берилген лицензия беруугө арыздардын катышы</t>
  </si>
  <si>
    <t>Эксперттик корутундуга өтүнмөлөрдүн кош колдонуучу товарлардын импорту</t>
  </si>
  <si>
    <t>Экологиялык компоненттердин сапаты үчүн алынган үлгүлордүн саны</t>
  </si>
  <si>
    <t xml:space="preserve">Жасалган лабораториялык анализдердин саны </t>
  </si>
  <si>
    <t>Радиациялык фондун боюнча жүргүзүлгөн изилдөөлөрдун саны</t>
  </si>
  <si>
    <t>Өлкөнүн жалпы аймагына өзгөчө корголуучу жаратылыш аймактарынын үлүшү</t>
  </si>
  <si>
    <t>Өзгөчө корголуучу жаратылыш аймактарынын үлүшү</t>
  </si>
  <si>
    <t>мин.га</t>
  </si>
  <si>
    <t>Корголуучу аймактардын жапайы жаныбар үчүн жалаган жалбырактардын саны</t>
  </si>
  <si>
    <t>Аткарылган илимий иштердин саны</t>
  </si>
  <si>
    <t>Жапайы жаныбарлардын илдеттерин аныктоо жана жайылыш алдын алуу боюнча чаралардын саны</t>
  </si>
  <si>
    <t>Жылына орнотулган маалымат такталарынын жана панелдердин саны/бардыгы. Экологиялык мыйзамдарды бузуу максатында жергиликтүү калкка маалымат берүү</t>
  </si>
  <si>
    <t>17/34</t>
  </si>
  <si>
    <t>17/35</t>
  </si>
  <si>
    <t>17/36</t>
  </si>
  <si>
    <t>Берилген мамлекеттик мергенчилик сертификаттарынын саны, республиканын мергенчилеринин маалымат базасын жүргүзүү менен мергенчилердин санын тартипке келтирүү</t>
  </si>
  <si>
    <t>Недраларды пайдалануу укугун алууга аукциондорду өткөрүү</t>
  </si>
  <si>
    <t>55</t>
  </si>
  <si>
    <t>Жер казынасын пайдаланууда мамлекеттин экономикалык кызыкчылыктарын коргоо</t>
  </si>
  <si>
    <t>Пайдалуу кендердин көлөмүнүн өсүшү: жылдын башында запастарга карата</t>
  </si>
  <si>
    <t>Алтын</t>
  </si>
  <si>
    <t>Көмүр</t>
  </si>
  <si>
    <t>Пландаштырылган объекттердин жалпы санынан аяктаган геологиялык чалгындоо иштеринин саны</t>
  </si>
  <si>
    <t>Пайдалуу кен чыккан жерлерди издөө жана баалоо</t>
  </si>
  <si>
    <t>Пландаштырылган иштердин жалпы аянтынан геологиялык издөө иштерин жүргүзүү аянты</t>
  </si>
  <si>
    <t>Геологиялык маалыматтын жеткиликтүүлүгүн камсыз кылуу, геологиялык материалдарды талдоо жана жалпылоо</t>
  </si>
  <si>
    <t>Геологиялык материалдарды санариптик алып жүрүүчүлөргө материалдардын жалпы санынан геолго өткөрүү. Архивге</t>
  </si>
  <si>
    <t>Геологиялык-геохимиялык издөөлөрдүн бардык түрлөрү боюнча маалымат базасын түзүү</t>
  </si>
  <si>
    <t>тыс.проб</t>
  </si>
  <si>
    <t>Жер астындагы суулардын режимине жана сапатына жана коркунучтуу экзогендик геологиялык процесстердин өнүгүшүнө байкоо жүргүзүү бөлүгүндө геологиялык чөйрөгө Мониторинг жүргүзүү</t>
  </si>
  <si>
    <t>Пландаштырылган объекттердин жалпы санынан жер астындагы суулардын сапатынын абалы үчүн суу пайдалануу боюнча изилденген объекттердин саны</t>
  </si>
  <si>
    <t>Пландаштырылган объекттердин жалпы санынан экзогендик геологиялык процесстердин көрүнүштөрүнүн изилденген участокторунун саны</t>
  </si>
  <si>
    <t xml:space="preserve">68. Кыргыз Республикасынын ЮНЕСКО иштери боюнча Улуттук комиссиясынын катчылыгы </t>
  </si>
  <si>
    <t>Жылга бюджеттик каржылоонун республикалык бюджетке болгон катышы</t>
  </si>
  <si>
    <t xml:space="preserve">Борбордук деңгээлде секторду/тармакты башкаруу жана администрациялоо </t>
  </si>
  <si>
    <t>Иштеп жаткан маалыматтык системалардын, порталдардын саны</t>
  </si>
  <si>
    <t>Маалыматтык системаларды түзүү, модернизациялоо,пайдалануу жана техникалык колдоо</t>
  </si>
  <si>
    <t xml:space="preserve">Санариптик трансформация жолу менен модернизацияланган мамлекеттик органдардын башкаруу процесстеринин саны </t>
  </si>
  <si>
    <t>факт боюнча</t>
  </si>
  <si>
    <t>Маалыматтык технологияларды жана байланыш тармагын өнүктүрүү</t>
  </si>
  <si>
    <t>Кыргызстандын калктуу конуштарын байланыш кызматтары (уюлдук) менен орточо камтуу %</t>
  </si>
  <si>
    <t>Электр жана почта байланышы жаатында жөнгө салууну ишке ашыруу</t>
  </si>
  <si>
    <t>Электр жана почта байланышы жаатында лицензия алуучулардын саны</t>
  </si>
  <si>
    <t>348</t>
  </si>
  <si>
    <t>353</t>
  </si>
  <si>
    <t>359</t>
  </si>
  <si>
    <t>365</t>
  </si>
  <si>
    <t>Жабдууларга жана байланыш кызматтарына шайкештик сертификатын берүү</t>
  </si>
  <si>
    <t>Жылына берилген шайкештик сертификаттарынын саны</t>
  </si>
  <si>
    <t xml:space="preserve">Бөлүүгө жеткиликтүү  радиожыштыктарды тандоо </t>
  </si>
  <si>
    <t xml:space="preserve"> Бөлүүгө жеткиликтүү болгон радиожыштыктарды тандоо боюнча маалымат алуу үчүн тандалган сурамдардын саны </t>
  </si>
  <si>
    <t>Калкты жана жарандык абалдын актыларын каттоо</t>
  </si>
  <si>
    <t>Калкты каттоо</t>
  </si>
  <si>
    <t>Жекелештирилген паспорттордун саны</t>
  </si>
  <si>
    <t xml:space="preserve">миң даана </t>
  </si>
  <si>
    <t>Жарандык абалдын актыларын каттоо</t>
  </si>
  <si>
    <t>Катталган жарандык абалдын актыларынын саны</t>
  </si>
  <si>
    <t>Кыргыз Республикасынын архивдик фондунун документтеринин сакталышын камсыз кылуу</t>
  </si>
  <si>
    <t xml:space="preserve">Мамлекеттин жана коомдун кызыкчылында КР Улуттук архив фондун түзүү, комплекттөө, сактоо жана пайдалануу </t>
  </si>
  <si>
    <t>Архивдик документтерди сактоонун сапатын жана коопсуздугун жогорулатуу</t>
  </si>
  <si>
    <t>Нормативдерди жана стандарттарды сактоо максатында архивдик документтерди туруктуу сактоодо физикалык сактоону камсыз кылуу</t>
  </si>
  <si>
    <t>сактоо бирдиги</t>
  </si>
  <si>
    <t>Архивдик документтерди санариптештирүү</t>
  </si>
  <si>
    <t xml:space="preserve">Документтердин түп нускаларын пайдаланбоо максатында архивдик документтердин камсыздандыруу фондун (архивдик документтердин санарип көчүрмөсү) жана архивдик документтерди пайдалануу фондун түзүү, архивдик документтерди ыкчам издөө </t>
  </si>
  <si>
    <t>"Digital CASA - Кыргыз Республикасы" долбоору</t>
  </si>
  <si>
    <t xml:space="preserve"> "Digital CASA - Кыргыз Республикасы" долбоорду ишке ашыруу</t>
  </si>
  <si>
    <t xml:space="preserve">Бардык программалар боюнча эмгек акыга чыгымдардын суммасына карата 001 Программа боюнча  эмгек акыга чыгымдардын катышы </t>
  </si>
  <si>
    <t>Жалпы жетекчиликти, финансалык менеджментти  жана эсепке алууну камсыздоо</t>
  </si>
  <si>
    <t>Натыйжалуулук индикатрлорунун аткаруу пайызы</t>
  </si>
  <si>
    <t>Бардык программалар боюнча эмгек акыга карата чыгашалардын суммасына 001 программасы боюнча эмгек акыга чыгашалардын катышы</t>
  </si>
  <si>
    <t>Статистикалык көрсөткүчтөрдү чогултуу жана техникалык иштетүү (КР УСК БЭБ)</t>
  </si>
  <si>
    <t xml:space="preserve">Чогултула турган баштапкы (чарбалык субъектилердин) маалыматтын саны                                                                                                                                </t>
  </si>
  <si>
    <t xml:space="preserve">Чогултула турган (каттоонун субъектилеринин) маалыматтын саны </t>
  </si>
  <si>
    <t>Эл аралык стандарттарды өздөштүрүү (эл аралык уюмдар тарабынан түзүлгөн статистикалык жыйнактардын шайкеш келтирилген көрсөткүчтөрдүн толтурулушу)</t>
  </si>
  <si>
    <t>Бардык  программа боюнча эмгек акыга чыгымдардын суммасына 001 Програама боюнча эмгек акыга чыгымдардын катышы</t>
  </si>
  <si>
    <t>Борбордук денгеелде башкаруу жана администрациялоо</t>
  </si>
  <si>
    <t xml:space="preserve">Бюджетти укук бузууларсыз аткаруу пайызы/ кызматкерлерди кызматка алуу/кызматтан алуу боюнча процедураларды бузбай откоруу менен кадрлык эсепти уюштуруу / ЖАКтын Президиумунун чечимдерине карата келип тушкон аппеляцияларды белгиленген моонотто кароонун пайызы </t>
  </si>
  <si>
    <t xml:space="preserve">Финансылык менеджментти жана эсепке алууну камсыз кылуу </t>
  </si>
  <si>
    <t>Бюджетти укук бузууларсыз аткаруу пайызы</t>
  </si>
  <si>
    <t>Адам  ресурстарын башкаруу</t>
  </si>
  <si>
    <t xml:space="preserve">Эмгектик талаш-тартыштар боюнча утуп алган сот процессинин  үлүшү/кызматкерлерди кызматка алуу/кызматтан алуу боюнча процедураларды бузбай откоруу менен кадрлык эсепти уюштуруу </t>
  </si>
  <si>
    <t xml:space="preserve">Жеңип алган сот иштеринин алардын санына карата катышы/ЖАКтын Президиумунун чечимдерине карата келип тушкон аппеляцияларды белгиленген моонотто кароонун пайызы </t>
  </si>
  <si>
    <t>бирд./бирд.  %</t>
  </si>
  <si>
    <t>1 --1 100%</t>
  </si>
  <si>
    <t>Экспертик кеңештердин корутундусуна ЖАК  Президиумунун чечимдеринин жана оң чечимдерге берилген дипломдордун пайызы</t>
  </si>
  <si>
    <t xml:space="preserve">Диссертация иштерин  жана  аттестация иштерин мөөнөтүндө кароо менен түшкөн иштердин жалпы санына карата катышы </t>
  </si>
  <si>
    <t>Эл аралык түзүлгөн келишимдердин саны</t>
  </si>
  <si>
    <t xml:space="preserve"> "Антиплагиат" прог б-ча материалдык  базас жана текш диссер иштер санариптелген саны</t>
  </si>
  <si>
    <t>3000 /100</t>
  </si>
  <si>
    <t>Кыргыз Республикасынын Коопсуздук кеңешинин жыйынында каралган маселелердин саны</t>
  </si>
  <si>
    <t>ШКУ, ЖККУ жана КМШ өлкөлөрү менен кызматташуунун алкагында эки тараптуу жана көп тараптуу жолугушуулардын саны</t>
  </si>
  <si>
    <t>Технологиялык иштеп чыгууларлы өндурушкө киргизүү</t>
  </si>
  <si>
    <t xml:space="preserve">Ири ГЭСтер жайгашкан райондордогу сейсмикалык коркунучту баалоо жана инженердик-сейсмикалык кызматты түзүү </t>
  </si>
  <si>
    <t>Жүргүзүлгон жер титирөөлөрдүн саны</t>
  </si>
  <si>
    <t xml:space="preserve">Суу ресурстарын талдоо жана суу ресурстарын башкарууну контролдоо методдорун жана каражаттарын түзүү. Сары-Жаз дарыясында гидроэнергетикалык ресурстарды сарамжалдуу өздөштүрүүнүн илимий негиздери </t>
  </si>
  <si>
    <t xml:space="preserve">Кыргызстандагы өсүмдүктөрдү интродукциялоо, селекциялоо жана сактоо. Аларды сактоо жана туруктуу пайдалануу максатында Кыргызстандын токой өсүмдүк ресурстарын  изилдөө.  Жаратылыш запастарын талдоо жана Кыргызстандын пайдалуу жана дарылык өсүмдүктөрүнөн турган биоактивдүү бирикмелерди алуу технологиясын иштеп чыгуу </t>
  </si>
  <si>
    <t>мин сом</t>
  </si>
  <si>
    <t>180       19</t>
  </si>
  <si>
    <t>200       20</t>
  </si>
  <si>
    <t xml:space="preserve">Минералдык жана органикалык чийки заттарды комплекстик кайра иштетүүнүн инновациялык технологияларын иштеп чыгуу; адаптациялык мүмкүнчүлүктөрдү  оптималдаштыруу каражаттарын иликтөө жана тоо калкынын жашоосунун сапатын жогорулатуу </t>
  </si>
  <si>
    <t>Гумманитардык изилдөөнү өнүктүрүү</t>
  </si>
  <si>
    <t>Жарыялоо (статья, монография, окуу материал)</t>
  </si>
  <si>
    <t xml:space="preserve">Кыргыздардын жана Кыргызстандын байыркы замандан  тартып азыркв күнгө чейинки тарыхын изилдөө; изилдөө проблемалары, Кыргызстандын маданий мурасын пайдалануу. Кыргыз Республикасынын рыноктук институттарынын өнүктүрүүнүн жана өркүндөтүү проблемаларынын өзгөчөлүгү </t>
  </si>
  <si>
    <t>Мыйзамдарды мамлекеттик экспертизадан откоруу</t>
  </si>
  <si>
    <t>"КР де этникалар арасы конфликттер:социологиялык  анализ" "Кыргызстандын экономикасы:табыгый ресурстардын рационалдуу колдонуу проблемалары" темалары боюнча чыгарылган илимий иштер</t>
  </si>
  <si>
    <t xml:space="preserve">Регионалдык тарыхый-философиялык,  этно-лингвистикалык жана социалдык-экономикалык проблемаларды изилдөө  </t>
  </si>
  <si>
    <t>18         22</t>
  </si>
  <si>
    <t>18          22</t>
  </si>
  <si>
    <t>20          25</t>
  </si>
  <si>
    <t>20           25</t>
  </si>
  <si>
    <t>81</t>
  </si>
  <si>
    <t>Дарыланган бейтаптардын саны</t>
  </si>
  <si>
    <t>Бюджетти эреже бузууларсыз аткаруу пайызы</t>
  </si>
  <si>
    <t>Эмгек талаш-тартыштары боюнча утуп алган сот процесстеринин үлүшү</t>
  </si>
  <si>
    <t xml:space="preserve">Укуктук колдоо </t>
  </si>
  <si>
    <t>Утуп алган сот иштеринин алардын жалпы санына карата катышы</t>
  </si>
  <si>
    <t>Министрликтердин/ведомств.-дун жалпыга маалымдоо каражаттарында жакшы мааниде чагылдыруулардын саны</t>
  </si>
  <si>
    <t>Иштерди уюштуруу жана камсыздоо кызматы</t>
  </si>
  <si>
    <t>Борбордук аппараттын кызматкерлеринин жалпы санынан камсыздоо кызматынын кызматкерлеринин үлүшү</t>
  </si>
  <si>
    <t xml:space="preserve">Жалпы мониторингдин натыйжаларынын санынан расмий ички документтерде аткарууга кабыл алынган мониторингдин натыйжаларынын улушу </t>
  </si>
  <si>
    <t>Региондук деңгээлде жалпы координациялоо</t>
  </si>
  <si>
    <t>Региондордо откорулгон алдын алуу баруулардын санынын борбордук аппаратта алдын алуу баруулардын санына болгон пайыздык катышы</t>
  </si>
  <si>
    <t>Эркиндигинен ажыратуу жана чектоо жайларында, балдар уйундо жана психоневрологиялык диспансерлерде кыйноолордун жана катаал мамиленин фактыларынын азайуу динамикасы (кобойушу)</t>
  </si>
  <si>
    <t>Кыйноого жана катаал мамилеге коомчулукта сабырсыздыкты пайда кылуу</t>
  </si>
  <si>
    <t>Эркиндигинен ажыратуу жана чектоо жайларында мыйзамдуу укуктарын камсыз кылуу</t>
  </si>
  <si>
    <t>Республика боюнча тушкон кабарлар жана арыздар боюнча алдын алуу баруулардын жалпы саны</t>
  </si>
  <si>
    <t>84</t>
  </si>
  <si>
    <t>Кыргыз Республикасынын Өкмөтүнүн, Президентинин, Жогорку Кеңешинин ченемдик укуктук актыларын “Эркин-Тоо” гезитине жарыялоо</t>
  </si>
  <si>
    <t>Өз убагында жарыяланган ченемдик укуктук актылардын үлүшү</t>
  </si>
  <si>
    <t>Кыргыз Республикасынын Коомдук телерадиоберүү корпорациясы</t>
  </si>
  <si>
    <t>Борбордук денгээлде тармакты башкаруу жана администрациялоо</t>
  </si>
  <si>
    <t>Берүү көлөмү, телепрограммалардын сапаты</t>
  </si>
  <si>
    <t>саат</t>
  </si>
  <si>
    <t>Телеберүү программасын түзүү</t>
  </si>
  <si>
    <t>Берүү көлөмү</t>
  </si>
  <si>
    <t>Телепрограммаларды  техникалык камсыздоо( РРТБ)</t>
  </si>
  <si>
    <t>Көрсөтүлгөн  техникалык кызматтардын сапаты</t>
  </si>
  <si>
    <t>Берүү көлөмү, радиопрограммалардын сапаты, Калктын камтылышы</t>
  </si>
  <si>
    <t>Радиоуктуруу программасын түзүү</t>
  </si>
  <si>
    <t xml:space="preserve">Радиопрограммаларды бүткүл республика боюнча жайылтуу                                 </t>
  </si>
  <si>
    <t>Калктын камтылышы</t>
  </si>
  <si>
    <t>Радиопрограммаларды  техникалык камсыздоо( РРТБ)</t>
  </si>
  <si>
    <t>Көркөм, хроникалык-документалдык телетасмаларды тартуу, телеберүүлөрдү чыгаруу</t>
  </si>
  <si>
    <t>Көрсөтүүлөрдүн саны</t>
  </si>
  <si>
    <t>Кыргыз Республикасынын "ЭлТР"  мамлекеттик телерадиоберүү компаниясы</t>
  </si>
  <si>
    <t>Аткаруу көрсөткүчү: Телекөрсөтүү жалпы калктын % катары</t>
  </si>
  <si>
    <t>Телекөрсөтүүлөрдү, радиоберүүлөрдү даярдоо жана берүү</t>
  </si>
  <si>
    <t>Телекөрсөтүүлөрдүн рейтинги</t>
  </si>
  <si>
    <t>Телекөрсөтүүнү техникалык колдоо</t>
  </si>
  <si>
    <t>Телекөрсөтүү менен камтылган Кыргыз Республикасынын аймагынын үлүшү</t>
  </si>
  <si>
    <t>Мир мамлекеттер аралык телерадиокомпаниясы" ЖАКнын КРдагы Улуттук филиалы</t>
  </si>
  <si>
    <t>85</t>
  </si>
  <si>
    <t>КР калкын ТВ жана РБ берүү менен камтуу</t>
  </si>
  <si>
    <t>Камсыздоо кызматынын ишин уюштуруу</t>
  </si>
  <si>
    <t>"Мир" МТРК бириктирилген эфиринде филиал түзгөн ТВ жана РБ программалардын жалпы саны</t>
  </si>
  <si>
    <t>541с06м20</t>
  </si>
  <si>
    <t>ТВ программаларды түзүү</t>
  </si>
  <si>
    <t xml:space="preserve"> "Мир" МТРК үчүн филал түзгөн ТВ программалардын хронометражы</t>
  </si>
  <si>
    <t>41с46м20с</t>
  </si>
  <si>
    <t>РБ программаларды түзүү</t>
  </si>
  <si>
    <t>"Мир"МТРК үчүн филал түзгөн РБ программалардын хронометражы</t>
  </si>
  <si>
    <t>ТВ жана РБ программаларды техникалык камсыздоо жана жайылтуу</t>
  </si>
  <si>
    <t>ТВ жана РБ программаларды түзүү жана жайылтуу</t>
  </si>
  <si>
    <t>43941,2</t>
  </si>
  <si>
    <t>Жалпысы (контролдук сандар)</t>
  </si>
  <si>
    <t>001 Программасы боюнча эмгек акы чыгымдарынын бардык программалардагы эмгек акы чыгымдарынын суммасына катышы</t>
  </si>
  <si>
    <t>Бюджеттин аткарылышынын пайызы бузуусуз</t>
  </si>
  <si>
    <t>Тейленгендердин саны</t>
  </si>
  <si>
    <t>Чыгымдардын жалпы суммасы (респ.бюджет)</t>
  </si>
  <si>
    <t>Айына бир кызмат алуучунун тейлөөсүнө каралган сумма</t>
  </si>
  <si>
    <t>Активдүү узак жашоонун программасын иштеп чыгуу</t>
  </si>
  <si>
    <t>Мамлекеттик социалдык заказдын алкагында кызмат менен камтылган ДМЧАнын саны</t>
  </si>
  <si>
    <t>Мамлекеттик социалдык заказдын алкагында кызмат менен камтылган улгайган жарандардын саны</t>
  </si>
  <si>
    <t>Кайрылгандардын жалпы санынан кресло-коляска менен камсыздалган ДМЧАнын үлүшү</t>
  </si>
  <si>
    <t>Окутулган адистердин саны</t>
  </si>
  <si>
    <t xml:space="preserve">Даярдалган протездик-ортопедиялык буюмдардын саны </t>
  </si>
  <si>
    <t xml:space="preserve">Кыргыз Республикасынын Өкмөтүнүн токтомунун долбоору иштелип чыккан </t>
  </si>
  <si>
    <t>Жалпы түшкөн арыздын санынан санатордук-курорттук жолдомолор менен камсыздалган ДМЧАнын үлүшү</t>
  </si>
  <si>
    <t>Кайрылгандардын жалпы санынан сурдокотормо кызматын алган угуу жана сүйлөө боюнча ДМЧАнын үлүшү</t>
  </si>
  <si>
    <t>Мамсоцзаказ сынагында Кризистик Борбордун катышуучуларынын мамсоцзаказ сынагында жеңүүчү болгон Кризистик борбордун катышуучуларына карата катышы, % менен</t>
  </si>
  <si>
    <t>Баардыгы (контролдук сандар)</t>
  </si>
  <si>
    <t>БАРДЫГЫ (контролдук сандар)</t>
  </si>
  <si>
    <t>Окуу жайларында жана маданият жана искусство уюмдарында окуган студенттердин санынан лауреаттардын жана дипломанттардын ээлеринин үлүшү</t>
  </si>
  <si>
    <t xml:space="preserve">Айыл чарба жерлеринин саны (га)/ жыл
</t>
  </si>
  <si>
    <t>99</t>
  </si>
  <si>
    <t>65</t>
  </si>
  <si>
    <t xml:space="preserve">бирд. </t>
  </si>
  <si>
    <t>бирд.</t>
  </si>
  <si>
    <t>сканерленген  барактардын саны</t>
  </si>
  <si>
    <t>Программа боюнча учурдагы чыгымдардын башка программалар боюнча учурдагы чыгымдардын суммасына карата катышы</t>
  </si>
  <si>
    <t>Илимий жана илимий-педагогикалык кадрларды   аттестациялоо маселеси боюнча  эл аралык келишимдерди даярдоо жана түзүү</t>
  </si>
  <si>
    <t>Диссертац.  жана  эксперттик кеңештердин ишин уюштуруу, илимий даража, наамдарды ыйгаруу</t>
  </si>
  <si>
    <t>Мамлекеттик мекемелердин бирд.түү байланыш каналын программалык жана техникалык жактан колдоо жана референдумдук шайлоонун ачыктыгын камсыздоо</t>
  </si>
  <si>
    <t>бир/бирд.</t>
  </si>
  <si>
    <t>бирд.түү корпоративдик почта тутумун киргизүү</t>
  </si>
  <si>
    <t>КР сот тутумунун кызматкеринин бирд.түү санарип паспортун жана электрондук санарип кол тамгасын (авторизациялоонун жана аутентификациялоонун бирд.түү тутуму) ишке ашыруу</t>
  </si>
  <si>
    <t>Кылмыштуулук, аларды жасаган адамдар жана укук коргоо органдарынын тергөө иштери жөнүндө жазык-укуктук статистиканы түзүү (бардык укук коргоо тутуму боюнча статистиканын жыйындысы) жана көзөмөлдөө,укук коргоо тутуму үчүн “Кылмыштардын жана жоруктардын бирд.түү реестри” автоматташтырылган  маалыматтык тутумун иштеп чыгуу, ишке киргизүү жана модернизациялоо</t>
  </si>
  <si>
    <t>Бузуулардын бирд.түү реестри</t>
  </si>
  <si>
    <t>Министрликтерди жана администрациялык ведомстволорду, КР Өкмөтүнүн облустардагы ыйгарым укуктуу өкүлчүлүктөрүн, Бишкек жана Ош шаарларынын мэрияларын макроэкономикалык талдоо жана болжолдоо маселелери боюнча координациялоону жакшыртууда бирд.түү макулдашылган макроэкономикалык саясатты жүргүзүү</t>
  </si>
  <si>
    <t>Мамлекеттик кызматтарды көрсөтүү системасын андан ары оптималдаштырууну камсыз кылуу жана мамлекеттик органдардын функцияларынын бирд.түү реестрин түзүү</t>
  </si>
  <si>
    <t>Мамлекеттик кызмат көрсөтүүлөрдүн бирд.түү реестрин түзүүгө көмөктөшүү, мыйзамдарды жана механизмдерди өркүндөтүү боюнча сунуштарды иштеп чыгуу</t>
  </si>
  <si>
    <t>Кыргыз Республикасынын аткаруу бийлигинин мамлекеттик органдарынын, Бишкек жана Ош шаарларынын мэрияларынын ишине бирд.түү баа берүү, ошондой эле алардын жетекчилеринин жана Кыргыз Республикасынын Өкмөтүнүн облустардагы ыйгарым укуктуу өкүлдөрүнүн жоопкерчилигин жогорулатуу</t>
  </si>
  <si>
    <t>бирд.түү тизмеге кирген товарлардын экспортуна жана импортуна лицензияларды берүү үчүн автоматташтырылган маалыматтык системаны иштеп чыгуу жана ишке киргизүү</t>
  </si>
  <si>
    <t>Электрондук форматта бирд.түү тизмеге киргизилген товарларды экспорттоого жана импорттоого берилген лицензиялардын үлүшү</t>
  </si>
  <si>
    <t>бирд.түү терезе принцибинде тышкы экономикалык иш боюнча кызматтарды көрсөтүүнү өнүктүрүү</t>
  </si>
  <si>
    <t>Бизнестин кызыкчылыктарын коргоо максатында улуттук стандарттардын негизинде мамлекеттер аралык стандарттарды иштеп чыгуу Ченөөлөрдүн түрлөрү боюнча эталондордун кошумча бирд.терин рекабликациялоо жолу менен БС ТР талаптарын сактоо үчүн ченөө бирдейлигин камсыз кылуу</t>
  </si>
  <si>
    <t>"Өлчөө бирд.түүлүгүн камсыз кылуу" Мыйзамынын талаптарын бузуулардын саны (ченөөнүн анык эмес каражаттарынын саны)</t>
  </si>
  <si>
    <t xml:space="preserve">"Санарип аймак" автоматташтырылган маалыматтык системасынын “Жакыр жашаган үй-бүлөлөрдүн социалдык паспорту”, "Муниципалдык мүлктүн бирд.түү реестри" модулдарына кошулган жергиликтүү өз алдынча башкаруу органдарынын пландаштырылган сандарынын үлүшү </t>
  </si>
  <si>
    <t>бирд.түү мамлекеттик кадр саясатын жүзөгө ашырууда мамлекеттик органдардын жана жергиликтүү өз алдынча башкаруу органдарынын ишин координациялоо (кадрлар резервин түзүү, ротациялоо жана муниципалдык кызматты өтөө маселелери боюнча)</t>
  </si>
  <si>
    <t>"Түндүк" ведомстволор аралык электрондук өз ара аракеттенүү системасын, Электрондук кызмат көрсөтүүлөрдүн мамлекеттик порталын, бирд.түү идентификациялоо системасын, Электрондук билдирүүлөрдүн мамлекеттик системасын пайдалануу жана башкаруу</t>
  </si>
  <si>
    <t>"Түндүк" ведомстволор аралык электрондук өз ара аракеттенүү системасынын, Электрондук кызмат көрсөтүүлөрдүн мамлекеттик порталынын, бирд.түү идентификациялоо системасынын, Электрондук билдирүүлөрдүн мамлекеттик системасынын иштешин камсыз кылуу</t>
  </si>
  <si>
    <t>мин.бирд.</t>
  </si>
  <si>
    <t>Бюджеттик программа боюнча натыйжалуулук индикаторлорунун аткарылыш %</t>
  </si>
  <si>
    <t>Лабораториялык изилдөлөрдун саны</t>
  </si>
  <si>
    <t>Эмгек акыга кеткен чыгымдардын бардык программалар боюнча эмгек акыга кеткен чыгымдардын суммасына карата катышы</t>
  </si>
  <si>
    <t>37. Кыргыз Республикасынын Саламаттык сактоо министрлиги</t>
  </si>
  <si>
    <t>1000 тирүү төрөлгөнгө карата ымыркайлардын өлүмүнүн көрсөткүчү</t>
  </si>
  <si>
    <t xml:space="preserve">Неонаталдык өлүмдүн көрсөткүчү </t>
  </si>
  <si>
    <t>1 000 тирүү төрөлгөндөргө</t>
  </si>
  <si>
    <t>Беш жашка чейинки балдардын өлүмү</t>
  </si>
  <si>
    <t>Кан айлануу системасынын ооруларынан өлүм</t>
  </si>
  <si>
    <t>100 миң калкка</t>
  </si>
  <si>
    <t>Индекси</t>
  </si>
  <si>
    <t>≤ 5</t>
  </si>
  <si>
    <t>Кыргыз Республикасын өнүктүрүүнүн 2026-жылга чейинки Улуттук программасы, 25-жылдын 2021-декабрындагы Кыргыз Республикасынын Министрлер кабинетинин токтому менен бекитилген трест 352", КР КМКнын токтомун ишке ашырууда 134-жылдын 24.03.2022-жылдагы трест буйругу бекитилген, анда ай сайын аткаруу КР ЭК тарабынан берилет</t>
  </si>
  <si>
    <t xml:space="preserve">Электрондук саламаттык сактоо киргизилген саны </t>
  </si>
  <si>
    <t>Адамдын ден соолугунун(тамак-аш продукциясынын, суунун, бөлмөдөгү абанын, радиациялык фондун)коопсуздугун камсыз кылуу боюнча алдын алуу чаралары</t>
  </si>
  <si>
    <t>Лабораторияларын аккредитациялоо</t>
  </si>
  <si>
    <t>Саны</t>
  </si>
  <si>
    <t>Бруцеллез оорусу</t>
  </si>
  <si>
    <t>100 миң адамга көрсөткүч</t>
  </si>
  <si>
    <t>Калктын вирустук гепатит менен оорушу</t>
  </si>
  <si>
    <t>Курч ичеги-карын инфекцияларына чалдыгуу</t>
  </si>
  <si>
    <t>Саясат жана калкты эмдөө</t>
  </si>
  <si>
    <t>Вакцина комплексинде камтылган 2 жашка чейинки балдардын үлүшү</t>
  </si>
  <si>
    <t>&gt;95</t>
  </si>
  <si>
    <t>&gt;96</t>
  </si>
  <si>
    <t>Өзгөчө коркунучтуу жана карантиндик инфекциялардын (кутурма, чума, кене аркылуу жугуучу вирустук энцефалиттен)алдын алуу үчүн эпидемиологиялык көрсөткүчтөр боюнча эмделген адамдардын үлүшү</t>
  </si>
  <si>
    <t>Контингенттин пайызы</t>
  </si>
  <si>
    <t>&gt;90</t>
  </si>
  <si>
    <t>Ден соолукту чыңдоо маселелери боюнча калк менен маалыматтык иш жүргүзүү</t>
  </si>
  <si>
    <t>Жылына 1600 айылга  окутуу үчүн чыгууларынын саны</t>
  </si>
  <si>
    <t>Бирдик</t>
  </si>
  <si>
    <t>ВИЧ-инфекциянын алдын алуу, диагностикалоо, дарылоо жана кам көрүү</t>
  </si>
  <si>
    <t>ВИЧтин жаңы учурларынын саны</t>
  </si>
  <si>
    <t>ВИЧ-инфекцияга толук консультациядан жана тестирлөөдөн өткөн жана өзүнүн натыйжаларын билген кош бойлуу аялдардын үлүшү</t>
  </si>
  <si>
    <t>Өз статусун билген жана АРТ алган АЖА үлүшү</t>
  </si>
  <si>
    <t>Мамлекеттик социалдык заказды жүзөгө ашыруунун алкагында кызмат көрсөтүүлөрдүн комплекстүү пакетин көрсөтүү</t>
  </si>
  <si>
    <t>Өлкөнүн жаратылыш-очок аймактарында санитардык коргоо боюнча алдын алуу чаралары жана эпидемиологиялык жана зоо-энтомологиялык көзөмөлдү камсыз кылуу</t>
  </si>
  <si>
    <t>миң/га</t>
  </si>
  <si>
    <t>Социалдык-маанилүү инфекциялык ооруларды лабораториялык диагноздоонун сапатын контролдоону камсыз кылуу</t>
  </si>
  <si>
    <t>Жылына кургак учук оорусу</t>
  </si>
  <si>
    <t>1 миң адамга көрсөткүч</t>
  </si>
  <si>
    <t>Кургак учукту аныктоо үчүн туберкулин сатып алуу</t>
  </si>
  <si>
    <t>миң доза</t>
  </si>
  <si>
    <t>Мамлекеттик саламаттык сактоо уюмдары тарабынан көрсөтүлүүчү медициналык кызматтардын сапатын жакшыртуу БМСЖ</t>
  </si>
  <si>
    <t>Саламаттык сактоонун бардык деңгээлдеринде пациенттин электрондук медициналык карталарын ишке киргизген саламаттык сактоо уюмдарынын үлүшү</t>
  </si>
  <si>
    <t>Саламаттыкты сактоо кызматтарына кайрылууда онлайн кызматтарын колдонгон калктын үлүшү</t>
  </si>
  <si>
    <t>Кант диабет менен ооругандарды эрте аныктоо</t>
  </si>
  <si>
    <t>Диабет менен катталгандардын саны</t>
  </si>
  <si>
    <t>Диабет менен ооруган бейтаптарды инсулин менен камтуу</t>
  </si>
  <si>
    <t>Киши</t>
  </si>
  <si>
    <t>Дары каражаттарын жүгүртүү маселелери боюнча саламаттык сактоо уюмунун маалымдуулугунун жана потенциалынын деңгээлин жогорулатуу</t>
  </si>
  <si>
    <t>Саламаттык сактоо уюмдарынын адистеринин маалымдуулугу боюнча өткөрүлгөн иш-чаралардын саны</t>
  </si>
  <si>
    <t>Дары-дармек каражаттарын жана медициналык буюмдарды жүгүртүү маселелери боюнча саламаттык сактоо уюмдарынын окутулган адистеринин саны</t>
  </si>
  <si>
    <t>Кандын компоненттерин жана препараттарын даярдоо</t>
  </si>
  <si>
    <t>Даярдалган кан компоненттеринин жана препараттарынын көлөмү</t>
  </si>
  <si>
    <t>Литр</t>
  </si>
  <si>
    <t>Жугуштуу эмес оорулардын алдын алуу, диагностикалоо, дарылоо жана кам көрүү</t>
  </si>
  <si>
    <t>Антигемофилдик препараттарды сатып алуу үчүн каржылоону көбөйтүү, камтуу, муктаж болгондордун саны</t>
  </si>
  <si>
    <t>Химиялык препараттар берилген онкологиялык оорулар менен ооругандардын үлүшү</t>
  </si>
  <si>
    <t>Рак менен ооруган балдар үчүн химопрепараттар камтылган</t>
  </si>
  <si>
    <t>Имуносупрессорлор каптаган бейтаптардын үлүшү</t>
  </si>
  <si>
    <t>Жатын ичиндеги Спиралды пайдалануучу медициналык-социалдык тобокелдик тобундагы аялдар үчүн</t>
  </si>
  <si>
    <t>Оозеки контрацептивдерди колдонгон медициналык-социалдык тобокелдик тобундагы аялдар үчүн</t>
  </si>
  <si>
    <t>Репродуктивдик курактагы 1000 аялга аборттун деңгээли</t>
  </si>
  <si>
    <t>Кош бойлуулуктун алгачкы 12 жумасында катталган кош бойлуу аялдардын үлүшү</t>
  </si>
  <si>
    <t>Анемиянын таралышы</t>
  </si>
  <si>
    <t>Калктын ден-соолугун калыбына келтирүү жана коомдогу интеграция</t>
  </si>
  <si>
    <t>Реабилитациялык жардам алган бейтаптардын саны</t>
  </si>
  <si>
    <t>Кишим</t>
  </si>
  <si>
    <t>ФВТ программасынын алкагында кымбат жана жогорку технологиялык жардам алган бейтаптардын саны (эндопротездер, жүрөк клапандары, стенддер, оклюдерлер,оксигинираторлор, кан тамыр протездери)</t>
  </si>
  <si>
    <t>Соттук-медициналык экспертизаларды уюштуруу</t>
  </si>
  <si>
    <t>Суроо-талаптардын санынан каза болгон адамдарга карата жүргүзүлгөн соттук-медициналык экспертизалардын саны</t>
  </si>
  <si>
    <t>по факту</t>
  </si>
  <si>
    <t>Ведомстволор аралык жана секторлор аралык өз ара аракеттенүүнүн негизинде саламаттык сактоодо кадрдык ресурстарды башкаруу системасын жакшыртуу.</t>
  </si>
  <si>
    <t>Сертификатталган үй-бүлөлүк дарыгерлердин саны</t>
  </si>
  <si>
    <t>10 миң адамга көрсөткүч</t>
  </si>
  <si>
    <t>Айыл жергесинин алыскы региондорунда жана чакан шаарларда иштеген дарыгерлерге кошумча дем берүү боюнча программага киргизилген дарыгерлердин саны</t>
  </si>
  <si>
    <t>Жогорку медициналык билими бар адистерди даярдоо</t>
  </si>
  <si>
    <t>Республикалык бюджеттин эсебинен дипломсуз деңгээлде даярдалган КММАнын бүтүрүүчүлөрүнүн саны</t>
  </si>
  <si>
    <t>Республикалык бюджеттин эсебинен дипломдон кийинки деңгээлде даярдалган КММАнын бүтүрүүчүлөрүнүн саны</t>
  </si>
  <si>
    <t>Саламаттык сактоо чөйрөсүндө кызматкерлердин квалификациясын жогорулатуу</t>
  </si>
  <si>
    <t>Республикалык бюджетинин эсебинен кайра даярдоодон жана квалификациясын жогорулатуудан өткөн адистердин саны</t>
  </si>
  <si>
    <t>Республикалык бюджеттин эсебинен дипломдон кийинки деңгээлде даярдалган бүтүрүүчүлөрүнүн саны</t>
  </si>
  <si>
    <t>Саламаттыкты сактоонун жаңы талаптарына жана муктаждыктарына ылайык медайымдардын билимин өркүндөтүү</t>
  </si>
  <si>
    <t>Республикалык бюджеттин эсебинен даярдалган медколледждин бүтүрүүчүлөрүнүн саны</t>
  </si>
  <si>
    <t>1180</t>
  </si>
  <si>
    <t>1179</t>
  </si>
  <si>
    <t>41. Кыргыз Республикасынын Айыл чарба министрлиги</t>
  </si>
  <si>
    <t>Борбордук деңгээлде секторду/тармакты башкаруу жана администрациялоо</t>
  </si>
  <si>
    <t>көрсөткүч жок</t>
  </si>
  <si>
    <t>Мал чарба продукциясын өндүрүүнүн көлөмү</t>
  </si>
  <si>
    <t>Мал чарбасынын физикалык көлөмүнүн индекси, өткөн жылга карата % менен</t>
  </si>
  <si>
    <t>Республика боюнча жайыттардын жалпы аянты</t>
  </si>
  <si>
    <t>Асыл тукум ишин өнүктүрүүнү колдоо</t>
  </si>
  <si>
    <t>Бодо малды уруктандыруу</t>
  </si>
  <si>
    <t>баш</t>
  </si>
  <si>
    <t>МРС уруктандыруу</t>
  </si>
  <si>
    <t>Жайыттарды жана жайыт чарбаларын пайдаланууну уюштуруу жана анын абалына мониторинг жүргүзүү</t>
  </si>
  <si>
    <t>Жайыт пайдалануучулардан түшкөн каражаттар</t>
  </si>
  <si>
    <t>Айыл чарба багытындагы жерлердин жайыт аянты</t>
  </si>
  <si>
    <t>мин. га</t>
  </si>
  <si>
    <t>Экологиялык жактан туруктуу жайыт комитеттеринин саны</t>
  </si>
  <si>
    <t>Жайыттар жана мал чарбачылыгы боюнча илимий-техникалык программа боюнча изилдөө</t>
  </si>
  <si>
    <t>тема</t>
  </si>
  <si>
    <t>Балык запастарын кармоо жана көбөйтүү</t>
  </si>
  <si>
    <t>Товардык балыкты (аквакультура) өндүрүүнүн көлөмү, бардыгы</t>
  </si>
  <si>
    <t>тонна</t>
  </si>
  <si>
    <t xml:space="preserve">Кыргыз Республикасынын көлмөлөрүнө жашы жете электерди чыгаруу (көмүү) </t>
  </si>
  <si>
    <t>млн. даана</t>
  </si>
  <si>
    <t>Берилген балык карточкаларынын саны</t>
  </si>
  <si>
    <t>Дыйкан жана фермердик чарбалар тарабынан мал чарба продукциясын сатуунун көлөмүнүн индекси</t>
  </si>
  <si>
    <t>"Аймактык жайыт жамааттарынын туруктуулугу" долбоорун ишке ашыруу (МФСР)</t>
  </si>
  <si>
    <t>Өсүмдүк өстүрүүчүлүк продукциясын өндүрүүнүн көлөмү</t>
  </si>
  <si>
    <t>Өсүмдүк өстүрүүнүн физикалык көлөмүнүн индекси, өткөн жылга карата % менен</t>
  </si>
  <si>
    <t>Айыл чарба өсүмдүктөрүнүн үрөн себүү аянты</t>
  </si>
  <si>
    <t>мин.г а</t>
  </si>
  <si>
    <t>Айылдык товар өндүрүүчүлөрдү жогорку сапаттагы сертификацияланган үрөн отургузуучу материал менен камсыздоо (дотация)</t>
  </si>
  <si>
    <t>Пестициддерди жана агрохимикаттарды коопсуз колдонууну камсыз кылуу, карантиндик эмес зыяндуу организмдер тарабынан келтирилген Айыл чарба өндүрүшүнүн жоготууларын кыскартуу, дыйканчылыктын натыйжалуулугун жана өсүмдүктөр продукциясынын сапатын арттыруу</t>
  </si>
  <si>
    <t>Чегиртке зыянкечтерге каршы айыл чарба жерлерин химиялык иштетүүнүн аянты</t>
  </si>
  <si>
    <t>ААКтун карантиндик зыянкечтерине каршы айыл чарба жерлерин химиялык иштетүүнүн аянттары</t>
  </si>
  <si>
    <t>Площадь обследования сельхозугодий на выявление саранчовых вредителей</t>
  </si>
  <si>
    <t>ААК карантиндик зыянкечтерин аныктоо үчүн айыл чарба жерлерин изилдөө аянты</t>
  </si>
  <si>
    <t>минералдык жер семирткичтер менен муктаждыкка карата % менен камсыз кылуу</t>
  </si>
  <si>
    <t>пестициддер менен муктаждыкка карата % менен камсыз кылуу</t>
  </si>
  <si>
    <t>Карантиндик фитосанитардык коопсуздукту жана карантиндик фитосанитардык абалга мониторинг жүргүзүүнү камсыз кылуу</t>
  </si>
  <si>
    <t>Жүргүзүлгөн экспертизалардын саны</t>
  </si>
  <si>
    <t>Берилген күбөлүктөрдүн саны</t>
  </si>
  <si>
    <t>Келип түшкөн үлгүлөрдүн саны</t>
  </si>
  <si>
    <t>19554,2</t>
  </si>
  <si>
    <t>20974,3</t>
  </si>
  <si>
    <t>21618,6</t>
  </si>
  <si>
    <t>21758,6</t>
  </si>
  <si>
    <t>21908,6</t>
  </si>
  <si>
    <t>Кыргыз Республикасы боюнча айыл чарба багытындагы жерлердин аянттарын биологиялык каражаттар менен иштетүү</t>
  </si>
  <si>
    <t>Биологиялык каражаттарды өндүрүүнүн көлөмү</t>
  </si>
  <si>
    <t>Биолигнин</t>
  </si>
  <si>
    <t>литр</t>
  </si>
  <si>
    <t>Триходермин</t>
  </si>
  <si>
    <t>Амблисейус</t>
  </si>
  <si>
    <t>млн. особ</t>
  </si>
  <si>
    <t>Трихограмма</t>
  </si>
  <si>
    <t>кг.</t>
  </si>
  <si>
    <t>Үрөн себүү талаа инспекцияларынын аянты Айыл чарба өсүмдүктөрүнүн жалпы айдоо аянтына % менен</t>
  </si>
  <si>
    <t>Элиталык үрөндөр себилген аянттын салыштырма салмагы</t>
  </si>
  <si>
    <t>Сертификатталган үрөндөрдүн болушу</t>
  </si>
  <si>
    <t>мин тонна</t>
  </si>
  <si>
    <t>Айыл чарба өсүмдүктөрүнүн данынын жана аны кайра иштетүүнүн азыктарынын сапатына экспертиза жана мониторинг жүргүзүү</t>
  </si>
  <si>
    <t>Нан азыктары комбинаттарындагы фермердик жана дыйкан чарбалардын дан үлгүлөрүн тандап изилдөө аянты.</t>
  </si>
  <si>
    <t>Мамлекеттик резервден келген дан үлгүлөрүн, нан азыктарынын комбинаттарын талдоонун көлөмү</t>
  </si>
  <si>
    <t>Сортопыт, расмий сыноолор, өсүмдүктөрдүн генетикалык ресурстарын сактоо</t>
  </si>
  <si>
    <t>Айыл чарба өсүмдүктөрүнүн сортторун жана гибриддерин расмий текшерүү.</t>
  </si>
  <si>
    <t>сорт-опыт</t>
  </si>
  <si>
    <t>Айыл чарба өсүмдүктөрүнүн сыналган сортторун жана гибриддерин сапаттуу баалоо</t>
  </si>
  <si>
    <t>талдоо</t>
  </si>
  <si>
    <t>Өсүмдүктөрдүн генетикалык ресурстарын сактоо</t>
  </si>
  <si>
    <t>үлгү</t>
  </si>
  <si>
    <t>Айыл чарба, топурак таануу, агрохимия жана өсүмдүк өстүрүү жаатындагы илимий-техникалык программа боюнча изилдөө</t>
  </si>
  <si>
    <t>Айыл чарбасын механикалаштырууну өнүктүрүү</t>
  </si>
  <si>
    <t>Лизингдик кредиттик долбоорлор боюнча айыл чарба объекттерине берилген айыл чарба техникасынын саны</t>
  </si>
  <si>
    <t>Жаңыланган машина-трактор паркынын жалпы саны</t>
  </si>
  <si>
    <t>Ветеринардык дары каражаттарынын сапатын жана коопсуздугун эсепке алуу жана контролдоо</t>
  </si>
  <si>
    <t>Ветеринардык дары каражаттарынын мамлекеттик каттоонун саны</t>
  </si>
  <si>
    <t>Ветеринардык дары каражаттарынын сапатын экспертизалоонун саны</t>
  </si>
  <si>
    <t>Ветеринардык жана фитосанитардык нормалардын сакталышына мамлекеттик көзөмөлдү жүзөгө ашыруу</t>
  </si>
  <si>
    <t>Субъектилердин саны</t>
  </si>
  <si>
    <t>Жаныбарлардын ооруларын жоюу боюнча эпизоотияга каршы иш-чаралар жана жаныбарларга жана жаныбарлардан алынган азыктарга ветеринардык диагностика жана экспертиза жүргүзүү</t>
  </si>
  <si>
    <t>Оорунун саны</t>
  </si>
  <si>
    <t>Эмделген жаныбарлардын саны</t>
  </si>
  <si>
    <t>млн.баш</t>
  </si>
  <si>
    <t>Жүргүзүлгөн ветеринардык-диагностикалык изилдөөлөрдүн саны</t>
  </si>
  <si>
    <t>мин баш</t>
  </si>
  <si>
    <t>Тамак-аш коопсуздугун камсыз кылуу, тамак-аштан уулануунун алдын алуу.</t>
  </si>
  <si>
    <t>экспертиза</t>
  </si>
  <si>
    <t>Айыл чарба жаныбарларын идентификациялоо</t>
  </si>
  <si>
    <t>Айыл чарба жаныбарларын эсепке алууну камсыз кылуу</t>
  </si>
  <si>
    <t>Сугат жерлеринин аянты</t>
  </si>
  <si>
    <t>Жерлердин мелиоративдик абалын жакшыртуу</t>
  </si>
  <si>
    <t>Суу ресурстарын жана суу объектилерин башкаруу жана пайдалануу чөйрөсүндөгү мамилелерди жөнгө салуу</t>
  </si>
  <si>
    <t>Ирригациялык каналдарды калыбына келтирүү</t>
  </si>
  <si>
    <t>км</t>
  </si>
  <si>
    <t>МБКны оңдоо, суу берүүнүн көлөмүн жөнгө салууну жакшыртуу</t>
  </si>
  <si>
    <t>Суунун көлөмүн эсепке алууну жакшыртуу, оңдоо</t>
  </si>
  <si>
    <t>Насостук агрегаттарды капиталдык оңдоо жана алмаштыруу</t>
  </si>
  <si>
    <t>Насостук станцияларды алмаштыруу</t>
  </si>
  <si>
    <t>Сугат үчүн сугат суусун берүү</t>
  </si>
  <si>
    <t>млн.куб.</t>
  </si>
  <si>
    <t>Суу ресурстарын жана объекттерин пайдаланууга көзөмөлдү жана контролду жүзөгө ашыруу</t>
  </si>
  <si>
    <t>КР суу мыйзамдарын бузууларга Мониторинг жүргүзүү жана контролдоо</t>
  </si>
  <si>
    <t>КР боюнча суу мыйзамдары чөйрөсүндө көзөмөл жана котрол жүргүзүлө турган объекттерди камтуу</t>
  </si>
  <si>
    <t>48</t>
  </si>
  <si>
    <t>Улуттук суу ресурстарын башкарууну жакшыртуу " долбоорун ишке ашыруу-2-Фаза (ДБ) (грант)</t>
  </si>
  <si>
    <t>Суу ресурстарынын бассейндик башкармалыктарын түзүү</t>
  </si>
  <si>
    <t>"Айыл чарба өндүрүмдүүлүгүн жана тамак-ашын жакшыртуу" долбоорун ишке ашыруу (айыл чарба жана азык-түлүк коопсуздугу боюнча Глобалдык фонд) (ДБ) (грант)</t>
  </si>
  <si>
    <t>Ирригация жана дренаж кызматтарын жакшыртууга мүмкүнчүлүгү бар суу пайдалануучулардын саны</t>
  </si>
  <si>
    <t>аял</t>
  </si>
  <si>
    <t>15 жаштан 49 жашка чейинки аялдардын үлүшүн көбөйтүү, азык-түлүк топторунун кеминде 5инен 9га чейин</t>
  </si>
  <si>
    <t>"Сарымсак ирригациялык тармагын өнүктүрүү" долбоорун ишке ашыруу</t>
  </si>
  <si>
    <t>"Сарымсак" магистралдык каналын куруу</t>
  </si>
  <si>
    <t>Ички чарбалык тармакты куруу</t>
  </si>
  <si>
    <t>Суу ресурстарынын климаттын өзгөрүшүнө жана табигый кырсыктарга туруктуулугун жогорулатуу " долбоорун ишке ашыруу (АӨБ)</t>
  </si>
  <si>
    <t>4 чакан долбоордун чарбалар аралык ирригациялык каналдарында модернизациялоо жана реабилитациялоо иштерин аткаруу</t>
  </si>
  <si>
    <t>4-кичи долбоордун СПАнын ички чарбалык каналдарында модернизациялоо жана реабилитациялоо иштерин аткаруу</t>
  </si>
  <si>
    <t>"Ысык-Көл жана Нарын облустарында сугат чарбасын өнүктүрүү" долбоорун ишке ашыруу</t>
  </si>
  <si>
    <t>4-БСР куруу</t>
  </si>
  <si>
    <t>Сугат тармагын жакшыртуу</t>
  </si>
  <si>
    <t>Айыл чарба продукциясын сактоо кампаларын куруу</t>
  </si>
  <si>
    <t>"Климаттын өзгөрүшүнө туруктуу суу чарба кызматтарын жакшыртуу" (ДБ)долбоорун ишке ашыруу</t>
  </si>
  <si>
    <t>Баткен облусунун 35 айылында жана Ысык-Көл облусунун 3 айылында ичүүчү суу менен жабдуу системаларын куруу жана оңдоо</t>
  </si>
  <si>
    <t>айылдын саны</t>
  </si>
  <si>
    <t>5 селах  Баткенской  областей,</t>
  </si>
  <si>
    <t>8 селах Баткенской и 1 сел Иссык-Кульской областей,</t>
  </si>
  <si>
    <t>9 селах Баткенской и 1 сел Иссык-Кульской областей,</t>
  </si>
  <si>
    <t>Геоботаникалык жана кыртыштык изилдөөлөрдү жүргүзүү аянты, инвентаризация</t>
  </si>
  <si>
    <t>Жер ресурстары жана жер укуктук мамилелери, кыймылсыз мүлккө укуктарды мамлекеттик каттоо, геодезия жана картография, жер жана кыймылсыз мүлк рыногун өнүктүрүү жаатындагы мамилелерди жөнгө салуу</t>
  </si>
  <si>
    <t>Мамлекеттик геодезиялык тармакты реконструкциялоо жана колдоо, топографиялык картмасштаб катарын негиздөө жана басып чыгаруу</t>
  </si>
  <si>
    <t>Экинчи тартиптеги GPS пункттары жана жогорку тактыктагы нөл жана биринчи тартиптеги баштапкы пункттар</t>
  </si>
  <si>
    <t>пункт</t>
  </si>
  <si>
    <t>Координаттар тутумундагы геодезиялык пункттардын координаттары жана бийиктиктери каталогдору</t>
  </si>
  <si>
    <t>каталог</t>
  </si>
  <si>
    <t>барак</t>
  </si>
  <si>
    <t>Мамлекеттик чек араны делимитациялоо жана демаркациялоо боюнча иштерди камсыз кылуу</t>
  </si>
  <si>
    <t>Кыргыз Республикасынын Мамлекеттик чек ара линиясы боюнча чек ара белгилери</t>
  </si>
  <si>
    <t>делги</t>
  </si>
  <si>
    <t>Чек ара аймактарында жаңылоодо зарыл болгон масштабдуу Катардын санариптик топографиялык карталарынын саны</t>
  </si>
  <si>
    <t>кв.км</t>
  </si>
  <si>
    <t>Жайыт жерлерин геоботаникалык жана кыртыштык изилдөө, калктуу конуштарды инвентаризациялоо</t>
  </si>
  <si>
    <t>район/айыл аймагынын саны</t>
  </si>
  <si>
    <t>Ош облусунун 90 а / а , 7 району, Жалал-Абад облусунун 71 а / а, 8 району, Ыссык-Кол облусунун 51 а / а, 13 району</t>
  </si>
  <si>
    <t>Ош облусунун 91 а / а , 7 району, Жалал-Абад облусунун 71 а / а, 8 району, Ыссык-Кол облусунун 51 а / а, 13 району</t>
  </si>
  <si>
    <t>Ош облусунун 92 а / а , 7 району, Жалал-Абад облусунун 71 а / а, 8 району, Ыссык-Кол облусунун 51 а / а, 13 району</t>
  </si>
  <si>
    <t>Ош облусунун 93 а / а , 7 району, Жалал-Абад облусунун 71 а / а, 8 району, Ыссык-Кол облусунун 51 а / а, 13 району</t>
  </si>
  <si>
    <t>Ош облусунун 94 а / а , 7 району, Жалал-Абад облусунун 71 а / а, 8 району, Ыссык-Кол облусунун 51 а / а, 13 району</t>
  </si>
  <si>
    <t>КР жер мыйзамдары чөйрөсүндөгү бузууларга Мониторинг жүргүзүү жана контролдоо</t>
  </si>
  <si>
    <t>60</t>
  </si>
  <si>
    <t>КР боюнча жер мыйзамдары чөйрөсүндө көзөмөл жана котрол жүргүзүлө турган объекттерди камтуу</t>
  </si>
  <si>
    <t>61</t>
  </si>
  <si>
    <t>68</t>
  </si>
  <si>
    <t>74</t>
  </si>
  <si>
    <t>Мамлекеттик токой фондусунун токой менен капталган аянты</t>
  </si>
  <si>
    <t>Мамлекеттик токой фондунун токойду бузуудан жана өрттөн коргоого жаткан аянты</t>
  </si>
  <si>
    <t>Жыл сайын токой өсүмдүктөрүн отургузуу аянты</t>
  </si>
  <si>
    <t>Площадь пройденная рубками ухода</t>
  </si>
  <si>
    <t>Токойдон киреше алган калктын саны</t>
  </si>
  <si>
    <t>мин адам</t>
  </si>
  <si>
    <t>Токой чарбасы чөйрөсүндөгү шарттарды координациялоо жана түзүү</t>
  </si>
  <si>
    <t>Токой ресурстарын калыбына келтирүү, токойлорду токой бузуудан коргоо</t>
  </si>
  <si>
    <t>Өстүрүлгөн отургузуу материалдарынын саны</t>
  </si>
  <si>
    <t>млн даана</t>
  </si>
  <si>
    <t>Токой зыянкечтерине каршы иштетилген аянттын зыянкечтер менен булганган токойлордун жалпы аянтына катышы</t>
  </si>
  <si>
    <t>Өсүмдүктөрдүн жашоо жөндөмдүүлүгү</t>
  </si>
  <si>
    <t>Токой күтүүнү, аңчылык жайгаштырууну, камералык иштерди,токойлорду инвентаризациялоону жүргүзүү</t>
  </si>
  <si>
    <t>Токой күтүүнү жүргүзүү</t>
  </si>
  <si>
    <t xml:space="preserve">Аңчылыкты уюштуруу </t>
  </si>
  <si>
    <t>Камералык иштерди жүргүзүү</t>
  </si>
  <si>
    <t>Токойлорду инвентаризациялоо</t>
  </si>
  <si>
    <t>"Кыргыз Республикасынын Токой экосистемаларын интеграцияланган башкаруу" долбоорун ишке ашыруу (ДБ) (Грант)</t>
  </si>
  <si>
    <t>43.Кыргыз Республикасынын Транспорт жана коммуникациялар министрлиги</t>
  </si>
  <si>
    <t>Тармакты борбордук деңгээлинде башкаруу жана администрациялоо</t>
  </si>
  <si>
    <t>Ченемдик талаптарга жооп берген жолдордун үлүшү</t>
  </si>
  <si>
    <t>Жөнгө салынуучу жолдун узундугу</t>
  </si>
  <si>
    <t>18942,2/11242,8</t>
  </si>
  <si>
    <t>18942,2/11642,8</t>
  </si>
  <si>
    <t>18942,2/12042,8</t>
  </si>
  <si>
    <t>Планга ылайык оңдолгон жолдор</t>
  </si>
  <si>
    <t>даана, %</t>
  </si>
  <si>
    <t>15/100</t>
  </si>
  <si>
    <t>5/100</t>
  </si>
  <si>
    <t>7/7</t>
  </si>
  <si>
    <t>7/9</t>
  </si>
  <si>
    <t>19/1/5,5</t>
  </si>
  <si>
    <t>19,5/1/5</t>
  </si>
  <si>
    <t>20,5/1/5</t>
  </si>
  <si>
    <t>70/100</t>
  </si>
  <si>
    <t>3,3</t>
  </si>
  <si>
    <t>3,6</t>
  </si>
  <si>
    <t>3,8</t>
  </si>
  <si>
    <t xml:space="preserve"> %</t>
  </si>
  <si>
    <t>205/100</t>
  </si>
  <si>
    <t>Орнотулган жол белгилеринин саны</t>
  </si>
  <si>
    <t>Орнотулган светофорлордун үлүшү, стандарттардын жалпы санынан талап кылынат</t>
  </si>
  <si>
    <t>Акыркы оңдоодон кийин кайрадан оңдоону талап кылган жолдордун узундугу</t>
  </si>
  <si>
    <t>Жабдууларды жеткирүү</t>
  </si>
  <si>
    <t>Эл аралык транспорт коридорлорунун жалпы узундугу</t>
  </si>
  <si>
    <t>Бүткөрүлгөн жолдордун узундугу</t>
  </si>
  <si>
    <t>Эл аралык транспорт коридорлорунун жалпы узундугу (км)/жолдордун үлүшү</t>
  </si>
  <si>
    <t>Бүткөрүлгөн жолдордун узундугу (өсүүчү жыйынтык)</t>
  </si>
  <si>
    <t>Жолдордун узундугу (км) / үлүшү, эл аралык транспорттук коридорлордун жалпы узундугунан (факттык жыл)</t>
  </si>
  <si>
    <t>Узундугу (км)/жолдордун үлүшү, Ош - Баткен - Исфана эл аралык транспорттук коридорунун жалпы узундугунан</t>
  </si>
  <si>
    <t xml:space="preserve">Узундугу (км)/жолдордун үлүшү, Бишкек - Ош эл аралык транспорттук коридорунун жалпы узундугунан </t>
  </si>
  <si>
    <t>Галереяны куруу</t>
  </si>
  <si>
    <t>Көчкү менен байланышкан жол кырсыктарын жоюу</t>
  </si>
  <si>
    <t xml:space="preserve">Узундугу (км)/жолдордун үлүшү, Түндүк-Түштүк эл аралык транспорттук коридорунун жалпы узундугунан </t>
  </si>
  <si>
    <t>199</t>
  </si>
  <si>
    <t xml:space="preserve">Узундугу (км)/жолдордун үлүшү, Тараз-Талас-Суусамыр эл аралык транспорттук коридорунун жалпы узундугунан </t>
  </si>
  <si>
    <t xml:space="preserve">Чыгыш багыттагы эл аралык транспорттук коридорлорду реабилитациялоо (Ысык-Көл айланма жолун реконструкциялоо) </t>
  </si>
  <si>
    <t>Долбоордук участоктун жалпы узундугу</t>
  </si>
  <si>
    <t xml:space="preserve">Узундугу (км)/жолдордун үлүшү,Ысык-Көл областынын айланма жолунун эл аралык транспорттук коридорунун жалпы узундугунан  </t>
  </si>
  <si>
    <t xml:space="preserve">Узундугу (км)/жолдордун үлүшү, Тюп- Кеген эл аралык транспорттук коридорунун жалпы узундугунан  </t>
  </si>
  <si>
    <t>Шаардык транспортту электрлештирүү долбоору</t>
  </si>
  <si>
    <t>Кыргыз Республикасынын калктуу конуштарын туруктуу жүргүнчүлөрдү кабарлоо менен камсыз кылуу</t>
  </si>
  <si>
    <t>Республиканын ичинде  жургунчулөрду  аба транспорту менен муктаждыгын канааттандыруу</t>
  </si>
  <si>
    <t>Автомобиль транспорту менен эл аралык жүк ташуу</t>
  </si>
  <si>
    <t>170139/2,6</t>
  </si>
  <si>
    <t>180140/2,7</t>
  </si>
  <si>
    <t>190140/2,9</t>
  </si>
  <si>
    <t>200000/3,0</t>
  </si>
  <si>
    <t>210000/3,2</t>
  </si>
  <si>
    <t>Ташууларга берилген лицензиялардын саны</t>
  </si>
  <si>
    <t xml:space="preserve">Эл аралык ташууларга берилген уруксат бланктарынын саны   </t>
  </si>
  <si>
    <t>Келтирилген зыяндардын оордун толтуруу жана салынган штрафтардын  саны</t>
  </si>
  <si>
    <t>55. Кыргыз Республикасынын Энергетика министрлиги</t>
  </si>
  <si>
    <t>КР ЭӨМдүн тармактык  программаларын аткаруу даражасы</t>
  </si>
  <si>
    <t>Жаратылыш ресурстарын башкаруу программасы.</t>
  </si>
  <si>
    <t xml:space="preserve">Энергетика секторундагы акча тартыдаанаыгын кыскартуу </t>
  </si>
  <si>
    <t>Электр энергиясына тарифтерди белгилөө</t>
  </si>
  <si>
    <t>Жылуулук энергиясына тарифтерди белгилөө</t>
  </si>
  <si>
    <t xml:space="preserve">Өлгөндөрдүн санынын тобокелдиктердин контролдонуучу түрлөрү боюнча төмөндөшү </t>
  </si>
  <si>
    <t>Өнөр жай коопсуздугун камсыздоо</t>
  </si>
  <si>
    <t>Технологияларды жана ченемдерди бузуу менен байланышкан окуялардын саны (авариялык өчүрүүлөр)</t>
  </si>
  <si>
    <t xml:space="preserve">Тоо-кен көзөмөлүн жүзөгө ашыруу жана жер казынасын сарамжалдуу пайдалануу </t>
  </si>
  <si>
    <t xml:space="preserve">Текшерүүлөрдүн жалпы саны
</t>
  </si>
  <si>
    <t>бирдик.</t>
  </si>
  <si>
    <t xml:space="preserve">Өнөр жай объекттердеги кырсыктардын саны 
</t>
  </si>
  <si>
    <t>Лицензиялык макулдашуулар менен байланышкан бузуулардын саны</t>
  </si>
  <si>
    <t>Административдик блок</t>
  </si>
  <si>
    <t>Энергетика системасында коопсуздукту камсыздоо</t>
  </si>
  <si>
    <t xml:space="preserve">ОЭК ишканаларында электр травматизмин кыскартуунун үлүшү </t>
  </si>
  <si>
    <t xml:space="preserve">Авариялык өчүрүүлөрдү кыскартуу көлөмү </t>
  </si>
  <si>
    <t xml:space="preserve">Отун-энергетика комплексинин техникалык каражаттарынын иштөөсүнүн ишенимдүүлүгүн жана натыйжалуулугун жогорулатуу </t>
  </si>
  <si>
    <t xml:space="preserve">Электр техникалык жабдуулардын иштөөсүнүн ишенимдүүлүгүн жана натыйжалуулугун жогорулатуу боюнча практикалык сунуштарды иштеп чыгуу
</t>
  </si>
  <si>
    <t>отчеттун саны</t>
  </si>
  <si>
    <t xml:space="preserve">1 отчет </t>
  </si>
  <si>
    <t xml:space="preserve">Бюджеттик уюмдарда электр энергиясын пайдалануунун натыйжалуулугуна энергетикалык текшерүү жүргүзүү </t>
  </si>
  <si>
    <t>2020-жылдын маалыматтарына карата "Электр энергиясы үчүн төлөм" беренеси боюнча бюджеттик мекемелерге бөлүнгөн каражаттарды үнөмдөө.</t>
  </si>
  <si>
    <t xml:space="preserve">Электр, жылуулук энергиясын жана жаратылыш газын керектөөнүн методоикасын иштеп чыгуу </t>
  </si>
  <si>
    <t xml:space="preserve">Электр, жылуулук энергиясын жана жаратылыш газын керектөөнүн методикасын иштеп чыгуу </t>
  </si>
  <si>
    <t>Базалык жылга карата  электр энергиясын иштеп чыгаруунун көлөмүнүн өсүшү</t>
  </si>
  <si>
    <t>15,3 млрд Квт</t>
  </si>
  <si>
    <t>Ат-Башы ГЭСин реконструкциялоо (Швейцария) (грант)</t>
  </si>
  <si>
    <t>ГЭСти реконструкциялоо, гидроагрегаттарды ишке киргизүү</t>
  </si>
  <si>
    <t>генератор 3 даана</t>
  </si>
  <si>
    <t>2 гидроагрегата</t>
  </si>
  <si>
    <t>1 гидроагрегат</t>
  </si>
  <si>
    <t xml:space="preserve"> CASA-1000 долбоору </t>
  </si>
  <si>
    <t>500 кВ ЭБЛны курууну баштоо</t>
  </si>
  <si>
    <t>ПИР-3</t>
  </si>
  <si>
    <t>ЛЭП 500кВт ПС КР-РТ чек арасына чейин Датка, аралыгы. 455,6 км,1241 кмп. Фунд., 1241 даана. опор, яч.500кВ на ПС Датка</t>
  </si>
  <si>
    <t>Лейлек районунун Арка массивин электр менен жабдууну жакшыртуу (ИӨБ) (кредит)</t>
  </si>
  <si>
    <t>ЭБЛны куруу 110 кВ и ПС 110 кВ,ПС  реконструкциялоо 110 кВ</t>
  </si>
  <si>
    <t>ЛЭП 51 км ПС 2 даана</t>
  </si>
  <si>
    <t xml:space="preserve">Камбар-Ата ГЭС-2нин экинчи гидроагрегатын ишке киргизүү </t>
  </si>
  <si>
    <t xml:space="preserve">120 МВт кубаттуулуктагы гидроагрегатты орнотуу жана 500 кВ ОРУ-куруу </t>
  </si>
  <si>
    <t>Негизги ишти аягына чыгаруу 2025-жылга пландалган</t>
  </si>
  <si>
    <t xml:space="preserve">Токтогул ГЭСин реабилитациялоонун экинчи жана үчүнчү фазалары </t>
  </si>
  <si>
    <t xml:space="preserve">2 гидроагрегатты (4 жана 2), затворлорду жана гидромеханикалык жабдууларды алмаштыруу </t>
  </si>
  <si>
    <t>4 агрегатты алмаштыруу, ГА № 4 турбиналык сымды реабил.</t>
  </si>
  <si>
    <t>2 агрегатты алмаштыруу, ГА № 4 турбиналык сымды реабил</t>
  </si>
  <si>
    <t xml:space="preserve">Жеке жылытуу пункттары (ЖЖП) жана бар болгон ЖЖПга запастык бөлүктөр </t>
  </si>
  <si>
    <t>бирдик. ЖЖП</t>
  </si>
  <si>
    <t>231 жаңы ЖЖП 1825 иштеп жаткан ЖЖП үчүн зап. бөлүктөрдүн комплектери</t>
  </si>
  <si>
    <t>27242,34</t>
  </si>
  <si>
    <t>«Чыгыш электр» ААКтын жоготууларын азайтуу. ЭКЭАС системаларын ишке киргизүү</t>
  </si>
  <si>
    <t xml:space="preserve">ЭКЭАС  миң даана, СИП кабелдер </t>
  </si>
  <si>
    <t>30 миң ЭКЭАС эсептегичи, 200 км СИП</t>
  </si>
  <si>
    <t>18 миң ЭКЭАС эсептегичи, 200 км СИП</t>
  </si>
  <si>
    <t>15 миң ЭКЭАС эсептегичи, 160 км СИП</t>
  </si>
  <si>
    <t>19934,9</t>
  </si>
  <si>
    <t xml:space="preserve">"Ош электр"ААКтын жоготууларын азайтуу. ЭКЭАС системаларын ишке киргизүү. </t>
  </si>
  <si>
    <t>АСКУЭ миң даана, СИП кабель</t>
  </si>
  <si>
    <t>АСКУЭ 18,0 миң In СИП 122,64 км</t>
  </si>
  <si>
    <t>АСКУЭ 18,324 миң даана СИП 286,16 км</t>
  </si>
  <si>
    <t>1367514,12</t>
  </si>
  <si>
    <t xml:space="preserve">Жабдуулардын жана гидротехникалык курулмалардын (ГТК) гидромеханикалык жабдууларын (ГЭМ) алмаштыруу </t>
  </si>
  <si>
    <t xml:space="preserve">подрядчы менен контракка кол коюу </t>
  </si>
  <si>
    <t>Негизги жабдууларды долбоорлоо жана даярдоо</t>
  </si>
  <si>
    <t>Генераторду жана  № 4 ГА берүү жана алмаштыруу</t>
  </si>
  <si>
    <t>Генераторду жана  № 3 ГА берүү жана алмаштыруу</t>
  </si>
  <si>
    <t xml:space="preserve">Абоненттерди борбордук жылуулук менен камсыз кылуунун өсүү динамикасы </t>
  </si>
  <si>
    <t>100 (45476)</t>
  </si>
  <si>
    <t>100 (18154 кг)</t>
  </si>
  <si>
    <t>данаа</t>
  </si>
  <si>
    <t>мин.сом.</t>
  </si>
  <si>
    <t>Республикалык бюджеттин ресурстук базасын талдоо жана баалоо</t>
  </si>
  <si>
    <t>Республикалык бюджеттин салыктык кирешелеринин ар жылдык өсүшү</t>
  </si>
  <si>
    <t>Мамлекеттик инвестицияларды пландаштыруу жана тартуу</t>
  </si>
  <si>
    <t>Тартылган гранттык жардамдын суммасы</t>
  </si>
  <si>
    <t>Жеңилдетилген негизде тартылган кредиттик каражаттардын көлөмү</t>
  </si>
  <si>
    <t>Мамлекеттик ички карыз боюнча мөөнөтү өтүп кеткен карыздын көлөмү</t>
  </si>
  <si>
    <t>Бюджеттер аралык трансферттерди албаган жергиликтүү бюджеттердин үлүшү</t>
  </si>
  <si>
    <t>Жергиликтүү бюджеттердин пландаштырылышына жана аткарылышына мониторинг жүргүзүү</t>
  </si>
  <si>
    <t xml:space="preserve">Жергиликтүү бюджеттин чыгашаларында мөөнөтү өтүп кеткен кредитордук карыздын үлүшү </t>
  </si>
  <si>
    <t>Белгиленген пландык көрсөткүчтөрдөн корголгон беренелерди каржылоонун толуктугу</t>
  </si>
  <si>
    <t>Угуучулардын саны</t>
  </si>
  <si>
    <t>Мамлекеттик карыздык каражаттарды кайтаруу боюнча пландуу көрсөткүчтөрдүн аткарылышынын көлөмү</t>
  </si>
  <si>
    <t>Пландаштырылган Аудитордук иш-чаралардын саны</t>
  </si>
  <si>
    <t>Кызматкерлердин жалпы санынан квалификациясын жогорулаткан кызматкерлердин үлүшү</t>
  </si>
  <si>
    <t>мин.данаа</t>
  </si>
  <si>
    <t>бодо малдын өсүү темпи өткөн жылга салыштырмалуу % менен</t>
  </si>
  <si>
    <t>Спутниктен алынган сүрөттөрдү пландаштырылган бийиктикте байланыштырууну аткаруу аймагы</t>
  </si>
  <si>
    <t>Оңдоо жумуштарын долбоорго-изилдөө жана экспртизадан өткөрүү</t>
  </si>
  <si>
    <t>Капиталдык оңдоо (көпүрөлөрдү жолдорду куруу)</t>
  </si>
  <si>
    <t>Асфальт-бетон катмарлуу, ШПО, Кара шагыл, Кумшагыл катмарлуу орто оңдоо жумуштары</t>
  </si>
  <si>
    <t>Автоунаа жолдорун кышкы жана жайкы күтүү</t>
  </si>
  <si>
    <t>Жол өткөрмө бөлүгүндөгү чийиңдер жол белгилерин, жол чырактарды (светофор) орнотуу</t>
  </si>
  <si>
    <t>Автоунаа жолдорун күтүүгө кеткен административдик чыгымдар (эмгек акы, Административдик башкаруу кызматкерлерин күтүү, ТОП, МОП)</t>
  </si>
  <si>
    <t>керек факт,%</t>
  </si>
  <si>
    <t>Эл аралык транспорткорридорлорун реабилитациялоо</t>
  </si>
  <si>
    <t>Чыгыш багыттагы эл аралык транспорттук коридорлорду реабилитациялоо (Бишкек-Нарын-Торугарт)</t>
  </si>
  <si>
    <t>Батыш багыттагы эл аралык транспорттук коридорлорду реабилитациялоо (Ош-Баткен-Исфана)</t>
  </si>
  <si>
    <t>Батыш багыттагы эл аралык транспорттук коридорлорду реабилитациялоо (Бишкек-Ош)</t>
  </si>
  <si>
    <t>"Бишкек-Ош жолун көчкүдөн коргоо" долбоору (JICA) (Грант) ДБ</t>
  </si>
  <si>
    <t>Эл аралык транспорттук коридорлорду реабилитациялоо (Түндүк-Түштүк)</t>
  </si>
  <si>
    <t xml:space="preserve">Батыш багыттагы эл аралык транспорттук коридорлорду реабилитациялоо (Тараз-Талас-Суусамыр) </t>
  </si>
  <si>
    <t xml:space="preserve">Чыгыш багыттагы эл аралык транспорттук коридорлорду реабилитациялоо. (Орто Азияда жол байланышын жакшыртуу боюнча Долбоордун үчүнчү фазасы (Түп -Кеген 39 -76 км жана туризмди өнүктүрүү) </t>
  </si>
  <si>
    <t>Автомобиль, суу транспортун  жана салмактык-габариттик контролдоосун башкаруу (ЖЖжСТД)</t>
  </si>
  <si>
    <t xml:space="preserve">Министрликтердин жана ведомстволордун программалык негиздеги бюджети </t>
  </si>
  <si>
    <t>Бюджеттик программалар/
Бюджеттик чаралар</t>
  </si>
  <si>
    <t>Каржылоо</t>
  </si>
  <si>
    <t>Натыйжалуулук индикаторлору</t>
  </si>
  <si>
    <t>Ченөө бирдиги</t>
  </si>
  <si>
    <t>Базалык жыл</t>
  </si>
  <si>
    <t xml:space="preserve">Максаттуу маанилер </t>
  </si>
  <si>
    <t>(программалар/чаралар боюнча) (миң сом)</t>
  </si>
  <si>
    <t xml:space="preserve">Пилоттук министрликтердин жана ведомстволордун программалык негиздеги бюджети </t>
  </si>
  <si>
    <t xml:space="preserve">Башкаруу жана администрациялоо   </t>
  </si>
  <si>
    <t>ИМ маселелери боюнча окуу-усулдук материалдарды даярдо</t>
  </si>
  <si>
    <t>бир</t>
  </si>
  <si>
    <t>Ѳнѳр -жай менчик объектилери жонундо маалыматтарды онлайн режимде издоого мумкундук беруучу сервситерди тузуу, эл аралык уюмдардын маалыматтык системалары менен интеграциялоо</t>
  </si>
  <si>
    <t>Экономиканы өнүктүрүү долбоорлорун каржылоо жана топтолгон финансылык резервдер</t>
  </si>
  <si>
    <t>Бардыгы:
32648 
19018        
8049           
5581      
388 945 321 сом</t>
  </si>
  <si>
    <t>Бардыгы:
16402 
8170            
5210          
3022 
332 291 628 сом</t>
  </si>
  <si>
    <t>Бардыгы:
7544 
4124                   
1892              
1528                 
56 653 693 сом</t>
  </si>
  <si>
    <t>Бардыгы:
7544 
4124                   
1892              
1528             
56 653 693 сом</t>
  </si>
  <si>
    <t>Бардыгы:
7544 
4124                   
1892              
1528           
56 653 693 сом</t>
  </si>
  <si>
    <t>Бардыгы:
7544 
4124                   
1892              
1528            
56 653 693 сом</t>
  </si>
  <si>
    <t>Бардыгы: 
8702          
6724               
947                   1031</t>
  </si>
  <si>
    <t>Бардыгы: 
8702          
6724               
947                   
1031</t>
  </si>
  <si>
    <t>Бардыгы:
36            
5                        
18                        
5                              
8                            0</t>
  </si>
  <si>
    <t>Бардыгы:
53766       
473                   
44975                 
159             
7386             
494                      
245                          
34</t>
  </si>
  <si>
    <t>Бардыгы:
49366       
428                   
42142              
148               
5951             
453                     
222                          
22</t>
  </si>
  <si>
    <t>Бардыгы:
3899       
33                   
2689                       
9                      
1118                     
29                            
21                          
0</t>
  </si>
  <si>
    <t>Бардыгы:
501       
12                   
144                       
2                      
317                     
12                            
2                          
12</t>
  </si>
  <si>
    <t>Бардыгы:
15409       
10208                   
2818                       
1034                      
684                     
665                                             
45 850 555</t>
  </si>
  <si>
    <t xml:space="preserve">Бардыгы:
13441       
8390                  
2818                       
934                      
634                     
665                                           </t>
  </si>
  <si>
    <t xml:space="preserve">Бардыгы:
1968       
1818                  
10                           
50                            
0                     
45 850 555                                           </t>
  </si>
  <si>
    <t xml:space="preserve">Бардыгы:
113       
41                      
10                           
62                                                            </t>
  </si>
  <si>
    <t>Бардыгы:                
139 490, анын ичинде:  
кылмыш - 
78 254            
жорук.- 61 236</t>
  </si>
  <si>
    <t xml:space="preserve">кылмыш -             
78 254 </t>
  </si>
  <si>
    <t>жорук. -         
61 236</t>
  </si>
  <si>
    <r>
      <t xml:space="preserve">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координациялоочу жана уюштуруучу таасир этүүлөр   </t>
    </r>
    <r>
      <rPr>
        <b/>
        <sz val="11"/>
        <rFont val="Times New Roman"/>
        <family val="1"/>
        <charset val="204"/>
      </rPr>
      <t xml:space="preserve">                                                                                                                  </t>
    </r>
  </si>
  <si>
    <r>
      <rPr>
        <b/>
        <sz val="11"/>
        <rFont val="Times New Roman"/>
        <family val="1"/>
        <charset val="204"/>
      </rPr>
      <t xml:space="preserve">Кыргыз Республикасынын сот системасынын натыйжалуулугун, ачыктыгын жана  көз карандысыздыгын жогорулатуу      </t>
    </r>
    <r>
      <rPr>
        <sz val="11"/>
        <rFont val="Times New Roman"/>
        <family val="1"/>
        <charset val="204"/>
      </rPr>
      <t xml:space="preserve">                                                                </t>
    </r>
    <r>
      <rPr>
        <i/>
        <sz val="11"/>
        <rFont val="Times New Roman"/>
        <family val="1"/>
        <charset val="204"/>
      </rPr>
      <t>Программанын максаты:  Кыргыз Республикасынын  сот адилеттүүлүгүн  сапаттуу  камсыз кылуу</t>
    </r>
  </si>
  <si>
    <r>
      <t xml:space="preserve">Башкаруу жана администрациялоо 
</t>
    </r>
    <r>
      <rPr>
        <i/>
        <sz val="11"/>
        <rFont val="Times New Roman"/>
        <family val="1"/>
        <charset val="204"/>
      </rPr>
      <t>Программанын максаты: Сот департаментини системасынын ишин камсыздоо, ведомствонун башка программаларын ишке ашырууну  координациялоо</t>
    </r>
  </si>
  <si>
    <r>
      <t xml:space="preserve">Кыргыз Республикасынын жергиликтүү соттордун натыйжалуулугун, ачыктыгын,   көз карандысыздыгын жогорулатуу                                           </t>
    </r>
    <r>
      <rPr>
        <sz val="11"/>
        <rFont val="Times New Roman"/>
        <family val="1"/>
        <charset val="204"/>
      </rPr>
      <t xml:space="preserve">                      
</t>
    </r>
    <r>
      <rPr>
        <i/>
        <sz val="11"/>
        <rFont val="Times New Roman"/>
        <family val="1"/>
        <charset val="204"/>
      </rPr>
      <t xml:space="preserve">Программанын максаты: Кыргыз Республикасынын сот системасына карата  ишенимди жогорулатуу </t>
    </r>
  </si>
  <si>
    <r>
      <t xml:space="preserve">Пландоо, башкаруу жана администрациялоо                                                                                                                           
</t>
    </r>
    <r>
      <rPr>
        <sz val="11"/>
        <color indexed="8"/>
        <rFont val="Times New Roman"/>
        <family val="1"/>
        <charset val="204"/>
      </rPr>
      <t>П</t>
    </r>
    <r>
      <rPr>
        <i/>
        <sz val="11"/>
        <color indexed="8"/>
        <rFont val="Times New Roman"/>
        <family val="1"/>
        <charset val="204"/>
      </rPr>
      <t>рограмманын максаттары: Башкы программаларды ишке ашырууга координациялык жана уюштуруучулук таасир этүү</t>
    </r>
  </si>
  <si>
    <r>
      <rPr>
        <b/>
        <sz val="11"/>
        <rFont val="Times New Roman"/>
        <family val="1"/>
        <charset val="204"/>
      </rPr>
      <t>Конституциялык сот  адилеттигин  камсыз кылуу жана конституциялык соттун потенциалын жогорулатуу</t>
    </r>
    <r>
      <rPr>
        <sz val="11"/>
        <rFont val="Times New Roman"/>
        <family val="1"/>
        <charset val="204"/>
      </rPr>
      <t xml:space="preserve">
</t>
    </r>
    <r>
      <rPr>
        <i/>
        <sz val="11"/>
        <rFont val="Times New Roman"/>
        <family val="1"/>
        <charset val="204"/>
      </rPr>
      <t xml:space="preserve">Программанын максаты: конституциялык сот адилеттүүлүгүн камсыз кылуунун натыйжалуулугун жогорулатуу, конституциялык сот адилеттүүлүгүн эл аралык стандарттарын колдонуу </t>
    </r>
  </si>
  <si>
    <r>
      <t xml:space="preserve">Маданият жана искусство жаатында билим берүүнү өнүктүрүү
</t>
    </r>
    <r>
      <rPr>
        <i/>
        <sz val="11"/>
        <color theme="1"/>
        <rFont val="Times New Roman"/>
        <family val="1"/>
        <charset val="204"/>
      </rPr>
      <t>Программанын максаты: маданият жана искусство жаатында кесипкөй кадрларды даярдоо</t>
    </r>
  </si>
  <si>
    <r>
      <t xml:space="preserve">Массалык жана жогорку спортту өнүктүрүү
</t>
    </r>
    <r>
      <rPr>
        <i/>
        <sz val="11"/>
        <color theme="1"/>
        <rFont val="Times New Roman"/>
        <family val="1"/>
        <charset val="204"/>
      </rPr>
      <t>Программанын максаты: Дене тарбия аркылуу улутту өркүндөтүү</t>
    </r>
  </si>
  <si>
    <r>
      <t xml:space="preserve">Республикага түз чет элдик инвестицияларды тартуу
</t>
    </r>
    <r>
      <rPr>
        <i/>
        <sz val="11"/>
        <rFont val="Times New Roman"/>
        <family val="1"/>
        <charset val="204"/>
      </rPr>
      <t xml:space="preserve">Программанын максаты: Өлкөнүн инвестициялык чөйрөсүн  жакшыртууга салым кошуу, чет элдик инвестицияларды тартуу үчүн жагымдуу шарттарды түзүү </t>
    </r>
  </si>
  <si>
    <r>
      <t xml:space="preserve">Башкаруу жана администрациялоо 
</t>
    </r>
    <r>
      <rPr>
        <i/>
        <sz val="11"/>
        <rFont val="Times New Roman"/>
        <family val="1"/>
        <charset val="204"/>
      </rPr>
      <t>Программанын максаты: Жеке маалыматтарды коргоо боюнча Кыргыз Республикасынын мыйзамдарынын талаптарынын сакталышын контролдоо, көзөмөлдөө жана координациялоо, жеке маалыматтарды коргоо жаатындагы ченемдик укуктук актыларды иштеп чыгуу, жеке маалыматтарды кармоочулардын массивдеринин реестрин ишке ашыруу жана андан ары жүргүзүү</t>
    </r>
  </si>
  <si>
    <r>
      <t xml:space="preserve">Жергиликтүү өз алдынча башкаруу системасын өркүндөтүү
</t>
    </r>
    <r>
      <rPr>
        <i/>
        <sz val="11"/>
        <color theme="1"/>
        <rFont val="Times New Roman"/>
        <family val="1"/>
        <charset val="204"/>
      </rPr>
      <t>Программанын максаты: жергиликтүү маанидеги айрым функцияларды жана мамлекеттик программаларды иштеп чыгуу, ишке ашыруу жана жергиликтүү өз алдынча башкаруу органдарына көмөк көрсөтүү</t>
    </r>
  </si>
  <si>
    <r>
      <t xml:space="preserve">Биоартүрдүүлүктү сактоо                      </t>
    </r>
    <r>
      <rPr>
        <i/>
        <sz val="11"/>
        <rFont val="Times New Roman"/>
        <family val="1"/>
        <charset val="204"/>
      </rPr>
      <t>Программанын максаты: биологиялык ар түрдүүлүктү сактоо жакшыртуу, анын ичинде, фаунанын жана флоранын сейрек кездешүүчү жана жоголуп бара жаткан түрлорүнүн популяцияларынын санын калыбына келтирүү; Кыргыз Республикасынын биоартүрдүүгүнүн туруктуу пайдалануу</t>
    </r>
  </si>
  <si>
    <r>
      <t>Электрондук башкаруунун жана электрондук кызмат көрсөтүүлөрдүн  инфратүзүмүн өнүктүрүү</t>
    </r>
    <r>
      <rPr>
        <sz val="11"/>
        <color theme="1"/>
        <rFont val="Times New Roman"/>
        <family val="1"/>
        <charset val="204"/>
      </rPr>
      <t xml:space="preserve">                                                                                                            </t>
    </r>
    <r>
      <rPr>
        <i/>
        <sz val="11"/>
        <color theme="1"/>
        <rFont val="Times New Roman"/>
        <family val="1"/>
        <charset val="204"/>
      </rPr>
      <t>Программанын максаты: Электрондук башкарууну өнүктүрүү, электрондук  кызмат көрсөтүүлөрдү киргизүү</t>
    </r>
  </si>
  <si>
    <r>
      <t xml:space="preserve">Радиопрограммаларды программалаштыруу,  түзүү жана жайылтуу                                                                                </t>
    </r>
    <r>
      <rPr>
        <i/>
        <sz val="11"/>
        <color theme="1"/>
        <rFont val="Times New Roman"/>
        <family val="1"/>
        <charset val="204"/>
      </rPr>
      <t xml:space="preserve">Программанын максаты: РБ боюнча сапаттуу жана жеткиликтүү мааламаттарды алуу </t>
    </r>
    <r>
      <rPr>
        <b/>
        <sz val="11"/>
        <color theme="1"/>
        <rFont val="Times New Roman"/>
        <family val="1"/>
        <charset val="204"/>
      </rPr>
      <t xml:space="preserve">                                 </t>
    </r>
  </si>
  <si>
    <r>
      <t xml:space="preserve">Телевизиондук тасмаларды чыгаруу                                    </t>
    </r>
    <r>
      <rPr>
        <i/>
        <sz val="11"/>
        <color theme="1"/>
        <rFont val="Times New Roman"/>
        <family val="1"/>
        <charset val="204"/>
      </rPr>
      <t>Программанын максаты: Көрүүчүлөрдүн маалымдуулугу, пропагандалоо</t>
    </r>
  </si>
  <si>
    <r>
      <t xml:space="preserve">Башкаруу жана администрациялоо
</t>
    </r>
    <r>
      <rPr>
        <i/>
        <sz val="11"/>
        <color theme="1"/>
        <rFont val="Times New Roman"/>
        <family val="1"/>
        <charset val="204"/>
      </rPr>
      <t>Программанын максаттары: Башка программаларды ишке ашырууга координациялык жана уюштуруучулук таасир</t>
    </r>
  </si>
  <si>
    <r>
      <t xml:space="preserve">Өсүмдүк өстүрүүчүлүктү мамлекеттик колдоо жана өнүктүрүү                                                               </t>
    </r>
    <r>
      <rPr>
        <i/>
        <sz val="11"/>
        <rFont val="Times New Roman"/>
        <family val="1"/>
        <charset val="204"/>
      </rPr>
      <t>Программанын максаты:  Өлкөнүн калкын жана экономикасын сапаттуу жана жеткиликтүү айыл чарба азыктары менен камсыз кылуу, айыл чарба продуктуларын экспорттоонун потенциалын жогорулатуу</t>
    </r>
  </si>
  <si>
    <r>
      <rPr>
        <b/>
        <sz val="11"/>
        <color theme="1"/>
        <rFont val="Times New Roman"/>
        <family val="1"/>
        <charset val="204"/>
      </rPr>
      <t xml:space="preserve">Энергетика секторунун мамлекеттик инвестициялардын долбоорлору                      </t>
    </r>
    <r>
      <rPr>
        <i/>
        <sz val="11"/>
        <color theme="1"/>
        <rFont val="Times New Roman"/>
        <family val="1"/>
        <charset val="204"/>
      </rPr>
      <t>Программанын максаты: Энергетика чөйрөсүндө мамлекеттик саясатты ишке ашыруу</t>
    </r>
  </si>
  <si>
    <r>
      <t xml:space="preserve">Соттолгондорду жана кайтарыкка алынгандарды кармоону пландоо, башкаруу жана администрациялоо:                                            
</t>
    </r>
    <r>
      <rPr>
        <i/>
        <sz val="11"/>
        <color theme="1"/>
        <rFont val="Times New Roman"/>
        <family val="1"/>
        <charset val="204"/>
      </rPr>
      <t xml:space="preserve">Программанын максаттары: Соттолгондорду кармоо жана түзөтүү         </t>
    </r>
    <r>
      <rPr>
        <b/>
        <sz val="11"/>
        <color theme="1"/>
        <rFont val="Times New Roman"/>
        <family val="1"/>
        <charset val="204"/>
      </rPr>
      <t xml:space="preserve">                                                      </t>
    </r>
  </si>
  <si>
    <t>Иштеп жаткан тез жардам бригадалардын санынын бекитилген санга дал келүү пайызы</t>
  </si>
  <si>
    <t>Пенсиялык камсыздоо жана бюджеттик каражаттардын эсебинен компенсациялар</t>
  </si>
  <si>
    <r>
      <rPr>
        <b/>
        <sz val="11"/>
        <color theme="1"/>
        <rFont val="Times New Roman"/>
        <family val="1"/>
        <charset val="204"/>
      </rPr>
      <t xml:space="preserve">Башкаруу жана администрациялоо        </t>
    </r>
    <r>
      <rPr>
        <sz val="11"/>
        <color theme="1"/>
        <rFont val="Times New Roman"/>
        <family val="1"/>
        <charset val="204"/>
      </rPr>
      <t xml:space="preserve">                                     
</t>
    </r>
    <r>
      <rPr>
        <i/>
        <sz val="11"/>
        <color theme="1"/>
        <rFont val="Times New Roman"/>
        <family val="1"/>
        <charset val="204"/>
      </rPr>
      <t xml:space="preserve">Программанын максаты: Конституциялык сотунун системасынын ишин камсыздоо, ведомствонун башка программаларын ишке ашырууну координациялоо </t>
    </r>
  </si>
  <si>
    <t>Ички бизнес процесстери толук автоматташтырылган, тартылган бөлүмдөр тарабынан «бирд.түү терезе» принцибинин негизинде чыгарылган документтердин үлүшү</t>
  </si>
  <si>
    <t>Туризм тармагындагы негизги капиталга инвестициялар</t>
  </si>
  <si>
    <t>Улуттук коопсуздукту камсыз кылуу жаатында бирдиктүү мамлекеттик саясатты ишке ашыруу боюнча Кыргыз Республикасынын Коопсуздук кеңешинин ишин камсыз кылуу</t>
  </si>
  <si>
    <r>
      <t xml:space="preserve">Мал чарбасын мамлекеттик колдоо жана өнүктүрүү   
</t>
    </r>
    <r>
      <rPr>
        <i/>
        <sz val="11"/>
        <rFont val="Times New Roman"/>
        <family val="1"/>
        <charset val="204"/>
      </rPr>
      <t>Программанын максаты:   Өлкөнүн айыл чарбасында мал чарба комплексинин туруктуу иштешин уюштуруу жана өнүктүрүү жолу менен калктын мал чарба азыктарына болгон керектөөлөрүн канааттандырууну камсыз кылуу</t>
    </r>
  </si>
  <si>
    <t>Утурумдук оңдоо (аң-чөнөктөрдү жамоо, кырып тазалоо жана башка жумуштары)</t>
  </si>
  <si>
    <t>Жалпы курулуш иштеринин аткарылган үлүшү</t>
  </si>
  <si>
    <t>Учурдагы көпүрөнү реконструкциялоо менен Үрмарал дарыясы аркылуу коопсуз өтүүнү камсыздоо</t>
  </si>
  <si>
    <t xml:space="preserve">Программа. Жер казынасын геологиялык изилдөө, жер астындагы суулардын абалын жана коркунучтуу экзогендик геологиялык процесстерди контролдоо - Мамлекеттик геологиялык тапшырык.      </t>
  </si>
  <si>
    <t>26. Кыргыз Республикасынын финансы министрлиги (мамлекеттик программалар, иш-чаралар жана төлөмдөр)</t>
  </si>
  <si>
    <t>29 Кыргыз Республикасынын Министрлер Кабинетине караштуу Экономикалык саясатты изилдөөлөр институту</t>
  </si>
  <si>
    <t xml:space="preserve"> ПР коду</t>
  </si>
  <si>
    <t xml:space="preserve"> МЕ коду</t>
  </si>
  <si>
    <t xml:space="preserve"> ИН коду</t>
  </si>
  <si>
    <t>БКБТкоду</t>
  </si>
  <si>
    <t xml:space="preserve">БКБТ коду </t>
  </si>
  <si>
    <t>Жогорку Кеңеш тарабынан кабыл алынган мыйзам долбоорлорунун санынан Президент тарабынан кол коюлган мыйзамдардын үлүшү</t>
  </si>
  <si>
    <t xml:space="preserve">Президент тарабынан кол коюлган мыйзамдардын саны 100 депутатка-күнгө  </t>
  </si>
  <si>
    <t>Камсыз кылуу толуктугу</t>
  </si>
  <si>
    <t>Чыгарылган буйруктардын санына жараша финансылык жардам көрсөтүү</t>
  </si>
  <si>
    <t>Кыргыз Республикасынын Президентинин ишинин кепилдиктери жөнүндө Кыргыз Республикасынын Мыйзамына ылайык Кыргыз Республикасынын Президентинин ишин камсыз кылуу</t>
  </si>
  <si>
    <t>Кыргыз Республикасынын Президентинин, Кыргыз Республикасынын Министрлер Кабинетинин Төрагасынын, Кыргыз Республикасынын Президентинин Администрациясынын ишин камсыз кылуу</t>
  </si>
  <si>
    <t>Мамлекеттик кызмат көрсөтүүлөрдүн жогорку деңгээлин камсыз кылуу, ошондой эле мамлекеттик протоколду камсыз кылуу</t>
  </si>
  <si>
    <t>Бюджетти бузууларсыз аткаруунун пайызы</t>
  </si>
  <si>
    <t>КРПИБге жүктөлгөн кызмат адамдарынын ишин камсыз кылуу</t>
  </si>
  <si>
    <t>Мамлекеттик протоколдун тейленүүчү иш-чараларынын саны</t>
  </si>
  <si>
    <t>154</t>
  </si>
  <si>
    <t>155</t>
  </si>
  <si>
    <t>153</t>
  </si>
  <si>
    <t>152</t>
  </si>
  <si>
    <r>
      <t>Жарандык, кылмыш жана административдик-экономикалык иштер боюнча сот адилеттүүлүгүн  ж</t>
    </r>
    <r>
      <rPr>
        <sz val="11"/>
        <rFont val="Times New Roman"/>
        <family val="1"/>
      </rPr>
      <t>үзөгө</t>
    </r>
    <r>
      <rPr>
        <sz val="11"/>
        <rFont val="Times New Roman"/>
        <family val="1"/>
        <charset val="204"/>
      </rPr>
      <t xml:space="preserve"> ашыруу </t>
    </r>
  </si>
  <si>
    <t xml:space="preserve">КР Жогорку сотунун окуу борборунун бардык программалары боюнча чыгашаларга  карата 001 программасы боюнча эмгек акыга чыгашаларынын катышы  </t>
  </si>
  <si>
    <t>Туруктуу иштеген депутатка штаттык бирдиктердин саны</t>
  </si>
  <si>
    <r>
      <rPr>
        <b/>
        <sz val="11"/>
        <rFont val="Times New Roman"/>
        <family val="1"/>
        <charset val="204"/>
      </rPr>
      <t xml:space="preserve">Пландоо, башкаруу жана администрациялоо </t>
    </r>
    <r>
      <rPr>
        <sz val="11"/>
        <rFont val="Times New Roman"/>
        <family val="1"/>
        <charset val="204"/>
      </rPr>
      <t xml:space="preserve">
</t>
    </r>
    <r>
      <rPr>
        <i/>
        <sz val="11"/>
        <rFont val="Times New Roman"/>
        <family val="1"/>
        <charset val="204"/>
      </rPr>
      <t>Программанын максаты: Конституциялык палатанын иш системасын камсыздоо, ведомствонун башка программаларын ишке ашырууну координациялоо</t>
    </r>
  </si>
  <si>
    <r>
      <rPr>
        <b/>
        <sz val="11"/>
        <color theme="1"/>
        <rFont val="Times New Roman"/>
        <family val="1"/>
        <charset val="204"/>
      </rPr>
      <t xml:space="preserve">Сот департаментинин бюджетинин ачыктыгын камсыздоо </t>
    </r>
    <r>
      <rPr>
        <sz val="11"/>
        <color theme="1"/>
        <rFont val="Times New Roman"/>
        <family val="1"/>
        <charset val="204"/>
      </rPr>
      <t>/ алдыга коюлган максаттарга жетүү үчүн бюджеттик каражаттар пайдаланылды</t>
    </r>
  </si>
  <si>
    <t>Дүйнөлүк экономикалык форумдун атаандашдыкка жөндөмдүүлүктүн Глобалдык индексинин рейтингиндеги Кыргызстандын орду (а.и. "Соттордун көз карандысыздыгы" көрсөткүчү боюнча)</t>
  </si>
  <si>
    <t xml:space="preserve">Кыргыз Республикасынын Судьяларын тандоо боюнча Кеңеш тарабынан судьяларды көз карандысыз тандоо </t>
  </si>
  <si>
    <t xml:space="preserve">Кыргыз Республикасынын Судьялар Кеӊешинин жана Кыргыз Республикасынын Судьялар  Кеӊешинин Тартип комиссиясынын ишин  камсыздоо  </t>
  </si>
  <si>
    <t>"Санарип сот адилеттиги" Кыргыз Республикасынын сот тутумунун бирд.түү маалыматтык экосистемасын түзүү жана Кыргыз Республикасынын сот тутумунун маалыматтык тутумдарын башка мамлекеттик органдар жана ведомстволор менен интеграциялоо</t>
  </si>
  <si>
    <t>Кыргыз Республикасынын сот систмеасынын өнүктүрүүнүн артыкчылыктарын аныктоо/ соттук өз алдынча башкаруу органдарынын потенциалын күчөтүү</t>
  </si>
  <si>
    <t xml:space="preserve">Сот процесстеринин тараптарынын катышуучулары үчүн шарттарды түзүү / соттордун кызматтык жайлары үчүн бекитилген нормативдерге жооп берүүчү Кыргыз Республикасынын жергиликтүү соттору үчүн модернизацияланган жана жаӊы курулган имараттардын саны </t>
  </si>
  <si>
    <t xml:space="preserve">Сот процессинин катышуучуларынын коопсуздугун камсыздоо </t>
  </si>
  <si>
    <t>Кыргыз Республикасынын сот тутумунун, САКБнин жана башка сот тутумунун имараттарынын көзөмөлдөө тутумун, кирүүнү көзөмөлдөө жана коопсуздугун камсыз кылуу</t>
  </si>
  <si>
    <t>Сот отурумдарды аудио-видео жазуу, кылмыштарды, жоруктарды, укук бузууларды жасаган адамдардын реестрин жүргүзүү боюнча чараларды ишке ашыруу</t>
  </si>
  <si>
    <t>"Санариптик Кыргызстан 2019-2023" санариптик трансформация концепциясынын алкагында</t>
  </si>
  <si>
    <t>Кыргыз Республикасынын сотторунун, САКБынын жана башка сот субъекттеринин техникалык инфраструктурасын өнүктүрүү жана модернизациялоо</t>
  </si>
  <si>
    <t>Иш-чараларды каржылоону камсыз кылуу</t>
  </si>
  <si>
    <t>Материалдык-техникалык камсыз кылуу</t>
  </si>
  <si>
    <t>Пландалган аудитордук иш-чаралардын иш жүзүндө аткаруунун %</t>
  </si>
  <si>
    <t xml:space="preserve">Республикалык  бюджеттин аткарылышын, жергиликтүү бюджеттердин, бюджеттен сырткары жана атайын каражаттардын түзүлүшүн жана сакталышын, мамлекеттик  жана муниципалдык менчиктин пайдаланылышын, аудиттин эл аралык стандарттарынын камсыздалышын жана ишке ашырылышын баалоо </t>
  </si>
  <si>
    <r>
      <t xml:space="preserve">Башкаруу жана администрациялоо                      </t>
    </r>
    <r>
      <rPr>
        <i/>
        <sz val="11"/>
        <color theme="1"/>
        <rFont val="Times New Roman"/>
        <family val="1"/>
        <charset val="204"/>
      </rPr>
      <t>Программанын максаттары: Башка программаларды ишке ашырууну координациялоо жана уюштуруунун таасири</t>
    </r>
  </si>
  <si>
    <t>Кыргыз Республикасынын Президентин, Жогорку Кеңештин депутаттарын, жергиликтүү кеңештердин депутаттарын, жергиликтүү өз алдынча башкаруунун аткаруу органдарынын башчыларын шайлоону жана референдумдарды даярдоону жана өткөрүүнү уюштуруу</t>
  </si>
  <si>
    <r>
      <t xml:space="preserve">Башкаруу жана администрациялоо                                                           </t>
    </r>
    <r>
      <rPr>
        <i/>
        <sz val="11"/>
        <color theme="1"/>
        <rFont val="Times New Roman"/>
        <family val="1"/>
        <charset val="204"/>
      </rPr>
      <t>Программанын максаттары: Башка программаларды ишке ашырууну координациялоо жана уюштуруунун таасири</t>
    </r>
  </si>
  <si>
    <t>Борбордук деңгээлде тармакты башкаруу жана администрациялоо (Жалпы жетекчиликти камсыздоо)</t>
  </si>
  <si>
    <t>Эмгек талаш-тартыштары боюнча утуп алган сот процессинин үлүшү</t>
  </si>
  <si>
    <t xml:space="preserve">Адам ресурстарын башкаруу </t>
  </si>
  <si>
    <t>Тышкы жана коомдук байланыштарды колдоо</t>
  </si>
  <si>
    <t>Жалпыга маалымдоо каражаттарында министрликтер/ведомстволор жакшы эскерүүлөрдүн саны</t>
  </si>
  <si>
    <t>Борбордук аппараттын кызматкерлеринин жалпы санында көмөкчү кызматтардын кызматкерлеринин үлүшү</t>
  </si>
  <si>
    <t>Ишти камсыздоо кызматын уюштуруу</t>
  </si>
  <si>
    <t>Жүргүзүлгөн териштирүүлөрдүн саны, каралган даттануулардын саны, козголгон кылмыш иштеринин саны</t>
  </si>
  <si>
    <t>Аткаруу бийлик органдарынын, жергиликтүү өз алдынча башкаруу органдарынын, алардын кызмат адамдарынын, ошондой эле тизмеси конституциялык Мыйзам менен аныкталуучу башка мамлекеттик органдардын мыйзамдарды так жана бирдей аткаруусун көзөмөлдөө</t>
  </si>
  <si>
    <t>Жүргүзүлгөн текшерүүлөрдүн саны 2021-жылы укук бузуулар аныкталган): прокурордук чара көрүүнүн киргизилген, административдик, тартиптик тартипте жазаланган адамдардын актылары, келтирилген зыяндын ордун толтуруу суммасы</t>
  </si>
  <si>
    <t>Жүргүзүлгөн текшерүүлөрдүн саны (2021-жылы укук бузуулар аныкталган), прокурордук чара көрүү актылары, административдик жана дисциплинардык тартипте жазаланган адамдар жана чара көрүү актылары боюнча орду толтурулган зыяндын суммасы</t>
  </si>
  <si>
    <t>Коррупцияга каршы аракеттенүү. Коррупцияга каршы мамлекеттик органдардын ишин координациялоо</t>
  </si>
  <si>
    <t>Инвесторлорду коргоо жана ишкерлердин укуктарын сакталышын көзөмөлдөө боюнча бөлүмү</t>
  </si>
  <si>
    <r>
      <t>Изин суутпай издөө ишин, тергөө жүргүзүүчү  органдар тарабынан мыйзамдардын сакталышына көзөмөл жүрг</t>
    </r>
    <r>
      <rPr>
        <b/>
        <sz val="11"/>
        <rFont val="Times New Roman"/>
        <family val="1"/>
      </rPr>
      <t>үзүү</t>
    </r>
  </si>
  <si>
    <t>Сот процесстерине кабыл алынган катышуучулардын саны. Биринчи инстанциядагы соттолгондордун саны. Киргизилген апелляциялык, кассациялык жана көзөмөлдүк сунуштардын саны. Доолор боюнча орду толтурулган зыяндын суммасы</t>
  </si>
  <si>
    <t>Жүргүзүлгөн текшерүүлөрдүн саны, кылмыш ишин козгоодон баш тартуу жөнүндөгү текшерилген материалдардын саны, жашырылган кылмыштарды аныктоонун саны, тергөөчүнүн негизсиз чечимдеринин жокко чыгаруунун саны, киргизилген сунуштардын саны,  тартиптик жана административдик жазага тартылгандардын саны, укук коргоо органдарынын кызмат адамдарынын кылмыш жоопкерчилигине тартылганынын саны</t>
  </si>
  <si>
    <t>Жер-жерлерде кылмыш жаза-укуктук статистиканын аныктыгы жана аны түзүү боюнча жүргүзүлгөн текшерүүлөрдүн саны (анын ичинде көзөмөлдө турган органдар), укук коргоо органдарынын жана прокуратура органдарынын толук кандуу иштеши үчүн бардык талаптарга жооп берген технологиялык программалык камсыздоону түзүү</t>
  </si>
  <si>
    <t>Жер-жерлерде кылмыш-укуктук статистиканын ишенимдүүлүгү жана түзүлүшү боюнча жүргүзүлгөн текшерүүлөрдүн саны (анын ичинде көзөмөлдөөчү органдар тарабынан), укук коргоо органдарынын жана прокуратура органдарынын толук кандуу иштеши үчүн бардык талаптарга жооп берген технологиялык программалык камсыздоону иштеп чыгуу, жер-жерлерде (анын ичинде көзөмөлдөнүүчү органдарда) кылмыш жаза-укуктук статистиканын ишенимдүүлүгү жана түзүлүшү боюнча жүргүзүлгөн аудиттер, укук коргоо жана прокуратура органдарынын толук кандуу иштеши үчүн бардык талаптарга жооп берген технологиялык программалык камсыздоону түзүү</t>
  </si>
  <si>
    <t>Катталган кылмыштардын жана укук бузуулардын саны</t>
  </si>
  <si>
    <t>Сотко жиберилген иштердин көрсөткүчтөрүнүн саны, зыяндын ордун толтуруу суммасы</t>
  </si>
  <si>
    <t>Тергөө башкармалыгы</t>
  </si>
  <si>
    <t>Тергөө башкармалыгы №1</t>
  </si>
  <si>
    <t>Тергөө башкармалыгы №2</t>
  </si>
  <si>
    <t>Тергөө башкармалыгы №3</t>
  </si>
  <si>
    <t>Аймактык деңгээлде тармакты башкаруу жана администрациялоо</t>
  </si>
  <si>
    <t>Аймактык деңгээлде башкаруу   (Финансылык  менеджмент жана эсепке алууну камсыздоо)</t>
  </si>
  <si>
    <r>
      <t>Аскер мыйзамдары сакталышына жалпы көзөмөл кылууну ж</t>
    </r>
    <r>
      <rPr>
        <b/>
        <sz val="11"/>
        <color indexed="8"/>
        <rFont val="Times New Roman"/>
        <family val="1"/>
      </rPr>
      <t>үзөгө</t>
    </r>
    <r>
      <rPr>
        <b/>
        <sz val="11"/>
        <color indexed="8"/>
        <rFont val="Times New Roman"/>
        <family val="1"/>
        <charset val="204"/>
      </rPr>
      <t xml:space="preserve"> ашыруу</t>
    </r>
  </si>
  <si>
    <t>Бекитилген план боюнча текшерүүлөрдүн жана сабактардын,  борбордук деңгээлдеги массалык маалымат каражаттарына чыгуулардын саны</t>
  </si>
  <si>
    <t>Бекитилген план боюнча текшерүүлөрдүн жана сабактардын, аймактык деңгээлдеги массалык маалымат каражаттарына чыгуулардын саны</t>
  </si>
  <si>
    <t>Кылмыштардын алдын алуу боюнча сабактарга катышкан аскер кызматкерлеринин саны (аскер кызматкерлеринин жалпы санына карата)</t>
  </si>
  <si>
    <t xml:space="preserve">Соттун чечими менен колдоого алынган мамлекеттик айыптоолордун саны </t>
  </si>
  <si>
    <t>Мамлекеттик каттоону жүзөгө ашыруу жана нотариалдык ишти координациялоо</t>
  </si>
  <si>
    <r>
      <t>Мамлекеттик каттоону ж</t>
    </r>
    <r>
      <rPr>
        <b/>
        <sz val="11"/>
        <color theme="1"/>
        <rFont val="Times New Roman"/>
        <family val="1"/>
      </rPr>
      <t>үзөгө</t>
    </r>
    <r>
      <rPr>
        <b/>
        <sz val="11"/>
        <color theme="1"/>
        <rFont val="Times New Roman"/>
        <family val="1"/>
        <charset val="204"/>
      </rPr>
      <t xml:space="preserve"> ашыруу жана нотариалдык ишти координациялоо</t>
    </r>
  </si>
  <si>
    <t>Түшкөн суроо-талаптардын ичинен иштетилген суроо таалптардын үлүшү</t>
  </si>
  <si>
    <t>Коомдон бөлүүгө байланышпаган кылмыштык жазаларын аткаруу</t>
  </si>
  <si>
    <t>Мыйзам бузган жарандарды түзөтүү жана кайрадан окутуу, о.э. соттолгон адамдарды социалдык интеграциялоо</t>
  </si>
  <si>
    <r>
      <rPr>
        <b/>
        <sz val="11"/>
        <color indexed="8"/>
        <rFont val="Times New Roman"/>
        <family val="1"/>
      </rPr>
      <t>Башкаруу жана администрациялоо</t>
    </r>
    <r>
      <rPr>
        <b/>
        <i/>
        <sz val="11"/>
        <color indexed="8"/>
        <rFont val="Times New Roman"/>
        <family val="1"/>
        <charset val="204"/>
      </rPr>
      <t xml:space="preserve">      </t>
    </r>
    <r>
      <rPr>
        <i/>
        <sz val="11"/>
        <color indexed="8"/>
        <rFont val="Times New Roman"/>
        <family val="1"/>
        <charset val="204"/>
      </rPr>
      <t>Программанын максаттары:                                                                                                                    
Соттук-эксперттик ишти координициялоо</t>
    </r>
  </si>
  <si>
    <t>Соттук экспертизаларды жүзөгө ашыруу</t>
  </si>
  <si>
    <t>Соттук-эксперттик ишти жүргүзүү.                                  Соттук экспертизаларды жүзөгө ашыруу</t>
  </si>
  <si>
    <r>
      <t>Эркиндигинен ажыратуучу жайлардан бошонгондорду тамак-аш, кийим, бут кийим, бир жолку акчалай ж</t>
    </r>
    <r>
      <rPr>
        <sz val="11"/>
        <color indexed="8"/>
        <rFont val="Times New Roman"/>
        <family val="1"/>
      </rPr>
      <t>өлөкпул</t>
    </r>
    <r>
      <rPr>
        <sz val="11"/>
        <color indexed="8"/>
        <rFont val="Times New Roman"/>
        <family val="1"/>
        <charset val="204"/>
      </rPr>
      <t xml:space="preserve"> менен камсыздоо жана жолун төлөп берүү (жыл сайын 1000 кишиге чейин)</t>
    </r>
  </si>
  <si>
    <t>Түзөтүү мекемелеринин администрациялары, соттор, ички иштер органдары жана Кыргыз Республикасынын Юстиция министрлиги менен өз ара аракеттенүү</t>
  </si>
  <si>
    <t>Процесстерди камсыздоонун саны</t>
  </si>
  <si>
    <t>Аймактык деңгээлде администрациялоо</t>
  </si>
  <si>
    <t>Элчиликтердин жана туруктуу өкүлчүлүктөрдүн, башкы консул-дуктардын, консулдук агенттиктердин жана виза бөлүмдөрүнүн иши</t>
  </si>
  <si>
    <t>Магистратурада билим берүү тармагында мамлекеттик билим берүү грантынын негизинде окуй турган студенттердин үлүшү</t>
  </si>
  <si>
    <t>Кыргыз Республикасынын Финансы министрлиги (Кыргыз Республикасынын Министрлер Кабинетине караштуу Социалдык фондго трансферттер)</t>
  </si>
  <si>
    <t>Кыргыз Республикасынын Финансы министрлиги (Кыргыз Республикасынын Саламаттык сактоо министрлигине караштуу ММКФ трансферттери)</t>
  </si>
  <si>
    <t xml:space="preserve">Соттун чечимдерин аткаруу </t>
  </si>
  <si>
    <t>COVID-19 каршы иш-чаралар жана анын экономикага тийгизген кесепеттери</t>
  </si>
  <si>
    <r>
      <t>Конституциалык сот адилеттүүлүгүн ж</t>
    </r>
    <r>
      <rPr>
        <sz val="11"/>
        <color theme="1"/>
        <rFont val="Times New Roman"/>
        <family val="1"/>
      </rPr>
      <t>үзөгө</t>
    </r>
    <r>
      <rPr>
        <sz val="11"/>
        <color theme="1"/>
        <rFont val="Times New Roman"/>
        <family val="1"/>
        <charset val="204"/>
      </rPr>
      <t xml:space="preserve"> ашыруу</t>
    </r>
  </si>
  <si>
    <t>Конституциялык сот мүчө болуп саналган конституциялык сот  адилеттиги боюнча мүчөлөрүнүн эл аралык жана региондук уюмдардын жана  бирикмелердин ишине катышуу</t>
  </si>
  <si>
    <t>КС аппарат кызматкерлериннин квалификациясын көтөрүү, чет өлкөлөрдүн конституциялык сотторунда такшалмалар</t>
  </si>
  <si>
    <t>Такшалмаларды өткөн кызматкерлердин саны</t>
  </si>
  <si>
    <t xml:space="preserve">Министрликтин уюштуручулук-техникалык ишин камсыз кылуу, ошондой эле кызматкерлерди окутуу жана квалификациясын жогорулатуу </t>
  </si>
  <si>
    <t>Улуттук стандарттарды эл аралык жана европалык ченемдерге шайкеш келтирүү деңгээлин жогорулатуу жана өлчөөлөрдүн анык эмес натыйжаларынын кесепеттеринен мамлекеттин жана жарандардын кызыкчылыктарын коргоо</t>
  </si>
  <si>
    <t xml:space="preserve">2022-2026-жылдары Кыргыз Республикасында интеллектуалдык менчикти жана инновацияларды өнүктүрүүнүн мамлекеттик программасын ишке ашыруу                                                                                                                                                                    </t>
  </si>
  <si>
    <t>Майыптуулукту баалоо жана ден соолугунун мүмкүнчүлүктөрү чектелүү адамдарды реабилитациялоо системасын жакшыртуу</t>
  </si>
  <si>
    <t>Санаториялык-курорттук дарыланууга жолдомолорго ДМЧА жетүүсүн жана ошондой эле угуу жана сүйлөө мүмкүнчүлүгү чектелген адамдар үчүн сурдокотормо кызматтарын камсыздоо</t>
  </si>
  <si>
    <t>Иш менен камсыз кылуу саясатынын пассивдүү жана активдүү чаралары</t>
  </si>
  <si>
    <t>Жумушсуздарды жумуш менен камсыз болгон калктын санына интеграциялоо</t>
  </si>
  <si>
    <t>Ардагерлердин жашоо деңгээлин жогорулатуу, ошондой эле ардагерлерди жана ардагерлер уюмдарын социалдык коргоо жаатындагы  мыйзамдарды өркүндөтүү боюнча мамлекеттик органдарга сунуштарды киргизүү</t>
  </si>
  <si>
    <t>Борбордук деңгээлде башкаруу жана администрациялоо</t>
  </si>
  <si>
    <t>Туруктуу туризмди илгерилетүүгө өбөлгө түзүүчү билим берүү жана маркетинг иш-чараларын иштеп чыгуу жана ишке ашыруу</t>
  </si>
  <si>
    <t>Болжолдордун бардык түрлөрүн чыгаруу, адистештирилген гидрометеорологиялык маалыматтарды  жана айлана-чөйрөнүн булганышы жөнүндө маалымат берүү</t>
  </si>
  <si>
    <t>Гидрометеорологиялык божомолдордун алдын ала чыгарылуусун жогорулатуу</t>
  </si>
  <si>
    <t>Мамлекеттик инвестициялык долбоорду ишке ашыруу</t>
  </si>
  <si>
    <r>
      <t xml:space="preserve">ӨКдын алдын алуу жана жоюу                                                             
</t>
    </r>
    <r>
      <rPr>
        <i/>
        <sz val="11"/>
        <rFont val="Times New Roman"/>
        <family val="1"/>
        <charset val="204"/>
      </rPr>
      <t>Программанын максаты:
Күнүмдүк алдын алуу жана коргоо чараларын жүргүзүү менен өзгөчө кырдаалдардын коркунучун жана терс кесепеттерин азайтуу               
Өзгөчө кырдаалдарда издөө, куткаруу жана  кырсыктардан өз убагында жана алдын алуу иш-чараларды өткөрүү</t>
    </r>
    <r>
      <rPr>
        <sz val="11"/>
        <rFont val="Times New Roman"/>
        <family val="1"/>
        <charset val="204"/>
      </rPr>
      <t xml:space="preserve">                                               </t>
    </r>
  </si>
  <si>
    <t>Өзгөчө кырдаалдарды өз убагында жоюу үчүн зарыл болгон жабдуулар менен ӨК кызматтарынын комплектелишинин пайызы</t>
  </si>
  <si>
    <r>
      <t xml:space="preserve">Өз алдынча башкаруу органдарын, жарандык коргонуу күчтөрүн жана калкты өзгөчө кырдаалдарда аракеттенүүгө даярдоо
</t>
    </r>
    <r>
      <rPr>
        <i/>
        <sz val="11"/>
        <rFont val="Times New Roman"/>
        <family val="1"/>
      </rPr>
      <t>Программанын максаты: башкаруу органдарынын, Жарандык коргонуу күчтөрүнүн жана калктын маалымдуулугун жана даярдыгын жогорулатуунун эсебинен өзгөчө кырдаалдардын тобокелдиктерин жана терс кесепеттерин минималдаштыруу</t>
    </r>
  </si>
  <si>
    <t>Кырсыктардын тобокелдигин азайтуунун улуттук стратегияларына ылайык табигый кырсык коркунучун азайтуунун жергиликтүү стратегияларын кабыл алган жана ишке ашырып жаткан жергиликтүү өз алдынча башкаруу органдарынын үлүшү</t>
  </si>
  <si>
    <t>Суучулдар иши боюнча адистерди даярдоо жана кайра даярдоо, бардык суу объектилеринде суу алдындагы техникалык, издөө-куткаруу, илимий-изилдөө жана эксперттик иштерди жүргүзүү</t>
  </si>
  <si>
    <t>Мамлекеттик жана мобилизациялык резервдин материалдык баалуулуктарын башкаруу (администрациялоо)</t>
  </si>
  <si>
    <t>Жарандык коргонуунун, өз алдынча башкаруу органдарын адистерин жана калкты өзгөчө кырдаалдагы аракеттерге даярдоо жана кайра даярдоо</t>
  </si>
  <si>
    <t>Кыргыз Республикасынын мобилизациялык муктаждыктарын камсыз кылуу</t>
  </si>
  <si>
    <t>Борбордук Азия өлкөлөрү менен Кыргызстандагы жана трансчек аралык региондордогу геодинамикалык процесстерди жана геотобокелдиктерди изилдөө</t>
  </si>
  <si>
    <r>
      <rPr>
        <b/>
        <sz val="11"/>
        <color theme="1"/>
        <rFont val="Times New Roman"/>
        <family val="1"/>
      </rPr>
      <t>Көрүү жана угуу боюнча майыптар үчүн коомдо бирдей укуктарды жана мүмкүнчүлүктөрдү камсыз кылуу</t>
    </r>
    <r>
      <rPr>
        <sz val="11"/>
        <color theme="1"/>
        <rFont val="Times New Roman"/>
        <family val="1"/>
        <charset val="204"/>
      </rPr>
      <t xml:space="preserve">
</t>
    </r>
    <r>
      <rPr>
        <i/>
        <sz val="11"/>
        <color theme="1"/>
        <rFont val="Times New Roman"/>
        <family val="1"/>
      </rPr>
      <t>Программанын максаты: Ден соолугунун мүмкүнчүлүгү чектелген адамдарды социалдык жактан реабилитациялоо</t>
    </r>
  </si>
  <si>
    <t xml:space="preserve">2021-жылга карата иш жүзүндө чыгарылган продуктун өндүрүү </t>
  </si>
  <si>
    <r>
      <rPr>
        <b/>
        <sz val="11"/>
        <color theme="1"/>
        <rFont val="Times New Roman"/>
        <family val="1"/>
      </rPr>
      <t xml:space="preserve">Көрүү жана угуу мумкунчулуктору чектелген майыптарды социалдык жактан коргоо                                                                     </t>
    </r>
    <r>
      <rPr>
        <i/>
        <sz val="11"/>
        <color theme="1"/>
        <rFont val="Times New Roman"/>
        <family val="1"/>
      </rPr>
      <t>Программанын максаты: эмгек менен камсыздоо жана жакшы шарт түзүү</t>
    </r>
  </si>
  <si>
    <t xml:space="preserve">Борбордук деңгээлде тармакты башкаруу жана администрациялоо </t>
  </si>
  <si>
    <t>Түз чет өлкөлүк инвестицияларды тартуу, илгерилетүү жана коштоо</t>
  </si>
  <si>
    <r>
      <t xml:space="preserve">Ата мекендик товарларды экспорттоого </t>
    </r>
    <r>
      <rPr>
        <sz val="11"/>
        <rFont val="Times New Roman"/>
        <family val="1"/>
      </rPr>
      <t>өбөлгө түзүү</t>
    </r>
  </si>
  <si>
    <t xml:space="preserve">Аймактык денгээлде  башкаруу жана администрациялоо </t>
  </si>
  <si>
    <t>Калктуу конуштарды ичүүчү суу менен камсыз кылууну жана саркынды сууларды чыгарууну туруктуу өнүктүрүү үчүн шарттарды түзүү</t>
  </si>
  <si>
    <t xml:space="preserve">Борбордук денгээлде тармакты башкаруу жана администрациялоо </t>
  </si>
  <si>
    <t xml:space="preserve">Башкаруу жана администрациялоо     </t>
  </si>
  <si>
    <r>
      <t xml:space="preserve">Экологиялык контролду, коопсуздукту, мониторингди камсыздоо жана гидрометеорологиялык кызматты өнүктүрүү                                                                                       </t>
    </r>
    <r>
      <rPr>
        <i/>
        <sz val="11"/>
        <rFont val="Times New Roman"/>
        <family val="1"/>
        <charset val="204"/>
      </rPr>
      <t>Программанын максаты. Экономикалык жана башка иштердин мүмкүн болгон терс кесепеттеринин калктын ден соолугуна жана айлана-чөйрөгө тийгизген, таасиринин алдын алуу, анын ичинде Кыргыз Республикасындагы климаттык өзгөрүүлөдү эске алуу</t>
    </r>
  </si>
  <si>
    <t>Курчап-турган чөйрөнү коргоону жана жаратылыш ресурстарын сарамжалдуу пайдалануу көзөмөлдөө жана контролдоону жүзөгө ашыруу</t>
  </si>
  <si>
    <t>Радиациялык, биологиялык жана химиялык коопсуздук боюнча ишти координациялоо</t>
  </si>
  <si>
    <t>Айланы-чөйрөнүн абалына мониторинг системасын өнүктүрүү</t>
  </si>
  <si>
    <t>ПАнын ишин координациялоо жана экосистемаларды сакто боюнча меселерди илгерилетүү, ПАнын аймагында биоартүрдүүлүктү сактоо боюнча иш-чаралар, ошондой эле илимий иштер, биологиялык ар түрдүүлүк объектилерин сактоо жана көбөйтүү</t>
  </si>
  <si>
    <t xml:space="preserve">Аймактык деңгээлде администрациялоо </t>
  </si>
  <si>
    <t>Жогорку бийлик органдарынын ишин аналитикалык, илимий жана маалыматтык жактан камсыз кылуу</t>
  </si>
  <si>
    <t>Экономиканын, ички жана тышкы саясаттын артыкчылыктуу багыттары боюнча изилдөөлөрдү жүргүзүү</t>
  </si>
  <si>
    <t>Социалдык экономикалык чөйрө, ички жана тышкы саясат жаатында изилдөө продукцияларынын саны (отчеттор, аналитикалык каттар, маалымдамалар, сунуштар, макалалар, баяндамалар (баяндамалардын тезистери) усулдук аманаттар ж. б.)</t>
  </si>
  <si>
    <t>Социалдык-экономикалык чөйрө,ички жана тышкы саясат жагында изилдөө продукттарынын саны (отчеттор, аналитикалык каттар, маалымдамалар, сунуштар, макалалар, баяндамалар (баяндамалардын тезистери) усулдук аманаттар ж. б.)</t>
  </si>
  <si>
    <t>Сапаттуу жана ишенимдүү статистикалык эсепти камсыз кылуу</t>
  </si>
  <si>
    <t>Расмий статистикалык маалыматка карата пайдалануучулардын канааттануу индекси</t>
  </si>
  <si>
    <r>
      <t xml:space="preserve">Статистика тармагынын илимий-негизденген методологиясын иштеп чыгуу, өркүндөтүү жана ишке киргизүү
</t>
    </r>
    <r>
      <rPr>
        <i/>
        <sz val="11"/>
        <color indexed="8"/>
        <rFont val="Times New Roman"/>
        <family val="1"/>
      </rPr>
      <t>Программанын максаты: Статистикалык маалыматтын сапатынын жогорку деңгээли</t>
    </r>
  </si>
  <si>
    <t>Статкомитет колдонгон методикалардын жалпы санында институт тарабынан иштелип чыккан жаңы методикалардын үлүшү</t>
  </si>
  <si>
    <t>Статистикалык маалыматты чогултуу, иштетүү жана талдоо методикасын өркүндөтүү</t>
  </si>
  <si>
    <t>Иштелип чыккан методикалардын жана сунуштардын жалпы санынан статоргандардын күнүмдүк ишине киргизилген жаңы методикалардын үлүшү</t>
  </si>
  <si>
    <t>Статистикалык органдардын кызматкерлеринин квалификациясын жогорулатуу</t>
  </si>
  <si>
    <t>Статкомитетте иштегендердин жалпы санынан квалификациясын жогорулаткан статорган кызматкерлеринин үлүшү</t>
  </si>
  <si>
    <t>Улуттук статистика системасынын натыйжалуулугун жогорулатуу, статистикалык система чөйрөсүндө институционалдык реформаларды жүргүзүү жана потенциалды жогорулатуу.</t>
  </si>
  <si>
    <t>Улуттук статистика системасын модернизациялоо</t>
  </si>
  <si>
    <r>
      <t xml:space="preserve">Салыктык башкарууну жана статистикалык системаны модернизациялоо  (ЭӨА кредити № 6546 KG, ЭӨА гранты № D566KG, 28-апрель, 2020-ж.)
</t>
    </r>
    <r>
      <rPr>
        <i/>
        <sz val="11"/>
        <rFont val="Times New Roman"/>
        <family val="1"/>
        <charset val="204"/>
      </rPr>
      <t>Программанын максаты: Улуттук статистика тутумунун натыйжалуулугун жогорулатуу, статистикалык система чөйрөсүндө институттук реформаларды жүргүзүү жана потенциалды жогорулатуу</t>
    </r>
  </si>
  <si>
    <t>"Антиплагиат" программалар б-ча электр прог. жана  маалыматтар базасын киргизүү жана пайдалануу</t>
  </si>
  <si>
    <t xml:space="preserve">Кыргыз Республикасынын Коопсуздук Кеңешинин Катчылыгы </t>
  </si>
  <si>
    <t xml:space="preserve"> Башкаруу жана администрациялоо                                                                                                                              
</t>
  </si>
  <si>
    <t>Аймактык денгээлде башкаруу жана администрациялоо</t>
  </si>
  <si>
    <t>Физикалык-техникалык, математикалык жана тоо-кен-геологиялык изилдөөлөрдү өнүктүрүү</t>
  </si>
  <si>
    <t>Жогорку вольттогу энергетикалык объектилердин жабдууларын мониторингдөөнүн автоматташтырылган системасын иштеп чыгуу. Структураларды жана методдорду изилдөө жана иштеп чыгуу</t>
  </si>
  <si>
    <t>Геологиялык карталарды киргизүүнүн саны</t>
  </si>
  <si>
    <t>Геоэкосферанын абалын контролдоонун иштелип чыккан методдоруна жана каражаттарына алынган патенттердин саны. Улуттук чарбанын конкреттүү милдеттери үчүн аэрокосмостук маалыматты иштеп чыгуу</t>
  </si>
  <si>
    <t>Айрым дарыялар боюнча ар кандай сценарийлер үчүн климаттын өзгөрүшүн эске алуу менен гидроэнергетикалык потенциалды эсептөө боюнча жүргүзүлгөн экспертизалардын саны</t>
  </si>
  <si>
    <t>Химиялык-технологиялык, медициналык-биологиялык жана айыл чарбалык изилдөөлөрдү өнүктүрүү</t>
  </si>
  <si>
    <t>Сатып өткөрүлгөн продукциянын саны (отургузуучу материал, эфир майлары) / коллекциялык гербдик фондду толтуруу</t>
  </si>
  <si>
    <t>Кыргызстандын генетикалык ресурстарынын банкына номерленген жаныбарларды биотестирлөө. Кыргызстандын табиятынын биологиялык компоненттеринин абалына мониторинг жүргүзүүнүн илимий негиздерин иштеп чыгуу</t>
  </si>
  <si>
    <t>Активдештирилген көмүрдү алуу, күрүчтүн кабыгынан отун брикеттерин алуу менен карбонаттарды (чийки көмүрдү) активдештирүүнүн жаңы ыкмасын иштеп чыгуу боюнча жүргүзүлгөн мамлекеттик экспертизанын жана эл аралык региондук долбоорлордун саны</t>
  </si>
  <si>
    <t>Илимдин методология маселелерин изилдөө жана тоолуу райондордо социалдык изилдөөлөрдү жүргүзүү. Гуманитардык изилдөөлөрдү өнүктүрүү</t>
  </si>
  <si>
    <t>Өткөрүлгөн илимий конференциялардын жана иш-чаралардын, мамлекеттик экспертизалардын саны</t>
  </si>
  <si>
    <t xml:space="preserve"> Башкаруу жана администрациялоо              </t>
  </si>
  <si>
    <t>Тышкы байланышты колдоо жана коомчулук менен байланыштарды колдоо</t>
  </si>
  <si>
    <t>Мониторинг, талдоо жана стратегиялык пландаштырууну камсыз кылуу</t>
  </si>
  <si>
    <r>
      <t xml:space="preserve">Эркиндигинен ажыратуу жана чектоо жайларында, балдар уйундо жана психоневрологиялык диспансерде алдын алуу баруулардын </t>
    </r>
    <r>
      <rPr>
        <sz val="11"/>
        <rFont val="Times New Roman"/>
        <family val="1"/>
      </rPr>
      <t>ү</t>
    </r>
    <r>
      <rPr>
        <sz val="11"/>
        <rFont val="Times New Roman"/>
        <family val="1"/>
        <charset val="204"/>
      </rPr>
      <t xml:space="preserve">згүлтүксүз </t>
    </r>
    <r>
      <rPr>
        <sz val="11"/>
        <rFont val="Times New Roman"/>
        <family val="1"/>
      </rPr>
      <t>ө</t>
    </r>
    <r>
      <rPr>
        <sz val="11"/>
        <rFont val="Times New Roman"/>
        <family val="1"/>
        <charset val="204"/>
      </rPr>
      <t>ткөрүлүшүн камсыз кылуу</t>
    </r>
  </si>
  <si>
    <r>
      <t>Кыргыз Республикасы тарабынан кыйнолорду жана катаал мамиленин туп тамыры менен жок кылуу боюнча Эл аралык ковенциянын талаптарынын аткарылышына мониторинг ж</t>
    </r>
    <r>
      <rPr>
        <sz val="11"/>
        <rFont val="Times New Roman"/>
        <family val="1"/>
      </rPr>
      <t>үргүзүү</t>
    </r>
    <r>
      <rPr>
        <sz val="11"/>
        <rFont val="Times New Roman"/>
        <family val="1"/>
        <charset val="204"/>
      </rPr>
      <t xml:space="preserve"> жана анализ кылуу</t>
    </r>
  </si>
  <si>
    <t>"Эркин-Тоо" газетасынын редакциясы</t>
  </si>
  <si>
    <r>
      <t xml:space="preserve">ТВ программаларды координациялоо, түзүү жана жайылтуу                                                 </t>
    </r>
    <r>
      <rPr>
        <i/>
        <sz val="11"/>
        <color theme="1"/>
        <rFont val="Times New Roman"/>
        <family val="1"/>
        <charset val="204"/>
      </rPr>
      <t>Программанын максаты: ТБ боюнча сапаттуу жана жеткиликтүү мааламаттарды алуу</t>
    </r>
  </si>
  <si>
    <t>Телевизиондук жана радио программаларды чыгаруу, аларды жайылтуу</t>
  </si>
  <si>
    <t>ТВ жана РБ программаларды түзүү жана жайылтуу жана аларды техникалык камсыз кылуу</t>
  </si>
  <si>
    <r>
      <t xml:space="preserve">Мекеменин иш-чараларын уюштуруу жана пландаштыруу
</t>
    </r>
    <r>
      <rPr>
        <i/>
        <sz val="11"/>
        <color indexed="8"/>
        <rFont val="Times New Roman"/>
        <family val="1"/>
        <charset val="204"/>
      </rPr>
      <t>Программанын максаты: "Манас" эпосунун үчилтигин, ошондой эле Кыргыз Республикасынын эл жазуучусу Чыңгыз Айтматовдун маданий мурастарынын баалуулуктарын кеңири жайылтуу, сактоо, өнүктүрүү жана популяризациялоо</t>
    </r>
  </si>
  <si>
    <t xml:space="preserve">Башкаруу жана администрациялоо
                                                                                       </t>
  </si>
  <si>
    <t>Аймактык денгээлде тармакты башкаруу жана администрациялоо</t>
  </si>
  <si>
    <t xml:space="preserve">Бюджетти пландаштыруу жана болжолдоо </t>
  </si>
  <si>
    <t>Дем берүүчү гранттардын эсебинен долбоорлорду каржылоо</t>
  </si>
  <si>
    <t>Мамлекеттик карыздын туруктуулугун орто мөөнөттүү келечекте колдоо</t>
  </si>
  <si>
    <t>Киреше жана чыгашалар боюнча бюджеттин аткарылышына кассалык тейлөө</t>
  </si>
  <si>
    <t>Бюджетти кассалык аткаруу жана бюджеттин аткарылышы жөнүндө отчетту түзүү</t>
  </si>
  <si>
    <t>Жергиликтүү деңгээлде бюджеттин аткарылышына кассалык тейлөө</t>
  </si>
  <si>
    <t>Капиталдык салымдардын объекттерин каржылоо</t>
  </si>
  <si>
    <t>Дем берүүчү гранттарды каржылоонун жылдык жалпы көлөмү</t>
  </si>
  <si>
    <t>Мамлекеттик карыз боюнча мөөнөтү өткөн карыздын көлөмү</t>
  </si>
  <si>
    <t>Жаңы тышкы карыз алуулардын жеңилдиктеринин деңгээли (грант элементинин %)</t>
  </si>
  <si>
    <t>Аукциондук негизде МБКларды чыгаруунун үлүшү</t>
  </si>
  <si>
    <t>Автоматташтырылган программалык камсыздоо колдонгон райондук финансылык бөлүмдөрдүн (үлүштүн) жана ЖӨБОнун саны</t>
  </si>
  <si>
    <t>Белгиленген пландык көрсөткүчтөрдөн корголгон статьяларды каржылоонун толуктугу</t>
  </si>
  <si>
    <t>Мамлекеттик финансыны натыйжалуу башкаруу</t>
  </si>
  <si>
    <t>PEFA баалоосу (PI-24) Сатып алуу</t>
  </si>
  <si>
    <t>Кыргыз Республикасынын аймагында баалуу металлдар жана асыл таштар менен операцияларга мамлекеттик контролду жана көзөмөлдү жүзөгө ашыруу</t>
  </si>
  <si>
    <t>Белгиленген мөөнөттө даярдалган эксперттик корутундулардын үлүшү</t>
  </si>
  <si>
    <t>Бюджеттик кредиттерди эсепке алуу, талдоо жана башкаруу</t>
  </si>
  <si>
    <t>Мамлекеттик кирешелерди администрациялоо</t>
  </si>
  <si>
    <t>Борбордук деңгээлде салыктык администрациялоо</t>
  </si>
  <si>
    <t>Борбордук деңгээлде башкаруу жана бажылык администрациялоо</t>
  </si>
  <si>
    <t xml:space="preserve">Чогултулган салыктын 1 сомунун өздүк наркы (МСКнын чыгымдары /салыктык түшүүлөрдүн жалпы көлөмүнө карата) </t>
  </si>
  <si>
    <t>Чогултулган бажы төлөмдөрүнүн жана жыйымдарынын 1 сомунун өздүк наркы ( МБКнын чыгымдары / жыл үчүн төлөмдөрдүн жана жыйымдардын жалпы суммасы)</t>
  </si>
  <si>
    <t>Коюлган милдеттерди ишке ашыруу</t>
  </si>
  <si>
    <t>Маалыматтык системаларды коштоо жана камсыздоо</t>
  </si>
  <si>
    <t>Террористтик ишти каржылоого жана кылмыштуу кирешелерди легалдаштырууга (адалдоого) каршы аракеттенүү</t>
  </si>
  <si>
    <t>Жалпы билим берүү тармагынын, мектептен тышкаркы билим берүү уюмдарынын, интернаттардын, балдар үйлөрүнүн, Кыргыз Республикасынын Билим берүү жана илим министрлигинин алдындагы басмаканалардын, китепканалардын иштөөсүн колдоо</t>
  </si>
  <si>
    <r>
      <t xml:space="preserve">Башталгыч жана орто кесиптик билим берүү
</t>
    </r>
    <r>
      <rPr>
        <i/>
        <sz val="11"/>
        <color theme="1"/>
        <rFont val="Times New Roman"/>
        <family val="1"/>
        <charset val="204"/>
      </rPr>
      <t xml:space="preserve">Программанын максаты: Эмгек рыногунун, коомдун жана мамлекеттин талаптарына жооп берген кесиптик билим берүүнүн жаңы системасын түзүү  </t>
    </r>
  </si>
  <si>
    <t>Баштапкы кесиптик билим берүү уюмдарынын тармагынын иштешин колдоо</t>
  </si>
  <si>
    <t>Орто кесиптик билим берүү уюмдарынын тармагынын иштешин колдоо</t>
  </si>
  <si>
    <r>
      <t xml:space="preserve">Жогорку кесиптик билим берүү                      </t>
    </r>
    <r>
      <rPr>
        <i/>
        <sz val="11"/>
        <color theme="1"/>
        <rFont val="Times New Roman"/>
        <family val="1"/>
        <charset val="204"/>
      </rPr>
      <t>Программанын максаты: Эл аралык стандарттарга ылайык билим берүүнүн сапатын жогорулатуу жана бүтүрүүчүлөрдүн көндүмдөрүнө жана билимине карата талаптарды өзгөртүү</t>
    </r>
    <r>
      <rPr>
        <b/>
        <sz val="11"/>
        <color theme="1"/>
        <rFont val="Times New Roman"/>
        <family val="1"/>
        <charset val="204"/>
      </rPr>
      <t xml:space="preserve">                 </t>
    </r>
  </si>
  <si>
    <t xml:space="preserve">Жогорку кесиптик билим берүү уюмдарынын тармагынын иштешин колдоо   </t>
  </si>
  <si>
    <t>Институционалдык потенциалды өнүктүрүү жана ЖОЖ илимий изилдөө иштеринин сапатын жогорулатуу, практикалык колдонууну алууга багытталган университеттердеги илимий долбоорлордун санын жогорулатуу</t>
  </si>
  <si>
    <r>
      <t xml:space="preserve">Коомдук саламаттык сактоо
</t>
    </r>
    <r>
      <rPr>
        <i/>
        <sz val="11"/>
        <rFont val="Times New Roman"/>
        <family val="1"/>
        <charset val="204"/>
      </rPr>
      <t>Программанын максаты: Оорулардын алдын алуу жана ден соолукту чыңдоо программаларын интеграциялоого, секторлор аралык кеңири өз ара аракеттенүүгө жана ден соолукту коргоо жана чыңдоо маселелерине коомдун активдүү катышуусуна негизделген туруктуу коомдук саламаттык сактоо кызматын түзүү</t>
    </r>
  </si>
  <si>
    <t>Эне менен баланын ден-соолугун коргоону уюштуруу</t>
  </si>
  <si>
    <t>Инфраструктураны жакшыртуу (МИД)</t>
  </si>
  <si>
    <t>Борбордук деңгээлде  башкаруу жана администрациялоо</t>
  </si>
  <si>
    <t>Мал чарбачылык тармагында илимий-изилдөө иштер</t>
  </si>
  <si>
    <t>"Мал чарбасын жана рынокту өнүктүрүү 1,2" долбоорун ишке ашыруу - донору МФСР</t>
  </si>
  <si>
    <t xml:space="preserve">"Рынокторго чыгууну камсыздоо" долбоорун ишке ашыруу </t>
  </si>
  <si>
    <t xml:space="preserve"> "Сүт секторунун өндүрүмдүүлүгүн  комплекстүү өнүктүрүү" долбоорун ишке ашыруу (ДБ) </t>
  </si>
  <si>
    <t>Органикалык айыл чарбасын жана айыл чарба биотехнологиясын өнүктүрүү</t>
  </si>
  <si>
    <t>Үрөндүк себүүлөргө жана көчөттөргө талаа инспекциясын жүргүзүү, үрөндөрдүн партияларына кыртыштык контроль жүргүзүү</t>
  </si>
  <si>
    <r>
      <t xml:space="preserve">Ветеринардык жана фитосанитардык коопсуздукту жана жаныбарлардын саламаттыгын коргоону камсыз кылуу                                                                </t>
    </r>
    <r>
      <rPr>
        <i/>
        <sz val="11"/>
        <rFont val="Times New Roman"/>
        <family val="1"/>
        <charset val="204"/>
      </rPr>
      <t>Программанын максаты: Өлкөдөгү жаныбарлардын ден соолугунун абалын жана мал чарба азыктарынын коопсуздугун, ветеринардык ден соолукту жакшыртуу жана мал чарба секторунун атаандаштыкка жөндөмдүүлүгүн жогорулатуу</t>
    </r>
  </si>
  <si>
    <t>Мамлекеттик суу чарба объекттерин күтүү жана капиталдык оңдоо</t>
  </si>
  <si>
    <r>
      <t xml:space="preserve">Жер ресурстарын мамлекеттик колдоо жана </t>
    </r>
    <r>
      <rPr>
        <b/>
        <sz val="11"/>
        <rFont val="Times New Roman"/>
        <family val="1"/>
      </rPr>
      <t>өнүктүрүү</t>
    </r>
    <r>
      <rPr>
        <b/>
        <sz val="11"/>
        <rFont val="Times New Roman"/>
        <family val="1"/>
        <charset val="204"/>
      </rPr>
      <t xml:space="preserve">                                                          </t>
    </r>
    <r>
      <rPr>
        <i/>
        <sz val="11"/>
        <rFont val="Times New Roman"/>
        <family val="1"/>
        <charset val="204"/>
      </rPr>
      <t xml:space="preserve">Программанын максаты: Айыл чарбасын туруктуу өнүктүрүүдө жер ресурстарын сарамжалдуу жана натыйжалуу пайдаланууну камсыз кылуу      </t>
    </r>
    <r>
      <rPr>
        <b/>
        <sz val="11"/>
        <rFont val="Times New Roman"/>
        <family val="1"/>
        <charset val="204"/>
      </rPr>
      <t xml:space="preserve">                                                                         </t>
    </r>
  </si>
  <si>
    <t>Кыртышты изилдөөнү оңдоо, айдоо жерлеринин мониторинги, жерге жайгаштыруу боюнча долбоорлоо-изилдөө, изилдөө иштери</t>
  </si>
  <si>
    <t>Жерди көзөмөлдөө, контролдоо жана коргоону жүзөгө ашыруу</t>
  </si>
  <si>
    <r>
      <t xml:space="preserve">Жалпы пайдалануудагы автомобиль жолдорун иштөө абалында колдоо                                                </t>
    </r>
    <r>
      <rPr>
        <i/>
        <sz val="11"/>
        <color theme="1"/>
        <rFont val="Times New Roman"/>
        <family val="1"/>
        <charset val="204"/>
      </rPr>
      <t>Программанын максаты: Ички жол тармагынын инфраструктурасын стандарттарга ылайык талаптагыдай абалда кармоо</t>
    </r>
  </si>
  <si>
    <t>Техниканы сатып алуу</t>
  </si>
  <si>
    <t>Жашыл шаарлар-2 алкактык программасы (2-терезе: Бишкек автобустары)</t>
  </si>
  <si>
    <t>ОЭК жаатындагы мамлекеттик саясатты иштеп чыгуу жана ишке ашыруу</t>
  </si>
  <si>
    <t xml:space="preserve">"Жылуулук менен жабдууну жакшыртуу" долбоору </t>
  </si>
  <si>
    <t xml:space="preserve">"Чыгыш электр" ААКсын реабилитациялоо </t>
  </si>
  <si>
    <t xml:space="preserve">"Ош электр" ААКсын реабилитациялоо </t>
  </si>
  <si>
    <t>Уч-Коргон ГЭСин модернизациялоо</t>
  </si>
  <si>
    <t>Калкка жылуулук энергиясын иштеп чыгуу жана сатуу</t>
  </si>
  <si>
    <r>
      <t xml:space="preserve">Сапаттуу сот адилеттигине калктын жеткиликтүүлүгүн камсыз кылуу                                   </t>
    </r>
    <r>
      <rPr>
        <i/>
        <sz val="11"/>
        <color theme="1"/>
        <rFont val="Times New Roman"/>
        <family val="1"/>
        <charset val="204"/>
      </rPr>
      <t>Программанын максаты: Адилеттүүлүтү, болбой койбостукту камсыздоо жана сот чечимдерин аткаруу</t>
    </r>
  </si>
  <si>
    <r>
      <t xml:space="preserve"> 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координациялык жана уюштуруучу таасир этүүлөр</t>
    </r>
  </si>
  <si>
    <r>
      <t xml:space="preserve">Мамлекеттик  аудитти жүргүзүү 
</t>
    </r>
    <r>
      <rPr>
        <i/>
        <sz val="11"/>
        <color theme="1"/>
        <rFont val="Times New Roman"/>
        <family val="1"/>
        <charset val="204"/>
      </rPr>
      <t>Программанын максаты:</t>
    </r>
    <r>
      <rPr>
        <i/>
        <sz val="11"/>
        <color theme="1"/>
        <rFont val="Times New Roman"/>
        <family val="1"/>
        <charset val="204"/>
      </rPr>
      <t xml:space="preserve">Аудит жана натыйжалуулук аудити </t>
    </r>
  </si>
  <si>
    <r>
      <rPr>
        <b/>
        <sz val="11"/>
        <color theme="1"/>
        <rFont val="Times New Roman"/>
        <family val="1"/>
        <charset val="204"/>
      </rPr>
      <t xml:space="preserve">Референдумга жана шайлоого катышуу аркылуу бийликти жүзөгө ашырууга жарандардын конституциялык укуктарын ишке ашыруу                                                                                  </t>
    </r>
    <r>
      <rPr>
        <sz val="11"/>
        <color theme="1"/>
        <rFont val="Times New Roman"/>
        <family val="1"/>
        <charset val="204"/>
      </rPr>
      <t xml:space="preserve"> </t>
    </r>
    <r>
      <rPr>
        <i/>
        <sz val="11"/>
        <color theme="1"/>
        <rFont val="Times New Roman"/>
        <family val="1"/>
        <charset val="204"/>
      </rPr>
      <t>Программанын максаты: Референдумдарда жана шайлоолордо шайлоочулардын келүүсүнүн жогору деңгээлде уюштуруу</t>
    </r>
  </si>
  <si>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координациялык жана уюштуруучул таасир этүүлөр</t>
    </r>
  </si>
  <si>
    <r>
      <t xml:space="preserve">Кыргыз Республикасынын жана анын чет өлкөлөрдөгү  жарандарынын кызыкчылыгын коргоо                                                             
</t>
    </r>
    <r>
      <rPr>
        <i/>
        <sz val="11"/>
        <rFont val="Times New Roman"/>
        <family val="1"/>
        <charset val="204"/>
      </rPr>
      <t xml:space="preserve">Программанын максаты: Чет өлкөлөрдө мамлекеттин сапатын жана кызыкчылыктарын ар тараптуу чагылдыруу. Эл аралык аренада өлкөнүн позитивдүү имиджи </t>
    </r>
  </si>
  <si>
    <r>
      <t xml:space="preserve">Эл аралык мамилелер жаатында  жогорку билим берүү                                                            </t>
    </r>
    <r>
      <rPr>
        <i/>
        <sz val="11"/>
        <rFont val="Times New Roman"/>
        <family val="1"/>
        <charset val="204"/>
      </rPr>
      <t>Программанын максаты: Эл аралык мамилелер жаатында жогорку кесиптик, дипломдон кийинки жана кошумча кесиптик билимди сапаттуу берүү аркылуу эл аралык мамилелер чөйрөсүндө адам капиталын түзүү</t>
    </r>
  </si>
  <si>
    <r>
      <t xml:space="preserve">Конституциялык сотунун ишин  ачыктыгын жана айкындуулугун камсыздоо                    
</t>
    </r>
    <r>
      <rPr>
        <i/>
        <sz val="11"/>
        <color theme="1"/>
        <rFont val="Times New Roman"/>
        <family val="1"/>
        <charset val="204"/>
      </rPr>
      <t xml:space="preserve">Программанын максаты: Коомдун ишенимин КСга артыруу </t>
    </r>
  </si>
  <si>
    <r>
      <t xml:space="preserve">КР Экономика жана коммерция министрлигинин ички потенциалын жогорулатуу                 
</t>
    </r>
    <r>
      <rPr>
        <i/>
        <sz val="11"/>
        <rFont val="Times New Roman"/>
        <family val="1"/>
        <charset val="204"/>
      </rPr>
      <t xml:space="preserve">Программанын максаты: АРБ өнүктүрүү жолу менен министрликтин потенциалын күчөтүү, иш процесстерин оптимизациялоо жана системаларды өркүндөтүү. Башка программаларды ишке ашырууга координациялык жана уюштуруучулук таасир этүүлөр </t>
    </r>
  </si>
  <si>
    <r>
      <t xml:space="preserve">Экономиканын артыкчылыктуу чөйрөлөрүн өнүктүрүү үчүн жагымдуу ченемдик-укуктук чөйрө                                                              </t>
    </r>
    <r>
      <rPr>
        <i/>
        <sz val="11"/>
        <color theme="1"/>
        <rFont val="Times New Roman"/>
        <family val="1"/>
        <charset val="204"/>
      </rPr>
      <t>Программанын максаты: Жагымдуу ченемдик-укуктук чөйрөнү түзүү жана экономиканын артыкчылыктуу чөйрөлөрүн жана бизнес субъекттеринин ишин активдештирүү үчүн акылга сыярлык реформаларды жүргүзүү</t>
    </r>
  </si>
  <si>
    <t>Программанын максаты: Өлкөнүн экономикалык туруктуулугун түзүү максатында Кыргыз Республикасынын Министрлер Кабинетине сунуштарды иштеп чыгуу</t>
  </si>
  <si>
    <r>
      <rPr>
        <b/>
        <sz val="11"/>
        <rFont val="Times New Roman"/>
        <family val="1"/>
        <charset val="204"/>
      </rPr>
      <t xml:space="preserve">Башкаруу жана администрациялоо     </t>
    </r>
    <r>
      <rPr>
        <sz val="11"/>
        <rFont val="Times New Roman"/>
        <family val="1"/>
        <charset val="204"/>
      </rPr>
      <t xml:space="preserve">                  </t>
    </r>
    <r>
      <rPr>
        <i/>
        <sz val="11"/>
        <rFont val="Times New Roman"/>
        <family val="1"/>
        <charset val="204"/>
      </rPr>
      <t>Программанын максаты: Ушул стратегияга кирген бюджеттик программаларды натыйжалуу ишке ашырууну камсыздоо үчүн координация жана уюштуруучулук таасир этүүлөр</t>
    </r>
  </si>
  <si>
    <r>
      <rPr>
        <b/>
        <sz val="11"/>
        <rFont val="Times New Roman"/>
        <family val="1"/>
        <charset val="204"/>
      </rPr>
      <t>Ден соолугунун мүмкүнчүлүгү чектелген адамдарды (ДМЧА) жана улгайган жарандарды социалдык коргоо</t>
    </r>
    <r>
      <rPr>
        <sz val="11"/>
        <rFont val="Times New Roman"/>
        <family val="1"/>
        <charset val="204"/>
      </rPr>
      <t xml:space="preserve">                                              </t>
    </r>
    <r>
      <rPr>
        <i/>
        <sz val="11"/>
        <rFont val="Times New Roman"/>
        <family val="1"/>
        <charset val="204"/>
      </rPr>
      <t xml:space="preserve">Программанын максаты: Базалык кызматтарга бирдей жетүүнү камсыздоо жана ден соолугунун мүмкүнчүлүгү чектелген адамдарды коомго натыйжалуу интеграциялоо максатында алар үчүн жашоо жөндөмдүүлүктүн жеткиликтүү чөйрөсүн түзүү               </t>
    </r>
    <r>
      <rPr>
        <sz val="11"/>
        <rFont val="Times New Roman"/>
        <family val="1"/>
        <charset val="204"/>
      </rPr>
      <t xml:space="preserve">                          </t>
    </r>
  </si>
  <si>
    <r>
      <t xml:space="preserve">Үй-бүлөлүк жана гендердик зомбулуктан жабыр тарткандарды социалдык жактан коргоо                                                                                      </t>
    </r>
    <r>
      <rPr>
        <i/>
        <sz val="11"/>
        <rFont val="Times New Roman"/>
        <family val="1"/>
        <charset val="204"/>
      </rPr>
      <t>Программанын максаты: Гендердик басмырлоонун жана зомбулуктун курмандыктарына жардам берүү системасын өнүктүрүү</t>
    </r>
  </si>
  <si>
    <r>
      <t xml:space="preserve">Башкаруу жана администрациялоо                                                                                                                              
</t>
    </r>
    <r>
      <rPr>
        <i/>
        <sz val="11"/>
        <color theme="1"/>
        <rFont val="Times New Roman"/>
        <family val="1"/>
        <charset val="204"/>
      </rPr>
      <t xml:space="preserve">Программанын максаты: Башка программаларды ишке ашырууга координациялык жана уюштурулган тааасир этүүлөр </t>
    </r>
  </si>
  <si>
    <r>
      <t xml:space="preserve">КРПМБАда жогорку кесиптик билим берүү                                                                                                                             
</t>
    </r>
    <r>
      <rPr>
        <i/>
        <sz val="11"/>
        <color theme="1"/>
        <rFont val="Times New Roman"/>
        <family val="1"/>
        <charset val="204"/>
      </rPr>
      <t xml:space="preserve">Программанын максаты: Эмгек рыногунун талаптарына ылайык жогорку кесиптик билимдүү кадрларды даярдоо </t>
    </r>
  </si>
  <si>
    <r>
      <t xml:space="preserve">Башкаруу жана администрациялоо                                    </t>
    </r>
    <r>
      <rPr>
        <i/>
        <sz val="11"/>
        <color theme="1"/>
        <rFont val="Times New Roman"/>
        <family val="1"/>
        <charset val="204"/>
      </rPr>
      <t xml:space="preserve">Программанын максаты: Башка программаларды ишке ашырууга координациялоочу жана уюштуруучулук таасир </t>
    </r>
    <r>
      <rPr>
        <i/>
        <sz val="11"/>
        <color theme="1"/>
        <rFont val="Times New Roman"/>
        <family val="1"/>
      </rPr>
      <t>этүүлөр</t>
    </r>
    <r>
      <rPr>
        <i/>
        <sz val="11"/>
        <color theme="1"/>
        <rFont val="Times New Roman"/>
        <family val="1"/>
        <charset val="204"/>
      </rPr>
      <t xml:space="preserve"> </t>
    </r>
  </si>
  <si>
    <r>
      <t xml:space="preserve">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координациялоочу жана уюштуруучу таасир </t>
    </r>
    <r>
      <rPr>
        <i/>
        <sz val="11"/>
        <rFont val="Times New Roman"/>
        <family val="1"/>
      </rPr>
      <t>этүүлөр</t>
    </r>
  </si>
  <si>
    <r>
      <t xml:space="preserve">Табигый, техногендик кооптуу процесстерди жана кубулуштарды божомолдоо                         
</t>
    </r>
    <r>
      <rPr>
        <i/>
        <sz val="11"/>
        <rFont val="Times New Roman"/>
        <family val="1"/>
        <charset val="204"/>
      </rPr>
      <t>Программанын максаты: Кыргыз Республикасында өзгөчө кырдаалдардын алдын алууну, тобокелдигин баалоону жана мониторинг жүргүзүүнү жакшыртуу</t>
    </r>
  </si>
  <si>
    <r>
      <t>Башкаруу жана администрациялоо</t>
    </r>
    <r>
      <rPr>
        <i/>
        <sz val="11"/>
        <rFont val="Times New Roman"/>
        <family val="1"/>
        <charset val="204"/>
      </rPr>
      <t xml:space="preserve">                            
Программанын максаты: башка программаларды ишке ашырууга координациялык жана уюштуруучулук таасир этүүлөр</t>
    </r>
  </si>
  <si>
    <r>
      <t xml:space="preserve">Жер казынасын геологиялык изилдөө, жер астындагы суулардын абалын жана коркунучтуу экзогендик геологиялык процесстерди контролдоо - мамлекеттик геологиялык заказ     
</t>
    </r>
    <r>
      <rPr>
        <i/>
        <sz val="11"/>
        <rFont val="Times New Roman"/>
        <family val="1"/>
        <charset val="204"/>
      </rPr>
      <t>Программанын максаты: болжолдуу ресурстарын баалоо менен пайдалуу казындылардын көрүнүштөрүн жана кендерин табууга багытталган издөө-баалоо иштерин жүргүзүү. Жер астындагы суулардын режимине жана сапатына жана коркунучтуу экзогендик геологиялык процесстерге байкоо жүргүзүү бөлүгүндө геологиялык чөйрөнү системалуу изилдөө</t>
    </r>
  </si>
  <si>
    <r>
      <t xml:space="preserve">Башкаруу жана администрациялоо 
</t>
    </r>
    <r>
      <rPr>
        <i/>
        <sz val="11"/>
        <color theme="1"/>
        <rFont val="Times New Roman"/>
        <family val="1"/>
        <charset val="204"/>
      </rPr>
      <t xml:space="preserve">Программанын максаты: Башка программаларды ишке ашырууга координациялоочу жана уюштуруучулук таасир этүүлөр </t>
    </r>
  </si>
  <si>
    <r>
      <rPr>
        <b/>
        <sz val="11"/>
        <rFont val="Times New Roman"/>
        <family val="1"/>
        <charset val="204"/>
      </rP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</si>
  <si>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r>
      <t>Электр жана почта байланышын өнуктур</t>
    </r>
    <r>
      <rPr>
        <b/>
        <sz val="11"/>
        <color theme="1"/>
        <rFont val="Times New Roman"/>
        <family val="1"/>
      </rPr>
      <t>үү</t>
    </r>
    <r>
      <rPr>
        <b/>
        <sz val="11"/>
        <color theme="1"/>
        <rFont val="Times New Roman"/>
        <family val="1"/>
        <charset val="204"/>
      </rPr>
      <t xml:space="preserve">                                                         </t>
    </r>
    <r>
      <rPr>
        <sz val="11"/>
        <color theme="1"/>
        <rFont val="Times New Roman"/>
        <family val="1"/>
        <charset val="204"/>
      </rPr>
      <t xml:space="preserve">  </t>
    </r>
    <r>
      <rPr>
        <i/>
        <sz val="11"/>
        <color theme="1"/>
        <rFont val="Times New Roman"/>
        <family val="1"/>
      </rPr>
      <t>Программанын максаты:Заманбап жогорку технологиялуу жана атаандаштыкка жөндөмдүү Улуттук маалымат  тармагын куруу жана Улуттук тармакты дүйнөлүк маалымат мейкиндигине интеграциялоо</t>
    </r>
  </si>
  <si>
    <r>
      <t xml:space="preserve">Башкаруу жана администрациялоо                                                                                                                             
</t>
    </r>
    <r>
      <rPr>
        <i/>
        <sz val="11"/>
        <color theme="1"/>
        <rFont val="Times New Roman"/>
        <family val="1"/>
        <charset val="204"/>
      </rPr>
      <t xml:space="preserve">Программанын максаты: Башка программаларды ишке ашырууга координациялоочу жана уюштуруучу таасир </t>
    </r>
    <r>
      <rPr>
        <i/>
        <sz val="11"/>
        <color theme="1"/>
        <rFont val="Times New Roman"/>
        <family val="1"/>
      </rPr>
      <t>этүүлөр</t>
    </r>
  </si>
  <si>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</si>
  <si>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r>
      <t xml:space="preserve">Илимий жана илимий пед-педагогикалык кадрлардын сапаттуу курамын жакшыртууга, аларды даярдоонун натыйжалуулугун жогорулатууга көмөк көрсөтүү             
</t>
    </r>
    <r>
      <rPr>
        <i/>
        <sz val="11"/>
        <rFont val="Times New Roman"/>
        <family val="1"/>
      </rPr>
      <t xml:space="preserve">Программанын максаты: Диссертацияны илимий денгээлине, алардын илимий жанапрактикалык баалулугуна, илимий жана илимий педагогикалык кадрларды жогорку квалификацияга аттестациялоодо бирдиктүү талаптарды контролдоону камсыздоо </t>
    </r>
  </si>
  <si>
    <r>
      <rPr>
        <b/>
        <sz val="11"/>
        <color indexed="8"/>
        <rFont val="Times New Roman"/>
        <family val="1"/>
        <charset val="204"/>
      </rPr>
      <t xml:space="preserve">Медициналык кызмат </t>
    </r>
    <r>
      <rPr>
        <b/>
        <sz val="11"/>
        <color indexed="8"/>
        <rFont val="Times New Roman"/>
        <family val="1"/>
      </rPr>
      <t>көрсөтүүлөр</t>
    </r>
    <r>
      <rPr>
        <b/>
        <sz val="11"/>
        <color indexed="8"/>
        <rFont val="Times New Roman"/>
        <family val="1"/>
        <charset val="204"/>
      </rPr>
      <t xml:space="preserve">      </t>
    </r>
    <r>
      <rPr>
        <sz val="11"/>
        <color indexed="8"/>
        <rFont val="Times New Roman"/>
        <family val="1"/>
        <charset val="204"/>
      </rPr>
      <t xml:space="preserve">                                     </t>
    </r>
    <r>
      <rPr>
        <i/>
        <sz val="11"/>
        <color indexed="8"/>
        <rFont val="Times New Roman"/>
        <family val="1"/>
        <charset val="204"/>
      </rPr>
      <t>Программанын максаты: Медициналык кызматтарды сапаттуу көрсөтүү</t>
    </r>
  </si>
  <si>
    <r>
      <t xml:space="preserve">Кыйноолорду жана катаал мамилени эркиндигинен ажыратуу жана чектоо жайларында алдын алуу
</t>
    </r>
    <r>
      <rPr>
        <i/>
        <sz val="11"/>
        <color theme="1"/>
        <rFont val="Times New Roman"/>
        <family val="1"/>
        <charset val="204"/>
      </rPr>
      <t>Программанын максаты:Кыйноолорду жана катаал мамилени, алардын эркиндигинен ажыратуу жана чектоо жайларында, балдар уйундо  жана психо-неврологиялык диспансерлерде колдонулушунун коркунучун туп тамыры менен жок кылуу</t>
    </r>
  </si>
  <si>
    <r>
      <t xml:space="preserve">КР аймагына, анын чегинен сырткары телерадиоберүүлөрдү түзүү жана таркатуу                                                            </t>
    </r>
    <r>
      <rPr>
        <i/>
        <sz val="11"/>
        <color theme="1"/>
        <rFont val="Times New Roman"/>
        <family val="1"/>
        <charset val="204"/>
      </rPr>
      <t xml:space="preserve"> Программанын максаты: маалыматтык-агартуучулук кызматтарды телерадиоберүү чыгарылыштары аркылуу эфирден кетирип жардам берүү</t>
    </r>
  </si>
  <si>
    <t>"Манас" эпосунун көйгөйлөрү жана Ч.Айтматовдун мурастары боюнча маданий иш-чараларды, эл аралык симпозиумдарды, конгресстерди уюштуруу жана өткөрүү. Манас таануу жана чыңгызология тармагындагы илимий материалдарды басып чыгаруу</t>
  </si>
  <si>
    <r>
      <rPr>
        <b/>
        <sz val="11"/>
        <color theme="1"/>
        <rFont val="Times New Roman"/>
        <family val="1"/>
        <charset val="204"/>
      </rPr>
      <t>Мектепке чейинки билим берүү жана мектепке чейинки даярдоо</t>
    </r>
    <r>
      <rPr>
        <sz val="11"/>
        <color theme="1"/>
        <rFont val="Times New Roman"/>
        <family val="1"/>
        <charset val="204"/>
      </rPr>
      <t xml:space="preserve">
</t>
    </r>
    <r>
      <rPr>
        <i/>
        <sz val="11"/>
        <color theme="1"/>
        <rFont val="Times New Roman"/>
        <family val="1"/>
        <charset val="204"/>
      </rPr>
      <t xml:space="preserve">Программанын максаты: Сапаттуу мектепке чейинки билим берүү жана балдарды эрте өнүктүрүү программаларына жетүүнү кеңейтүү     </t>
    </r>
    <r>
      <rPr>
        <sz val="11"/>
        <color theme="1"/>
        <rFont val="Times New Roman"/>
        <family val="1"/>
        <charset val="204"/>
      </rPr>
      <t xml:space="preserve">     </t>
    </r>
  </si>
  <si>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координациялык жана уюштуруучулук таасир этүүлөр</t>
    </r>
  </si>
  <si>
    <r>
      <t>Саламаттык сактоо кызмат көрсөтүүл</t>
    </r>
    <r>
      <rPr>
        <b/>
        <sz val="11"/>
        <rFont val="Times New Roman"/>
        <family val="1"/>
      </rPr>
      <t>өрүн</t>
    </r>
    <r>
      <rPr>
        <b/>
        <sz val="11"/>
        <rFont val="Times New Roman"/>
        <family val="1"/>
        <charset val="204"/>
      </rPr>
      <t xml:space="preserve"> уюштуруу
</t>
    </r>
    <r>
      <rPr>
        <i/>
        <sz val="11"/>
        <rFont val="Times New Roman"/>
        <family val="1"/>
        <charset val="204"/>
      </rPr>
      <t>Программанын максаты: Калктын бардык топтору үчүн медициналык кызмат көрсөтүүнүн сапатын жакшыртуу жана республиканын калкынын калк үчүн жогорку технологиялык дарылоо ыкмаларына жеткиликтүүлүгүн жогорулатуу</t>
    </r>
  </si>
  <si>
    <r>
      <t xml:space="preserve">Медициналык билим берүү жана саламаттыкты сактоодогу адам ресурстарын башкаруу
</t>
    </r>
    <r>
      <rPr>
        <i/>
        <sz val="11"/>
        <rFont val="Times New Roman"/>
        <family val="1"/>
        <charset val="204"/>
      </rPr>
      <t>Программанын максаты: республиканын саламаттык сактоо уюмдарын квалификациялуу медициналык кадрлар менен камсыз кылуу</t>
    </r>
  </si>
  <si>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уюштуруучулук таасир этүүлөр</t>
    </r>
  </si>
  <si>
    <r>
      <t xml:space="preserve">Токой ресурстарын башкаруу, сактоону жана өнүктүрүүнү камсыз кылуу                                                  </t>
    </r>
    <r>
      <rPr>
        <i/>
        <sz val="11"/>
        <rFont val="Times New Roman"/>
        <family val="1"/>
        <charset val="204"/>
      </rPr>
      <t>Программанын максаты: Өлкөнүн экономикалык жыргалчылыгын, социалдык бакубаттуулугун, экологиялык коопсуздугун жана Кыргыз Республикасынын жарандарынын жашоосу үчүн жагымдуу чөйрөнү камсыз кылуу үчүн токойлорду туруктуу башкаруу</t>
    </r>
  </si>
  <si>
    <r>
      <rPr>
        <i/>
        <sz val="11"/>
        <rFont val="Times New Roman"/>
        <family val="1"/>
        <charset val="204"/>
      </rPr>
      <t xml:space="preserve">Программанын максаты: Дүйнөлүк экономикалык системага интеграцияны жогорулатуу, республиканын калкынын жана чарба субъекттеринин товарлардын жана кызмат көрсөтүүлөрдүн аймактык рынокторго жетүүсүн камсыз кылуу, транзиттик потенциалды өнүктүрүү  </t>
    </r>
    <r>
      <rPr>
        <b/>
        <sz val="11"/>
        <rFont val="Times New Roman"/>
        <family val="1"/>
        <charset val="204"/>
      </rPr>
      <t xml:space="preserve">                                                                       </t>
    </r>
  </si>
  <si>
    <r>
      <rPr>
        <b/>
        <sz val="11"/>
        <color theme="1"/>
        <rFont val="Times New Roman"/>
        <family val="1"/>
        <charset val="204"/>
      </rPr>
      <t xml:space="preserve">Башкаруу жана администрациялоо                    </t>
    </r>
    <r>
      <rPr>
        <sz val="11"/>
        <color theme="1"/>
        <rFont val="Times New Roman"/>
        <family val="1"/>
        <charset val="204"/>
      </rPr>
      <t xml:space="preserve">       </t>
    </r>
    <r>
      <rPr>
        <i/>
        <sz val="11"/>
        <color theme="1"/>
        <rFont val="Times New Roman"/>
        <family val="1"/>
        <charset val="204"/>
      </rPr>
      <t>Программанын максаты: Башка программаларды ишке ашырууга координациялоо жана уюштуручулук таасир этүүлөр</t>
    </r>
  </si>
  <si>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координациялоо жана уюштуручулук таасир этүүлөр</t>
    </r>
    <r>
      <rPr>
        <b/>
        <sz val="11"/>
        <color theme="1"/>
        <rFont val="Times New Roman"/>
        <family val="1"/>
        <charset val="204"/>
      </rPr>
      <t xml:space="preserve">                                               </t>
    </r>
  </si>
  <si>
    <r>
      <t xml:space="preserve">Энергетика секторун өнүктүрүү үчүн экономикалык өбөлгөлөрдү түзүү.                                            </t>
    </r>
    <r>
      <rPr>
        <i/>
        <sz val="11"/>
        <color theme="1"/>
        <rFont val="Times New Roman"/>
        <family val="1"/>
        <charset val="204"/>
      </rPr>
      <t xml:space="preserve">Программанын максаты: ОЭК жаатында иштеген чарба жүргүзүүчү субъекттердин ишинин экономикалык натыйжалуулугун жана ишенимдүүлүгүн жогорулатуу шарттарын түзүү                  </t>
    </r>
  </si>
  <si>
    <r>
      <t xml:space="preserve">Энергетикалык көзөмөл боюнча мониторинг жана контролдоо                                                           </t>
    </r>
    <r>
      <rPr>
        <i/>
        <sz val="11"/>
        <color theme="1"/>
        <rFont val="Times New Roman"/>
        <family val="1"/>
        <charset val="204"/>
      </rPr>
      <t>Программанын максаты: Энергетика чөйрөсүндөгү мамлекеттик контроль жана көзөмөл</t>
    </r>
  </si>
  <si>
    <r>
      <t xml:space="preserve">Илимий-техникалык мүмкүнчүлүктү өнүктүрүү
</t>
    </r>
    <r>
      <rPr>
        <i/>
        <sz val="11"/>
        <color theme="1"/>
        <rFont val="Times New Roman"/>
        <family val="1"/>
        <charset val="204"/>
      </rPr>
      <t xml:space="preserve">Программанын максаты: өлкөнүн энергетикалык ресурстарын натыйжалуу пайдаланууга багытталган илимий-технологиялык мүмкүнчүлүктүни жогорку деңгээлин колдоо" </t>
    </r>
  </si>
  <si>
    <r>
      <t xml:space="preserve">Калкты жылуулук энергиясы менен камсыздоо / </t>
    </r>
    <r>
      <rPr>
        <i/>
        <sz val="11"/>
        <color theme="1"/>
        <rFont val="Times New Roman"/>
        <family val="1"/>
        <charset val="204"/>
      </rPr>
      <t>Программанын максаты: Калкты социалдык маанилүү, жылуулук жана ысык суу менен камсыздоо кызматтарын алууда мамлекеттик колдоо</t>
    </r>
  </si>
  <si>
    <t>Кыргыз Республикасынын Президентинин Архив фондунун документтерин туруктуу сактоо жана пайдалануу</t>
  </si>
  <si>
    <t>"Укук бузуулардын бирдиктүү реестри" автоматташтырылган-маалыматтык системасы, анын ичинде "Коопсуз шаар"автоматташтырылган маалыматтык системасы</t>
  </si>
  <si>
    <r>
      <t xml:space="preserve">Кыргыз Республикасынын социалдык-экономикалык өнүгүүсүн камсыздоо. 
</t>
    </r>
    <r>
      <rPr>
        <i/>
        <sz val="11"/>
        <rFont val="Times New Roman"/>
        <family val="1"/>
        <charset val="204"/>
      </rPr>
      <t>Программанын максаты: Мамлекеттик башкаруу органдарын ыкчам чара көрүү жана өз убагында кабыл алуу үчүн социалдык-экономикалык чөйрөдөгү өзгөрүүлөр жөнүндө толук, өз убагында жана туура маалымат менен камсыз кылуу</t>
    </r>
  </si>
  <si>
    <t xml:space="preserve">Экономиканы мобилизациялык даярдоо чүйрөсүндө ченемдик укуктцук базаны өркүндөтүү </t>
  </si>
  <si>
    <r>
      <t xml:space="preserve">Талдоо,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уюштуруучулук таасир этүүлөр</t>
    </r>
  </si>
  <si>
    <t xml:space="preserve">Калктын ишеним  индекси  </t>
  </si>
  <si>
    <r>
      <t>88. Чынгыз Айтматов жана "Манас"</t>
    </r>
    <r>
      <rPr>
        <b/>
        <sz val="11"/>
        <rFont val="Calibri"/>
        <family val="2"/>
        <charset val="204"/>
      </rPr>
      <t xml:space="preserve"> У</t>
    </r>
    <r>
      <rPr>
        <b/>
        <sz val="11"/>
        <rFont val="Times New Roman"/>
        <family val="1"/>
        <charset val="204"/>
      </rPr>
      <t xml:space="preserve">луттук академиясы </t>
    </r>
  </si>
  <si>
    <t xml:space="preserve">Кабыл алынган токтомдордун саны, 100 депутатка-күнгө </t>
  </si>
  <si>
    <t xml:space="preserve">Калктын айрым категорияларын жеңилдетилген (мөөнөтүнөн мурда) пенсиялык камсыздоо жана пенсияларга кошумча акы төлөп берүү  </t>
  </si>
  <si>
    <t>Өткөрүп берилген мекемелерди каржылоо боюнча милдеттенмелерди төлөө</t>
  </si>
  <si>
    <t xml:space="preserve">Конституциялык  адилеттик  боюнча эл аралык жана региондук  уюмдардын жана бирикмелердин линиясы боюнча  уюштурулган иш чараларга  катышуулардын саны (конституциялык  адилеттик  боюнча дүйнөлүк конференция, Европа кеңешинин венециандык комиссиясы, конст. соттордунжана эквиваленттүү институтардын азия ассоциациясы, жаңы демократия өлкөлөрүнүн конституциялык контролдоо органдардардын конференциясы)  </t>
  </si>
  <si>
    <t>Коомду жана мамлекетти туруктуу өнүктүрүү үчүн зарыл болгон реформаларды мыйзамдык жактан камсыз кылуу</t>
  </si>
  <si>
    <t>ВСЕГО (контрольные цифры)</t>
  </si>
  <si>
    <t>Экономикалык, социалдык-маданий жана башка иш-чаралар, ошондой эле өзгөчө окуялар боюнча күтүлбөгөн чыгымдар пайда болгон учурда мамлекеттик колдоо көрсөтүү</t>
  </si>
  <si>
    <t>Республикада өткөрүлүүчү экономикалык, социалдык-маданий жана башка иш-чараларга байланыштуу күтүлбөгөн чыгымдар пайда болгон учурда мамлекеттик колдоо көрсөтүү</t>
  </si>
  <si>
    <t>Финансылык жардам көрсөтүүгө чыгарылган буйруктардын саны</t>
  </si>
  <si>
    <t>Мамлекеттик кызмат көрсөтүүлөрдүн жогорку деңгээлин камсыз кылуу</t>
  </si>
  <si>
    <t>162</t>
  </si>
  <si>
    <t>166</t>
  </si>
  <si>
    <t>167</t>
  </si>
  <si>
    <t>168</t>
  </si>
  <si>
    <t>169</t>
  </si>
  <si>
    <t>172</t>
  </si>
  <si>
    <t>182</t>
  </si>
  <si>
    <t>203</t>
  </si>
  <si>
    <t>204</t>
  </si>
  <si>
    <t>222</t>
  </si>
  <si>
    <t>223</t>
  </si>
  <si>
    <t>Мыйзам алдындагы актылардын долбоорлорун экспертизалоо жана эл аралык келишимдердин жана макулдашуулардын долбоорлорун экспертизадан өткөрүү</t>
  </si>
  <si>
    <t>229</t>
  </si>
  <si>
    <t>225</t>
  </si>
  <si>
    <t>226</t>
  </si>
  <si>
    <t>228</t>
  </si>
  <si>
    <t>232</t>
  </si>
  <si>
    <t>233</t>
  </si>
  <si>
    <t>Мамлекеттик башкаруу секторунун башка бирдиктерине гранттар</t>
  </si>
  <si>
    <t>265</t>
  </si>
  <si>
    <t>268</t>
  </si>
  <si>
    <t>36</t>
  </si>
  <si>
    <t>ААК "Кичи ГЭС" (Бала Саруу)</t>
  </si>
  <si>
    <t>46</t>
  </si>
  <si>
    <t>ААК "Кичи ГЭС" (Орто Токой)</t>
  </si>
  <si>
    <t>47</t>
  </si>
  <si>
    <t>49</t>
  </si>
  <si>
    <t>Электравтобустарды жана кубаттоочу инфраструктураны сатып алууга бюджеттик насыялар</t>
  </si>
  <si>
    <t>Айыл чарба техникаларын сатып алууга Лизинг</t>
  </si>
  <si>
    <t>Атайын эсептердин каражаттарын калыбына келтирүү</t>
  </si>
  <si>
    <t>Баткен облусунда жабыр тарткан ишкердик субъекттерине жардам көрсөтүү</t>
  </si>
  <si>
    <t>272</t>
  </si>
  <si>
    <t>273</t>
  </si>
  <si>
    <t>382</t>
  </si>
  <si>
    <t>383</t>
  </si>
  <si>
    <t>384</t>
  </si>
  <si>
    <t>385</t>
  </si>
  <si>
    <t>386</t>
  </si>
  <si>
    <t>392</t>
  </si>
  <si>
    <t>393</t>
  </si>
  <si>
    <t>394</t>
  </si>
  <si>
    <t>402</t>
  </si>
  <si>
    <t>442</t>
  </si>
  <si>
    <t>443</t>
  </si>
  <si>
    <t>444</t>
  </si>
  <si>
    <t>445</t>
  </si>
  <si>
    <t>452</t>
  </si>
  <si>
    <t>453</t>
  </si>
  <si>
    <t>454</t>
  </si>
  <si>
    <t>455</t>
  </si>
  <si>
    <t>462</t>
  </si>
  <si>
    <t>492</t>
  </si>
  <si>
    <t>493</t>
  </si>
  <si>
    <t>Атайын китепкананын мазмуну</t>
  </si>
  <si>
    <t>Товарларды жана кызматтарды пайдалануу</t>
  </si>
  <si>
    <t>Калыбына келтирүү жана дени сак коомго интеграциялоо үчүн көрүүсү жана угуусу боюнча майыптарга тифло сурд ортомчулук алуу</t>
  </si>
  <si>
    <t>Кыргыз азиздер жана дүлөйлөр коому боюнча салыктардын жана жыйымдардын , КНСтин ордун толтуруу</t>
  </si>
  <si>
    <t>Кыргыз азиздер жана дүлөйлөр коому боюнча иш берүүчүдөн Социалдык фондго чегерүүлөрдүн ордун толтуруу (17,25%)</t>
  </si>
  <si>
    <t>592</t>
  </si>
  <si>
    <t>502</t>
  </si>
  <si>
    <r>
      <t xml:space="preserve">Мамлекеттик кадр саясатын өркүндөтүү.
</t>
    </r>
    <r>
      <rPr>
        <i/>
        <sz val="11"/>
        <color theme="1"/>
        <rFont val="Times New Roman"/>
        <family val="1"/>
        <charset val="204"/>
      </rPr>
      <t>Программанын максаттары: Мамлекеттик органдарда жана ЖӨБ органдарында бирд.түү мамлекеттик кадр саясатын иштеп чыгуу, ишке ашыруу жана туруктуу иштешин камсыз кылуу</t>
    </r>
  </si>
  <si>
    <t>593</t>
  </si>
  <si>
    <t>602</t>
  </si>
  <si>
    <t>652</t>
  </si>
  <si>
    <t>653</t>
  </si>
  <si>
    <t>654</t>
  </si>
  <si>
    <t>655</t>
  </si>
  <si>
    <t>Жаратылыш ресурстарын башкаруу. Программанын максаты: жер казынасын пайдалануу жаатында мамлекеттик саясатты ишке ашыруу. Кыргыз Республикасынын жер казынасын сарамжалдуу пайдаланууну камсыз кылуу</t>
  </si>
  <si>
    <t>692</t>
  </si>
  <si>
    <t>693</t>
  </si>
  <si>
    <t>694</t>
  </si>
  <si>
    <t>695</t>
  </si>
  <si>
    <t>696</t>
  </si>
  <si>
    <t>992</t>
  </si>
  <si>
    <t>772</t>
  </si>
  <si>
    <t>802</t>
  </si>
  <si>
    <t>803</t>
  </si>
  <si>
    <t>804</t>
  </si>
  <si>
    <t>812</t>
  </si>
  <si>
    <t>842</t>
  </si>
  <si>
    <t>852</t>
  </si>
  <si>
    <t>853</t>
  </si>
  <si>
    <t>854</t>
  </si>
  <si>
    <t>855</t>
  </si>
  <si>
    <t>856</t>
  </si>
  <si>
    <t>882</t>
  </si>
  <si>
    <t>252</t>
  </si>
  <si>
    <t>253</t>
  </si>
  <si>
    <t>254</t>
  </si>
  <si>
    <t>255</t>
  </si>
  <si>
    <t>256</t>
  </si>
  <si>
    <t>342</t>
  </si>
  <si>
    <t>343</t>
  </si>
  <si>
    <t>344</t>
  </si>
  <si>
    <t>345</t>
  </si>
  <si>
    <t>346</t>
  </si>
  <si>
    <t>372</t>
  </si>
  <si>
    <t>373</t>
  </si>
  <si>
    <t>374</t>
  </si>
  <si>
    <t>412</t>
  </si>
  <si>
    <t>413</t>
  </si>
  <si>
    <t>414</t>
  </si>
  <si>
    <t>415</t>
  </si>
  <si>
    <t>416</t>
  </si>
  <si>
    <t>417</t>
  </si>
  <si>
    <t>432</t>
  </si>
  <si>
    <t>433</t>
  </si>
  <si>
    <t>434</t>
  </si>
  <si>
    <t>552</t>
  </si>
  <si>
    <t>555</t>
  </si>
  <si>
    <t>556</t>
  </si>
  <si>
    <t>557</t>
  </si>
  <si>
    <t>Миң-Куш айылынын жашоочуларынын жылуулукту суу менен камсыздоо жана саркынды сууларды чыгаруу боюнча сапаттуу кызмат көрсөтүүлөргө болгон керектөөлөрүн эң аз чыгым менен канааттандыруу</t>
  </si>
  <si>
    <t>Базалык жылга карата булганган ич кийимдерди радиоактивдүү заттар менен дезактивациялоонун өсүү динамикасы</t>
  </si>
  <si>
    <t>Мин-Куш айылын базалык жылга карата тазалоо жана көрктөндүрүү</t>
  </si>
  <si>
    <t>тонн</t>
  </si>
  <si>
    <t>100 (59,5 тонн)</t>
  </si>
  <si>
    <t>Калктын экологиялык коопсуздугун камсыз кылуу</t>
  </si>
  <si>
    <t>554</t>
  </si>
  <si>
    <t>Энергетика тармагын тарифтик жөнгө салуу.</t>
  </si>
  <si>
    <t>Энергетика секторунда мыйзамдардын сакталышын контролдоо</t>
  </si>
  <si>
    <t>Газга тарифтерди белгилөө</t>
  </si>
  <si>
    <t>Лицензиаттардын жалпы санынан текшерүүлөр жүргүзүлдү</t>
  </si>
  <si>
    <t>Кыргыз Республикасынын калктуу конуштарын туруктуу жүргүнчүлөрдү ташуу менен камсыз кылуу</t>
  </si>
  <si>
    <t>Республиканын ичинде калкты аба транспорту менен жүргүнчүлөрдү туруктуу ташуу муктаждыгын камсыз кылуу</t>
  </si>
  <si>
    <t>Эл аралык багыттагы аба транспорту менен калкты туруктуу жүргүнчүлөрдү ташуу муктаждыгын камсыз кылуу</t>
  </si>
  <si>
    <t>Калктын аба транспорту менен жүк ташууга болгон муктаждыгын камсыз кылуу</t>
  </si>
  <si>
    <t>Авиациялык транспорттук тейлөө</t>
  </si>
  <si>
    <t xml:space="preserve"> Расмий делегацияларды тейлөө</t>
  </si>
  <si>
    <t>Жогорку авиациялык жана орто кесиптик билимдүү талап кылынган адистерди бүтүрүү</t>
  </si>
  <si>
    <t>47/174/1368</t>
  </si>
  <si>
    <t>36/495/1769</t>
  </si>
  <si>
    <t>40/496/1415</t>
  </si>
  <si>
    <t>45/568/1415</t>
  </si>
  <si>
    <t>59/687/1415</t>
  </si>
  <si>
    <t xml:space="preserve">Орто кесиптик билими бар дипломдуу адистерди чыгаруу </t>
  </si>
  <si>
    <t>Жогорку кесиптик билими бар дипломдуу адистерди чыгаруу</t>
  </si>
  <si>
    <t>Орто кесиптик билими бар дипломдуу адистерди жана авиаучуу адистерди кайра даярдоо</t>
  </si>
  <si>
    <t>174 (ОКБ) 1368 (Кошумча кесиптик билим(ККБ)</t>
  </si>
  <si>
    <t>331 (ОКБ) 1769 (ККБ)</t>
  </si>
  <si>
    <t>291 (ОКБ) 1415 (ККБ)</t>
  </si>
  <si>
    <t>325(ОКБ) 1415 (ККБ)</t>
  </si>
  <si>
    <t>419(ОКБ) 1415 (ККБ)</t>
  </si>
  <si>
    <t>422</t>
  </si>
  <si>
    <t>423</t>
  </si>
  <si>
    <r>
      <t xml:space="preserve">Башкаруу жана администрациялоо  </t>
    </r>
    <r>
      <rPr>
        <i/>
        <sz val="11"/>
        <rFont val="Times New Roman"/>
        <family val="1"/>
        <charset val="204"/>
      </rPr>
      <t>Программанын максаты:  Авиаташуулар рыногун өнүктүрүү.</t>
    </r>
  </si>
  <si>
    <t>Мамлекеттик заказга ылайык жарандык авиация үчүн орто кесиптик билим бюджеттик негизде</t>
  </si>
  <si>
    <t>Кыргыз Республикасынын жарандык авиациясы жана суу транспорту үчүн жогорку кесиптик билим (контракт)</t>
  </si>
  <si>
    <t xml:space="preserve">Жарандык авиация боюнча орто кесиптик билим берүү жана авиация адистеринин квалификациясын жогорулатуу жана кайра даярдоо (контракт) </t>
  </si>
  <si>
    <r>
      <t xml:space="preserve">Авиация жана суу транспорту үчүн квалификациялуу адистерди даярдоо   </t>
    </r>
    <r>
      <rPr>
        <i/>
        <sz val="11"/>
        <rFont val="Times New Roman"/>
        <family val="1"/>
        <charset val="204"/>
      </rPr>
      <t>Программанын максаты: Кыргыз Республикасынын жарандык авиациясы жана суу транспорту ишканаларынын муктаждыктарын эмгек рыногунун талаптарына ылайык квалификациялуу адистер менен камсыз кылуу.</t>
    </r>
  </si>
  <si>
    <t xml:space="preserve">Борбордук деңгээлде тармакты башкаруу жана администрациялоо  </t>
  </si>
  <si>
    <t>Гкал</t>
  </si>
  <si>
    <t>уголь кг/Гкал</t>
  </si>
  <si>
    <t>мазут кг/Гкал</t>
  </si>
  <si>
    <t>газ ,м3</t>
  </si>
  <si>
    <t>эл.эн., кВ/ч</t>
  </si>
  <si>
    <t>1 км жылуулук тармактарына жылуулук энергиясынын коромжусу</t>
  </si>
  <si>
    <t>1 Гкал жылуулук энергиясын иштеп чыгууга отундун салыштырма чыгымы</t>
  </si>
  <si>
    <t>Президенттин фонду жана Министрлер Кабинетинин резервдик фонду</t>
  </si>
  <si>
    <t>Таланттуу  балдарды жана жаштарды, анын ичинде чет өлкөлөрдө окутууда колдоо көрсөтүү</t>
  </si>
  <si>
    <t>Турмуштук оор кырдаалда турган балдарга даректүү колдоо көрсөтүү</t>
  </si>
  <si>
    <t>Жаштардын жеке сапаттарын өнүктүрүүгө багытталган билим берүү жана илим жаатындагы демилгелерди  жана башка долбоорлорду колдоо</t>
  </si>
  <si>
    <t>Региондук  деңгээлде жалпы координациялоо</t>
  </si>
  <si>
    <r>
      <t xml:space="preserve">Соттук-укуктук реформа
</t>
    </r>
    <r>
      <rPr>
        <i/>
        <sz val="11"/>
        <rFont val="Times New Roman"/>
        <family val="1"/>
        <charset val="204"/>
      </rPr>
      <t>Программанын максаты: Эл аралык стандарттарга ылайык укуктун үстөмдүгүнүн негизинде адамдын адилеттүү сот адилеттигине болгон укуктарын ишке ашыруу үчүн шарттарды камсыз кылуу</t>
    </r>
  </si>
  <si>
    <t>11   Кыргыз Республикасынын Жогорку Кенеши</t>
  </si>
  <si>
    <t xml:space="preserve">12   Кыргыз Республикасынын Президентинин Администрациясы </t>
  </si>
  <si>
    <t>13  Кыргыз Республикасынын Президентинин Архиви</t>
  </si>
  <si>
    <t>14  Фондтор</t>
  </si>
  <si>
    <t>15   Кыргыз Республикасынын Президентинин Иш башкармасы</t>
  </si>
  <si>
    <t>16    Кыргыз Республикасынын Жогорку соту</t>
  </si>
  <si>
    <t xml:space="preserve">17   Кыргыз Республикасынын Эсептөө палатасы  </t>
  </si>
  <si>
    <t>18  Кыргыз Республикасынын шайлоо жана референдум өткөрүү боюнча борбордук  комиссиясы</t>
  </si>
  <si>
    <t>19   Кыргыз Республикасынын Башкы прокуратурасы</t>
  </si>
  <si>
    <t>20  Кыргыз Республикасынын Аскер прокуратурасы</t>
  </si>
  <si>
    <t xml:space="preserve">21  Кыргыз Республикасынын  Акыйкатчысы </t>
  </si>
  <si>
    <t>22  Кыргыз Республикасынын юстиция министрлиги</t>
  </si>
  <si>
    <t xml:space="preserve">Легалдаштырылган документтердин саны </t>
  </si>
  <si>
    <t>Мамлекеттик нотариалдык иштердин саны</t>
  </si>
  <si>
    <t xml:space="preserve">Мамлекеттик каттоонун, кайра каттоонун, токтотуунун саны          </t>
  </si>
  <si>
    <t xml:space="preserve">Мамлекеттик каттоонун, кайра каттоонун, токтотуунун, апостиль жана нотариалдык иштердин саны       </t>
  </si>
  <si>
    <t>КР соттук-укуктук реформа</t>
  </si>
  <si>
    <t>Тыюу салынган тышкы зонага баргандардын саны</t>
  </si>
  <si>
    <t>Түзөтүү мекемелерин кайтаруу жана соттолгондорду конвой менен коштоо</t>
  </si>
  <si>
    <r>
      <t xml:space="preserve">Баштапкы медициналык-санитардык жардам кызматтарын көрсөтүү
</t>
    </r>
    <r>
      <rPr>
        <i/>
        <sz val="11"/>
        <rFont val="Times New Roman"/>
        <family val="1"/>
        <charset val="204"/>
      </rPr>
      <t>Программанын максаты: баштапкы медициналык-санитардык жардамдын деңгээлинде ооруларды эрте аныктоо, диагностикалоо, медициналык жана профилактикалык жардам көрсөтүүнүн сапатын жана натыйжалуулугун жогорулатуу</t>
    </r>
  </si>
  <si>
    <t xml:space="preserve">Республикалык бюджеттин эсебинен каржыланган пенсияларды төлөп берүүлөрдүн кечигүүсү боюнча тартип бузуулардын саны </t>
  </si>
  <si>
    <t>Республикалык бюджеттин эсебинен каржыланган пенсияларды төлөп берүүлөрдүн кечигүүсү боюнча тартип бузуулардын саны</t>
  </si>
  <si>
    <t>Вестник чыгаруу, жылдык отчет, кароопрофайлды, календарларды чыгаруу, видеолорду жана телеберүүлөрдү түзүү</t>
  </si>
  <si>
    <t>Алдыңкы тажрыйбаларга ылайык финансылык менеджментти жана эсепке алууну камсыздоо, укуктук колдоо жана экспертиза</t>
  </si>
  <si>
    <t>Бюджеттик каражаттардан эсебинен окуудан өткөн кызматкерлердин % (бирдик.%)</t>
  </si>
  <si>
    <t>Бюджеттик каражаттардан окутуудан өткөн кызматкерлердин %</t>
  </si>
  <si>
    <t>Экспорттун көлөмүнүн өсүш темпи,  өткөн жылга карата % менен</t>
  </si>
  <si>
    <t>Техникалык тоскоолдуктарды кыскартуу жана экспорттук потенциалды активдештирүү үчүн жагымдуу ченемдик-укуктук чөйрөнү түзүү</t>
  </si>
  <si>
    <t>Региондорду өнүктүрүүнүн бирд.түү мамлекеттик саясатын иштеп чыгуу</t>
  </si>
  <si>
    <t>Аймактарды өнүктүрүү саясатынын Концепциясынын жаңы редакциясын иштеп чыгуу</t>
  </si>
  <si>
    <t>ИМ укуктарын сактоо чөйрөсүндөгү медиация институтун өнүктүрүү</t>
  </si>
  <si>
    <t>"Инновациялык ишмердуулук жонундо" Крнын мыйзамына озгортулордуу жана толуктолордуу киргизүү</t>
  </si>
  <si>
    <t>"Географиялык корсоткуч" жаны ИМОну жарандык жугуртууго киргизүү</t>
  </si>
  <si>
    <t>Авторлордун жана укук ээлеринин мулктук укуктарын жамааттык башкаруу боюнча коомду түзүүгө көмөк көрсөтүү</t>
  </si>
  <si>
    <t>"Антиконтрофакт" эл аралык форумун уюштуруу жана өткөрүү</t>
  </si>
  <si>
    <r>
      <rPr>
        <b/>
        <sz val="11"/>
        <rFont val="Times New Roman"/>
        <family val="1"/>
        <charset val="204"/>
      </rPr>
      <t xml:space="preserve">Турмуштук оор кырдаалда турган үй-бүлөлөргө жана балдарга колдоо көрсөтүү             </t>
    </r>
    <r>
      <rPr>
        <sz val="11"/>
        <rFont val="Times New Roman"/>
        <family val="1"/>
        <charset val="204"/>
      </rPr>
      <t xml:space="preserve">                      </t>
    </r>
    <r>
      <rPr>
        <i/>
        <sz val="11"/>
        <rFont val="Times New Roman"/>
        <family val="1"/>
        <charset val="204"/>
      </rPr>
      <t>Программанын максаты: Турмуштук оор кырдаалда (ТОК) турган адамдардын, ден соолугунун мүмкүнчүлүгү чектелген адамдарды жана улгайган жарандарды кошо байгерчилигин жогорулатуу, ошондой эле балдарды мамлекеттик жөлөкпулдар менен камсыз кылуу. ТОК турган багып алуучу үй-бүлөлөр институтун өнүктүрүү. Чет элдик мамлекеттин аймагында ата-энесинин камкордугусуз калган КР жараны болгон балдарды КР кайтаруу</t>
    </r>
  </si>
  <si>
    <r>
      <t xml:space="preserve">Жарандардын айрым категорияларына акчалай компенсацияларды берүү жана социалдык кепилдиктер                                                                           </t>
    </r>
    <r>
      <rPr>
        <i/>
        <sz val="11"/>
        <rFont val="Times New Roman"/>
        <family val="1"/>
        <charset val="204"/>
      </rPr>
      <t>Программанын максаты: Базалык жылдын деңгээлинде жарандардын 25 категориясына акчалай компенсациялардын өлчөмүн сактоо.  9-майга бир жолку жыл сайын берилүүчү акчалай жөлөкпулду жана УАМС ардагерлерине ай сайын өмүр бою берилүүчү стипендияны, ошондой эле расымдык жөлөкпулду төлөөнү камсыздоо</t>
    </r>
  </si>
  <si>
    <r>
      <t xml:space="preserve">Калкты иш менен камсыз кылууга көмөктөшүү жана жумушсуздарды социалдык колдоо                                                        </t>
    </r>
    <r>
      <rPr>
        <i/>
        <sz val="11"/>
        <rFont val="Times New Roman"/>
        <family val="1"/>
        <charset val="204"/>
      </rPr>
      <t>Программанын максаты: Калкты иш менен камсыз кылууга натыйжалуу көмөк көрсөтүү (иш менен камсыз кылуунун активдүү саясатын ишке ашыруу), ыңгайлуу ишти издөө боюнча кызматтарды көрсөтүү жана ишсиз жарандарды жана мамлекеттик иш менен камсыз кылуу органы аркылуу иш издеген адамдарды социалдык жактан колдоо.          Кош бойлуулук жана төрөт боюнча жөлөкпул төлөөнү камсыздоо</t>
    </r>
  </si>
  <si>
    <r>
      <t xml:space="preserve">Мамлекеттик жана муниципалдык кызматкерлердин квалификациясын жогорулатуу
</t>
    </r>
    <r>
      <rPr>
        <i/>
        <sz val="11"/>
        <rFont val="Times New Roman"/>
        <family val="1"/>
        <charset val="204"/>
      </rPr>
      <t>Программанын максаты: Мамлекеттик жана муниципалдык кызматкерлерди даярдоо, кайра даярдоо жана дасыгуусун жогорулатуу</t>
    </r>
  </si>
  <si>
    <r>
      <t xml:space="preserve">КРПМБАда орто кесиптик билим берүү                            
</t>
    </r>
    <r>
      <rPr>
        <i/>
        <sz val="11"/>
        <rFont val="Times New Roman"/>
        <family val="1"/>
        <charset val="204"/>
      </rPr>
      <t>Программанын максаты: Эмгек рыногунун талаптарына ылайык орто-кесиптик билимдүү кадрларды даярдоо</t>
    </r>
  </si>
  <si>
    <t xml:space="preserve">Техникумду ийгиликтүү аяктаган орто кесиптик окуу жайынын бүтүрүүчүлөрүнүн үлүшү       </t>
  </si>
  <si>
    <t>Республикалык жана эл аралык деңгээлдеги мелдештерде, конкурстарда байгелүү орундарды ээлеген окуучулардын үлүшү</t>
  </si>
  <si>
    <t>Квалификацияны жогорулатууга тартылган мамлекеттик кызматчылардын саны</t>
  </si>
  <si>
    <t>Орто кесиптик билим берүүнүн квалификациялуу кадрларын даярдоо</t>
  </si>
  <si>
    <r>
      <t xml:space="preserve">40 </t>
    </r>
    <r>
      <rPr>
        <b/>
        <sz val="11"/>
        <rFont val="Calibri"/>
        <family val="2"/>
        <charset val="204"/>
      </rPr>
      <t>"</t>
    </r>
    <r>
      <rPr>
        <b/>
        <sz val="11"/>
        <rFont val="Times New Roman"/>
        <family val="1"/>
        <charset val="204"/>
      </rPr>
      <t xml:space="preserve">Согуштун, эмгектин, Куралдуу күчтөрдүн, Кыргыз Республикасынын укук коргоо органдарынын ардагерлер  уюму" коомдук бирикмеси </t>
    </r>
  </si>
  <si>
    <t>39  Кыргыз Республикасынын Президентине караштуу Мамлекеттик башкаруу академиясы</t>
  </si>
  <si>
    <t>38  Кыргыз Республикасынын Эмгек, социалдык камсыздоо жана миграция министрлиги</t>
  </si>
  <si>
    <t>42  Кыргыз Республикасынын Министрлер Кабинетине караштуу Жарандык авиация мамлекеттик агенттиги</t>
  </si>
  <si>
    <t>44  Кыргыз Республикасынын маданият, маалымат, спорт жана жаштар саясаты министрлиги</t>
  </si>
  <si>
    <r>
      <t xml:space="preserve">Маданиятты, искусствону жана маалымат чөйрөсүн сактоо, өнүктүрүү жана жаштар саясатын ишке ашыруу
</t>
    </r>
    <r>
      <rPr>
        <i/>
        <sz val="11"/>
        <rFont val="Times New Roman"/>
        <family val="1"/>
        <charset val="204"/>
      </rPr>
      <t>Программанын максаты:  Кыргызстандын социалдык-экономикалык, гуманитардык жана руханий бакубаттуулугун өнүктүрүүгө багытталган институционалдык жана инновациялык шарттарды түзүү</t>
    </r>
  </si>
  <si>
    <t>Тарых жана маданият эстеликтеринин жалпы санынан калыбына келтирилген тарых жана маданият эстеликтеринин пайызы</t>
  </si>
  <si>
    <t>Тарыхый жана маданий мурастын объектилерин изилдеп (иликтеп) жана алардын жалпы санынан документтештирүү пайызы</t>
  </si>
  <si>
    <t>Жыл ичинде кино көрсөтүүлөргө катышкан калктын жалпы санынын пайызы</t>
  </si>
  <si>
    <t>Жылына өткөрүлгөн улуттук фильмдердин жалпы санынын эл аралык кинофестивалдарга катышкан ата мекендик фильмдердин пайызы</t>
  </si>
  <si>
    <t>Мамлекеттик чагылдырууга багытталган телеканалдардын Социалдык пакетинин эфиринде көрсөтүлгөн аудиовизуалдык продуктылардын (социалдык роликтер, аудио клиптер, телешоулор, жаңылыктар, түз эфирлер ж.б.) саны</t>
  </si>
  <si>
    <t>Мамлекеттик программаларды, стратегияларды, иш-чаралардын пландарын чагылдырган гезиттердин республикалык жана областтык редакциялары тарабынан жарыяланган макалалардын саны</t>
  </si>
  <si>
    <t>Маалымат чөйрөсүндө жаңы технологияларды жана көндүмдөрдү үйрөнгөн аймактык медиа борборлорунун кызматкерлеринин үлүшү</t>
  </si>
  <si>
    <r>
      <t xml:space="preserve">Туруктуу туризмди өнүктүрүү                                       
</t>
    </r>
    <r>
      <rPr>
        <i/>
        <sz val="11"/>
        <rFont val="Times New Roman"/>
        <family val="1"/>
        <charset val="204"/>
      </rPr>
      <t>Программанын максаты: Кыргызстан Борбордук Азиядагы алдыңкы туруктуу туристтик дестинациялардын бири</t>
    </r>
  </si>
  <si>
    <t>Коркунучтуу жаратылыш жана техногендик кубулуштардын жараянына мониторинг жана кээ бир кооптуу аймактарга илимий издөөлөрдү жүргүзүү</t>
  </si>
  <si>
    <t>46  Жерди прикладдык изилдөө Борбордук Азиялык институту</t>
  </si>
  <si>
    <t>45   Кыргыз Республикасынын Өзгөчө кырдаалдар министрлиги</t>
  </si>
  <si>
    <t>49   Кыргыз азиздер жана дүлөйлөр коому</t>
  </si>
  <si>
    <t>Жалпы китеп фонду, анын ичинде атайын китепкананын Брайль системасы боюнча рельефтик-чекиттүү тамгалар менен керектүү адабияттар менен камсыздалышы</t>
  </si>
  <si>
    <t>Атайын адистештирилген китеп-канадагы китеп фондсун  камсыз кылуу менен азис жана  дүлѳй майыптарды окутууга жана аларды жумушка орноштурууга мүмкүнчүлүк түзүлѳт</t>
  </si>
  <si>
    <r>
      <t xml:space="preserve">Башкаруу жана администрациялоо
</t>
    </r>
    <r>
      <rPr>
        <i/>
        <sz val="11"/>
        <color theme="1"/>
        <rFont val="Times New Roman"/>
        <family val="1"/>
        <charset val="204"/>
      </rPr>
      <t>Программанын максаттары: Башка программаларды ишке ашырууга координациялык жана уюштуруучулук таасир этүүлөр</t>
    </r>
  </si>
  <si>
    <t>Мамилекетик инвестициялардын длооборлорун  ишке ашыруу</t>
  </si>
  <si>
    <t>Маалыматтык материалдарды жана аналитикалык отчетторду даярдоо, маалыматтык-практикалык материалдарды, окуу куралдарын иштеп чыгуу жана басып чыгаруу диний чөйрөдө эксперттик жана консультативдик коомчулук менен кызматташуу, белгиленген тартипте катталган диний уюмдар менен кызматташуу;
диний кырдаал терең изилдөөнү талап кылган өлкөнүн аймактарында диний чыңалууну алдын алуу жана алдын алуу максатында талаа изилдөөлөрүн жүргүзүү</t>
  </si>
  <si>
    <t>Мамлекеттик ресурстарды тартуу. органдарына, жергиликтүү өз алдынча башкаруу органдарына, ошондой эле өкмөттүк эмес донорлорго диний кырдаалды изилдөө жана мониторинг жүргүзүү жана диний маселелер боюнча чыр-чатактарды жана көйгөйлүү кырдаалдарды алдын алуу</t>
  </si>
  <si>
    <r>
      <t xml:space="preserve">Башкаруу жана администрациялоо    </t>
    </r>
    <r>
      <rPr>
        <i/>
        <sz val="11"/>
        <rFont val="Times New Roman"/>
        <family val="1"/>
        <charset val="204"/>
      </rPr>
      <t>Программанын милдеттери: Башка программаларды ишке ашырууга жана камсыздоого координациялык жана уюшруучулук таасир этүүлөр аркылуу милдеттерге жетүү</t>
    </r>
  </si>
  <si>
    <t>65   Кыргыз Республикасынын Жаратылыш ресурстары, экология жана техникалык көзөмөл министрлиги</t>
  </si>
  <si>
    <t>64  Кыргыз  Республикаснын Дин иштери боюнча мамлекеттик  комиссиясы</t>
  </si>
  <si>
    <t>60   Кыргыз Республикасынын Министрлер кабинетине караштуу  архитектура, курулуш жана турак-жай коммуналдык чарба мамлекеттик агенттиги</t>
  </si>
  <si>
    <t>59    Кыргыз Республикасынын Министрлер Кабинетине караштуу Мамлекеттик кызмат жана жергиликтүү өз алдынча башкаруу иштери боюнча мамлекеттик агенттик</t>
  </si>
  <si>
    <t>58    Кыргыз Республикасынын Министрлер Кабинетине караштуу жеке маалыматтарды коргоо боюнча мамлекеттик агенттик</t>
  </si>
  <si>
    <t xml:space="preserve">57  Кыргыз Республикасынын Президентине караштуу Инвестициялар боюнча агенттик </t>
  </si>
  <si>
    <t>50   Кыргыз Республикасынын Президентине караштуу Мамлекеттик тил жана тил саясаты  боюнча улуттук комиссия</t>
  </si>
  <si>
    <t xml:space="preserve">69   Кыргыз Республикасынын Санариптик өнүктүрүү министрлиги </t>
  </si>
  <si>
    <t>70  Кыргыз Республикасынын  Стратегиялык изилдөөлөр улуттук институту</t>
  </si>
  <si>
    <t>74  Кыргыз Республикасынын Улуттук статистика комитети</t>
  </si>
  <si>
    <t>Чыгаруу графигине ылайык өз убагында чыгарыла турган статистикалык маалыматтын үлүшү</t>
  </si>
  <si>
    <t>Калктын жалпы санынан статистикалык маалыматты пайдалануучулардын үлүшү</t>
  </si>
  <si>
    <t>Мамлекеттик статистикалык каттоого даярдык көрүү жана өткөрүү</t>
  </si>
  <si>
    <t>77   Кыргыз Республикасынын Президентине караштуу Улуттук аттестациялык комиссиясы</t>
  </si>
  <si>
    <t>79   Кыргыз Республикасынын Коопсуздук Кеңешинин Катчылыгы</t>
  </si>
  <si>
    <t>80   Кыргыз Республикасынын Улуттук илимдер академиясы</t>
  </si>
  <si>
    <t>Жаратылыш жана техногендик кыйроолорду болжолдоо методдорун жана каражаттарын иштеп чыгуу жана алдын алуу .  Шпуралар жана скважиналарды бургалоо үчүн  техникаларды иштеп чыгуу</t>
  </si>
  <si>
    <t>Уйлардын биоаттестациясын өткөрүү. Өсүмдүктөрдүн коллекциялык фондун толтуруу</t>
  </si>
  <si>
    <t>КР УДБ тарабынан көрсөтүлүүчү медициналык кызматтарды көрсөтүү системасын оптималдаштыруу</t>
  </si>
  <si>
    <t>Иш чаранын саны, (тегерек стол, уйротуу, тренинг)</t>
  </si>
  <si>
    <t>Башка мамлекеттик мучолору аткарууга кабыл алган улуттук борбордун тарабынан иштелип чыккан сунуштарынын саны</t>
  </si>
  <si>
    <t>Эркиндигинен ажыратуу жана чектоо жайларында, балдар уйундо жана психоневрологиялык диспансерлеринде кармоо шарттары он жака озгорушу менен канаттануу</t>
  </si>
  <si>
    <t>Алардын ичинен Улуттук борбордун ар жылдык планы ылайык алдын алуу баруулардын саны</t>
  </si>
  <si>
    <t xml:space="preserve">Эркиндигинен ажыратуу жана чектоо жайларында, балдар уйундо жана психоневрологиялык диспансерлерде кармоо шарттарын жакшыртууга комок көрсөтүү    </t>
  </si>
  <si>
    <t>Кыйнолор алдын алуу боюнча эл аралык макулдаштыктардын аткарылышынын пайыздык көрсөткүчтөрү</t>
  </si>
  <si>
    <t>85   Кыргыз Республикасынын телерадиоберүү компаниялары</t>
  </si>
  <si>
    <t>84  Журналдардын жана газеталардын редакциясы</t>
  </si>
  <si>
    <t>82 Кыйноолорду жана башка катаал, адамгерчиликсиз же кадыр-баркты басмырлаган мамиленин жанажазанын түрлөрүнүн алдын алуу боюнча Кыргыз Республикасынын Улуттук борбору</t>
  </si>
  <si>
    <t>81 Кыргыз Республикасынын Президентинин Иш башкармалыгына караштуу Клиникалык оорукана</t>
  </si>
  <si>
    <r>
      <t xml:space="preserve">Тармакты аймактык деңгээлде башкаруу жана администрациялоо                                                                                                                  
</t>
    </r>
    <r>
      <rPr>
        <i/>
        <sz val="11"/>
        <color indexed="8"/>
        <rFont val="Times New Roman"/>
        <family val="1"/>
        <charset val="204"/>
      </rPr>
      <t xml:space="preserve">Программанын милдеттери: Башка программаларды ишке ашырууга координациялык жана уюштуруучулук таасир </t>
    </r>
    <r>
      <rPr>
        <i/>
        <sz val="11"/>
        <color rgb="FF000000"/>
        <rFont val="Times New Roman"/>
        <family val="1"/>
        <charset val="204"/>
      </rPr>
      <t>этүүлөр</t>
    </r>
  </si>
  <si>
    <t>Болжолдоо жүзөгө ашырылуучу бюджеттин киреше булактарынын (салыктар жана жыйымдар) саны</t>
  </si>
  <si>
    <t>Капиталдык чыгымдарды пландаштыруу</t>
  </si>
  <si>
    <t>Тобокелдиктерди баалоо жана тармактык саясат, ошондой эле ыкчам жана стратегиялык талдоо жүргүзүү жана максаттуу финансылык санкцияларды колдонуу</t>
  </si>
  <si>
    <r>
      <t>Мектептеги билим бер</t>
    </r>
    <r>
      <rPr>
        <b/>
        <sz val="11"/>
        <color theme="1"/>
        <rFont val="Times New Roman"/>
        <family val="1"/>
      </rPr>
      <t>үү</t>
    </r>
    <r>
      <rPr>
        <b/>
        <sz val="11"/>
        <color theme="1"/>
        <rFont val="Times New Roman"/>
        <family val="1"/>
        <charset val="204"/>
      </rPr>
      <t xml:space="preserve">
</t>
    </r>
    <r>
      <rPr>
        <i/>
        <sz val="11"/>
        <color theme="1"/>
        <rFont val="Times New Roman"/>
        <family val="1"/>
        <charset val="204"/>
      </rPr>
      <t>Программанын максаты: Өнүгүп жаткан экономиканын талаптарына жооп берген сапатты жакшыртуу жана мектепте билим алууга кеңири мүмкүнчүлүктү түзүү</t>
    </r>
  </si>
  <si>
    <t xml:space="preserve">Жүргүзүлгөн анализдин негизиндеги жумушка орноштурулган бүтүрүүчүлөрдүн үлүшү  (окуу жайын бүтүргөндөн кийинки биринчи жылы жана бүтүрүүчүлөргө байкоо жүргүзүүнүн маалыматтары боюнча жыл ичинде белгиленгени)                                            </t>
  </si>
  <si>
    <r>
      <rPr>
        <b/>
        <sz val="11"/>
        <color theme="1"/>
        <rFont val="Times New Roman"/>
        <family val="1"/>
        <charset val="204"/>
      </rPr>
      <t>Прикладдык изилдөөлөрдү жана иштеп чыгууларды мамлекеттик колдоо</t>
    </r>
    <r>
      <rPr>
        <sz val="11"/>
        <color theme="1"/>
        <rFont val="Times New Roman"/>
        <family val="1"/>
        <charset val="204"/>
      </rPr>
      <t xml:space="preserve">
</t>
    </r>
    <r>
      <rPr>
        <i/>
        <sz val="11"/>
        <color theme="1"/>
        <rFont val="Times New Roman"/>
        <family val="1"/>
        <charset val="204"/>
      </rPr>
      <t>Программанын максаты: Прикладдык (университеттик) илимди өнүктүрүү жана университеттин илиминин сапатын жогорулатуу, практикалык колдонууну алууга багытталган университеттердеги илимий долбоорлордун санын көбөйтүү</t>
    </r>
  </si>
  <si>
    <t xml:space="preserve"> 1 000 тирүү төрөлгөн учурлар</t>
  </si>
  <si>
    <t>Маалыматтык кампанияларда камтылган артыкчылыктуу оорулардын саны</t>
  </si>
  <si>
    <t>Профилактикалык кызматтардын комплекстүү пакетин алган калктын негизги топторунун өкүлдөрүнүн саны (баңги заттарды колдонгон адамдар, секс кызматкерлери, эркектер менен жыныстык катнашта болгон эркектер, ВИЧ менен жашаган адамдар)</t>
  </si>
  <si>
    <t>Чумадан жаратылыш-фокалдык зоналарда иштетилген аймактардын аянты</t>
  </si>
  <si>
    <t>Инсулин менен камсыз болгон бейтаптардын саны</t>
  </si>
  <si>
    <t>Кымбат жана жогорку технологиялык жардамдарды, ошондой эле коштоочу жана консультациялык иш-чараларды (ЦМ жана ЖТФ) берүү</t>
  </si>
  <si>
    <t>Жаныбарлардан жана өсүмдүктөрдөн алынган продуктуларга ветеринардык-санитардык экспертиза уюштуруу, ветеринардык жана фитосанитардык коопсуздукту камсыз кылуу жана ЕАЭБ техникалык регламенттеринин талаптарын сактоону камсыз кылуу - министрлик тарабынан контролдун пайызы</t>
  </si>
  <si>
    <t>Кыргыз Республикасынын ишканаларын (анын ичинде союу пункттарын) ЕАЭБ жана үчүнчү өлкөлөрдүн ишканаларынын реестрине киргизүү</t>
  </si>
  <si>
    <t>Эпизоотиялык бейпилдикти, тамак-аш коопсуздугун, ошондой эле адам жана жаныбарлар үчүн жалпы ооруларды контролдоону камсыз кылуу</t>
  </si>
  <si>
    <t>Жаныбарлардын ооруларынын катталган саны</t>
  </si>
  <si>
    <r>
      <t xml:space="preserve">Мамлекеттик ирригациялык фондду жана мелиорацияны мамлекеттик колдоо жана өнүктүрүү
</t>
    </r>
    <r>
      <rPr>
        <i/>
        <sz val="11"/>
        <rFont val="Times New Roman"/>
        <family val="1"/>
        <charset val="204"/>
      </rPr>
      <t>Программанын максаты: Айыл чарба өсүмдүктөрүнүн кепилденген түшүмүн алуу үчүн айыл чарба өндүрүүчүлөрүн сугат суусу менен камсыздоо</t>
    </r>
  </si>
  <si>
    <t>Масштабдуу катар түзүлгөн жана жаңыланган мамлекеттик топографиялык карталардын саны</t>
  </si>
  <si>
    <t>Тейленген жана пландаштырылган жол тилкелеринин үлүшү</t>
  </si>
  <si>
    <t>Калкты автобустар менен камсыз кылуу (Бишкек ш.)</t>
  </si>
  <si>
    <t>Калкты шаардык транспортту электрлештирүү менен камсыз кылуу (Бишкек ш.)</t>
  </si>
  <si>
    <r>
      <rPr>
        <b/>
        <sz val="11"/>
        <color theme="1"/>
        <rFont val="Times New Roman"/>
        <family val="1"/>
        <charset val="204"/>
      </rPr>
      <t>Кыргыз Республикасынын транспорт тармагын өнүктүрүү</t>
    </r>
    <r>
      <rPr>
        <i/>
        <sz val="11"/>
        <color theme="1"/>
        <rFont val="Times New Roman"/>
        <family val="1"/>
        <charset val="204"/>
      </rPr>
      <t xml:space="preserve">
Программанын максаты:   Көрсөтүлүп жаткан транспорттук  кызматтын  жана жолдордун коопсуздугун  сапатын камсыздоо маселесин жүзөгө ашыруу </t>
    </r>
  </si>
  <si>
    <t>«Кыргыз Республикасынын 2023-жылга республикалык 
бюджети жана 2024-2025-жылдарга пландык мезгили жөнүндө»
Кыргыз Республикасынын Мыйзамына
11-тиркеме</t>
  </si>
  <si>
    <t xml:space="preserve">«Кыргыз Республикасынын 2023-жылга республикалык 
бюджети жана 2024-2025-жылдарга пландык мезгили жөнүндө»
Кыргыз Республикасынын Мыйзамына
11-1-тиркеме </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</si>
</sst>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4" formatCode="_-* #,##0.00&quot;р.&quot;_-;\-* #,##0.00&quot;р.&quot;_-;_-* &quot;-&quot;??&quot;р.&quot;_-;_-@_-"/>
    <numFmt numFmtId="43" formatCode="_-* #,##0.00_р_._-;\-* #,##0.00_р_._-;_-* &quot;-&quot;??_р_._-;_-@_-"/>
    <numFmt numFmtId="164" formatCode="_-* #,##0.00\ &quot;₽&quot;_-;\-* #,##0.00\ &quot;₽&quot;_-;_-* &quot;-&quot;??\ &quot;₽&quot;_-;_-@_-"/>
    <numFmt numFmtId="165" formatCode="_-* #,##0.00\ _₽_-;\-* #,##0.00\ _₽_-;_-* &quot;-&quot;??\ _₽_-;_-@_-"/>
    <numFmt numFmtId="166" formatCode="_-* #,##0.00\ _с_о_м_-;\-* #,##0.00\ _с_о_м_-;_-* &quot;-&quot;??\ _с_о_м_-;_-@_-"/>
    <numFmt numFmtId="167" formatCode="#,##0.0"/>
    <numFmt numFmtId="168" formatCode="0.0"/>
    <numFmt numFmtId="169" formatCode="_(* #,##0.00_);_(* \(#,##0.00\);_(* &quot;-&quot;??_);_(@_)"/>
    <numFmt numFmtId="170" formatCode="###,000__;\-###,000__"/>
    <numFmt numFmtId="171" formatCode="##,#00__;\-##,#00__"/>
    <numFmt numFmtId="172" formatCode="#,##0.0_р_."/>
    <numFmt numFmtId="173" formatCode="_-* #,##0.00\ _р_._-;\-* #,##0.00\ _р_._-;_-* &quot;-&quot;??\ _р_._-;_-@_-"/>
    <numFmt numFmtId="174" formatCode="000000"/>
    <numFmt numFmtId="175" formatCode="0.00;[Red]0.00"/>
    <numFmt numFmtId="176" formatCode="0;[Red]0"/>
    <numFmt numFmtId="177" formatCode="###,000;[Red]\-###,000"/>
    <numFmt numFmtId="178" formatCode="_-* #,##0.0_р_._-;\-* #,##0.0_р_._-;_-* &quot;-&quot;??_р_._-;_-@_-"/>
    <numFmt numFmtId="179" formatCode="_-* #,##0.0\ _₽_-;\-* #,##0.0\ _₽_-;_-* &quot;-&quot;??\ _₽_-;_-@_-"/>
    <numFmt numFmtId="180" formatCode="_-* #,##0.0\ _₽_-;\-* #,##0.0\ _₽_-;_-* &quot;-&quot;?\ _₽_-;_-@_-"/>
    <numFmt numFmtId="181" formatCode="0.000"/>
    <numFmt numFmtId="182" formatCode="#,##0_ ;[Red]\-#,##0\ "/>
    <numFmt numFmtId="183" formatCode="#,##0_ ;\-#,##0\ "/>
    <numFmt numFmtId="184" formatCode="0.0%"/>
    <numFmt numFmtId="185" formatCode="#,##0.0_ ;\-#,##0.0\ "/>
    <numFmt numFmtId="186" formatCode="_ * #,##0.00_ ;_ * \-#,##0.00_ ;_ * &quot;-&quot;??_ ;_ @_ "/>
    <numFmt numFmtId="187" formatCode="#,##0.0;[Red]#,##0.0"/>
    <numFmt numFmtId="188" formatCode="#,##0_р_."/>
    <numFmt numFmtId="189" formatCode="#,##0.0_ ;[Red]\-#,##0.0\ "/>
    <numFmt numFmtId="190" formatCode="#,##0.000"/>
    <numFmt numFmtId="191" formatCode="#,##0.0\ _₽"/>
    <numFmt numFmtId="192" formatCode="0000"/>
  </numFmts>
  <fonts count="80" x14ac:knownFonts="1">
    <font>
      <sz val="11"/>
      <color theme="1"/>
      <name val="Calibri"/>
      <family val="2"/>
      <scheme val="minor"/>
    </font>
    <font>
      <sz val="11"/>
      <color theme="1"/>
      <name val="Calibri"/>
      <family val="2"/>
      <charset val="204"/>
      <scheme val="minor"/>
    </font>
    <font>
      <sz val="11"/>
      <color theme="1"/>
      <name val="Calibri"/>
      <family val="2"/>
      <scheme val="minor"/>
    </font>
    <font>
      <sz val="10"/>
      <color theme="1"/>
      <name val="Arial"/>
      <family val="2"/>
      <charset val="204"/>
    </font>
    <font>
      <sz val="10"/>
      <name val="Arial Cyr"/>
      <charset val="204"/>
    </font>
    <font>
      <b/>
      <sz val="11"/>
      <color theme="1"/>
      <name val="Times New Roman"/>
      <family val="1"/>
      <charset val="204"/>
    </font>
    <font>
      <sz val="11"/>
      <color theme="1"/>
      <name val="Times New Roman"/>
      <family val="1"/>
      <charset val="204"/>
    </font>
    <font>
      <sz val="10"/>
      <name val="Arial"/>
      <family val="2"/>
      <charset val="204"/>
    </font>
    <font>
      <sz val="11"/>
      <name val="Times New Roman"/>
      <family val="1"/>
      <charset val="204"/>
    </font>
    <font>
      <sz val="10"/>
      <name val="Arial"/>
      <family val="2"/>
      <charset val="204"/>
    </font>
    <font>
      <sz val="11"/>
      <color theme="1"/>
      <name val="Calibri"/>
      <family val="2"/>
      <charset val="204"/>
      <scheme val="minor"/>
    </font>
    <font>
      <sz val="10"/>
      <color theme="1"/>
      <name val="Calibri"/>
      <family val="2"/>
      <charset val="204"/>
      <scheme val="minor"/>
    </font>
    <font>
      <sz val="10"/>
      <name val="Times New Roman"/>
      <family val="1"/>
    </font>
    <font>
      <sz val="10"/>
      <color indexed="8"/>
      <name val="MS Sans Serif"/>
      <family val="2"/>
      <charset val="204"/>
    </font>
    <font>
      <sz val="10"/>
      <name val="Times New Roman Cyr"/>
      <charset val="204"/>
    </font>
    <font>
      <sz val="11"/>
      <color indexed="8"/>
      <name val="Calibri"/>
      <family val="2"/>
      <charset val="204"/>
    </font>
    <font>
      <sz val="10"/>
      <color indexed="8"/>
      <name val="Arial"/>
      <family val="2"/>
      <charset val="204"/>
    </font>
    <font>
      <sz val="10"/>
      <color theme="1"/>
      <name val="Times New Roman"/>
      <family val="1"/>
      <charset val="204"/>
    </font>
    <font>
      <sz val="12"/>
      <color theme="1"/>
      <name val="Times New Roman"/>
      <family val="1"/>
      <charset val="204"/>
    </font>
    <font>
      <b/>
      <sz val="10"/>
      <name val="Times New Roman"/>
      <family val="1"/>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1"/>
      <color indexed="8"/>
      <name val="Calibri"/>
      <family val="2"/>
      <charset val="204"/>
    </font>
    <font>
      <b/>
      <sz val="11"/>
      <color indexed="9"/>
      <name val="Calibri"/>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1"/>
      <color indexed="8"/>
      <name val="Calibri"/>
      <family val="2"/>
    </font>
    <font>
      <sz val="8"/>
      <name val="Arial"/>
      <family val="2"/>
      <charset val="1"/>
    </font>
    <font>
      <sz val="8"/>
      <name val="Arial"/>
      <family val="2"/>
      <charset val="204"/>
    </font>
    <font>
      <b/>
      <sz val="10"/>
      <color theme="1"/>
      <name val="Times New Roman"/>
      <family val="1"/>
      <charset val="204"/>
    </font>
    <font>
      <sz val="10"/>
      <name val="Times New Roman"/>
      <family val="1"/>
      <charset val="204"/>
    </font>
    <font>
      <sz val="10"/>
      <color rgb="FF202124"/>
      <name val="Times New Roman"/>
      <family val="1"/>
      <charset val="204"/>
    </font>
    <font>
      <sz val="10"/>
      <color rgb="FF222222"/>
      <name val="Times New Roman"/>
      <family val="1"/>
      <charset val="204"/>
    </font>
    <font>
      <sz val="9"/>
      <color theme="1"/>
      <name val="Times New Roman"/>
      <family val="1"/>
      <charset val="204"/>
    </font>
    <font>
      <b/>
      <sz val="9"/>
      <color theme="1"/>
      <name val="Times New Roman"/>
      <family val="1"/>
      <charset val="204"/>
    </font>
    <font>
      <sz val="11"/>
      <name val="Calibri"/>
      <family val="2"/>
      <charset val="204"/>
    </font>
    <font>
      <sz val="12"/>
      <name val="Times New Roman"/>
      <family val="1"/>
      <charset val="204"/>
    </font>
    <font>
      <b/>
      <sz val="13"/>
      <name val="Times New Roman"/>
      <family val="1"/>
      <charset val="204"/>
    </font>
    <font>
      <b/>
      <sz val="11"/>
      <name val="Times New Roman"/>
      <family val="1"/>
      <charset val="204"/>
    </font>
    <font>
      <i/>
      <sz val="11"/>
      <name val="Times New Roman"/>
      <family val="1"/>
      <charset val="204"/>
    </font>
    <font>
      <sz val="11"/>
      <color rgb="FFFF0000"/>
      <name val="Times New Roman"/>
      <family val="1"/>
      <charset val="204"/>
    </font>
    <font>
      <i/>
      <sz val="11"/>
      <color theme="1"/>
      <name val="Times New Roman"/>
      <family val="1"/>
      <charset val="204"/>
    </font>
    <font>
      <sz val="11"/>
      <color rgb="FF222222"/>
      <name val="Times New Roman"/>
      <family val="1"/>
      <charset val="204"/>
    </font>
    <font>
      <sz val="11"/>
      <color rgb="FF2B2B2B"/>
      <name val="Times New Roman"/>
      <family val="1"/>
      <charset val="204"/>
    </font>
    <font>
      <sz val="11"/>
      <color rgb="FF000000"/>
      <name val="Times New Roman"/>
      <family val="1"/>
      <charset val="204"/>
    </font>
    <font>
      <b/>
      <i/>
      <sz val="11"/>
      <color theme="1"/>
      <name val="Times New Roman"/>
      <family val="1"/>
      <charset val="204"/>
    </font>
    <font>
      <b/>
      <sz val="11"/>
      <color indexed="8"/>
      <name val="Times New Roman"/>
      <family val="1"/>
      <charset val="204"/>
    </font>
    <font>
      <sz val="11"/>
      <color indexed="8"/>
      <name val="Times New Roman"/>
      <family val="1"/>
      <charset val="204"/>
    </font>
    <font>
      <b/>
      <i/>
      <sz val="11"/>
      <color indexed="8"/>
      <name val="Times New Roman"/>
      <family val="1"/>
      <charset val="204"/>
    </font>
    <font>
      <i/>
      <sz val="11"/>
      <color indexed="8"/>
      <name val="Times New Roman"/>
      <family val="1"/>
      <charset val="204"/>
    </font>
    <font>
      <b/>
      <sz val="11"/>
      <color rgb="FF2B2B2B"/>
      <name val="Times New Roman"/>
      <family val="1"/>
      <charset val="204"/>
    </font>
    <font>
      <sz val="11"/>
      <color theme="1" tint="4.9989318521683403E-2"/>
      <name val="Times New Roman"/>
      <family val="1"/>
      <charset val="204"/>
    </font>
    <font>
      <sz val="11"/>
      <color rgb="FF202124"/>
      <name val="Times New Roman"/>
      <family val="1"/>
      <charset val="204"/>
    </font>
    <font>
      <sz val="11"/>
      <name val="Calibri"/>
      <family val="2"/>
      <scheme val="minor"/>
    </font>
    <font>
      <b/>
      <sz val="11"/>
      <color rgb="FF202124"/>
      <name val="Times New Roman"/>
      <family val="1"/>
      <charset val="204"/>
    </font>
    <font>
      <b/>
      <sz val="11"/>
      <color rgb="FF000000"/>
      <name val="Times New Roman"/>
      <family val="1"/>
      <charset val="204"/>
    </font>
    <font>
      <sz val="11"/>
      <color rgb="FFC00000"/>
      <name val="Times New Roman"/>
      <family val="1"/>
      <charset val="204"/>
    </font>
    <font>
      <sz val="11"/>
      <name val="Arial"/>
      <family val="2"/>
      <charset val="204"/>
    </font>
    <font>
      <b/>
      <sz val="11"/>
      <name val="Calibri"/>
      <family val="2"/>
      <charset val="204"/>
    </font>
    <font>
      <sz val="11"/>
      <name val="Times New Roman"/>
      <family val="1"/>
    </font>
    <font>
      <sz val="11"/>
      <color theme="1"/>
      <name val="Times New Roman"/>
      <family val="1"/>
    </font>
    <font>
      <b/>
      <sz val="11"/>
      <name val="Times New Roman"/>
      <family val="1"/>
    </font>
    <font>
      <b/>
      <sz val="11"/>
      <color indexed="8"/>
      <name val="Times New Roman"/>
      <family val="1"/>
    </font>
    <font>
      <b/>
      <sz val="11"/>
      <color theme="1"/>
      <name val="Times New Roman"/>
      <family val="1"/>
    </font>
    <font>
      <b/>
      <i/>
      <sz val="11"/>
      <color indexed="8"/>
      <name val="Times New Roman"/>
      <family val="1"/>
    </font>
    <font>
      <sz val="11"/>
      <color indexed="8"/>
      <name val="Times New Roman"/>
      <family val="1"/>
    </font>
    <font>
      <i/>
      <sz val="11"/>
      <color theme="1"/>
      <name val="Times New Roman"/>
      <family val="1"/>
    </font>
    <font>
      <i/>
      <sz val="11"/>
      <name val="Times New Roman"/>
      <family val="1"/>
    </font>
    <font>
      <i/>
      <sz val="11"/>
      <color indexed="8"/>
      <name val="Times New Roman"/>
      <family val="1"/>
    </font>
    <font>
      <i/>
      <sz val="11"/>
      <color rgb="FF000000"/>
      <name val="Times New Roman"/>
      <family val="1"/>
      <charset val="20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indexed="9"/>
        <bgColor indexed="64"/>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FF"/>
        <bgColor indexed="64"/>
      </patternFill>
    </fill>
    <fill>
      <patternFill patternType="solid">
        <fgColor theme="0"/>
        <bgColor theme="0"/>
      </patternFill>
    </fill>
    <fill>
      <patternFill patternType="solid">
        <fgColor theme="0"/>
        <bgColor rgb="FFDBE5F1"/>
      </patternFill>
    </fill>
    <fill>
      <patternFill patternType="solid">
        <fgColor theme="0"/>
        <bgColor rgb="FFEEECE1"/>
      </patternFill>
    </fill>
    <fill>
      <patternFill patternType="solid">
        <fgColor theme="0"/>
        <bgColor rgb="FFFFFF00"/>
      </patternFill>
    </fill>
    <fill>
      <patternFill patternType="solid">
        <fgColor theme="0"/>
        <bgColor rgb="FFD8D8D8"/>
      </patternFill>
    </fill>
    <fill>
      <patternFill patternType="solid">
        <fgColor rgb="FFFFFFFF"/>
        <bgColor rgb="FFFFFFCC"/>
      </patternFill>
    </fill>
    <fill>
      <patternFill patternType="solid">
        <fgColor theme="0"/>
        <bgColor rgb="FFFFFFCC"/>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rgb="FF000000"/>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right style="thin">
        <color rgb="FF000000"/>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
      <left style="thin">
        <color indexed="64"/>
      </left>
      <right style="thin">
        <color indexed="64"/>
      </right>
      <top style="medium">
        <color indexed="64"/>
      </top>
      <bottom/>
      <diagonal/>
    </border>
  </borders>
  <cellStyleXfs count="366">
    <xf numFmtId="0" fontId="0" fillId="0" borderId="0"/>
    <xf numFmtId="0" fontId="3" fillId="0" borderId="0"/>
    <xf numFmtId="9" fontId="3" fillId="0" borderId="0" applyFont="0" applyFill="0" applyBorder="0" applyAlignment="0" applyProtection="0"/>
    <xf numFmtId="0" fontId="2" fillId="0" borderId="0"/>
    <xf numFmtId="165" fontId="2" fillId="0" borderId="0" applyFont="0" applyFill="0" applyBorder="0" applyAlignment="0" applyProtection="0"/>
    <xf numFmtId="0" fontId="3" fillId="0" borderId="0"/>
    <xf numFmtId="0" fontId="4" fillId="0" borderId="0"/>
    <xf numFmtId="43" fontId="3" fillId="0" borderId="0" applyFont="0" applyFill="0" applyBorder="0" applyAlignment="0" applyProtection="0"/>
    <xf numFmtId="164" fontId="3" fillId="0" borderId="0" applyFont="0" applyFill="0" applyBorder="0" applyAlignment="0" applyProtection="0"/>
    <xf numFmtId="0" fontId="7" fillId="0" borderId="0"/>
    <xf numFmtId="9" fontId="7" fillId="0" borderId="0" applyFont="0" applyFill="0" applyBorder="0" applyAlignment="0" applyProtection="0"/>
    <xf numFmtId="169" fontId="7" fillId="0" borderId="0" applyFont="0" applyFill="0" applyBorder="0" applyAlignment="0" applyProtection="0"/>
    <xf numFmtId="0" fontId="10" fillId="0" borderId="0"/>
    <xf numFmtId="0" fontId="11" fillId="0" borderId="0"/>
    <xf numFmtId="0" fontId="3" fillId="0" borderId="0"/>
    <xf numFmtId="43" fontId="3" fillId="0" borderId="0" applyFont="0" applyFill="0" applyBorder="0" applyAlignment="0" applyProtection="0"/>
    <xf numFmtId="0" fontId="2" fillId="0" borderId="0"/>
    <xf numFmtId="167" fontId="12" fillId="0" borderId="0"/>
    <xf numFmtId="0" fontId="13" fillId="0" borderId="0"/>
    <xf numFmtId="0" fontId="14" fillId="0" borderId="0"/>
    <xf numFmtId="0" fontId="14" fillId="0" borderId="0"/>
    <xf numFmtId="9" fontId="4" fillId="0" borderId="0" applyFont="0" applyFill="0" applyBorder="0" applyAlignment="0" applyProtection="0"/>
    <xf numFmtId="9" fontId="9"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0" fontId="10" fillId="0" borderId="0"/>
    <xf numFmtId="43" fontId="10" fillId="0" borderId="0" applyFont="0" applyFill="0" applyBorder="0" applyAlignment="0" applyProtection="0"/>
    <xf numFmtId="0" fontId="15" fillId="0" borderId="0"/>
    <xf numFmtId="0" fontId="10" fillId="0" borderId="0"/>
    <xf numFmtId="0" fontId="10" fillId="0" borderId="0"/>
    <xf numFmtId="0" fontId="16" fillId="0" borderId="0"/>
    <xf numFmtId="0" fontId="3" fillId="0" borderId="0"/>
    <xf numFmtId="165" fontId="3" fillId="0" borderId="0" applyFont="0" applyFill="0" applyBorder="0" applyAlignment="0" applyProtection="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 fillId="0" borderId="0"/>
    <xf numFmtId="0" fontId="4"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5" fillId="0" borderId="0" applyFont="0" applyFill="0" applyBorder="0" applyAlignment="0" applyProtection="0"/>
    <xf numFmtId="43" fontId="1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8" fillId="0" borderId="4">
      <alignment vertical="center" wrapText="1"/>
    </xf>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20" fillId="26" borderId="0" applyNumberFormat="0" applyBorder="0" applyAlignment="0" applyProtection="0"/>
    <xf numFmtId="0" fontId="27" fillId="12" borderId="0" applyNumberFormat="0" applyBorder="0" applyAlignment="0" applyProtection="0"/>
    <xf numFmtId="0" fontId="23" fillId="8" borderId="11" applyNumberFormat="0" applyAlignment="0" applyProtection="0"/>
    <xf numFmtId="0" fontId="25" fillId="27" borderId="12" applyNumberFormat="0" applyAlignment="0" applyProtection="0"/>
    <xf numFmtId="0" fontId="28" fillId="0" borderId="0" applyNumberFormat="0" applyFill="0" applyBorder="0" applyAlignment="0" applyProtection="0"/>
    <xf numFmtId="0" fontId="31" fillId="13" borderId="0" applyNumberFormat="0" applyBorder="0" applyAlignment="0" applyProtection="0"/>
    <xf numFmtId="0" fontId="32" fillId="0" borderId="13" applyNumberFormat="0" applyFill="0" applyAlignment="0" applyProtection="0"/>
    <xf numFmtId="0" fontId="33" fillId="0" borderId="14" applyNumberFormat="0" applyFill="0" applyAlignment="0" applyProtection="0"/>
    <xf numFmtId="0" fontId="34" fillId="0" borderId="15" applyNumberFormat="0" applyFill="0" applyAlignment="0" applyProtection="0"/>
    <xf numFmtId="0" fontId="34" fillId="0" borderId="0" applyNumberFormat="0" applyFill="0" applyBorder="0" applyAlignment="0" applyProtection="0"/>
    <xf numFmtId="0" fontId="21" fillId="6" borderId="11" applyNumberFormat="0" applyAlignment="0" applyProtection="0"/>
    <xf numFmtId="0" fontId="29" fillId="0" borderId="16" applyNumberFormat="0" applyFill="0" applyAlignment="0" applyProtection="0"/>
    <xf numFmtId="0" fontId="26" fillId="9" borderId="0" applyNumberFormat="0" applyBorder="0" applyAlignment="0" applyProtection="0"/>
    <xf numFmtId="0" fontId="16" fillId="7" borderId="17" applyNumberFormat="0" applyFont="0" applyAlignment="0" applyProtection="0"/>
    <xf numFmtId="0" fontId="22" fillId="8" borderId="18" applyNumberFormat="0" applyAlignment="0" applyProtection="0"/>
    <xf numFmtId="0" fontId="35" fillId="0" borderId="0" applyNumberFormat="0" applyFill="0" applyBorder="0" applyAlignment="0" applyProtection="0"/>
    <xf numFmtId="0" fontId="24" fillId="0" borderId="19" applyNumberFormat="0" applyFill="0" applyAlignment="0" applyProtection="0"/>
    <xf numFmtId="0" fontId="30" fillId="0" borderId="0" applyNumberFormat="0" applyFill="0" applyBorder="0" applyAlignment="0" applyProtection="0"/>
    <xf numFmtId="0" fontId="16" fillId="0" borderId="0"/>
    <xf numFmtId="0" fontId="3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37" fillId="0" borderId="0"/>
    <xf numFmtId="0" fontId="37" fillId="0" borderId="0"/>
    <xf numFmtId="9" fontId="10" fillId="0" borderId="0" applyFont="0" applyFill="0" applyBorder="0" applyAlignment="0" applyProtection="0"/>
    <xf numFmtId="43" fontId="10" fillId="0" borderId="0" applyFont="0" applyFill="0" applyBorder="0" applyAlignment="0" applyProtection="0"/>
    <xf numFmtId="0" fontId="37" fillId="0" borderId="0"/>
    <xf numFmtId="173" fontId="15" fillId="0" borderId="0" applyFont="0" applyFill="0" applyBorder="0" applyAlignment="0" applyProtection="0"/>
    <xf numFmtId="0" fontId="38" fillId="0" borderId="0"/>
    <xf numFmtId="43" fontId="38" fillId="0" borderId="0" applyFont="0" applyFill="0" applyBorder="0" applyAlignment="0" applyProtection="0"/>
    <xf numFmtId="0" fontId="14" fillId="0" borderId="0"/>
    <xf numFmtId="43" fontId="14" fillId="0" borderId="0" applyFont="0" applyFill="0" applyBorder="0" applyAlignment="0" applyProtection="0"/>
    <xf numFmtId="0" fontId="10" fillId="0" borderId="0"/>
    <xf numFmtId="165" fontId="10"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0" fontId="3" fillId="0" borderId="0"/>
    <xf numFmtId="43" fontId="10" fillId="0" borderId="0" applyFont="0" applyFill="0" applyBorder="0" applyAlignment="0" applyProtection="0"/>
    <xf numFmtId="0" fontId="23" fillId="8" borderId="20" applyNumberFormat="0" applyAlignment="0" applyProtection="0"/>
    <xf numFmtId="0" fontId="21" fillId="6" borderId="20" applyNumberFormat="0" applyAlignment="0" applyProtection="0"/>
    <xf numFmtId="0" fontId="16" fillId="7" borderId="21" applyNumberFormat="0" applyFont="0" applyAlignment="0" applyProtection="0"/>
    <xf numFmtId="0" fontId="22" fillId="8" borderId="22" applyNumberFormat="0" applyAlignment="0" applyProtection="0"/>
    <xf numFmtId="0" fontId="24" fillId="0" borderId="23" applyNumberFormat="0" applyFill="0" applyAlignment="0" applyProtection="0"/>
    <xf numFmtId="0" fontId="1" fillId="0" borderId="0"/>
    <xf numFmtId="0" fontId="1" fillId="0" borderId="0">
      <alignment vertical="center"/>
    </xf>
    <xf numFmtId="43" fontId="1" fillId="0" borderId="0" applyFont="0" applyFill="0" applyBorder="0" applyAlignment="0" applyProtection="0"/>
    <xf numFmtId="0" fontId="7" fillId="0" borderId="0"/>
    <xf numFmtId="0" fontId="1" fillId="0" borderId="0"/>
    <xf numFmtId="0" fontId="1" fillId="0" borderId="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1" fillId="0" borderId="0"/>
    <xf numFmtId="0" fontId="2" fillId="0" borderId="0" applyFill="0"/>
    <xf numFmtId="165" fontId="16"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8" fillId="0" borderId="25">
      <alignment vertical="center" wrapText="1"/>
    </xf>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0" fontId="1" fillId="0" borderId="0"/>
    <xf numFmtId="0" fontId="3"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9" fontId="7" fillId="0" borderId="0" applyFont="0" applyFill="0" applyBorder="0" applyAlignment="0" applyProtection="0"/>
    <xf numFmtId="43" fontId="1" fillId="0" borderId="0" applyFont="0" applyFill="0" applyBorder="0" applyAlignment="0" applyProtection="0"/>
    <xf numFmtId="166" fontId="2" fillId="0" borderId="0" applyFont="0" applyFill="0" applyBorder="0" applyAlignment="0" applyProtection="0"/>
    <xf numFmtId="0" fontId="1" fillId="0" borderId="0"/>
    <xf numFmtId="0" fontId="7" fillId="0" borderId="0"/>
    <xf numFmtId="0" fontId="7"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0" borderId="0"/>
    <xf numFmtId="165" fontId="1" fillId="0" borderId="0" applyFont="0" applyFill="0" applyBorder="0" applyAlignment="0" applyProtection="0"/>
    <xf numFmtId="0" fontId="1" fillId="0" borderId="0"/>
    <xf numFmtId="0" fontId="1" fillId="0" borderId="0"/>
    <xf numFmtId="0" fontId="3" fillId="0" borderId="0"/>
    <xf numFmtId="185" fontId="1" fillId="0" borderId="0" applyFont="0" applyFill="0" applyBorder="0" applyAlignment="0" applyProtection="0"/>
    <xf numFmtId="9" fontId="1" fillId="0" borderId="0" applyFont="0" applyFill="0" applyBorder="0" applyAlignment="0" applyProtection="0"/>
    <xf numFmtId="185" fontId="3" fillId="0" borderId="0" applyFont="0" applyFill="0" applyBorder="0" applyAlignment="0" applyProtection="0"/>
    <xf numFmtId="0" fontId="7" fillId="0" borderId="0"/>
    <xf numFmtId="0" fontId="7" fillId="0" borderId="0"/>
    <xf numFmtId="43" fontId="16" fillId="0" borderId="0" applyFont="0" applyFill="0" applyBorder="0" applyAlignment="0" applyProtection="0"/>
    <xf numFmtId="43" fontId="3"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3" fillId="0" borderId="0"/>
    <xf numFmtId="0" fontId="1" fillId="0" borderId="0">
      <alignment vertical="center"/>
    </xf>
    <xf numFmtId="0" fontId="7" fillId="0" borderId="0"/>
    <xf numFmtId="9" fontId="16" fillId="0" borderId="0" applyFont="0" applyFill="0" applyBorder="0" applyAlignment="0" applyProtection="0"/>
    <xf numFmtId="9" fontId="3" fillId="0" borderId="0" applyFont="0" applyFill="0" applyBorder="0" applyAlignment="0" applyProtection="0"/>
    <xf numFmtId="186" fontId="15" fillId="0" borderId="0" applyFont="0" applyFill="0" applyBorder="0" applyAlignment="0" applyProtection="0">
      <alignment vertical="center"/>
    </xf>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21" fillId="6" borderId="20" applyNumberFormat="0" applyAlignment="0" applyProtection="0"/>
    <xf numFmtId="0" fontId="23" fillId="8" borderId="20" applyNumberFormat="0" applyAlignment="0" applyProtection="0"/>
    <xf numFmtId="0" fontId="22" fillId="8" borderId="22" applyNumberFormat="0" applyAlignment="0" applyProtection="0"/>
    <xf numFmtId="0" fontId="16" fillId="7" borderId="21" applyNumberFormat="0" applyFont="0" applyAlignment="0" applyProtection="0"/>
    <xf numFmtId="0" fontId="24" fillId="0" borderId="23" applyNumberFormat="0" applyFill="0" applyAlignment="0" applyProtection="0"/>
    <xf numFmtId="0" fontId="22" fillId="8" borderId="22" applyNumberFormat="0" applyAlignment="0" applyProtection="0"/>
    <xf numFmtId="0" fontId="21" fillId="6" borderId="20" applyNumberFormat="0" applyAlignment="0" applyProtection="0"/>
    <xf numFmtId="0" fontId="18" fillId="0" borderId="25">
      <alignment vertical="center" wrapText="1"/>
    </xf>
    <xf numFmtId="0" fontId="21" fillId="6" borderId="20" applyNumberFormat="0" applyAlignment="0" applyProtection="0"/>
    <xf numFmtId="0" fontId="24" fillId="0" borderId="23" applyNumberFormat="0" applyFill="0" applyAlignment="0" applyProtection="0"/>
    <xf numFmtId="0" fontId="23" fillId="8" borderId="20" applyNumberFormat="0" applyAlignment="0" applyProtection="0"/>
    <xf numFmtId="0" fontId="22" fillId="8" borderId="22" applyNumberFormat="0" applyAlignment="0" applyProtection="0"/>
    <xf numFmtId="0" fontId="21" fillId="6" borderId="20" applyNumberFormat="0" applyAlignment="0" applyProtection="0"/>
    <xf numFmtId="0" fontId="16" fillId="7" borderId="21" applyNumberFormat="0" applyFont="0" applyAlignment="0" applyProtection="0"/>
    <xf numFmtId="0" fontId="22" fillId="8" borderId="22" applyNumberFormat="0" applyAlignment="0" applyProtection="0"/>
    <xf numFmtId="0" fontId="24" fillId="0" borderId="23" applyNumberFormat="0" applyFill="0" applyAlignment="0" applyProtection="0"/>
    <xf numFmtId="0" fontId="24" fillId="0" borderId="23" applyNumberFormat="0" applyFill="0" applyAlignment="0" applyProtection="0"/>
    <xf numFmtId="0" fontId="23" fillId="8" borderId="20" applyNumberFormat="0" applyAlignment="0" applyProtection="0"/>
    <xf numFmtId="0" fontId="24" fillId="0" borderId="23" applyNumberFormat="0" applyFill="0" applyAlignment="0" applyProtection="0"/>
    <xf numFmtId="0" fontId="16" fillId="7" borderId="21" applyNumberFormat="0" applyFont="0" applyAlignment="0" applyProtection="0"/>
    <xf numFmtId="0" fontId="24" fillId="0" borderId="23" applyNumberFormat="0" applyFill="0" applyAlignment="0" applyProtection="0"/>
    <xf numFmtId="0" fontId="22" fillId="8" borderId="22" applyNumberFormat="0" applyAlignment="0" applyProtection="0"/>
    <xf numFmtId="0" fontId="16" fillId="7" borderId="21" applyNumberFormat="0" applyFont="0" applyAlignment="0" applyProtection="0"/>
    <xf numFmtId="0" fontId="21" fillId="6" borderId="20" applyNumberFormat="0" applyAlignment="0" applyProtection="0"/>
    <xf numFmtId="0" fontId="18" fillId="0" borderId="25">
      <alignment vertical="center" wrapText="1"/>
    </xf>
    <xf numFmtId="0" fontId="23" fillId="8" borderId="20" applyNumberFormat="0" applyAlignment="0" applyProtection="0"/>
    <xf numFmtId="0" fontId="24" fillId="0" borderId="23" applyNumberFormat="0" applyFill="0" applyAlignment="0" applyProtection="0"/>
    <xf numFmtId="0" fontId="16" fillId="7" borderId="21" applyNumberFormat="0" applyFont="0" applyAlignment="0" applyProtection="0"/>
    <xf numFmtId="0" fontId="23" fillId="8" borderId="20" applyNumberFormat="0" applyAlignment="0" applyProtection="0"/>
    <xf numFmtId="0" fontId="16" fillId="7" borderId="21" applyNumberFormat="0" applyFont="0" applyAlignment="0" applyProtection="0"/>
    <xf numFmtId="0" fontId="23" fillId="8" borderId="20" applyNumberFormat="0" applyAlignment="0" applyProtection="0"/>
    <xf numFmtId="0" fontId="21" fillId="6" borderId="20" applyNumberFormat="0" applyAlignment="0" applyProtection="0"/>
    <xf numFmtId="0" fontId="16" fillId="7" borderId="21" applyNumberFormat="0" applyFont="0" applyAlignment="0" applyProtection="0"/>
    <xf numFmtId="0" fontId="22" fillId="8" borderId="22" applyNumberFormat="0" applyAlignment="0" applyProtection="0"/>
    <xf numFmtId="0" fontId="24" fillId="0" borderId="23" applyNumberFormat="0" applyFill="0" applyAlignment="0" applyProtection="0"/>
    <xf numFmtId="0" fontId="22" fillId="8" borderId="22" applyNumberFormat="0" applyAlignment="0" applyProtection="0"/>
    <xf numFmtId="0" fontId="23" fillId="8" borderId="20" applyNumberFormat="0" applyAlignment="0" applyProtection="0"/>
    <xf numFmtId="0" fontId="22" fillId="8" borderId="22" applyNumberFormat="0" applyAlignment="0" applyProtection="0"/>
    <xf numFmtId="0" fontId="21" fillId="6" borderId="20" applyNumberFormat="0" applyAlignment="0" applyProtection="0"/>
    <xf numFmtId="0" fontId="16" fillId="7" borderId="21" applyNumberFormat="0" applyFont="0" applyAlignment="0" applyProtection="0"/>
    <xf numFmtId="9" fontId="3" fillId="0" borderId="0" applyFont="0" applyFill="0" applyBorder="0" applyAlignment="0" applyProtection="0"/>
    <xf numFmtId="0" fontId="7" fillId="0" borderId="0"/>
    <xf numFmtId="43" fontId="3" fillId="0" borderId="0" applyFont="0" applyFill="0" applyBorder="0" applyAlignment="0" applyProtection="0"/>
    <xf numFmtId="165" fontId="2" fillId="0" borderId="0" applyFont="0" applyFill="0" applyBorder="0" applyAlignment="0" applyProtection="0"/>
    <xf numFmtId="0" fontId="21" fillId="6" borderId="20" applyNumberFormat="0" applyAlignment="0" applyProtection="0"/>
    <xf numFmtId="0" fontId="23" fillId="8" borderId="20"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16" fillId="0" borderId="0"/>
  </cellStyleXfs>
  <cellXfs count="1987">
    <xf numFmtId="0" fontId="0" fillId="0" borderId="0" xfId="0"/>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6" fillId="2" borderId="0" xfId="0" applyFont="1" applyFill="1"/>
    <xf numFmtId="0" fontId="18" fillId="0" borderId="0" xfId="0" applyFont="1"/>
    <xf numFmtId="0" fontId="17" fillId="0" borderId="0" xfId="0" applyFont="1"/>
    <xf numFmtId="0" fontId="18" fillId="0" borderId="0" xfId="0" applyFont="1" applyAlignment="1">
      <alignment horizontal="center"/>
    </xf>
    <xf numFmtId="0" fontId="17" fillId="0" borderId="0" xfId="0" applyFont="1" applyAlignment="1">
      <alignment horizontal="center" vertical="center"/>
    </xf>
    <xf numFmtId="0" fontId="17" fillId="0" borderId="0" xfId="0" applyFont="1" applyAlignment="1">
      <alignment horizontal="center"/>
    </xf>
    <xf numFmtId="0" fontId="40" fillId="0" borderId="0" xfId="0" applyFont="1"/>
    <xf numFmtId="0" fontId="40" fillId="2" borderId="0" xfId="0" applyFont="1" applyFill="1"/>
    <xf numFmtId="0" fontId="40" fillId="0" borderId="1" xfId="0" applyFont="1" applyBorder="1" applyAlignment="1">
      <alignment horizontal="left" vertical="center" wrapText="1"/>
    </xf>
    <xf numFmtId="0" fontId="40" fillId="2" borderId="1" xfId="176" applyFont="1" applyFill="1" applyBorder="1" applyAlignment="1">
      <alignment horizontal="left" vertical="center" wrapText="1"/>
    </xf>
    <xf numFmtId="0" fontId="40" fillId="2" borderId="1" xfId="176" applyFont="1" applyFill="1" applyBorder="1" applyAlignment="1">
      <alignment horizontal="center" vertical="center" wrapText="1"/>
    </xf>
    <xf numFmtId="0" fontId="17" fillId="0" borderId="1" xfId="0" applyFont="1" applyBorder="1"/>
    <xf numFmtId="0" fontId="6" fillId="2" borderId="1"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xf>
    <xf numFmtId="167"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7" fontId="6" fillId="0" borderId="1"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17" fillId="0" borderId="1" xfId="0" applyFont="1" applyBorder="1" applyAlignment="1">
      <alignment vertical="center" wrapText="1"/>
    </xf>
    <xf numFmtId="0" fontId="17" fillId="0" borderId="2" xfId="0" applyFont="1" applyBorder="1" applyAlignment="1">
      <alignment horizontal="left" vertical="center" wrapText="1"/>
    </xf>
    <xf numFmtId="168" fontId="17"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7" fillId="32" borderId="35" xfId="0" applyFont="1" applyFill="1" applyBorder="1" applyAlignment="1">
      <alignment horizontal="center" vertical="center" wrapText="1"/>
    </xf>
    <xf numFmtId="0" fontId="17" fillId="32" borderId="36" xfId="0" applyFont="1" applyFill="1" applyBorder="1" applyAlignment="1">
      <alignment horizontal="center" vertical="center" wrapText="1"/>
    </xf>
    <xf numFmtId="0" fontId="17" fillId="32" borderId="31" xfId="0"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0" fontId="17" fillId="2" borderId="1" xfId="30" applyFont="1" applyFill="1" applyBorder="1" applyAlignment="1">
      <alignment horizontal="center" vertical="center" wrapText="1"/>
    </xf>
    <xf numFmtId="0" fontId="17" fillId="2" borderId="3" xfId="0" applyFont="1" applyFill="1" applyBorder="1" applyAlignment="1">
      <alignment horizontal="center" vertical="center"/>
    </xf>
    <xf numFmtId="49" fontId="17" fillId="0" borderId="2" xfId="0" applyNumberFormat="1" applyFont="1" applyBorder="1" applyAlignment="1">
      <alignment horizontal="right" vertical="center"/>
    </xf>
    <xf numFmtId="0" fontId="17" fillId="2" borderId="1" xfId="0" applyFont="1" applyFill="1" applyBorder="1" applyAlignment="1">
      <alignment horizontal="center" vertical="center"/>
    </xf>
    <xf numFmtId="0" fontId="17" fillId="2" borderId="1" xfId="30" applyFont="1" applyFill="1" applyBorder="1" applyAlignment="1">
      <alignment horizontal="center" vertical="center"/>
    </xf>
    <xf numFmtId="168" fontId="17" fillId="0" borderId="1" xfId="0" applyNumberFormat="1" applyFont="1" applyBorder="1" applyAlignment="1">
      <alignment horizontal="center" vertical="center" wrapText="1"/>
    </xf>
    <xf numFmtId="167" fontId="40" fillId="0" borderId="2" xfId="0" applyNumberFormat="1" applyFont="1" applyBorder="1" applyAlignment="1">
      <alignment horizontal="right" vertical="center" wrapText="1"/>
    </xf>
    <xf numFmtId="49" fontId="5"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167" fontId="6" fillId="2" borderId="1" xfId="0" applyNumberFormat="1" applyFont="1" applyFill="1" applyBorder="1" applyAlignment="1">
      <alignment horizontal="center" vertical="center" wrapText="1"/>
    </xf>
    <xf numFmtId="167" fontId="6" fillId="2" borderId="1" xfId="0" applyNumberFormat="1" applyFont="1" applyFill="1" applyBorder="1" applyAlignment="1">
      <alignment horizontal="center" vertical="center"/>
    </xf>
    <xf numFmtId="167" fontId="8" fillId="2" borderId="1" xfId="0" applyNumberFormat="1" applyFont="1" applyFill="1" applyBorder="1" applyAlignment="1">
      <alignment horizontal="center" vertical="center" wrapText="1"/>
    </xf>
    <xf numFmtId="9"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vertical="center"/>
    </xf>
    <xf numFmtId="0" fontId="6" fillId="2" borderId="1" xfId="0" applyFont="1" applyFill="1" applyBorder="1"/>
    <xf numFmtId="9" fontId="6" fillId="0" borderId="1" xfId="0" applyNumberFormat="1" applyFont="1" applyBorder="1" applyAlignment="1">
      <alignment horizontal="center" vertical="center" wrapText="1"/>
    </xf>
    <xf numFmtId="0" fontId="17" fillId="0" borderId="1" xfId="0" applyFont="1" applyBorder="1" applyAlignment="1">
      <alignment wrapText="1"/>
    </xf>
    <xf numFmtId="0" fontId="42" fillId="0" borderId="1" xfId="0" applyFont="1" applyBorder="1" applyAlignment="1">
      <alignment horizontal="left" vertical="center"/>
    </xf>
    <xf numFmtId="0" fontId="42" fillId="0" borderId="1" xfId="0" applyFont="1" applyBorder="1" applyAlignment="1">
      <alignment horizontal="left" vertical="center" wrapText="1"/>
    </xf>
    <xf numFmtId="0" fontId="42" fillId="0" borderId="1" xfId="0" applyFont="1" applyBorder="1" applyAlignment="1">
      <alignment wrapText="1"/>
    </xf>
    <xf numFmtId="167" fontId="17" fillId="2" borderId="1" xfId="0" applyNumberFormat="1" applyFont="1" applyFill="1" applyBorder="1" applyAlignment="1">
      <alignment horizontal="center" vertical="center" wrapText="1"/>
    </xf>
    <xf numFmtId="49" fontId="39" fillId="0" borderId="7" xfId="0" applyNumberFormat="1" applyFont="1" applyBorder="1" applyAlignment="1">
      <alignment horizontal="center" vertical="center"/>
    </xf>
    <xf numFmtId="0" fontId="17" fillId="2" borderId="30" xfId="0" applyFont="1" applyFill="1" applyBorder="1" applyAlignment="1">
      <alignment horizontal="left" vertical="center" wrapText="1"/>
    </xf>
    <xf numFmtId="0" fontId="17" fillId="2" borderId="1" xfId="0" applyFont="1" applyFill="1" applyBorder="1" applyAlignment="1">
      <alignment vertical="center" wrapText="1"/>
    </xf>
    <xf numFmtId="0" fontId="40" fillId="2" borderId="1" xfId="0" applyFont="1" applyFill="1" applyBorder="1" applyAlignment="1">
      <alignment horizontal="left" vertical="center" wrapText="1"/>
    </xf>
    <xf numFmtId="49" fontId="17" fillId="0" borderId="2" xfId="0" applyNumberFormat="1" applyFont="1" applyBorder="1" applyAlignment="1">
      <alignment horizontal="center" vertical="center"/>
    </xf>
    <xf numFmtId="0" fontId="17" fillId="2" borderId="0" xfId="0" applyFont="1" applyFill="1" applyAlignment="1">
      <alignment horizontal="left" vertical="center" wrapText="1"/>
    </xf>
    <xf numFmtId="0" fontId="43" fillId="0" borderId="7" xfId="0" applyFont="1" applyBorder="1" applyAlignment="1">
      <alignment horizontal="center" vertical="center"/>
    </xf>
    <xf numFmtId="0" fontId="43" fillId="0" borderId="1" xfId="0" applyFont="1" applyBorder="1" applyAlignment="1">
      <alignment horizontal="center" vertical="center"/>
    </xf>
    <xf numFmtId="0" fontId="5" fillId="2" borderId="1" xfId="1" applyFont="1" applyFill="1" applyBorder="1" applyAlignment="1">
      <alignment horizontal="left" vertical="center" wrapText="1"/>
    </xf>
    <xf numFmtId="167" fontId="39" fillId="32" borderId="35" xfId="0" applyNumberFormat="1" applyFont="1" applyFill="1" applyBorder="1" applyAlignment="1">
      <alignment horizontal="center" vertical="center" wrapText="1"/>
    </xf>
    <xf numFmtId="167" fontId="39" fillId="30" borderId="35" xfId="0" applyNumberFormat="1" applyFont="1" applyFill="1" applyBorder="1" applyAlignment="1">
      <alignment horizontal="center" vertical="center" wrapText="1"/>
    </xf>
    <xf numFmtId="49" fontId="5" fillId="2" borderId="1" xfId="1" applyNumberFormat="1" applyFont="1" applyFill="1" applyBorder="1" applyAlignment="1">
      <alignment horizontal="center" vertical="center" wrapText="1"/>
    </xf>
    <xf numFmtId="2" fontId="40" fillId="2" borderId="0" xfId="0" applyNumberFormat="1" applyFont="1" applyFill="1"/>
    <xf numFmtId="168" fontId="40" fillId="2" borderId="0" xfId="0" applyNumberFormat="1" applyFont="1" applyFill="1"/>
    <xf numFmtId="166" fontId="40" fillId="2" borderId="0" xfId="0" applyNumberFormat="1" applyFont="1" applyFill="1"/>
    <xf numFmtId="49" fontId="17" fillId="0" borderId="3"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49" fontId="17" fillId="0" borderId="1" xfId="0" applyNumberFormat="1" applyFont="1" applyBorder="1" applyAlignment="1">
      <alignment horizontal="center" vertical="center"/>
    </xf>
    <xf numFmtId="49" fontId="17" fillId="0" borderId="1" xfId="0" applyNumberFormat="1" applyFont="1" applyBorder="1" applyAlignment="1">
      <alignment horizontal="right" vertical="center"/>
    </xf>
    <xf numFmtId="167" fontId="17" fillId="0" borderId="3" xfId="0" applyNumberFormat="1" applyFont="1" applyBorder="1" applyAlignment="1">
      <alignment horizontal="center" vertical="center" wrapText="1"/>
    </xf>
    <xf numFmtId="167" fontId="17" fillId="0" borderId="2" xfId="0" applyNumberFormat="1" applyFont="1" applyBorder="1" applyAlignment="1">
      <alignment horizontal="center" vertical="center" wrapText="1"/>
    </xf>
    <xf numFmtId="49" fontId="6" fillId="2" borderId="1" xfId="1" applyNumberFormat="1" applyFont="1" applyFill="1" applyBorder="1" applyAlignment="1">
      <alignment horizontal="center" vertical="center" wrapText="1"/>
    </xf>
    <xf numFmtId="49" fontId="6" fillId="0" borderId="2" xfId="0" applyNumberFormat="1" applyFont="1" applyBorder="1" applyAlignment="1">
      <alignment horizontal="center" vertical="center"/>
    </xf>
    <xf numFmtId="49" fontId="5" fillId="2" borderId="9" xfId="1" applyNumberFormat="1" applyFont="1" applyFill="1" applyBorder="1" applyAlignment="1">
      <alignment horizontal="center" vertical="center" wrapText="1"/>
    </xf>
    <xf numFmtId="0" fontId="19" fillId="0" borderId="0" xfId="0" applyFont="1" applyAlignment="1">
      <alignment vertical="center" wrapText="1"/>
    </xf>
    <xf numFmtId="0" fontId="48" fillId="3" borderId="1" xfId="363" applyNumberFormat="1" applyFont="1" applyFill="1" applyBorder="1" applyAlignment="1">
      <alignment horizontal="center" vertical="center"/>
    </xf>
    <xf numFmtId="0" fontId="48" fillId="4" borderId="2" xfId="363" applyNumberFormat="1" applyFont="1" applyFill="1" applyBorder="1" applyAlignment="1">
      <alignment horizontal="center" vertical="center"/>
    </xf>
    <xf numFmtId="170" fontId="48" fillId="0" borderId="9" xfId="28" applyNumberFormat="1" applyFont="1" applyBorder="1" applyAlignment="1">
      <alignment horizontal="center" vertical="center"/>
    </xf>
    <xf numFmtId="0" fontId="8" fillId="0" borderId="2" xfId="28" applyFont="1" applyBorder="1" applyAlignment="1">
      <alignment horizontal="center" vertical="center"/>
    </xf>
    <xf numFmtId="0" fontId="48" fillId="0" borderId="2" xfId="28" applyFont="1" applyBorder="1" applyAlignment="1">
      <alignment horizontal="right" vertical="center"/>
    </xf>
    <xf numFmtId="0" fontId="48" fillId="0" borderId="2" xfId="28" applyFont="1" applyBorder="1" applyAlignment="1">
      <alignment vertical="center" wrapText="1"/>
    </xf>
    <xf numFmtId="167" fontId="5" fillId="2" borderId="2" xfId="0" applyNumberFormat="1" applyFont="1" applyFill="1" applyBorder="1" applyAlignment="1">
      <alignment horizontal="center" vertical="center" wrapText="1"/>
    </xf>
    <xf numFmtId="0" fontId="8" fillId="0" borderId="2" xfId="29" applyFont="1" applyBorder="1" applyAlignment="1">
      <alignment horizontal="left" vertical="center" wrapText="1"/>
    </xf>
    <xf numFmtId="0" fontId="5" fillId="2" borderId="2" xfId="0" applyFont="1" applyFill="1" applyBorder="1" applyAlignment="1">
      <alignment horizontal="center" vertical="center" wrapText="1"/>
    </xf>
    <xf numFmtId="1" fontId="6" fillId="2" borderId="2"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167"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9" fontId="6" fillId="3" borderId="1" xfId="0" applyNumberFormat="1" applyFont="1" applyFill="1" applyBorder="1" applyAlignment="1">
      <alignment vertical="center" wrapText="1"/>
    </xf>
    <xf numFmtId="10" fontId="6" fillId="3" borderId="1" xfId="0" applyNumberFormat="1" applyFont="1" applyFill="1" applyBorder="1" applyAlignment="1">
      <alignment vertical="center" wrapText="1"/>
    </xf>
    <xf numFmtId="10" fontId="6" fillId="4" borderId="26" xfId="0" applyNumberFormat="1" applyFont="1" applyFill="1" applyBorder="1" applyAlignment="1">
      <alignment vertical="center" wrapText="1"/>
    </xf>
    <xf numFmtId="10" fontId="6" fillId="4" borderId="27" xfId="0" applyNumberFormat="1" applyFont="1" applyFill="1" applyBorder="1" applyAlignment="1">
      <alignment vertical="center" wrapText="1"/>
    </xf>
    <xf numFmtId="0" fontId="48" fillId="2" borderId="7" xfId="0" applyFont="1" applyFill="1" applyBorder="1" applyAlignment="1">
      <alignment horizontal="center" vertical="center" wrapText="1"/>
    </xf>
    <xf numFmtId="0" fontId="48" fillId="2" borderId="1" xfId="0" applyFont="1" applyFill="1" applyBorder="1" applyAlignment="1">
      <alignment horizontal="left" vertical="center" wrapText="1"/>
    </xf>
    <xf numFmtId="167" fontId="48" fillId="2" borderId="1" xfId="0" applyNumberFormat="1" applyFont="1" applyFill="1" applyBorder="1" applyAlignment="1">
      <alignment horizontal="center" vertical="center" wrapText="1"/>
    </xf>
    <xf numFmtId="10" fontId="6" fillId="2" borderId="1" xfId="0" applyNumberFormat="1" applyFont="1" applyFill="1" applyBorder="1" applyAlignment="1">
      <alignment vertical="center" wrapText="1"/>
    </xf>
    <xf numFmtId="0" fontId="5" fillId="2" borderId="1" xfId="0" applyFont="1" applyFill="1" applyBorder="1" applyAlignment="1">
      <alignment vertical="center" wrapText="1"/>
    </xf>
    <xf numFmtId="171" fontId="6" fillId="2" borderId="2" xfId="176" applyNumberFormat="1" applyFont="1" applyFill="1" applyBorder="1" applyAlignment="1">
      <alignment horizontal="center" vertical="center"/>
    </xf>
    <xf numFmtId="0" fontId="5" fillId="2" borderId="2" xfId="176" applyFont="1" applyFill="1" applyBorder="1" applyAlignment="1">
      <alignment horizontal="center" vertical="center"/>
    </xf>
    <xf numFmtId="0" fontId="6" fillId="2" borderId="2" xfId="276" applyFont="1" applyFill="1" applyBorder="1" applyAlignment="1">
      <alignment vertical="center" wrapText="1"/>
    </xf>
    <xf numFmtId="167" fontId="6" fillId="2" borderId="2" xfId="176" applyNumberFormat="1" applyFont="1" applyFill="1" applyBorder="1" applyAlignment="1">
      <alignment horizontal="center" vertical="center" wrapText="1"/>
    </xf>
    <xf numFmtId="0" fontId="6" fillId="2" borderId="2" xfId="276" applyFont="1" applyFill="1" applyBorder="1" applyAlignment="1">
      <alignment horizontal="left" vertical="center" wrapText="1"/>
    </xf>
    <xf numFmtId="0" fontId="6" fillId="2" borderId="2" xfId="5" applyFont="1" applyFill="1" applyBorder="1" applyAlignment="1">
      <alignment horizontal="center" vertical="center" wrapText="1"/>
    </xf>
    <xf numFmtId="181" fontId="6" fillId="2" borderId="2" xfId="0" applyNumberFormat="1" applyFont="1" applyFill="1" applyBorder="1" applyAlignment="1">
      <alignment horizontal="center" vertical="center" wrapText="1"/>
    </xf>
    <xf numFmtId="171" fontId="6" fillId="2" borderId="1" xfId="176" applyNumberFormat="1" applyFont="1" applyFill="1" applyBorder="1" applyAlignment="1">
      <alignment horizontal="center" vertical="center"/>
    </xf>
    <xf numFmtId="0" fontId="6" fillId="2" borderId="1" xfId="176" applyFont="1" applyFill="1" applyBorder="1" applyAlignment="1">
      <alignment horizontal="center" vertical="center"/>
    </xf>
    <xf numFmtId="0" fontId="6" fillId="2" borderId="1" xfId="43" applyFont="1" applyFill="1" applyBorder="1" applyAlignment="1">
      <alignment horizontal="left" vertical="center" wrapText="1"/>
    </xf>
    <xf numFmtId="167" fontId="6" fillId="2" borderId="1" xfId="176" applyNumberFormat="1" applyFont="1" applyFill="1" applyBorder="1" applyAlignment="1">
      <alignment horizontal="center" vertical="center" wrapText="1"/>
    </xf>
    <xf numFmtId="0" fontId="6" fillId="2" borderId="1" xfId="276" applyFont="1" applyFill="1" applyBorder="1" applyAlignment="1">
      <alignment vertical="center" wrapText="1"/>
    </xf>
    <xf numFmtId="0" fontId="6" fillId="2" borderId="1" xfId="5" applyFont="1" applyFill="1" applyBorder="1" applyAlignment="1">
      <alignment horizontal="center" vertical="center" wrapText="1"/>
    </xf>
    <xf numFmtId="177" fontId="6" fillId="2" borderId="1" xfId="0" applyNumberFormat="1" applyFont="1" applyFill="1" applyBorder="1" applyAlignment="1">
      <alignment horizontal="center" vertical="center"/>
    </xf>
    <xf numFmtId="167" fontId="6" fillId="2" borderId="1" xfId="176" applyNumberFormat="1" applyFont="1" applyFill="1" applyBorder="1" applyAlignment="1">
      <alignment horizontal="center" vertical="center"/>
    </xf>
    <xf numFmtId="182" fontId="6" fillId="2" borderId="1" xfId="0" applyNumberFormat="1" applyFont="1" applyFill="1" applyBorder="1" applyAlignment="1">
      <alignment horizontal="center" vertical="center"/>
    </xf>
    <xf numFmtId="0" fontId="8" fillId="2" borderId="1" xfId="277" applyFont="1" applyFill="1" applyBorder="1" applyAlignment="1">
      <alignment vertical="center" wrapText="1"/>
    </xf>
    <xf numFmtId="0" fontId="6" fillId="2" borderId="1" xfId="276" applyFont="1" applyFill="1" applyBorder="1" applyAlignment="1">
      <alignment horizontal="left" vertical="center" wrapText="1"/>
    </xf>
    <xf numFmtId="0" fontId="48" fillId="3" borderId="6" xfId="0" applyFont="1" applyFill="1" applyBorder="1" applyAlignment="1">
      <alignment vertical="center" wrapText="1"/>
    </xf>
    <xf numFmtId="9" fontId="8" fillId="3" borderId="6" xfId="0" applyNumberFormat="1" applyFont="1" applyFill="1" applyBorder="1" applyAlignment="1">
      <alignment vertical="center" wrapText="1"/>
    </xf>
    <xf numFmtId="10" fontId="8" fillId="3" borderId="6" xfId="0" applyNumberFormat="1" applyFont="1" applyFill="1" applyBorder="1" applyAlignment="1">
      <alignment vertical="center" wrapText="1"/>
    </xf>
    <xf numFmtId="10" fontId="8" fillId="3" borderId="7" xfId="0" applyNumberFormat="1" applyFont="1" applyFill="1" applyBorder="1" applyAlignment="1">
      <alignment vertical="center" wrapText="1"/>
    </xf>
    <xf numFmtId="0" fontId="5" fillId="2" borderId="1" xfId="0" applyFont="1" applyFill="1" applyBorder="1" applyAlignment="1">
      <alignment horizontal="left"/>
    </xf>
    <xf numFmtId="49" fontId="5" fillId="0" borderId="1" xfId="278" applyNumberFormat="1" applyFont="1" applyBorder="1" applyAlignment="1">
      <alignment horizontal="center" vertical="center"/>
    </xf>
    <xf numFmtId="49" fontId="6" fillId="0" borderId="1" xfId="278" applyNumberFormat="1" applyFont="1" applyBorder="1" applyAlignment="1">
      <alignment vertical="center"/>
    </xf>
    <xf numFmtId="0" fontId="5" fillId="0" borderId="1" xfId="278" applyFont="1" applyBorder="1" applyAlignment="1">
      <alignment vertical="center" wrapText="1"/>
    </xf>
    <xf numFmtId="167" fontId="5" fillId="2" borderId="1" xfId="0" applyNumberFormat="1" applyFont="1" applyFill="1" applyBorder="1" applyAlignment="1">
      <alignment horizontal="center" vertical="center"/>
    </xf>
    <xf numFmtId="0" fontId="6" fillId="2" borderId="1" xfId="0" applyFont="1" applyFill="1" applyBorder="1" applyAlignment="1">
      <alignment vertical="center" wrapText="1"/>
    </xf>
    <xf numFmtId="0" fontId="6" fillId="0" borderId="1" xfId="1" applyFont="1" applyBorder="1" applyAlignment="1">
      <alignment horizontal="center" vertical="center" wrapText="1"/>
    </xf>
    <xf numFmtId="0" fontId="6" fillId="0" borderId="1" xfId="1" applyFont="1" applyBorder="1" applyAlignment="1">
      <alignment horizontal="center" vertical="center"/>
    </xf>
    <xf numFmtId="49" fontId="5" fillId="0" borderId="1" xfId="176" applyNumberFormat="1" applyFont="1" applyBorder="1" applyAlignment="1">
      <alignment horizontal="center" vertical="center"/>
    </xf>
    <xf numFmtId="171" fontId="6" fillId="0" borderId="1" xfId="176" applyNumberFormat="1" applyFont="1" applyBorder="1" applyAlignment="1">
      <alignment horizontal="center" vertical="center"/>
    </xf>
    <xf numFmtId="0" fontId="5" fillId="0" borderId="1" xfId="176" applyFont="1" applyBorder="1" applyAlignment="1">
      <alignment horizontal="center" vertical="center"/>
    </xf>
    <xf numFmtId="0" fontId="6" fillId="0" borderId="7" xfId="5" applyFont="1" applyBorder="1" applyAlignment="1">
      <alignment horizontal="center" vertical="center" wrapText="1"/>
    </xf>
    <xf numFmtId="49" fontId="5" fillId="0" borderId="1" xfId="176" applyNumberFormat="1" applyFont="1" applyBorder="1" applyAlignment="1">
      <alignment vertical="center"/>
    </xf>
    <xf numFmtId="0" fontId="8" fillId="0" borderId="1" xfId="0" applyFont="1" applyBorder="1" applyAlignment="1">
      <alignment horizontal="center" vertical="center" wrapText="1"/>
    </xf>
    <xf numFmtId="0" fontId="6" fillId="0" borderId="1" xfId="276" applyFont="1" applyBorder="1" applyAlignment="1">
      <alignment vertical="center" wrapText="1"/>
    </xf>
    <xf numFmtId="0" fontId="6" fillId="0" borderId="7" xfId="0" applyFont="1" applyBorder="1" applyAlignment="1">
      <alignment horizontal="center" vertical="center" wrapText="1"/>
    </xf>
    <xf numFmtId="1" fontId="6" fillId="0" borderId="1" xfId="0" applyNumberFormat="1" applyFont="1" applyBorder="1" applyAlignment="1">
      <alignment horizontal="center" vertical="center" wrapText="1"/>
    </xf>
    <xf numFmtId="183" fontId="6" fillId="0" borderId="1" xfId="285" applyNumberFormat="1" applyFont="1" applyFill="1" applyBorder="1" applyAlignment="1">
      <alignment horizontal="center" vertical="center"/>
    </xf>
    <xf numFmtId="0" fontId="5" fillId="0" borderId="1" xfId="176" applyFont="1" applyBorder="1" applyAlignment="1">
      <alignment vertical="center"/>
    </xf>
    <xf numFmtId="0" fontId="8" fillId="0" borderId="7" xfId="0" applyFont="1" applyBorder="1" applyAlignment="1">
      <alignment horizontal="center" vertical="center"/>
    </xf>
    <xf numFmtId="0" fontId="8" fillId="0" borderId="1" xfId="0" applyFont="1" applyBorder="1"/>
    <xf numFmtId="0" fontId="50" fillId="0" borderId="1" xfId="0" applyFont="1" applyBorder="1"/>
    <xf numFmtId="0" fontId="6" fillId="0" borderId="1" xfId="276" applyFont="1" applyBorder="1" applyAlignment="1">
      <alignment horizontal="left" vertical="center" wrapText="1"/>
    </xf>
    <xf numFmtId="184" fontId="6" fillId="0" borderId="1" xfId="0" applyNumberFormat="1" applyFont="1" applyBorder="1" applyAlignment="1">
      <alignment horizontal="center" vertical="center" wrapText="1"/>
    </xf>
    <xf numFmtId="184" fontId="6" fillId="0" borderId="1" xfId="0" applyNumberFormat="1" applyFont="1" applyBorder="1" applyAlignment="1">
      <alignment horizontal="center" vertical="center"/>
    </xf>
    <xf numFmtId="0" fontId="6" fillId="0" borderId="7" xfId="0" applyFont="1" applyBorder="1" applyAlignment="1">
      <alignment horizontal="center" vertical="center"/>
    </xf>
    <xf numFmtId="0" fontId="6" fillId="0" borderId="1" xfId="176" applyFont="1" applyBorder="1" applyAlignment="1">
      <alignment wrapText="1"/>
    </xf>
    <xf numFmtId="0" fontId="6" fillId="0" borderId="1" xfId="176" applyFont="1" applyBorder="1" applyAlignment="1">
      <alignment vertical="center" wrapText="1"/>
    </xf>
    <xf numFmtId="168" fontId="6" fillId="0" borderId="1" xfId="0" applyNumberFormat="1" applyFont="1" applyBorder="1" applyAlignment="1">
      <alignment horizontal="center" vertical="center" wrapText="1"/>
    </xf>
    <xf numFmtId="9" fontId="6" fillId="3" borderId="6" xfId="0" applyNumberFormat="1" applyFont="1" applyFill="1" applyBorder="1" applyAlignment="1">
      <alignment vertical="center" wrapText="1"/>
    </xf>
    <xf numFmtId="10" fontId="6" fillId="3" borderId="6" xfId="0" applyNumberFormat="1" applyFont="1" applyFill="1" applyBorder="1" applyAlignment="1">
      <alignment vertical="center" wrapText="1"/>
    </xf>
    <xf numFmtId="10" fontId="6" fillId="3" borderId="7" xfId="0" applyNumberFormat="1" applyFont="1" applyFill="1" applyBorder="1" applyAlignment="1">
      <alignment vertical="center" wrapText="1"/>
    </xf>
    <xf numFmtId="167" fontId="5" fillId="2" borderId="1" xfId="0"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0" fontId="8" fillId="0" borderId="1" xfId="0" applyFont="1" applyBorder="1" applyAlignment="1">
      <alignment horizontal="left" vertical="center" wrapText="1"/>
    </xf>
    <xf numFmtId="0" fontId="52" fillId="0" borderId="1" xfId="0" applyFont="1" applyBorder="1"/>
    <xf numFmtId="0" fontId="52" fillId="0" borderId="1" xfId="0" applyFont="1" applyBorder="1" applyAlignment="1">
      <alignment horizontal="left" vertical="center"/>
    </xf>
    <xf numFmtId="0" fontId="48" fillId="3" borderId="1" xfId="0" applyFont="1" applyFill="1" applyBorder="1" applyAlignment="1">
      <alignment vertical="center" wrapText="1"/>
    </xf>
    <xf numFmtId="0" fontId="48" fillId="3" borderId="1" xfId="0" applyFont="1" applyFill="1" applyBorder="1" applyAlignment="1">
      <alignment vertical="center"/>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48" fillId="0" borderId="1" xfId="0" applyFont="1" applyBorder="1" applyAlignment="1">
      <alignment horizontal="left" vertical="center" wrapText="1"/>
    </xf>
    <xf numFmtId="0" fontId="8" fillId="3" borderId="1" xfId="0" applyFont="1" applyFill="1" applyBorder="1"/>
    <xf numFmtId="171" fontId="48" fillId="4" borderId="5" xfId="0" applyNumberFormat="1" applyFont="1" applyFill="1" applyBorder="1"/>
    <xf numFmtId="171" fontId="48" fillId="4" borderId="6" xfId="0" applyNumberFormat="1" applyFont="1" applyFill="1" applyBorder="1"/>
    <xf numFmtId="171" fontId="48" fillId="4" borderId="7" xfId="0" applyNumberFormat="1" applyFont="1" applyFill="1" applyBorder="1"/>
    <xf numFmtId="49" fontId="5" fillId="0" borderId="1" xfId="0" applyNumberFormat="1" applyFont="1" applyBorder="1" applyAlignment="1">
      <alignment horizontal="center" vertical="center" wrapText="1"/>
    </xf>
    <xf numFmtId="167"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49" fontId="5"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52" fillId="0" borderId="1" xfId="0" applyFont="1" applyBorder="1" applyAlignment="1">
      <alignment horizontal="left" vertical="center" wrapText="1"/>
    </xf>
    <xf numFmtId="49" fontId="6" fillId="0" borderId="1" xfId="0" applyNumberFormat="1" applyFont="1" applyBorder="1" applyAlignment="1">
      <alignment horizontal="left" vertical="center" wrapText="1"/>
    </xf>
    <xf numFmtId="0" fontId="5" fillId="0" borderId="1" xfId="0" applyFont="1" applyBorder="1"/>
    <xf numFmtId="0" fontId="5" fillId="0" borderId="1" xfId="0" applyFont="1" applyBorder="1" applyAlignment="1">
      <alignment horizontal="center" vertical="center"/>
    </xf>
    <xf numFmtId="0" fontId="52" fillId="0" borderId="1" xfId="0" applyFont="1" applyBorder="1" applyAlignment="1">
      <alignment wrapText="1"/>
    </xf>
    <xf numFmtId="0" fontId="5" fillId="3" borderId="1" xfId="0" applyFont="1" applyFill="1" applyBorder="1" applyAlignment="1">
      <alignment vertical="center"/>
    </xf>
    <xf numFmtId="0" fontId="5" fillId="0" borderId="3" xfId="176" applyFont="1" applyBorder="1" applyAlignment="1">
      <alignment horizontal="left"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6" fillId="0" borderId="27" xfId="0" applyFont="1" applyBorder="1" applyAlignment="1">
      <alignment vertical="top" wrapText="1"/>
    </xf>
    <xf numFmtId="0" fontId="6" fillId="0" borderId="3" xfId="0" applyFont="1" applyBorder="1" applyAlignment="1">
      <alignment horizontal="center" vertical="center" wrapText="1"/>
    </xf>
    <xf numFmtId="0" fontId="6" fillId="0" borderId="3" xfId="0" applyFont="1" applyBorder="1" applyAlignment="1">
      <alignment horizontal="center" vertical="center"/>
    </xf>
    <xf numFmtId="49" fontId="6" fillId="0" borderId="1" xfId="176" applyNumberFormat="1" applyFont="1" applyBorder="1" applyAlignment="1">
      <alignment horizontal="right" vertical="center"/>
    </xf>
    <xf numFmtId="0" fontId="5" fillId="0" borderId="1" xfId="176" applyFont="1" applyBorder="1" applyAlignment="1">
      <alignment horizontal="left" vertical="top" wrapText="1"/>
    </xf>
    <xf numFmtId="0" fontId="6" fillId="0" borderId="3" xfId="0" applyFont="1" applyBorder="1" applyAlignment="1">
      <alignment horizontal="left" vertical="center" wrapText="1"/>
    </xf>
    <xf numFmtId="0" fontId="8" fillId="2" borderId="1" xfId="0" applyFont="1" applyFill="1" applyBorder="1" applyAlignment="1">
      <alignment horizontal="center" vertical="center"/>
    </xf>
    <xf numFmtId="49" fontId="5" fillId="0" borderId="1" xfId="176" applyNumberFormat="1" applyFont="1" applyBorder="1" applyAlignment="1">
      <alignment horizontal="right" vertical="center"/>
    </xf>
    <xf numFmtId="0" fontId="6" fillId="0" borderId="1" xfId="176" applyFont="1" applyBorder="1" applyAlignment="1">
      <alignment horizontal="left" vertical="top" wrapText="1"/>
    </xf>
    <xf numFmtId="167" fontId="5" fillId="3" borderId="2" xfId="0" applyNumberFormat="1" applyFont="1" applyFill="1" applyBorder="1" applyAlignment="1">
      <alignment horizontal="center" vertical="top"/>
    </xf>
    <xf numFmtId="0" fontId="5" fillId="28" borderId="1" xfId="183" applyFont="1" applyFill="1" applyBorder="1" applyAlignment="1">
      <alignment horizontal="left" vertical="top" wrapText="1"/>
    </xf>
    <xf numFmtId="0" fontId="6" fillId="28" borderId="3" xfId="0" applyFont="1" applyFill="1" applyBorder="1" applyAlignment="1">
      <alignment horizontal="left" vertical="top" wrapText="1"/>
    </xf>
    <xf numFmtId="0" fontId="6" fillId="28"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0" borderId="1" xfId="183" applyFont="1" applyBorder="1" applyAlignment="1">
      <alignment vertical="top" wrapText="1"/>
    </xf>
    <xf numFmtId="0" fontId="6" fillId="28" borderId="1" xfId="0" applyFont="1" applyFill="1" applyBorder="1" applyAlignment="1">
      <alignment horizontal="left" vertical="center" wrapText="1"/>
    </xf>
    <xf numFmtId="0" fontId="6" fillId="28" borderId="1" xfId="0" applyFont="1" applyFill="1" applyBorder="1" applyAlignment="1">
      <alignment horizontal="left" vertical="top" wrapText="1"/>
    </xf>
    <xf numFmtId="49" fontId="5" fillId="2" borderId="1" xfId="0" applyNumberFormat="1" applyFont="1" applyFill="1" applyBorder="1" applyAlignment="1">
      <alignment vertical="center" wrapText="1"/>
    </xf>
    <xf numFmtId="0" fontId="6" fillId="0" borderId="1" xfId="183" applyFont="1" applyBorder="1" applyAlignment="1">
      <alignment vertical="center" wrapText="1"/>
    </xf>
    <xf numFmtId="0" fontId="6" fillId="2" borderId="5" xfId="0" applyFont="1" applyFill="1" applyBorder="1" applyAlignment="1">
      <alignment vertical="center" wrapText="1"/>
    </xf>
    <xf numFmtId="0" fontId="6" fillId="2" borderId="7" xfId="0" applyFont="1" applyFill="1" applyBorder="1" applyAlignment="1">
      <alignment vertical="center" wrapText="1"/>
    </xf>
    <xf numFmtId="0" fontId="6" fillId="0" borderId="3" xfId="183" applyFont="1" applyBorder="1" applyAlignment="1">
      <alignment horizontal="left" vertical="top" wrapText="1"/>
    </xf>
    <xf numFmtId="49" fontId="5" fillId="0" borderId="1" xfId="183" applyNumberFormat="1" applyFont="1" applyBorder="1" applyAlignment="1">
      <alignment horizontal="center" vertical="center"/>
    </xf>
    <xf numFmtId="0" fontId="6" fillId="0" borderId="2" xfId="183" applyFont="1" applyBorder="1"/>
    <xf numFmtId="9" fontId="5" fillId="2" borderId="1" xfId="0" applyNumberFormat="1" applyFont="1" applyFill="1" applyBorder="1" applyAlignment="1">
      <alignment horizontal="center" vertical="center" wrapText="1"/>
    </xf>
    <xf numFmtId="9" fontId="6" fillId="2" borderId="24" xfId="0" applyNumberFormat="1" applyFont="1" applyFill="1" applyBorder="1" applyAlignment="1">
      <alignment horizontal="center" vertical="center" wrapText="1"/>
    </xf>
    <xf numFmtId="49" fontId="6" fillId="0" borderId="3" xfId="183" applyNumberFormat="1" applyFont="1" applyBorder="1" applyAlignment="1">
      <alignment horizontal="center" vertical="center"/>
    </xf>
    <xf numFmtId="49" fontId="6" fillId="0" borderId="3" xfId="183" applyNumberFormat="1" applyFont="1" applyBorder="1"/>
    <xf numFmtId="0" fontId="8" fillId="0" borderId="1" xfId="283" applyFont="1" applyBorder="1" applyAlignment="1">
      <alignment horizontal="left" vertical="top" wrapText="1"/>
    </xf>
    <xf numFmtId="0" fontId="48" fillId="0" borderId="1" xfId="0" applyFont="1" applyBorder="1" applyAlignment="1">
      <alignment horizontal="center" vertical="top" wrapText="1"/>
    </xf>
    <xf numFmtId="0" fontId="5" fillId="0" borderId="1" xfId="0" applyFont="1" applyBorder="1" applyAlignment="1">
      <alignment vertical="center" wrapText="1"/>
    </xf>
    <xf numFmtId="0" fontId="6" fillId="0" borderId="24" xfId="0" applyFont="1" applyBorder="1" applyAlignment="1">
      <alignment horizontal="center" vertical="center" wrapText="1"/>
    </xf>
    <xf numFmtId="49" fontId="6" fillId="0" borderId="5" xfId="183" applyNumberFormat="1" applyFont="1" applyBorder="1" applyAlignment="1">
      <alignment horizontal="center" vertical="center"/>
    </xf>
    <xf numFmtId="49" fontId="6" fillId="0" borderId="5" xfId="183" applyNumberFormat="1" applyFont="1" applyBorder="1"/>
    <xf numFmtId="0" fontId="6" fillId="0" borderId="1" xfId="0" applyFont="1" applyBorder="1" applyAlignment="1">
      <alignment vertical="center" wrapText="1"/>
    </xf>
    <xf numFmtId="0" fontId="6" fillId="0" borderId="24" xfId="0" applyFont="1" applyBorder="1" applyAlignment="1">
      <alignment vertical="center" wrapText="1"/>
    </xf>
    <xf numFmtId="0" fontId="8" fillId="0" borderId="1" xfId="283" applyFont="1" applyBorder="1" applyAlignment="1">
      <alignment horizontal="left" vertical="center" wrapText="1"/>
    </xf>
    <xf numFmtId="0" fontId="8" fillId="0" borderId="1" xfId="0" applyFont="1" applyBorder="1" applyAlignment="1">
      <alignment horizontal="justify" vertical="top" wrapText="1"/>
    </xf>
    <xf numFmtId="0" fontId="51" fillId="2" borderId="1" xfId="0" applyFont="1" applyFill="1" applyBorder="1" applyAlignment="1">
      <alignment vertical="center" wrapText="1"/>
    </xf>
    <xf numFmtId="49" fontId="6" fillId="0" borderId="1" xfId="183" applyNumberFormat="1" applyFont="1" applyBorder="1" applyAlignment="1">
      <alignment horizontal="center" vertical="center"/>
    </xf>
    <xf numFmtId="49" fontId="6" fillId="0" borderId="1" xfId="183" applyNumberFormat="1" applyFont="1" applyBorder="1"/>
    <xf numFmtId="0" fontId="48" fillId="2" borderId="1" xfId="283" applyFont="1" applyFill="1" applyBorder="1" applyAlignment="1">
      <alignment horizontal="left" vertical="center" wrapText="1"/>
    </xf>
    <xf numFmtId="0" fontId="48" fillId="2" borderId="1" xfId="0" applyFont="1" applyFill="1" applyBorder="1" applyAlignment="1">
      <alignment horizontal="justify" vertical="center" wrapText="1"/>
    </xf>
    <xf numFmtId="0" fontId="55" fillId="2" borderId="1"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8" fillId="0" borderId="1" xfId="0" applyFont="1" applyBorder="1" applyAlignment="1">
      <alignment horizontal="justify" vertical="center" wrapText="1"/>
    </xf>
    <xf numFmtId="0" fontId="6" fillId="0" borderId="47" xfId="0" applyFont="1" applyBorder="1" applyAlignment="1">
      <alignment horizontal="center" vertical="center" wrapText="1"/>
    </xf>
    <xf numFmtId="179" fontId="6" fillId="0" borderId="1" xfId="11" applyNumberFormat="1" applyFont="1" applyFill="1" applyBorder="1" applyAlignment="1">
      <alignment vertical="center" wrapText="1"/>
    </xf>
    <xf numFmtId="0" fontId="51" fillId="0" borderId="1" xfId="0" applyFont="1" applyBorder="1" applyAlignment="1">
      <alignment horizontal="center" vertical="center" wrapText="1"/>
    </xf>
    <xf numFmtId="0" fontId="48" fillId="0" borderId="1" xfId="283" applyFont="1" applyBorder="1" applyAlignment="1">
      <alignment horizontal="left" vertical="center" wrapText="1"/>
    </xf>
    <xf numFmtId="179" fontId="5" fillId="0" borderId="1" xfId="11" applyNumberFormat="1" applyFont="1" applyFill="1" applyBorder="1" applyAlignment="1">
      <alignment vertical="center" wrapText="1"/>
    </xf>
    <xf numFmtId="49" fontId="5" fillId="0" borderId="1" xfId="183" applyNumberFormat="1" applyFont="1" applyBorder="1"/>
    <xf numFmtId="49" fontId="5" fillId="0" borderId="3" xfId="183" applyNumberFormat="1" applyFont="1" applyBorder="1" applyAlignment="1">
      <alignment horizontal="center" vertical="center"/>
    </xf>
    <xf numFmtId="49" fontId="6" fillId="0" borderId="0" xfId="183" applyNumberFormat="1" applyFont="1"/>
    <xf numFmtId="49" fontId="5" fillId="2" borderId="1" xfId="183" applyNumberFormat="1" applyFont="1" applyFill="1" applyBorder="1" applyAlignment="1">
      <alignment horizontal="center" vertical="center"/>
    </xf>
    <xf numFmtId="49" fontId="6" fillId="2" borderId="5" xfId="183" applyNumberFormat="1" applyFont="1" applyFill="1" applyBorder="1" applyAlignment="1">
      <alignment horizontal="center" vertical="center"/>
    </xf>
    <xf numFmtId="49" fontId="6" fillId="2" borderId="1" xfId="183" applyNumberFormat="1" applyFont="1" applyFill="1" applyBorder="1"/>
    <xf numFmtId="49" fontId="5" fillId="0" borderId="2" xfId="183" applyNumberFormat="1" applyFont="1" applyBorder="1" applyAlignment="1">
      <alignment horizontal="center" vertical="center"/>
    </xf>
    <xf numFmtId="3" fontId="51" fillId="0" borderId="1" xfId="0" applyNumberFormat="1" applyFont="1" applyBorder="1" applyAlignment="1">
      <alignment vertical="center" wrapText="1"/>
    </xf>
    <xf numFmtId="3" fontId="6" fillId="0" borderId="1" xfId="0" applyNumberFormat="1" applyFont="1" applyBorder="1" applyAlignment="1">
      <alignment vertical="center" wrapText="1"/>
    </xf>
    <xf numFmtId="3" fontId="6" fillId="0" borderId="24" xfId="0" applyNumberFormat="1" applyFont="1" applyBorder="1" applyAlignment="1">
      <alignment vertical="center" wrapText="1"/>
    </xf>
    <xf numFmtId="49" fontId="6" fillId="0" borderId="32" xfId="283" applyNumberFormat="1" applyFont="1" applyBorder="1" applyAlignment="1">
      <alignment horizontal="right" vertical="center"/>
    </xf>
    <xf numFmtId="49" fontId="5" fillId="0" borderId="1" xfId="283" applyNumberFormat="1" applyFont="1" applyBorder="1" applyAlignment="1">
      <alignment horizontal="right" vertical="center"/>
    </xf>
    <xf numFmtId="49" fontId="6" fillId="0" borderId="1" xfId="283" applyNumberFormat="1" applyFont="1" applyBorder="1" applyAlignment="1">
      <alignment horizontal="center" vertical="center"/>
    </xf>
    <xf numFmtId="49" fontId="6" fillId="0" borderId="1" xfId="283" applyNumberFormat="1" applyFont="1" applyBorder="1" applyAlignment="1">
      <alignment horizontal="right" vertical="center"/>
    </xf>
    <xf numFmtId="165" fontId="5" fillId="3" borderId="3" xfId="11" applyNumberFormat="1" applyFont="1" applyFill="1" applyBorder="1" applyAlignment="1">
      <alignment horizontal="center" vertical="center" wrapText="1"/>
    </xf>
    <xf numFmtId="179" fontId="5" fillId="3" borderId="3" xfId="11" applyNumberFormat="1" applyFont="1" applyFill="1" applyBorder="1" applyAlignment="1">
      <alignment horizontal="center" vertical="center" wrapText="1"/>
    </xf>
    <xf numFmtId="0" fontId="55" fillId="3" borderId="3" xfId="0" applyFont="1" applyFill="1" applyBorder="1" applyAlignment="1">
      <alignment vertical="center" wrapText="1"/>
    </xf>
    <xf numFmtId="0" fontId="55" fillId="3" borderId="3" xfId="0" applyFont="1" applyFill="1" applyBorder="1" applyAlignment="1">
      <alignment horizontal="center" vertical="center" wrapText="1"/>
    </xf>
    <xf numFmtId="3" fontId="55" fillId="3" borderId="3" xfId="0" applyNumberFormat="1" applyFont="1" applyFill="1" applyBorder="1" applyAlignment="1">
      <alignment vertical="center" wrapText="1"/>
    </xf>
    <xf numFmtId="3" fontId="5" fillId="3" borderId="3" xfId="0" applyNumberFormat="1" applyFont="1" applyFill="1" applyBorder="1" applyAlignment="1">
      <alignment vertical="center" wrapText="1"/>
    </xf>
    <xf numFmtId="3" fontId="5" fillId="3" borderId="47" xfId="0" applyNumberFormat="1" applyFont="1" applyFill="1" applyBorder="1" applyAlignment="1">
      <alignment vertical="center" wrapText="1"/>
    </xf>
    <xf numFmtId="170" fontId="56" fillId="0" borderId="9" xfId="186" applyNumberFormat="1" applyFont="1" applyBorder="1" applyAlignment="1">
      <alignment horizontal="right" vertical="center"/>
    </xf>
    <xf numFmtId="0" fontId="57" fillId="5" borderId="2" xfId="186" applyFont="1" applyFill="1" applyBorder="1" applyAlignment="1">
      <alignment horizontal="right" vertical="center"/>
    </xf>
    <xf numFmtId="0" fontId="56" fillId="5" borderId="2" xfId="186" applyFont="1" applyFill="1" applyBorder="1" applyAlignment="1">
      <alignment horizontal="right" vertical="center"/>
    </xf>
    <xf numFmtId="0" fontId="56" fillId="5" borderId="2" xfId="186" applyFont="1" applyFill="1" applyBorder="1" applyAlignment="1">
      <alignment horizontal="left" vertical="center" wrapText="1"/>
    </xf>
    <xf numFmtId="0" fontId="5" fillId="2" borderId="2" xfId="0" applyFont="1" applyFill="1" applyBorder="1" applyAlignment="1">
      <alignment vertical="center" wrapText="1"/>
    </xf>
    <xf numFmtId="9" fontId="6" fillId="2" borderId="2" xfId="0" applyNumberFormat="1" applyFont="1" applyFill="1" applyBorder="1" applyAlignment="1">
      <alignment horizontal="center" vertical="center" wrapText="1"/>
    </xf>
    <xf numFmtId="0" fontId="57" fillId="0" borderId="2" xfId="186" applyFont="1" applyBorder="1" applyAlignment="1">
      <alignment horizontal="center"/>
    </xf>
    <xf numFmtId="170" fontId="56" fillId="0" borderId="3" xfId="186" applyNumberFormat="1" applyFont="1" applyBorder="1" applyAlignment="1">
      <alignment horizontal="right" vertical="center"/>
    </xf>
    <xf numFmtId="171" fontId="57" fillId="0" borderId="3" xfId="186" applyNumberFormat="1" applyFont="1" applyBorder="1" applyAlignment="1">
      <alignment horizontal="center" vertical="center"/>
    </xf>
    <xf numFmtId="0" fontId="57" fillId="5" borderId="2" xfId="186" applyFont="1" applyFill="1" applyBorder="1" applyAlignment="1">
      <alignment horizontal="left" vertical="center" wrapText="1"/>
    </xf>
    <xf numFmtId="0" fontId="56" fillId="5" borderId="2" xfId="186" applyFont="1" applyFill="1" applyBorder="1" applyAlignment="1">
      <alignment horizontal="center" vertical="center" wrapText="1"/>
    </xf>
    <xf numFmtId="171" fontId="57" fillId="0" borderId="5" xfId="186" applyNumberFormat="1" applyFont="1" applyBorder="1" applyAlignment="1">
      <alignment horizontal="center" vertical="center"/>
    </xf>
    <xf numFmtId="170" fontId="56" fillId="0" borderId="3" xfId="186" applyNumberFormat="1" applyFont="1" applyBorder="1" applyAlignment="1">
      <alignment horizontal="center" vertical="center"/>
    </xf>
    <xf numFmtId="171" fontId="57" fillId="0" borderId="1" xfId="186" applyNumberFormat="1" applyFont="1" applyBorder="1" applyAlignment="1">
      <alignment horizontal="center" vertical="center"/>
    </xf>
    <xf numFmtId="0" fontId="56" fillId="5" borderId="3" xfId="6" applyFont="1" applyFill="1" applyBorder="1" applyAlignment="1">
      <alignment horizontal="left" vertical="center" wrapText="1"/>
    </xf>
    <xf numFmtId="0" fontId="56" fillId="5" borderId="1" xfId="186" applyFont="1" applyFill="1" applyBorder="1" applyAlignment="1">
      <alignment horizontal="center" vertical="center" wrapText="1"/>
    </xf>
    <xf numFmtId="170" fontId="56" fillId="0" borderId="1" xfId="186" applyNumberFormat="1" applyFont="1" applyBorder="1" applyAlignment="1">
      <alignment vertical="center"/>
    </xf>
    <xf numFmtId="0" fontId="8" fillId="5" borderId="1" xfId="186" applyFont="1" applyFill="1" applyBorder="1" applyAlignment="1">
      <alignment horizontal="left" vertical="center" wrapText="1"/>
    </xf>
    <xf numFmtId="0" fontId="57" fillId="5" borderId="1" xfId="186" applyFont="1" applyFill="1" applyBorder="1" applyAlignment="1">
      <alignment horizontal="center" vertical="center" wrapText="1"/>
    </xf>
    <xf numFmtId="49" fontId="57" fillId="5" borderId="3" xfId="186" applyNumberFormat="1" applyFont="1" applyFill="1" applyBorder="1" applyAlignment="1">
      <alignment horizontal="center" vertical="center"/>
    </xf>
    <xf numFmtId="49" fontId="56" fillId="5" borderId="3" xfId="186" applyNumberFormat="1" applyFont="1" applyFill="1" applyBorder="1" applyAlignment="1">
      <alignment horizontal="center" vertical="center"/>
    </xf>
    <xf numFmtId="0" fontId="48" fillId="5" borderId="3" xfId="186" applyFont="1" applyFill="1" applyBorder="1" applyAlignment="1">
      <alignment horizontal="left" vertical="center" wrapText="1"/>
    </xf>
    <xf numFmtId="167" fontId="57" fillId="5" borderId="1" xfId="186" applyNumberFormat="1" applyFont="1" applyFill="1" applyBorder="1" applyAlignment="1">
      <alignment horizontal="center" vertical="center" wrapText="1"/>
    </xf>
    <xf numFmtId="49" fontId="56" fillId="5" borderId="1" xfId="186" applyNumberFormat="1" applyFont="1" applyFill="1" applyBorder="1" applyAlignment="1">
      <alignment vertical="center"/>
    </xf>
    <xf numFmtId="0" fontId="8" fillId="5" borderId="3" xfId="186" applyFont="1" applyFill="1" applyBorder="1" applyAlignment="1">
      <alignment horizontal="left" vertical="center" wrapText="1"/>
    </xf>
    <xf numFmtId="172" fontId="6" fillId="0" borderId="1" xfId="0" applyNumberFormat="1" applyFont="1" applyBorder="1" applyAlignment="1">
      <alignment horizontal="center" vertical="center" wrapText="1"/>
    </xf>
    <xf numFmtId="0" fontId="57" fillId="5" borderId="1" xfId="186" applyFont="1" applyFill="1" applyBorder="1" applyAlignment="1">
      <alignment vertical="center" wrapText="1"/>
    </xf>
    <xf numFmtId="167" fontId="57" fillId="5" borderId="1" xfId="186" applyNumberFormat="1" applyFont="1" applyFill="1" applyBorder="1" applyAlignment="1">
      <alignment vertical="center" wrapText="1"/>
    </xf>
    <xf numFmtId="0" fontId="57" fillId="5" borderId="9" xfId="186" applyFont="1" applyFill="1" applyBorder="1" applyAlignment="1">
      <alignment horizontal="right" vertical="center"/>
    </xf>
    <xf numFmtId="172" fontId="5" fillId="3" borderId="7" xfId="0" applyNumberFormat="1" applyFont="1" applyFill="1" applyBorder="1" applyAlignment="1">
      <alignment horizontal="center" vertical="center" wrapText="1"/>
    </xf>
    <xf numFmtId="172" fontId="5" fillId="3" borderId="1" xfId="0" applyNumberFormat="1" applyFont="1" applyFill="1" applyBorder="1" applyAlignment="1">
      <alignment horizontal="center" vertical="center" wrapText="1"/>
    </xf>
    <xf numFmtId="170" fontId="5" fillId="0" borderId="2" xfId="0" applyNumberFormat="1" applyFont="1" applyBorder="1" applyAlignment="1">
      <alignment horizontal="right" vertical="center"/>
    </xf>
    <xf numFmtId="0" fontId="5" fillId="2" borderId="1" xfId="0" applyFont="1" applyFill="1" applyBorder="1"/>
    <xf numFmtId="0" fontId="56" fillId="2" borderId="2" xfId="186" applyFont="1" applyFill="1" applyBorder="1" applyAlignment="1">
      <alignment horizontal="left" vertical="center" wrapText="1"/>
    </xf>
    <xf numFmtId="49" fontId="6" fillId="0" borderId="2" xfId="0" applyNumberFormat="1" applyFont="1" applyBorder="1" applyAlignment="1">
      <alignment vertical="center"/>
    </xf>
    <xf numFmtId="0" fontId="6" fillId="0" borderId="2" xfId="0" applyFont="1" applyBorder="1" applyAlignment="1">
      <alignment horizontal="left" vertical="center" wrapText="1"/>
    </xf>
    <xf numFmtId="172"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9" fontId="6" fillId="0" borderId="2" xfId="0" applyNumberFormat="1" applyFont="1" applyBorder="1" applyAlignment="1">
      <alignment horizontal="center" vertical="center" wrapText="1"/>
    </xf>
    <xf numFmtId="0" fontId="6" fillId="2" borderId="2" xfId="176" applyFont="1" applyFill="1" applyBorder="1" applyAlignment="1">
      <alignment horizontal="center" vertical="center" wrapText="1"/>
    </xf>
    <xf numFmtId="170" fontId="5" fillId="0" borderId="1" xfId="0" applyNumberFormat="1" applyFont="1" applyBorder="1" applyAlignment="1">
      <alignment horizontal="right" vertical="center"/>
    </xf>
    <xf numFmtId="49" fontId="6" fillId="0" borderId="1" xfId="0" applyNumberFormat="1" applyFont="1" applyBorder="1" applyAlignment="1">
      <alignment vertical="center"/>
    </xf>
    <xf numFmtId="49" fontId="5" fillId="0" borderId="1" xfId="0" applyNumberFormat="1" applyFont="1" applyBorder="1" applyAlignment="1">
      <alignment vertical="center"/>
    </xf>
    <xf numFmtId="172" fontId="5" fillId="0" borderId="1" xfId="0" applyNumberFormat="1" applyFont="1" applyBorder="1" applyAlignment="1">
      <alignment horizontal="center" vertical="center" wrapText="1"/>
    </xf>
    <xf numFmtId="0" fontId="6" fillId="2" borderId="1" xfId="176" applyFont="1" applyFill="1" applyBorder="1" applyAlignment="1">
      <alignment horizontal="center" vertical="center" wrapText="1"/>
    </xf>
    <xf numFmtId="49" fontId="6" fillId="0" borderId="1" xfId="0" applyNumberFormat="1" applyFont="1" applyBorder="1" applyAlignment="1">
      <alignment horizontal="right" vertical="center"/>
    </xf>
    <xf numFmtId="0" fontId="6" fillId="2" borderId="2" xfId="0" applyFont="1" applyFill="1" applyBorder="1" applyAlignment="1">
      <alignment horizontal="left" vertical="center" wrapText="1"/>
    </xf>
    <xf numFmtId="1" fontId="6" fillId="2" borderId="1" xfId="0" applyNumberFormat="1" applyFont="1" applyFill="1" applyBorder="1" applyAlignment="1">
      <alignment horizontal="center" vertical="center" wrapText="1"/>
    </xf>
    <xf numFmtId="49" fontId="6" fillId="0" borderId="3" xfId="0" applyNumberFormat="1" applyFont="1" applyBorder="1" applyAlignment="1">
      <alignment horizontal="center" vertical="center"/>
    </xf>
    <xf numFmtId="167" fontId="5" fillId="0" borderId="1"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2" borderId="30" xfId="0" applyFont="1" applyFill="1" applyBorder="1" applyAlignment="1">
      <alignment horizontal="left" vertical="center" wrapText="1"/>
    </xf>
    <xf numFmtId="167" fontId="5" fillId="0" borderId="2" xfId="0" applyNumberFormat="1" applyFont="1" applyBorder="1" applyAlignment="1">
      <alignment horizontal="center" vertical="center" wrapText="1"/>
    </xf>
    <xf numFmtId="0" fontId="6" fillId="0" borderId="2" xfId="0" applyFont="1" applyBorder="1" applyAlignment="1">
      <alignment horizontal="center" vertical="center"/>
    </xf>
    <xf numFmtId="0" fontId="6" fillId="2" borderId="30" xfId="0" applyFont="1" applyFill="1" applyBorder="1" applyAlignment="1">
      <alignment horizontal="left" vertical="center" wrapText="1"/>
    </xf>
    <xf numFmtId="167" fontId="6" fillId="0" borderId="2" xfId="0" applyNumberFormat="1" applyFont="1" applyBorder="1" applyAlignment="1">
      <alignment horizontal="center" vertical="center" wrapText="1"/>
    </xf>
    <xf numFmtId="167" fontId="5" fillId="3" borderId="2" xfId="0" applyNumberFormat="1"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167" fontId="56" fillId="5" borderId="2" xfId="0" applyNumberFormat="1" applyFont="1" applyFill="1" applyBorder="1" applyAlignment="1">
      <alignment horizontal="center" vertical="center" wrapText="1"/>
    </xf>
    <xf numFmtId="0" fontId="57" fillId="5" borderId="2" xfId="0" applyFont="1" applyFill="1" applyBorder="1" applyAlignment="1">
      <alignment horizontal="left" vertical="center" wrapText="1"/>
    </xf>
    <xf numFmtId="0" fontId="57" fillId="5" borderId="2" xfId="0" applyFont="1" applyFill="1" applyBorder="1" applyAlignment="1">
      <alignment horizontal="center" vertical="center" wrapText="1"/>
    </xf>
    <xf numFmtId="49" fontId="5" fillId="0" borderId="1" xfId="0" applyNumberFormat="1" applyFont="1" applyBorder="1"/>
    <xf numFmtId="0" fontId="57" fillId="5" borderId="3" xfId="5" applyFont="1" applyFill="1" applyBorder="1" applyAlignment="1">
      <alignment vertical="center" wrapText="1"/>
    </xf>
    <xf numFmtId="167" fontId="57" fillId="5" borderId="1" xfId="0" applyNumberFormat="1" applyFont="1" applyFill="1" applyBorder="1" applyAlignment="1">
      <alignment horizontal="center" vertical="center" wrapText="1"/>
    </xf>
    <xf numFmtId="0" fontId="57" fillId="5" borderId="1" xfId="0" applyFont="1" applyFill="1" applyBorder="1" applyAlignment="1">
      <alignment horizontal="left" vertical="center" wrapText="1"/>
    </xf>
    <xf numFmtId="0" fontId="57" fillId="5" borderId="1" xfId="0" applyFont="1" applyFill="1" applyBorder="1" applyAlignment="1">
      <alignment horizontal="center" vertical="center" wrapText="1"/>
    </xf>
    <xf numFmtId="167" fontId="57" fillId="0" borderId="1" xfId="0" applyNumberFormat="1" applyFont="1" applyBorder="1" applyAlignment="1">
      <alignment horizontal="center" vertical="center" wrapText="1"/>
    </xf>
    <xf numFmtId="0" fontId="56" fillId="5" borderId="1" xfId="0" applyFont="1" applyFill="1" applyBorder="1" applyAlignment="1">
      <alignment horizontal="left" vertical="center" wrapText="1"/>
    </xf>
    <xf numFmtId="167" fontId="56" fillId="5" borderId="1" xfId="0" applyNumberFormat="1" applyFont="1" applyFill="1" applyBorder="1" applyAlignment="1">
      <alignment horizontal="center" vertical="center" wrapText="1"/>
    </xf>
    <xf numFmtId="0" fontId="57" fillId="5" borderId="3" xfId="0" applyFont="1" applyFill="1" applyBorder="1" applyAlignment="1">
      <alignment vertical="center" wrapText="1"/>
    </xf>
    <xf numFmtId="167" fontId="6" fillId="0" borderId="3" xfId="0" applyNumberFormat="1" applyFont="1" applyBorder="1" applyAlignment="1">
      <alignment horizontal="center" vertical="center" wrapText="1"/>
    </xf>
    <xf numFmtId="167" fontId="57" fillId="5" borderId="3" xfId="0" applyNumberFormat="1" applyFont="1" applyFill="1" applyBorder="1" applyAlignment="1">
      <alignment horizontal="center" vertical="center" wrapText="1"/>
    </xf>
    <xf numFmtId="3" fontId="57" fillId="5" borderId="1" xfId="0" applyNumberFormat="1" applyFont="1" applyFill="1" applyBorder="1" applyAlignment="1">
      <alignment horizontal="center" vertical="center" wrapText="1"/>
    </xf>
    <xf numFmtId="0" fontId="6" fillId="3" borderId="1" xfId="0" applyFont="1" applyFill="1" applyBorder="1"/>
    <xf numFmtId="170" fontId="56" fillId="0" borderId="9" xfId="0" applyNumberFormat="1" applyFont="1" applyBorder="1" applyAlignment="1">
      <alignment horizontal="center" vertical="center"/>
    </xf>
    <xf numFmtId="0" fontId="57" fillId="5" borderId="2" xfId="0" applyFont="1" applyFill="1" applyBorder="1" applyAlignment="1">
      <alignment horizontal="right" vertical="center"/>
    </xf>
    <xf numFmtId="0" fontId="56" fillId="5" borderId="2" xfId="0" applyFont="1" applyFill="1" applyBorder="1" applyAlignment="1">
      <alignment horizontal="right" vertical="center"/>
    </xf>
    <xf numFmtId="0" fontId="56" fillId="5" borderId="2" xfId="0" applyFont="1" applyFill="1" applyBorder="1" applyAlignment="1">
      <alignment vertical="center" wrapText="1"/>
    </xf>
    <xf numFmtId="0" fontId="56" fillId="5" borderId="2" xfId="0" applyFont="1" applyFill="1" applyBorder="1" applyAlignment="1">
      <alignment horizontal="center" vertical="center" wrapText="1"/>
    </xf>
    <xf numFmtId="170" fontId="56" fillId="0" borderId="3" xfId="0" applyNumberFormat="1" applyFont="1" applyBorder="1" applyAlignment="1">
      <alignment horizontal="center" vertical="center"/>
    </xf>
    <xf numFmtId="171" fontId="57" fillId="0" borderId="3" xfId="0" applyNumberFormat="1" applyFont="1" applyBorder="1" applyAlignment="1">
      <alignment horizontal="center" vertical="center"/>
    </xf>
    <xf numFmtId="167" fontId="6" fillId="0" borderId="2" xfId="0" applyNumberFormat="1" applyFont="1" applyBorder="1" applyAlignment="1">
      <alignment horizontal="center" vertical="center"/>
    </xf>
    <xf numFmtId="171" fontId="57" fillId="0" borderId="5" xfId="0" applyNumberFormat="1" applyFont="1" applyBorder="1" applyAlignment="1">
      <alignment horizontal="center" vertical="center"/>
    </xf>
    <xf numFmtId="0" fontId="56" fillId="5" borderId="5" xfId="5" applyFont="1" applyFill="1" applyBorder="1" applyAlignment="1">
      <alignment horizontal="left" vertical="center" wrapText="1"/>
    </xf>
    <xf numFmtId="0" fontId="57" fillId="5" borderId="0" xfId="0" applyFont="1" applyFill="1" applyAlignment="1">
      <alignment horizontal="left" vertical="center" wrapText="1"/>
    </xf>
    <xf numFmtId="0" fontId="57" fillId="5" borderId="5" xfId="5" applyFont="1" applyFill="1" applyBorder="1" applyAlignment="1">
      <alignment horizontal="left" vertical="center" wrapText="1"/>
    </xf>
    <xf numFmtId="167" fontId="56" fillId="3" borderId="1" xfId="0" applyNumberFormat="1" applyFont="1" applyFill="1" applyBorder="1" applyAlignment="1">
      <alignment horizontal="center" vertical="center" wrapText="1"/>
    </xf>
    <xf numFmtId="0" fontId="57" fillId="3" borderId="1" xfId="0" applyFont="1" applyFill="1" applyBorder="1" applyAlignment="1">
      <alignment horizontal="left" vertical="center" wrapText="1"/>
    </xf>
    <xf numFmtId="0" fontId="57" fillId="3" borderId="2" xfId="0" applyFont="1" applyFill="1" applyBorder="1" applyAlignment="1">
      <alignment horizontal="center" vertical="center" wrapText="1"/>
    </xf>
    <xf numFmtId="0" fontId="57" fillId="3" borderId="1" xfId="0" applyFont="1" applyFill="1" applyBorder="1" applyAlignment="1">
      <alignment horizontal="center" vertical="center" wrapText="1"/>
    </xf>
    <xf numFmtId="49" fontId="5" fillId="0" borderId="2" xfId="0" applyNumberFormat="1" applyFont="1" applyBorder="1" applyAlignment="1">
      <alignment horizontal="center" vertical="center"/>
    </xf>
    <xf numFmtId="49" fontId="6" fillId="0" borderId="2" xfId="0" applyNumberFormat="1" applyFont="1" applyBorder="1" applyAlignment="1">
      <alignment horizontal="right" vertical="center"/>
    </xf>
    <xf numFmtId="0" fontId="5" fillId="0" borderId="2" xfId="0" applyFont="1" applyBorder="1" applyAlignment="1">
      <alignment horizontal="left" vertical="center" wrapText="1"/>
    </xf>
    <xf numFmtId="0" fontId="56" fillId="5" borderId="30" xfId="0" applyFont="1" applyFill="1" applyBorder="1" applyAlignment="1">
      <alignment horizontal="left" vertical="center" wrapText="1"/>
    </xf>
    <xf numFmtId="0" fontId="6" fillId="0" borderId="2" xfId="0" applyFont="1" applyBorder="1" applyAlignment="1">
      <alignment horizontal="center" vertical="center" wrapText="1"/>
    </xf>
    <xf numFmtId="171" fontId="57" fillId="0" borderId="25" xfId="0" applyNumberFormat="1" applyFont="1" applyBorder="1" applyAlignment="1">
      <alignment horizontal="center" vertical="center"/>
    </xf>
    <xf numFmtId="0" fontId="6" fillId="5" borderId="3" xfId="0" applyFont="1" applyFill="1" applyBorder="1" applyAlignment="1">
      <alignment vertical="center" wrapText="1"/>
    </xf>
    <xf numFmtId="0" fontId="57" fillId="5" borderId="1" xfId="0" applyFont="1" applyFill="1" applyBorder="1" applyAlignment="1">
      <alignment horizontal="right" vertical="center"/>
    </xf>
    <xf numFmtId="0" fontId="6" fillId="0" borderId="5" xfId="0" applyFont="1" applyBorder="1" applyAlignment="1">
      <alignment horizontal="center" vertical="center" wrapText="1"/>
    </xf>
    <xf numFmtId="170" fontId="56" fillId="0" borderId="1" xfId="0" applyNumberFormat="1" applyFont="1" applyBorder="1" applyAlignment="1">
      <alignment vertical="center"/>
    </xf>
    <xf numFmtId="0" fontId="6" fillId="0" borderId="6" xfId="0" applyFont="1" applyBorder="1" applyAlignment="1">
      <alignment horizontal="center" vertical="center" wrapText="1"/>
    </xf>
    <xf numFmtId="0" fontId="57" fillId="5" borderId="3" xfId="0" applyFont="1" applyFill="1" applyBorder="1" applyAlignment="1">
      <alignment horizontal="left" vertical="center" wrapText="1"/>
    </xf>
    <xf numFmtId="0" fontId="57" fillId="5" borderId="3" xfId="0" applyFont="1" applyFill="1" applyBorder="1" applyAlignment="1">
      <alignment horizontal="right" vertical="center"/>
    </xf>
    <xf numFmtId="171" fontId="57" fillId="0" borderId="1" xfId="0" applyNumberFormat="1" applyFont="1" applyBorder="1" applyAlignment="1">
      <alignment horizontal="center" vertical="center"/>
    </xf>
    <xf numFmtId="0" fontId="57" fillId="5" borderId="1" xfId="5" applyFont="1" applyFill="1" applyBorder="1" applyAlignment="1">
      <alignment horizontal="left" vertical="center" wrapText="1"/>
    </xf>
    <xf numFmtId="167" fontId="56" fillId="3" borderId="1" xfId="0" applyNumberFormat="1"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1" fillId="2" borderId="1" xfId="0" applyFont="1" applyFill="1" applyBorder="1" applyAlignment="1">
      <alignment vertical="center" wrapText="1"/>
    </xf>
    <xf numFmtId="0" fontId="6" fillId="2" borderId="1" xfId="0" applyFont="1" applyFill="1" applyBorder="1" applyAlignment="1">
      <alignment horizontal="left" vertical="center" wrapText="1"/>
    </xf>
    <xf numFmtId="167" fontId="8" fillId="0" borderId="1" xfId="0" applyNumberFormat="1" applyFont="1" applyBorder="1" applyAlignment="1">
      <alignment horizontal="center" vertical="center" wrapText="1"/>
    </xf>
    <xf numFmtId="167" fontId="8" fillId="0" borderId="3" xfId="0" applyNumberFormat="1" applyFont="1" applyBorder="1" applyAlignment="1">
      <alignment horizontal="center" vertical="center" wrapText="1"/>
    </xf>
    <xf numFmtId="167" fontId="8" fillId="0" borderId="1" xfId="0" applyNumberFormat="1" applyFont="1" applyBorder="1" applyAlignment="1">
      <alignment horizontal="right" vertical="center" wrapText="1"/>
    </xf>
    <xf numFmtId="167" fontId="5" fillId="3" borderId="1" xfId="0" applyNumberFormat="1" applyFont="1" applyFill="1" applyBorder="1" applyAlignment="1">
      <alignment horizontal="center"/>
    </xf>
    <xf numFmtId="0" fontId="6" fillId="3" borderId="1" xfId="0" applyFont="1" applyFill="1" applyBorder="1" applyAlignment="1">
      <alignment vertical="center" wrapText="1"/>
    </xf>
    <xf numFmtId="167" fontId="48" fillId="3" borderId="3" xfId="0" applyNumberFormat="1" applyFont="1" applyFill="1" applyBorder="1" applyAlignment="1">
      <alignment horizontal="center" vertical="center" wrapText="1"/>
    </xf>
    <xf numFmtId="167" fontId="48" fillId="0" borderId="1" xfId="0" applyNumberFormat="1" applyFont="1" applyBorder="1" applyAlignment="1">
      <alignment horizontal="center" vertical="center" wrapText="1"/>
    </xf>
    <xf numFmtId="1" fontId="6" fillId="0" borderId="3" xfId="0" applyNumberFormat="1" applyFont="1" applyBorder="1" applyAlignment="1">
      <alignment horizontal="center" vertical="center"/>
    </xf>
    <xf numFmtId="0" fontId="53" fillId="28" borderId="1" xfId="0" applyFont="1" applyFill="1" applyBorder="1" applyAlignment="1">
      <alignment horizontal="left" vertical="center" wrapText="1"/>
    </xf>
    <xf numFmtId="1" fontId="6" fillId="0" borderId="1" xfId="0" applyNumberFormat="1" applyFont="1" applyBorder="1" applyAlignment="1">
      <alignment horizontal="center" vertical="center"/>
    </xf>
    <xf numFmtId="49" fontId="6" fillId="0" borderId="3" xfId="0" applyNumberFormat="1" applyFont="1" applyBorder="1" applyAlignment="1">
      <alignment horizontal="right" vertical="center"/>
    </xf>
    <xf numFmtId="49" fontId="5" fillId="0" borderId="3" xfId="0" applyNumberFormat="1" applyFont="1" applyBorder="1" applyAlignment="1">
      <alignment horizontal="center" vertical="center"/>
    </xf>
    <xf numFmtId="168" fontId="48" fillId="0" borderId="3" xfId="0" applyNumberFormat="1" applyFont="1" applyBorder="1" applyAlignment="1">
      <alignment horizontal="center" vertical="center" wrapText="1"/>
    </xf>
    <xf numFmtId="167" fontId="48" fillId="0" borderId="3" xfId="0" applyNumberFormat="1" applyFont="1" applyBorder="1" applyAlignment="1">
      <alignment horizontal="center" vertical="center" wrapText="1"/>
    </xf>
    <xf numFmtId="167" fontId="5" fillId="3" borderId="1" xfId="0" applyNumberFormat="1" applyFont="1" applyFill="1" applyBorder="1" applyAlignment="1">
      <alignment horizontal="center" vertical="center"/>
    </xf>
    <xf numFmtId="0" fontId="5" fillId="3" borderId="26" xfId="0" applyFont="1" applyFill="1" applyBorder="1" applyAlignment="1">
      <alignment horizontal="left"/>
    </xf>
    <xf numFmtId="0" fontId="5" fillId="3" borderId="27" xfId="0" applyFont="1" applyFill="1" applyBorder="1" applyAlignment="1">
      <alignment horizontal="left"/>
    </xf>
    <xf numFmtId="170" fontId="48" fillId="0" borderId="1" xfId="184" applyNumberFormat="1" applyFont="1" applyBorder="1" applyAlignment="1">
      <alignment horizontal="center" vertical="center"/>
    </xf>
    <xf numFmtId="0" fontId="48" fillId="0" borderId="1" xfId="184" applyFont="1" applyBorder="1" applyAlignment="1">
      <alignment vertical="center" wrapText="1"/>
    </xf>
    <xf numFmtId="178" fontId="48" fillId="2" borderId="1" xfId="26" applyNumberFormat="1" applyFont="1" applyFill="1" applyBorder="1" applyAlignment="1">
      <alignment horizontal="center" vertical="center"/>
    </xf>
    <xf numFmtId="178" fontId="48" fillId="0" borderId="1" xfId="26" applyNumberFormat="1" applyFont="1" applyFill="1" applyBorder="1" applyAlignment="1">
      <alignment horizontal="center" vertical="center"/>
    </xf>
    <xf numFmtId="0" fontId="5" fillId="0" borderId="1" xfId="184" applyFont="1" applyBorder="1" applyAlignment="1">
      <alignment horizontal="center" vertical="center" wrapText="1"/>
    </xf>
    <xf numFmtId="0" fontId="5" fillId="2" borderId="1" xfId="184" applyFont="1" applyFill="1" applyBorder="1" applyAlignment="1">
      <alignment horizontal="center" vertical="center" wrapText="1"/>
    </xf>
    <xf numFmtId="0" fontId="48" fillId="2" borderId="1" xfId="185" applyNumberFormat="1" applyFont="1" applyFill="1" applyBorder="1" applyAlignment="1">
      <alignment horizontal="center" vertical="center"/>
    </xf>
    <xf numFmtId="0" fontId="8" fillId="0" borderId="1" xfId="184" applyFont="1" applyBorder="1" applyAlignment="1">
      <alignment horizontal="center" vertical="center" wrapText="1"/>
    </xf>
    <xf numFmtId="0" fontId="8" fillId="0" borderId="1" xfId="184" applyFont="1" applyBorder="1" applyAlignment="1">
      <alignment vertical="center" wrapText="1"/>
    </xf>
    <xf numFmtId="178" fontId="8" fillId="2" borderId="1" xfId="26" applyNumberFormat="1" applyFont="1" applyFill="1" applyBorder="1" applyAlignment="1">
      <alignment horizontal="center" vertical="center"/>
    </xf>
    <xf numFmtId="178" fontId="8" fillId="0" borderId="1" xfId="26" applyNumberFormat="1" applyFont="1" applyFill="1" applyBorder="1" applyAlignment="1">
      <alignment horizontal="center" vertical="center"/>
    </xf>
    <xf numFmtId="172" fontId="8" fillId="0" borderId="1" xfId="0" applyNumberFormat="1" applyFont="1" applyBorder="1" applyAlignment="1">
      <alignment vertical="center" wrapText="1"/>
    </xf>
    <xf numFmtId="172" fontId="8" fillId="2"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xf>
    <xf numFmtId="0" fontId="8" fillId="0" borderId="1" xfId="5" applyFont="1" applyBorder="1" applyAlignment="1">
      <alignment horizontal="left" vertical="center" wrapText="1"/>
    </xf>
    <xf numFmtId="0" fontId="8" fillId="0" borderId="1" xfId="5" applyFont="1" applyBorder="1" applyAlignment="1">
      <alignment horizontal="center" vertical="center" wrapText="1"/>
    </xf>
    <xf numFmtId="184" fontId="8" fillId="0" borderId="1" xfId="247" applyNumberFormat="1" applyFont="1" applyFill="1" applyBorder="1" applyAlignment="1">
      <alignment horizontal="center" vertical="center" wrapText="1"/>
    </xf>
    <xf numFmtId="0" fontId="6" fillId="0" borderId="1" xfId="0" applyFont="1" applyBorder="1" applyAlignment="1">
      <alignment wrapText="1"/>
    </xf>
    <xf numFmtId="0" fontId="8" fillId="0" borderId="1" xfId="0" applyFont="1" applyBorder="1" applyAlignment="1">
      <alignment horizontal="center" vertical="center"/>
    </xf>
    <xf numFmtId="0" fontId="8" fillId="0" borderId="1" xfId="0" applyFont="1" applyBorder="1" applyAlignment="1">
      <alignment vertical="center" wrapText="1"/>
    </xf>
    <xf numFmtId="49" fontId="48" fillId="0" borderId="1" xfId="0" applyNumberFormat="1" applyFont="1" applyBorder="1" applyAlignment="1">
      <alignment horizontal="center" vertical="center"/>
    </xf>
    <xf numFmtId="165" fontId="48" fillId="3" borderId="1" xfId="193" applyFont="1" applyFill="1" applyBorder="1" applyAlignment="1">
      <alignment horizontal="center" vertical="center" wrapText="1"/>
    </xf>
    <xf numFmtId="49" fontId="5" fillId="2" borderId="1" xfId="5" applyNumberFormat="1" applyFont="1" applyFill="1" applyBorder="1" applyAlignment="1">
      <alignment horizontal="center" vertical="center"/>
    </xf>
    <xf numFmtId="49" fontId="6" fillId="2" borderId="1" xfId="5" applyNumberFormat="1" applyFont="1" applyFill="1" applyBorder="1" applyAlignment="1">
      <alignment horizontal="center" vertical="center"/>
    </xf>
    <xf numFmtId="0" fontId="57" fillId="2" borderId="7" xfId="5" applyFont="1" applyFill="1" applyBorder="1" applyAlignment="1">
      <alignment vertical="center" wrapText="1"/>
    </xf>
    <xf numFmtId="0" fontId="6" fillId="2" borderId="1" xfId="5" applyFont="1" applyFill="1" applyBorder="1" applyAlignment="1">
      <alignment vertical="center" wrapText="1"/>
    </xf>
    <xf numFmtId="167" fontId="5" fillId="3" borderId="1" xfId="0" applyNumberFormat="1" applyFont="1" applyFill="1" applyBorder="1" applyAlignment="1">
      <alignment vertical="center"/>
    </xf>
    <xf numFmtId="170" fontId="48" fillId="2" borderId="1" xfId="276" applyNumberFormat="1" applyFont="1" applyFill="1" applyBorder="1" applyAlignment="1">
      <alignment horizontal="center" vertical="center"/>
    </xf>
    <xf numFmtId="172" fontId="48" fillId="2" borderId="1" xfId="276" applyNumberFormat="1" applyFont="1" applyFill="1" applyBorder="1" applyAlignment="1">
      <alignment horizontal="left" vertical="center" wrapText="1"/>
    </xf>
    <xf numFmtId="172" fontId="48" fillId="2" borderId="1" xfId="0" applyNumberFormat="1" applyFont="1" applyFill="1" applyBorder="1" applyAlignment="1">
      <alignment vertical="center" wrapText="1"/>
    </xf>
    <xf numFmtId="172" fontId="48" fillId="2" borderId="1" xfId="0" applyNumberFormat="1" applyFont="1" applyFill="1" applyBorder="1" applyAlignment="1">
      <alignment horizontal="center" vertical="center"/>
    </xf>
    <xf numFmtId="49" fontId="8" fillId="0" borderId="1" xfId="276" applyNumberFormat="1" applyFont="1" applyBorder="1" applyAlignment="1">
      <alignment horizontal="center" vertical="center"/>
    </xf>
    <xf numFmtId="0" fontId="8" fillId="0" borderId="1" xfId="276" applyFont="1" applyBorder="1"/>
    <xf numFmtId="0" fontId="8" fillId="2" borderId="1" xfId="276" applyFont="1" applyFill="1" applyBorder="1" applyAlignment="1">
      <alignment horizontal="left" vertical="center" wrapText="1"/>
    </xf>
    <xf numFmtId="172" fontId="8" fillId="2" borderId="1" xfId="0" applyNumberFormat="1" applyFont="1" applyFill="1" applyBorder="1" applyAlignment="1">
      <alignment vertical="center" wrapText="1"/>
    </xf>
    <xf numFmtId="172" fontId="8" fillId="2" borderId="1" xfId="0" applyNumberFormat="1" applyFont="1" applyFill="1" applyBorder="1" applyAlignment="1">
      <alignment horizontal="center" vertical="center"/>
    </xf>
    <xf numFmtId="0" fontId="8" fillId="2" borderId="1" xfId="5" applyFont="1" applyFill="1" applyBorder="1" applyAlignment="1">
      <alignment horizontal="left" vertical="center" wrapText="1"/>
    </xf>
    <xf numFmtId="0" fontId="8" fillId="0" borderId="7" xfId="5" applyFont="1" applyBorder="1" applyAlignment="1">
      <alignment horizontal="left" vertical="center" wrapText="1"/>
    </xf>
    <xf numFmtId="0" fontId="8" fillId="2" borderId="1" xfId="0" applyFont="1" applyFill="1" applyBorder="1"/>
    <xf numFmtId="170" fontId="48" fillId="0" borderId="2" xfId="276" applyNumberFormat="1" applyFont="1" applyBorder="1" applyAlignment="1">
      <alignment horizontal="center" vertical="center"/>
    </xf>
    <xf numFmtId="170" fontId="48" fillId="0" borderId="1" xfId="276" applyNumberFormat="1" applyFont="1" applyBorder="1" applyAlignment="1">
      <alignment horizontal="center" vertical="center"/>
    </xf>
    <xf numFmtId="0" fontId="48" fillId="0" borderId="1" xfId="276" applyFont="1" applyBorder="1" applyAlignment="1">
      <alignment horizontal="left" vertical="center" wrapText="1"/>
    </xf>
    <xf numFmtId="167" fontId="48" fillId="3" borderId="1" xfId="0" applyNumberFormat="1" applyFont="1" applyFill="1" applyBorder="1" applyAlignment="1">
      <alignment horizontal="center" vertical="center" wrapText="1"/>
    </xf>
    <xf numFmtId="172" fontId="8" fillId="3" borderId="1" xfId="0" applyNumberFormat="1" applyFont="1" applyFill="1" applyBorder="1" applyAlignment="1">
      <alignment vertical="center" wrapText="1"/>
    </xf>
    <xf numFmtId="172" fontId="8" fillId="3" borderId="1" xfId="0" applyNumberFormat="1" applyFont="1" applyFill="1" applyBorder="1" applyAlignment="1">
      <alignment horizontal="center" vertical="center"/>
    </xf>
    <xf numFmtId="172" fontId="8" fillId="3" borderId="5" xfId="0" applyNumberFormat="1" applyFont="1" applyFill="1" applyBorder="1" applyAlignment="1">
      <alignment horizontal="center" vertical="center"/>
    </xf>
    <xf numFmtId="167" fontId="48" fillId="3" borderId="1" xfId="185" applyNumberFormat="1" applyFont="1" applyFill="1" applyBorder="1" applyAlignment="1">
      <alignment horizontal="center" vertical="center"/>
    </xf>
    <xf numFmtId="0" fontId="5" fillId="3" borderId="1" xfId="184" applyFont="1" applyFill="1" applyBorder="1" applyAlignment="1">
      <alignment horizontal="center" vertical="center" wrapText="1"/>
    </xf>
    <xf numFmtId="0" fontId="48" fillId="3" borderId="1" xfId="185" applyNumberFormat="1" applyFont="1" applyFill="1" applyBorder="1" applyAlignment="1">
      <alignment horizontal="center" vertical="center"/>
    </xf>
    <xf numFmtId="49" fontId="6" fillId="0" borderId="3"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5" fillId="0" borderId="1" xfId="0" applyNumberFormat="1" applyFont="1" applyBorder="1" applyAlignment="1">
      <alignment horizontal="left" vertical="center" wrapText="1"/>
    </xf>
    <xf numFmtId="0" fontId="6" fillId="0" borderId="1" xfId="0" applyFont="1" applyBorder="1" applyAlignment="1">
      <alignment horizontal="justify" vertical="center" wrapText="1"/>
    </xf>
    <xf numFmtId="0" fontId="6" fillId="0" borderId="1" xfId="0" applyFont="1" applyBorder="1" applyAlignment="1">
      <alignment horizontal="right"/>
    </xf>
    <xf numFmtId="167" fontId="57" fillId="3" borderId="1" xfId="27" applyNumberFormat="1" applyFont="1" applyFill="1" applyBorder="1" applyAlignment="1">
      <alignment wrapText="1"/>
    </xf>
    <xf numFmtId="49" fontId="48" fillId="2" borderId="3" xfId="0" applyNumberFormat="1" applyFont="1" applyFill="1" applyBorder="1" applyAlignment="1">
      <alignment horizontal="center" vertical="center"/>
    </xf>
    <xf numFmtId="49" fontId="48" fillId="2" borderId="3" xfId="0" applyNumberFormat="1" applyFont="1" applyFill="1" applyBorder="1" applyAlignment="1">
      <alignment horizontal="center" vertical="top"/>
    </xf>
    <xf numFmtId="0" fontId="48" fillId="2" borderId="1" xfId="0" applyFont="1" applyFill="1" applyBorder="1" applyAlignment="1">
      <alignment horizontal="left" vertical="top" wrapText="1"/>
    </xf>
    <xf numFmtId="167" fontId="48" fillId="2" borderId="3" xfId="5" applyNumberFormat="1" applyFont="1" applyFill="1" applyBorder="1" applyAlignment="1">
      <alignment horizontal="center" vertical="center" wrapText="1"/>
    </xf>
    <xf numFmtId="167" fontId="48" fillId="2" borderId="3" xfId="285" applyNumberFormat="1" applyFont="1" applyFill="1" applyBorder="1" applyAlignment="1">
      <alignment horizontal="center" vertical="center" wrapText="1"/>
    </xf>
    <xf numFmtId="0" fontId="48" fillId="2" borderId="3" xfId="0" applyFont="1" applyFill="1" applyBorder="1" applyAlignment="1">
      <alignment vertical="center" wrapText="1"/>
    </xf>
    <xf numFmtId="0" fontId="48" fillId="2" borderId="3" xfId="0" applyFont="1" applyFill="1" applyBorder="1" applyAlignment="1">
      <alignment horizontal="center" vertical="center" wrapText="1"/>
    </xf>
    <xf numFmtId="0" fontId="48" fillId="2" borderId="1" xfId="0" applyFont="1" applyFill="1" applyBorder="1" applyAlignment="1">
      <alignmen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0" fillId="0" borderId="2" xfId="0" applyBorder="1" applyAlignment="1">
      <alignment horizontal="center" vertical="center" wrapText="1"/>
    </xf>
    <xf numFmtId="49" fontId="8" fillId="2" borderId="9" xfId="0" applyNumberFormat="1" applyFont="1" applyFill="1" applyBorder="1" applyAlignment="1">
      <alignment horizontal="center" vertical="center"/>
    </xf>
    <xf numFmtId="0" fontId="8" fillId="2" borderId="1" xfId="0" applyFont="1" applyFill="1" applyBorder="1" applyAlignment="1">
      <alignment horizontal="justify" vertical="center"/>
    </xf>
    <xf numFmtId="168" fontId="8" fillId="2" borderId="1" xfId="0" applyNumberFormat="1" applyFont="1" applyFill="1" applyBorder="1" applyAlignment="1">
      <alignment horizontal="center" vertical="center" wrapText="1"/>
    </xf>
    <xf numFmtId="49" fontId="48" fillId="2" borderId="9" xfId="0" applyNumberFormat="1" applyFont="1" applyFill="1" applyBorder="1" applyAlignment="1">
      <alignment horizontal="center" vertical="center"/>
    </xf>
    <xf numFmtId="0" fontId="8" fillId="2" borderId="2" xfId="0" applyFont="1" applyFill="1" applyBorder="1" applyAlignment="1">
      <alignment horizontal="justify" vertical="center"/>
    </xf>
    <xf numFmtId="49" fontId="48" fillId="0" borderId="2" xfId="0" applyNumberFormat="1" applyFont="1" applyBorder="1" applyAlignment="1">
      <alignment horizontal="center" vertical="top" wrapText="1"/>
    </xf>
    <xf numFmtId="0" fontId="8" fillId="0" borderId="2" xfId="0" applyFont="1" applyBorder="1" applyAlignment="1">
      <alignment horizontal="center" vertical="center"/>
    </xf>
    <xf numFmtId="0" fontId="8" fillId="0" borderId="1" xfId="0" applyFont="1" applyBorder="1" applyAlignment="1">
      <alignment horizontal="left" vertical="top" wrapText="1"/>
    </xf>
    <xf numFmtId="49" fontId="8" fillId="2" borderId="3" xfId="0" applyNumberFormat="1" applyFont="1" applyFill="1" applyBorder="1" applyAlignment="1">
      <alignment horizontal="center" vertical="top"/>
    </xf>
    <xf numFmtId="167" fontId="48" fillId="2" borderId="3" xfId="0" applyNumberFormat="1" applyFont="1" applyFill="1" applyBorder="1" applyAlignment="1">
      <alignment horizontal="center" vertical="center" wrapText="1"/>
    </xf>
    <xf numFmtId="0" fontId="48" fillId="2" borderId="1" xfId="0" applyFont="1" applyFill="1" applyBorder="1" applyAlignment="1">
      <alignment horizontal="center" vertical="center" wrapText="1"/>
    </xf>
    <xf numFmtId="0" fontId="48" fillId="2" borderId="1" xfId="0" applyFont="1" applyFill="1" applyBorder="1" applyAlignment="1">
      <alignment vertical="center"/>
    </xf>
    <xf numFmtId="49" fontId="8" fillId="2" borderId="3" xfId="0" applyNumberFormat="1" applyFont="1" applyFill="1" applyBorder="1" applyAlignment="1">
      <alignment horizontal="center" vertical="center"/>
    </xf>
    <xf numFmtId="17" fontId="6" fillId="2" borderId="1" xfId="0" applyNumberFormat="1" applyFont="1" applyFill="1" applyBorder="1" applyAlignment="1">
      <alignment horizontal="left" vertical="top" wrapText="1"/>
    </xf>
    <xf numFmtId="167" fontId="8" fillId="2" borderId="1" xfId="0" applyNumberFormat="1" applyFont="1" applyFill="1" applyBorder="1" applyAlignment="1">
      <alignment vertical="center" wrapText="1"/>
    </xf>
    <xf numFmtId="167" fontId="8" fillId="2" borderId="1" xfId="285" applyNumberFormat="1" applyFont="1" applyFill="1" applyBorder="1" applyAlignment="1">
      <alignment horizontal="center" vertical="center" wrapText="1"/>
    </xf>
    <xf numFmtId="0" fontId="8" fillId="2" borderId="1" xfId="0" applyFont="1" applyFill="1" applyBorder="1" applyAlignment="1">
      <alignment vertical="top" wrapText="1"/>
    </xf>
    <xf numFmtId="3" fontId="8" fillId="2" borderId="1" xfId="0" applyNumberFormat="1" applyFont="1" applyFill="1" applyBorder="1" applyAlignment="1">
      <alignment horizontal="center" vertical="center" wrapText="1"/>
    </xf>
    <xf numFmtId="3" fontId="45" fillId="2" borderId="1" xfId="0" applyNumberFormat="1" applyFont="1" applyFill="1" applyBorder="1" applyAlignment="1">
      <alignment horizontal="center" vertical="center" wrapText="1"/>
    </xf>
    <xf numFmtId="0" fontId="6" fillId="2" borderId="1" xfId="0" applyFont="1" applyFill="1" applyBorder="1" applyAlignment="1">
      <alignment horizontal="left" vertical="top" wrapText="1"/>
    </xf>
    <xf numFmtId="167" fontId="8" fillId="2" borderId="5" xfId="285" applyNumberFormat="1" applyFont="1" applyFill="1" applyBorder="1" applyAlignment="1">
      <alignment horizontal="center" vertical="center" wrapText="1"/>
    </xf>
    <xf numFmtId="0" fontId="8" fillId="2" borderId="2" xfId="0" applyFont="1" applyFill="1" applyBorder="1" applyAlignment="1">
      <alignment vertical="top" wrapText="1"/>
    </xf>
    <xf numFmtId="0" fontId="8" fillId="2" borderId="2" xfId="0" applyFont="1" applyFill="1" applyBorder="1" applyAlignment="1">
      <alignment horizontal="center" vertical="center" wrapText="1"/>
    </xf>
    <xf numFmtId="3" fontId="8"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3" fontId="8" fillId="2" borderId="3" xfId="0" applyNumberFormat="1" applyFont="1" applyFill="1" applyBorder="1" applyAlignment="1">
      <alignment horizontal="center" vertical="center" wrapText="1"/>
    </xf>
    <xf numFmtId="167" fontId="8" fillId="2" borderId="3" xfId="0" applyNumberFormat="1" applyFont="1" applyFill="1" applyBorder="1" applyAlignment="1">
      <alignment horizontal="center" vertical="center" wrapText="1"/>
    </xf>
    <xf numFmtId="0" fontId="8" fillId="2" borderId="3" xfId="0" applyFont="1" applyFill="1" applyBorder="1" applyAlignment="1">
      <alignment vertical="center" wrapText="1"/>
    </xf>
    <xf numFmtId="167" fontId="8" fillId="2" borderId="2"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49" fontId="8"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wrapText="1"/>
    </xf>
    <xf numFmtId="0" fontId="0" fillId="0" borderId="2" xfId="0" applyBorder="1" applyAlignment="1">
      <alignment horizontal="center" vertical="center"/>
    </xf>
    <xf numFmtId="49" fontId="8" fillId="2" borderId="3" xfId="192" applyNumberFormat="1" applyFont="1" applyFill="1" applyBorder="1" applyAlignment="1">
      <alignment horizontal="center" vertical="center"/>
    </xf>
    <xf numFmtId="49" fontId="8" fillId="2" borderId="3" xfId="192" applyNumberFormat="1" applyFont="1" applyFill="1" applyBorder="1" applyAlignment="1">
      <alignment horizontal="center" vertical="top"/>
    </xf>
    <xf numFmtId="0" fontId="6" fillId="2" borderId="3" xfId="192" applyFont="1" applyFill="1" applyBorder="1" applyAlignment="1">
      <alignment horizontal="left" vertical="top" wrapText="1"/>
    </xf>
    <xf numFmtId="167" fontId="8" fillId="2" borderId="3" xfId="192" applyNumberFormat="1" applyFont="1" applyFill="1" applyBorder="1" applyAlignment="1">
      <alignment horizontal="center" vertical="center" wrapText="1"/>
    </xf>
    <xf numFmtId="167" fontId="8" fillId="2" borderId="3" xfId="193" applyNumberFormat="1" applyFont="1" applyFill="1" applyBorder="1" applyAlignment="1">
      <alignment horizontal="center" vertical="center" wrapText="1"/>
    </xf>
    <xf numFmtId="167" fontId="8" fillId="2" borderId="25" xfId="193" applyNumberFormat="1" applyFont="1" applyFill="1" applyBorder="1" applyAlignment="1">
      <alignment horizontal="center" vertical="center" wrapText="1"/>
    </xf>
    <xf numFmtId="0" fontId="8" fillId="2" borderId="1" xfId="192" applyFont="1" applyFill="1" applyBorder="1" applyAlignment="1">
      <alignment vertical="top" wrapText="1"/>
    </xf>
    <xf numFmtId="0" fontId="8" fillId="2" borderId="1" xfId="192" applyFont="1" applyFill="1" applyBorder="1" applyAlignment="1">
      <alignment horizontal="center" vertical="center" wrapText="1"/>
    </xf>
    <xf numFmtId="3" fontId="8" fillId="2" borderId="1" xfId="192" applyNumberFormat="1" applyFont="1" applyFill="1" applyBorder="1" applyAlignment="1">
      <alignment horizontal="center" vertical="center" wrapText="1"/>
    </xf>
    <xf numFmtId="0" fontId="8" fillId="2" borderId="1" xfId="192" applyFont="1" applyFill="1" applyBorder="1" applyAlignment="1">
      <alignment horizontal="center" vertical="center"/>
    </xf>
    <xf numFmtId="0" fontId="6" fillId="2" borderId="3" xfId="0" applyFont="1" applyFill="1" applyBorder="1" applyAlignment="1">
      <alignment horizontal="left" vertical="top" wrapText="1"/>
    </xf>
    <xf numFmtId="167" fontId="8" fillId="2" borderId="3" xfId="285" applyNumberFormat="1" applyFont="1" applyFill="1" applyBorder="1" applyAlignment="1">
      <alignment horizontal="center" vertical="center" wrapText="1"/>
    </xf>
    <xf numFmtId="0" fontId="8" fillId="2" borderId="3" xfId="0" applyFont="1" applyFill="1" applyBorder="1" applyAlignment="1">
      <alignment vertical="top" wrapText="1"/>
    </xf>
    <xf numFmtId="0" fontId="8" fillId="2" borderId="3" xfId="0" applyFont="1" applyFill="1" applyBorder="1" applyAlignment="1">
      <alignment horizontal="center" vertical="center"/>
    </xf>
    <xf numFmtId="0" fontId="63" fillId="2" borderId="1" xfId="0" applyFont="1" applyFill="1" applyBorder="1" applyAlignment="1">
      <alignment horizontal="center" vertical="center"/>
    </xf>
    <xf numFmtId="0" fontId="8" fillId="2" borderId="9" xfId="0" applyFont="1" applyFill="1" applyBorder="1" applyAlignment="1">
      <alignment horizontal="center" vertical="center"/>
    </xf>
    <xf numFmtId="49" fontId="48" fillId="2" borderId="1" xfId="0" applyNumberFormat="1" applyFont="1" applyFill="1" applyBorder="1" applyAlignment="1">
      <alignment horizontal="center" vertical="center"/>
    </xf>
    <xf numFmtId="0" fontId="5" fillId="2" borderId="1" xfId="0" applyFont="1" applyFill="1" applyBorder="1" applyAlignment="1">
      <alignment horizontal="left" vertical="top" wrapText="1"/>
    </xf>
    <xf numFmtId="167" fontId="48" fillId="2" borderId="1" xfId="285" applyNumberFormat="1"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49" fontId="8" fillId="2" borderId="3" xfId="0" applyNumberFormat="1" applyFont="1" applyFill="1" applyBorder="1" applyAlignment="1">
      <alignment horizontal="center" vertical="top" wrapText="1"/>
    </xf>
    <xf numFmtId="0" fontId="6" fillId="2" borderId="3" xfId="0" applyFont="1" applyFill="1" applyBorder="1" applyAlignment="1">
      <alignment horizontal="left" vertical="center" wrapText="1"/>
    </xf>
    <xf numFmtId="167" fontId="8" fillId="2" borderId="3" xfId="285" applyNumberFormat="1" applyFont="1" applyFill="1" applyBorder="1" applyAlignment="1">
      <alignment horizontal="center" vertical="center"/>
    </xf>
    <xf numFmtId="167" fontId="8" fillId="2" borderId="25" xfId="285" applyNumberFormat="1" applyFont="1" applyFill="1" applyBorder="1" applyAlignment="1">
      <alignment horizontal="center" vertical="center"/>
    </xf>
    <xf numFmtId="167" fontId="8" fillId="2" borderId="1" xfId="192" applyNumberFormat="1" applyFont="1" applyFill="1" applyBorder="1" applyAlignment="1">
      <alignment horizontal="center" vertical="center" wrapText="1"/>
    </xf>
    <xf numFmtId="167" fontId="8" fillId="2" borderId="1" xfId="192" applyNumberFormat="1" applyFont="1" applyFill="1" applyBorder="1" applyAlignment="1">
      <alignment horizontal="center" vertical="center"/>
    </xf>
    <xf numFmtId="0" fontId="8" fillId="2" borderId="3" xfId="192" applyFont="1" applyFill="1" applyBorder="1" applyAlignment="1">
      <alignment vertical="top" wrapText="1"/>
    </xf>
    <xf numFmtId="0" fontId="8" fillId="2" borderId="3" xfId="192" applyFont="1" applyFill="1" applyBorder="1" applyAlignment="1">
      <alignment horizontal="center" vertical="center" wrapText="1"/>
    </xf>
    <xf numFmtId="49" fontId="8" fillId="2" borderId="27" xfId="0" applyNumberFormat="1" applyFont="1" applyFill="1" applyBorder="1" applyAlignment="1">
      <alignment horizontal="center" vertical="center"/>
    </xf>
    <xf numFmtId="167" fontId="8" fillId="2" borderId="25" xfId="285" applyNumberFormat="1" applyFont="1" applyFill="1" applyBorder="1" applyAlignment="1">
      <alignment horizontal="center" vertical="center" wrapText="1"/>
    </xf>
    <xf numFmtId="168" fontId="8" fillId="2" borderId="3" xfId="0" applyNumberFormat="1" applyFont="1" applyFill="1" applyBorder="1" applyAlignment="1">
      <alignment horizontal="center" vertical="center"/>
    </xf>
    <xf numFmtId="168" fontId="8" fillId="2" borderId="1" xfId="0" applyNumberFormat="1" applyFont="1" applyFill="1" applyBorder="1" applyAlignment="1">
      <alignment horizontal="center" vertical="center"/>
    </xf>
    <xf numFmtId="168" fontId="63" fillId="2" borderId="1"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2" fontId="8" fillId="2" borderId="2" xfId="0" applyNumberFormat="1" applyFont="1" applyFill="1" applyBorder="1" applyAlignment="1">
      <alignment horizontal="center" vertical="center"/>
    </xf>
    <xf numFmtId="2" fontId="63" fillId="2" borderId="1" xfId="0" applyNumberFormat="1" applyFont="1" applyFill="1" applyBorder="1" applyAlignment="1">
      <alignment horizontal="center" vertical="center"/>
    </xf>
    <xf numFmtId="168" fontId="8" fillId="2" borderId="2"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 fontId="8" fillId="2" borderId="2" xfId="0" applyNumberFormat="1" applyFont="1" applyFill="1" applyBorder="1" applyAlignment="1">
      <alignment horizontal="center" vertical="center"/>
    </xf>
    <xf numFmtId="1" fontId="63" fillId="2" borderId="1" xfId="0" applyNumberFormat="1" applyFont="1" applyFill="1" applyBorder="1" applyAlignment="1">
      <alignment horizontal="center" vertical="center"/>
    </xf>
    <xf numFmtId="0" fontId="6" fillId="2" borderId="7" xfId="0" applyFont="1" applyFill="1" applyBorder="1" applyAlignment="1">
      <alignment horizontal="left" vertical="top" wrapText="1"/>
    </xf>
    <xf numFmtId="167" fontId="8" fillId="2" borderId="30" xfId="0" applyNumberFormat="1" applyFont="1" applyFill="1" applyBorder="1" applyAlignment="1">
      <alignment horizontal="center" vertical="center" wrapText="1"/>
    </xf>
    <xf numFmtId="168" fontId="48" fillId="3" borderId="30" xfId="0" applyNumberFormat="1" applyFont="1" applyFill="1" applyBorder="1" applyAlignment="1">
      <alignment horizontal="center" vertical="center" wrapText="1"/>
    </xf>
    <xf numFmtId="167" fontId="48" fillId="3" borderId="1" xfId="285" applyNumberFormat="1" applyFont="1" applyFill="1" applyBorder="1" applyAlignment="1">
      <alignment horizontal="center" vertical="center" wrapText="1"/>
    </xf>
    <xf numFmtId="0" fontId="48" fillId="3" borderId="2" xfId="0" applyFont="1" applyFill="1" applyBorder="1" applyAlignment="1">
      <alignment vertical="top" wrapText="1"/>
    </xf>
    <xf numFmtId="0" fontId="48" fillId="3" borderId="2" xfId="0" applyFont="1" applyFill="1" applyBorder="1" applyAlignment="1">
      <alignment horizontal="center" vertical="center" wrapText="1"/>
    </xf>
    <xf numFmtId="3" fontId="48" fillId="3" borderId="2" xfId="0" applyNumberFormat="1" applyFont="1" applyFill="1" applyBorder="1" applyAlignment="1">
      <alignment horizontal="center" vertical="center" wrapText="1"/>
    </xf>
    <xf numFmtId="3" fontId="48" fillId="3" borderId="1" xfId="0" applyNumberFormat="1" applyFont="1" applyFill="1" applyBorder="1" applyAlignment="1">
      <alignment horizontal="center" vertical="center" wrapText="1"/>
    </xf>
    <xf numFmtId="49" fontId="5" fillId="2" borderId="3" xfId="0" applyNumberFormat="1" applyFont="1" applyFill="1" applyBorder="1" applyAlignment="1">
      <alignment vertical="center"/>
    </xf>
    <xf numFmtId="49" fontId="6" fillId="2" borderId="25" xfId="0" applyNumberFormat="1" applyFont="1" applyFill="1" applyBorder="1" applyAlignment="1">
      <alignment vertical="center"/>
    </xf>
    <xf numFmtId="0" fontId="5" fillId="2" borderId="3" xfId="0" applyFont="1" applyFill="1" applyBorder="1" applyAlignment="1">
      <alignment vertical="center" wrapText="1"/>
    </xf>
    <xf numFmtId="49" fontId="5" fillId="2" borderId="2" xfId="0" applyNumberFormat="1" applyFont="1" applyFill="1" applyBorder="1" applyAlignment="1">
      <alignment vertical="center"/>
    </xf>
    <xf numFmtId="49" fontId="6" fillId="2" borderId="28" xfId="0" applyNumberFormat="1" applyFont="1" applyFill="1" applyBorder="1" applyAlignment="1">
      <alignment vertical="center"/>
    </xf>
    <xf numFmtId="0" fontId="51" fillId="2" borderId="2" xfId="0" applyFont="1" applyFill="1" applyBorder="1" applyAlignment="1">
      <alignment vertical="center" wrapText="1"/>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vertical="center"/>
    </xf>
    <xf numFmtId="0" fontId="6" fillId="2" borderId="9" xfId="0" applyFont="1" applyFill="1" applyBorder="1" applyAlignment="1">
      <alignment vertical="center" wrapText="1"/>
    </xf>
    <xf numFmtId="167" fontId="6" fillId="2" borderId="3" xfId="0" applyNumberFormat="1" applyFont="1" applyFill="1" applyBorder="1" applyAlignment="1">
      <alignment horizontal="center" vertical="center" wrapText="1"/>
    </xf>
    <xf numFmtId="0" fontId="8" fillId="2" borderId="3" xfId="176" applyFont="1" applyFill="1" applyBorder="1" applyAlignment="1">
      <alignment vertical="center" wrapText="1"/>
    </xf>
    <xf numFmtId="0" fontId="8" fillId="2" borderId="3" xfId="176" applyFont="1" applyFill="1" applyBorder="1" applyAlignment="1">
      <alignment horizontal="center" vertical="center"/>
    </xf>
    <xf numFmtId="167" fontId="6" fillId="3" borderId="1" xfId="0" applyNumberFormat="1" applyFont="1" applyFill="1" applyBorder="1" applyAlignment="1">
      <alignment vertical="center" wrapText="1"/>
    </xf>
    <xf numFmtId="170" fontId="48" fillId="2" borderId="1" xfId="176" applyNumberFormat="1" applyFont="1" applyFill="1" applyBorder="1" applyAlignment="1">
      <alignment horizontal="center" vertical="center"/>
    </xf>
    <xf numFmtId="49" fontId="8" fillId="2" borderId="1" xfId="160" applyNumberFormat="1" applyFont="1" applyFill="1" applyBorder="1" applyAlignment="1">
      <alignment horizontal="center" vertical="center"/>
    </xf>
    <xf numFmtId="174" fontId="8" fillId="2" borderId="1" xfId="176" applyNumberFormat="1" applyFont="1" applyFill="1" applyBorder="1"/>
    <xf numFmtId="0" fontId="48" fillId="2" borderId="1" xfId="30" applyFont="1" applyFill="1" applyBorder="1" applyAlignment="1">
      <alignment vertical="center" wrapText="1"/>
    </xf>
    <xf numFmtId="187" fontId="48" fillId="2" borderId="1" xfId="30" applyNumberFormat="1" applyFont="1" applyFill="1" applyBorder="1" applyAlignment="1">
      <alignment horizontal="center" vertical="center" wrapText="1"/>
    </xf>
    <xf numFmtId="0" fontId="8" fillId="2" borderId="1" xfId="176" applyFont="1" applyFill="1" applyBorder="1" applyAlignment="1">
      <alignment horizontal="center" vertical="center" wrapText="1"/>
    </xf>
    <xf numFmtId="0" fontId="6" fillId="2" borderId="1" xfId="0" applyFont="1" applyFill="1" applyBorder="1" applyAlignment="1">
      <alignment horizontal="center" vertical="center"/>
    </xf>
    <xf numFmtId="0" fontId="8" fillId="2" borderId="2" xfId="176" applyFont="1" applyFill="1" applyBorder="1" applyAlignment="1">
      <alignment horizontal="left" vertical="center" wrapText="1"/>
    </xf>
    <xf numFmtId="0" fontId="8" fillId="2" borderId="2" xfId="176" applyFont="1" applyFill="1" applyBorder="1" applyAlignment="1">
      <alignment horizontal="center" vertical="center" wrapText="1"/>
    </xf>
    <xf numFmtId="0" fontId="6" fillId="2" borderId="2" xfId="3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1" xfId="30" applyFont="1" applyFill="1" applyBorder="1" applyAlignment="1">
      <alignment horizontal="center" vertical="center" wrapText="1"/>
    </xf>
    <xf numFmtId="0" fontId="6" fillId="2" borderId="1" xfId="30" applyFont="1" applyFill="1" applyBorder="1" applyAlignment="1">
      <alignment horizontal="center" vertical="center"/>
    </xf>
    <xf numFmtId="0" fontId="8" fillId="2" borderId="1" xfId="176" applyFont="1" applyFill="1" applyBorder="1" applyAlignment="1">
      <alignment horizontal="left" vertical="center" wrapText="1"/>
    </xf>
    <xf numFmtId="0" fontId="8" fillId="2" borderId="1" xfId="0" applyFont="1" applyFill="1" applyBorder="1" applyAlignment="1">
      <alignment horizontal="left" wrapText="1"/>
    </xf>
    <xf numFmtId="170" fontId="48" fillId="2" borderId="3" xfId="176" applyNumberFormat="1" applyFont="1" applyFill="1" applyBorder="1" applyAlignment="1">
      <alignment horizontal="center" vertical="center"/>
    </xf>
    <xf numFmtId="187" fontId="48" fillId="2" borderId="1" xfId="0" applyNumberFormat="1" applyFont="1" applyFill="1" applyBorder="1" applyAlignment="1">
      <alignment horizontal="center" vertical="center" wrapText="1"/>
    </xf>
    <xf numFmtId="175" fontId="48" fillId="2" borderId="3" xfId="0" applyNumberFormat="1" applyFont="1" applyFill="1" applyBorder="1" applyAlignment="1">
      <alignment horizontal="left" vertical="center" wrapText="1"/>
    </xf>
    <xf numFmtId="0" fontId="5" fillId="2"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8"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2" xfId="0" applyFont="1" applyFill="1" applyBorder="1" applyAlignment="1">
      <alignment horizontal="center" vertical="center" wrapText="1"/>
    </xf>
    <xf numFmtId="0" fontId="8" fillId="2" borderId="3" xfId="0" applyFont="1" applyFill="1" applyBorder="1" applyAlignment="1">
      <alignment horizontal="left" vertical="center" wrapText="1"/>
    </xf>
    <xf numFmtId="170" fontId="48" fillId="2" borderId="2" xfId="176"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6" fillId="2" borderId="2" xfId="0" applyFont="1" applyFill="1" applyBorder="1" applyAlignment="1">
      <alignment horizontal="center"/>
    </xf>
    <xf numFmtId="187" fontId="5"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left" vertical="center" wrapText="1"/>
    </xf>
    <xf numFmtId="187" fontId="8" fillId="2" borderId="2" xfId="0" applyNumberFormat="1" applyFont="1" applyFill="1" applyBorder="1" applyAlignment="1">
      <alignment horizontal="center" vertical="center" wrapText="1"/>
    </xf>
    <xf numFmtId="176" fontId="6" fillId="2" borderId="1" xfId="0" applyNumberFormat="1" applyFont="1" applyFill="1" applyBorder="1" applyAlignment="1">
      <alignment horizontal="center" vertical="center"/>
    </xf>
    <xf numFmtId="176" fontId="6" fillId="2" borderId="5" xfId="0" applyNumberFormat="1" applyFont="1" applyFill="1" applyBorder="1" applyAlignment="1">
      <alignment horizontal="center" vertical="center"/>
    </xf>
    <xf numFmtId="170" fontId="48" fillId="2" borderId="2" xfId="176" applyNumberFormat="1" applyFont="1" applyFill="1" applyBorder="1" applyAlignment="1">
      <alignment horizontal="center" vertical="top"/>
    </xf>
    <xf numFmtId="49" fontId="8" fillId="2" borderId="2" xfId="0" applyNumberFormat="1" applyFont="1" applyFill="1" applyBorder="1" applyAlignment="1">
      <alignment horizontal="center" vertical="top"/>
    </xf>
    <xf numFmtId="187" fontId="48" fillId="3" borderId="1" xfId="0" applyNumberFormat="1" applyFont="1" applyFill="1" applyBorder="1" applyAlignment="1">
      <alignment horizontal="center" vertical="center"/>
    </xf>
    <xf numFmtId="175" fontId="6" fillId="3" borderId="1" xfId="0" applyNumberFormat="1" applyFont="1" applyFill="1" applyBorder="1" applyAlignment="1">
      <alignment horizontal="center" vertical="center" wrapText="1"/>
    </xf>
    <xf numFmtId="172" fontId="8" fillId="4" borderId="0" xfId="0" applyNumberFormat="1" applyFont="1" applyFill="1" applyAlignment="1">
      <alignment horizontal="center" vertical="center"/>
    </xf>
    <xf numFmtId="172" fontId="8" fillId="2" borderId="1" xfId="0" applyNumberFormat="1" applyFont="1" applyFill="1" applyBorder="1" applyAlignment="1">
      <alignment horizontal="left" vertical="center" wrapText="1"/>
    </xf>
    <xf numFmtId="172" fontId="48" fillId="2" borderId="1" xfId="173" applyNumberFormat="1" applyFont="1" applyFill="1" applyBorder="1" applyAlignment="1">
      <alignment horizontal="right" vertical="center"/>
    </xf>
    <xf numFmtId="172" fontId="8" fillId="2" borderId="1" xfId="0" applyNumberFormat="1" applyFont="1" applyFill="1" applyBorder="1" applyAlignment="1">
      <alignment horizontal="left" vertical="center"/>
    </xf>
    <xf numFmtId="172" fontId="8" fillId="2" borderId="1" xfId="173" applyNumberFormat="1" applyFont="1" applyFill="1" applyBorder="1" applyAlignment="1">
      <alignment horizontal="right" vertical="center"/>
    </xf>
    <xf numFmtId="172" fontId="8" fillId="2" borderId="3" xfId="0" applyNumberFormat="1" applyFont="1" applyFill="1" applyBorder="1" applyAlignment="1">
      <alignment horizontal="left" vertical="center" wrapText="1"/>
    </xf>
    <xf numFmtId="172" fontId="8" fillId="2" borderId="3" xfId="0" applyNumberFormat="1" applyFont="1" applyFill="1" applyBorder="1" applyAlignment="1">
      <alignment horizontal="right" vertical="center"/>
    </xf>
    <xf numFmtId="172" fontId="8" fillId="2" borderId="1" xfId="0" applyNumberFormat="1" applyFont="1" applyFill="1" applyBorder="1" applyAlignment="1">
      <alignment horizontal="right" vertical="center"/>
    </xf>
    <xf numFmtId="49" fontId="48" fillId="2" borderId="1" xfId="173" applyNumberFormat="1" applyFont="1" applyFill="1" applyBorder="1" applyAlignment="1">
      <alignment horizontal="center" vertical="center"/>
    </xf>
    <xf numFmtId="49" fontId="8" fillId="2" borderId="1" xfId="173" applyNumberFormat="1" applyFont="1" applyFill="1" applyBorder="1" applyAlignment="1">
      <alignment horizontal="center" vertical="center"/>
    </xf>
    <xf numFmtId="172" fontId="48" fillId="2" borderId="1" xfId="173" applyNumberFormat="1" applyFont="1" applyFill="1" applyBorder="1" applyAlignment="1">
      <alignment horizontal="center" vertical="center" wrapText="1"/>
    </xf>
    <xf numFmtId="172" fontId="8" fillId="2" borderId="1" xfId="0" applyNumberFormat="1" applyFont="1" applyFill="1" applyBorder="1" applyAlignment="1">
      <alignment horizontal="left" wrapText="1"/>
    </xf>
    <xf numFmtId="172" fontId="8" fillId="2" borderId="1" xfId="173" applyNumberFormat="1" applyFont="1" applyFill="1" applyBorder="1" applyAlignment="1">
      <alignment horizontal="center" vertical="center"/>
    </xf>
    <xf numFmtId="172" fontId="48" fillId="2" borderId="1" xfId="0" applyNumberFormat="1" applyFont="1" applyFill="1" applyBorder="1" applyAlignment="1">
      <alignment horizontal="left" vertical="center" wrapText="1"/>
    </xf>
    <xf numFmtId="172" fontId="8" fillId="2" borderId="2" xfId="0" applyNumberFormat="1" applyFont="1" applyFill="1" applyBorder="1" applyAlignment="1">
      <alignment horizontal="left" vertical="center" wrapText="1"/>
    </xf>
    <xf numFmtId="172" fontId="8" fillId="2" borderId="2" xfId="0" applyNumberFormat="1" applyFont="1" applyFill="1" applyBorder="1" applyAlignment="1">
      <alignment horizontal="center" vertical="center"/>
    </xf>
    <xf numFmtId="172" fontId="48" fillId="2" borderId="1" xfId="173" applyNumberFormat="1" applyFont="1" applyFill="1" applyBorder="1" applyAlignment="1">
      <alignment horizontal="center" vertical="center"/>
    </xf>
    <xf numFmtId="172" fontId="8" fillId="2" borderId="3" xfId="0" applyNumberFormat="1" applyFont="1" applyFill="1" applyBorder="1" applyAlignment="1">
      <alignment horizontal="center" vertical="center"/>
    </xf>
    <xf numFmtId="172" fontId="48" fillId="3" borderId="3" xfId="173" applyNumberFormat="1" applyFont="1" applyFill="1" applyBorder="1" applyAlignment="1">
      <alignment horizontal="center" vertical="center"/>
    </xf>
    <xf numFmtId="172" fontId="5" fillId="3" borderId="3" xfId="0" applyNumberFormat="1" applyFont="1" applyFill="1" applyBorder="1" applyAlignment="1">
      <alignment horizontal="left" vertical="center"/>
    </xf>
    <xf numFmtId="49" fontId="5" fillId="0" borderId="7" xfId="0" applyNumberFormat="1" applyFont="1" applyBorder="1" applyAlignment="1">
      <alignment horizontal="center" vertical="center"/>
    </xf>
    <xf numFmtId="49" fontId="5" fillId="2" borderId="1" xfId="0" applyNumberFormat="1" applyFont="1" applyFill="1" applyBorder="1" applyAlignment="1">
      <alignment horizontal="right" vertical="center"/>
    </xf>
    <xf numFmtId="172" fontId="5" fillId="2" borderId="1" xfId="0" applyNumberFormat="1" applyFont="1" applyFill="1" applyBorder="1" applyAlignment="1">
      <alignment horizontal="left" vertical="center" wrapText="1"/>
    </xf>
    <xf numFmtId="172" fontId="5" fillId="0" borderId="1" xfId="5" applyNumberFormat="1" applyFont="1" applyBorder="1" applyAlignment="1">
      <alignment horizontal="center" vertical="center" wrapText="1"/>
    </xf>
    <xf numFmtId="172" fontId="5" fillId="2" borderId="1" xfId="0" applyNumberFormat="1" applyFont="1" applyFill="1" applyBorder="1" applyAlignment="1">
      <alignment horizontal="center" vertical="center" wrapText="1"/>
    </xf>
    <xf numFmtId="172" fontId="5" fillId="2" borderId="24" xfId="0" applyNumberFormat="1" applyFont="1" applyFill="1" applyBorder="1" applyAlignment="1">
      <alignment horizontal="center" vertical="center" wrapText="1"/>
    </xf>
    <xf numFmtId="172" fontId="6" fillId="2" borderId="1" xfId="5" applyNumberFormat="1" applyFont="1" applyFill="1" applyBorder="1" applyAlignment="1">
      <alignment horizontal="left" vertical="center" wrapText="1"/>
    </xf>
    <xf numFmtId="172" fontId="6" fillId="2" borderId="1" xfId="0" applyNumberFormat="1" applyFont="1" applyFill="1" applyBorder="1" applyAlignment="1">
      <alignment horizontal="center" vertical="center" wrapText="1"/>
    </xf>
    <xf numFmtId="172" fontId="6" fillId="2" borderId="1" xfId="0" applyNumberFormat="1" applyFont="1" applyFill="1" applyBorder="1" applyAlignment="1">
      <alignment horizontal="left" vertical="center" wrapText="1"/>
    </xf>
    <xf numFmtId="172" fontId="5" fillId="2" borderId="1" xfId="364" applyNumberFormat="1" applyFont="1" applyFill="1" applyBorder="1" applyAlignment="1">
      <alignment horizontal="center" vertical="center" wrapText="1"/>
    </xf>
    <xf numFmtId="172" fontId="5" fillId="2" borderId="24" xfId="364" applyNumberFormat="1" applyFont="1" applyFill="1" applyBorder="1" applyAlignment="1">
      <alignment horizontal="center" vertical="center" wrapText="1"/>
    </xf>
    <xf numFmtId="49" fontId="5" fillId="2" borderId="1" xfId="0" applyNumberFormat="1" applyFont="1" applyFill="1" applyBorder="1" applyAlignment="1">
      <alignment vertical="center"/>
    </xf>
    <xf numFmtId="172" fontId="5" fillId="0" borderId="1" xfId="0" applyNumberFormat="1" applyFont="1" applyBorder="1" applyAlignment="1">
      <alignment horizontal="left" vertical="center" wrapText="1"/>
    </xf>
    <xf numFmtId="172" fontId="6" fillId="2" borderId="24" xfId="0" applyNumberFormat="1" applyFont="1" applyFill="1" applyBorder="1" applyAlignment="1">
      <alignment horizontal="center" vertical="center" wrapText="1"/>
    </xf>
    <xf numFmtId="172" fontId="6" fillId="2" borderId="1" xfId="364" applyNumberFormat="1" applyFont="1" applyFill="1" applyBorder="1" applyAlignment="1">
      <alignment horizontal="center" vertical="center"/>
    </xf>
    <xf numFmtId="172" fontId="6" fillId="2" borderId="24" xfId="364" applyNumberFormat="1" applyFont="1" applyFill="1" applyBorder="1" applyAlignment="1">
      <alignment horizontal="center" vertical="center"/>
    </xf>
    <xf numFmtId="172" fontId="6" fillId="2" borderId="1" xfId="0" applyNumberFormat="1" applyFont="1" applyFill="1" applyBorder="1" applyAlignment="1">
      <alignment vertical="center" wrapText="1"/>
    </xf>
    <xf numFmtId="172" fontId="6" fillId="2" borderId="24" xfId="0" applyNumberFormat="1" applyFont="1" applyFill="1" applyBorder="1" applyAlignment="1">
      <alignment vertical="center" wrapText="1"/>
    </xf>
    <xf numFmtId="172" fontId="5" fillId="3" borderId="1" xfId="0" applyNumberFormat="1" applyFont="1" applyFill="1" applyBorder="1"/>
    <xf numFmtId="172" fontId="5" fillId="3" borderId="1" xfId="0" applyNumberFormat="1" applyFont="1" applyFill="1" applyBorder="1" applyAlignment="1">
      <alignment horizontal="left" vertical="center"/>
    </xf>
    <xf numFmtId="172" fontId="8" fillId="4" borderId="6" xfId="0" applyNumberFormat="1" applyFont="1" applyFill="1" applyBorder="1" applyAlignment="1">
      <alignment horizontal="left" vertical="center" wrapText="1"/>
    </xf>
    <xf numFmtId="49" fontId="48"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188" fontId="8" fillId="0" borderId="0" xfId="0" applyNumberFormat="1" applyFont="1"/>
    <xf numFmtId="172" fontId="48" fillId="2" borderId="3" xfId="0" applyNumberFormat="1" applyFont="1" applyFill="1" applyBorder="1" applyAlignment="1">
      <alignment horizontal="center" vertical="center" wrapText="1"/>
    </xf>
    <xf numFmtId="172" fontId="8" fillId="0" borderId="1" xfId="0" applyNumberFormat="1" applyFont="1" applyBorder="1" applyAlignment="1">
      <alignment horizontal="center" vertical="center" wrapText="1"/>
    </xf>
    <xf numFmtId="49" fontId="8" fillId="0" borderId="3" xfId="0" applyNumberFormat="1" applyFont="1" applyBorder="1" applyAlignment="1">
      <alignment horizontal="center" vertical="center" wrapText="1"/>
    </xf>
    <xf numFmtId="188" fontId="8" fillId="0" borderId="1" xfId="0" applyNumberFormat="1" applyFont="1" applyBorder="1"/>
    <xf numFmtId="172" fontId="8" fillId="2" borderId="3" xfId="0" applyNumberFormat="1" applyFont="1" applyFill="1" applyBorder="1" applyAlignment="1">
      <alignment horizontal="center" vertical="center" wrapText="1"/>
    </xf>
    <xf numFmtId="172" fontId="6" fillId="0" borderId="1" xfId="0" applyNumberFormat="1" applyFont="1" applyBorder="1" applyAlignment="1">
      <alignment horizontal="center" vertical="center"/>
    </xf>
    <xf numFmtId="172" fontId="5" fillId="3" borderId="1" xfId="0" applyNumberFormat="1" applyFont="1" applyFill="1" applyBorder="1" applyAlignment="1">
      <alignment horizontal="center"/>
    </xf>
    <xf numFmtId="172" fontId="8" fillId="3" borderId="2" xfId="0" applyNumberFormat="1" applyFont="1" applyFill="1" applyBorder="1" applyAlignment="1">
      <alignment vertical="center" wrapText="1"/>
    </xf>
    <xf numFmtId="172" fontId="8" fillId="3" borderId="2" xfId="0" applyNumberFormat="1" applyFont="1" applyFill="1" applyBorder="1" applyAlignment="1">
      <alignment horizontal="center" vertical="center" wrapText="1"/>
    </xf>
    <xf numFmtId="172" fontId="8" fillId="3" borderId="28" xfId="0" applyNumberFormat="1" applyFont="1" applyFill="1" applyBorder="1" applyAlignment="1">
      <alignment horizontal="center" vertical="center" wrapText="1"/>
    </xf>
    <xf numFmtId="167" fontId="5" fillId="0" borderId="3" xfId="0" applyNumberFormat="1" applyFont="1" applyBorder="1" applyAlignment="1">
      <alignment horizontal="center" vertical="center" wrapText="1"/>
    </xf>
    <xf numFmtId="167" fontId="5" fillId="2" borderId="3" xfId="0" applyNumberFormat="1" applyFont="1" applyFill="1" applyBorder="1" applyAlignment="1">
      <alignment horizontal="center" vertical="center" wrapText="1"/>
    </xf>
    <xf numFmtId="168" fontId="6" fillId="0" borderId="1" xfId="0" applyNumberFormat="1" applyFont="1" applyBorder="1" applyAlignment="1">
      <alignment horizontal="center" vertical="center"/>
    </xf>
    <xf numFmtId="0" fontId="6" fillId="2" borderId="0" xfId="0" applyFont="1" applyFill="1" applyAlignment="1">
      <alignment horizontal="center"/>
    </xf>
    <xf numFmtId="0" fontId="6" fillId="2" borderId="27" xfId="0" applyFont="1" applyFill="1" applyBorder="1" applyAlignment="1">
      <alignment vertical="center" wrapText="1"/>
    </xf>
    <xf numFmtId="1" fontId="6" fillId="2" borderId="3" xfId="0" applyNumberFormat="1" applyFont="1" applyFill="1" applyBorder="1" applyAlignment="1">
      <alignment horizontal="center" vertical="center" wrapText="1"/>
    </xf>
    <xf numFmtId="1" fontId="6" fillId="2" borderId="3"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167" fontId="6" fillId="2" borderId="9" xfId="0" applyNumberFormat="1" applyFont="1" applyFill="1" applyBorder="1" applyAlignment="1">
      <alignment horizontal="center" vertical="center" wrapText="1"/>
    </xf>
    <xf numFmtId="0" fontId="6" fillId="2" borderId="3" xfId="0" applyFont="1" applyFill="1" applyBorder="1" applyAlignment="1">
      <alignment vertical="center" wrapText="1"/>
    </xf>
    <xf numFmtId="1" fontId="6"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6" fillId="2" borderId="1" xfId="0" applyFont="1" applyFill="1" applyBorder="1" applyAlignment="1">
      <alignment wrapText="1"/>
    </xf>
    <xf numFmtId="1" fontId="6"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xf>
    <xf numFmtId="167" fontId="5" fillId="2" borderId="9" xfId="0" applyNumberFormat="1" applyFont="1" applyFill="1" applyBorder="1" applyAlignment="1">
      <alignment horizontal="center" vertical="center" wrapText="1"/>
    </xf>
    <xf numFmtId="0" fontId="6" fillId="0" borderId="25" xfId="0" applyFont="1" applyBorder="1" applyAlignment="1">
      <alignment horizontal="center" vertical="center"/>
    </xf>
    <xf numFmtId="0" fontId="6" fillId="2" borderId="25" xfId="0" applyFont="1" applyFill="1" applyBorder="1" applyAlignment="1">
      <alignment horizontal="center" vertical="center"/>
    </xf>
    <xf numFmtId="168" fontId="6" fillId="0" borderId="3" xfId="0" applyNumberFormat="1" applyFont="1" applyBorder="1" applyAlignment="1">
      <alignment horizontal="center" vertical="center"/>
    </xf>
    <xf numFmtId="172" fontId="5" fillId="3" borderId="1" xfId="0" applyNumberFormat="1" applyFont="1" applyFill="1" applyBorder="1" applyAlignment="1">
      <alignment horizontal="left" vertical="center" wrapText="1"/>
    </xf>
    <xf numFmtId="172" fontId="5" fillId="3" borderId="1" xfId="0" applyNumberFormat="1" applyFont="1" applyFill="1" applyBorder="1" applyAlignment="1">
      <alignment horizontal="center" vertical="center"/>
    </xf>
    <xf numFmtId="172" fontId="6" fillId="3" borderId="5" xfId="0" applyNumberFormat="1" applyFont="1" applyFill="1" applyBorder="1" applyAlignment="1">
      <alignment horizontal="center" vertical="center"/>
    </xf>
    <xf numFmtId="49" fontId="56" fillId="2" borderId="1" xfId="0" applyNumberFormat="1" applyFont="1" applyFill="1" applyBorder="1" applyAlignment="1">
      <alignment horizontal="center" vertical="center"/>
    </xf>
    <xf numFmtId="172" fontId="5" fillId="2" borderId="1" xfId="66" applyNumberFormat="1" applyFont="1" applyFill="1" applyBorder="1" applyAlignment="1">
      <alignment horizontal="center" vertical="center" wrapText="1"/>
    </xf>
    <xf numFmtId="172" fontId="48" fillId="2" borderId="1" xfId="0" applyNumberFormat="1" applyFont="1" applyFill="1" applyBorder="1" applyAlignment="1">
      <alignment horizontal="center" vertical="center" wrapText="1"/>
    </xf>
    <xf numFmtId="172" fontId="56" fillId="2" borderId="7" xfId="0" applyNumberFormat="1" applyFont="1" applyFill="1" applyBorder="1" applyAlignment="1">
      <alignment horizontal="left" vertical="center" wrapText="1"/>
    </xf>
    <xf numFmtId="172" fontId="56" fillId="2" borderId="5" xfId="0" applyNumberFormat="1" applyFont="1" applyFill="1" applyBorder="1" applyAlignment="1">
      <alignment horizontal="center" vertical="center" wrapText="1"/>
    </xf>
    <xf numFmtId="172" fontId="5" fillId="0" borderId="1" xfId="0" applyNumberFormat="1" applyFont="1" applyBorder="1" applyAlignment="1">
      <alignment horizontal="center" vertical="center"/>
    </xf>
    <xf numFmtId="49" fontId="57" fillId="2" borderId="1" xfId="0" applyNumberFormat="1" applyFont="1" applyFill="1" applyBorder="1" applyAlignment="1">
      <alignment horizontal="center" vertical="center"/>
    </xf>
    <xf numFmtId="172" fontId="6" fillId="2" borderId="1" xfId="66" applyNumberFormat="1" applyFont="1" applyFill="1" applyBorder="1" applyAlignment="1">
      <alignment horizontal="center" vertical="center" wrapText="1"/>
    </xf>
    <xf numFmtId="172" fontId="57" fillId="2" borderId="7" xfId="0" applyNumberFormat="1" applyFont="1" applyFill="1" applyBorder="1" applyAlignment="1">
      <alignment horizontal="left" vertical="center" wrapText="1"/>
    </xf>
    <xf numFmtId="172" fontId="57" fillId="2" borderId="5" xfId="0" applyNumberFormat="1" applyFont="1" applyFill="1" applyBorder="1" applyAlignment="1">
      <alignment horizontal="center" vertical="center" wrapText="1"/>
    </xf>
    <xf numFmtId="172" fontId="57" fillId="2" borderId="1" xfId="0" applyNumberFormat="1" applyFont="1" applyFill="1" applyBorder="1" applyAlignment="1">
      <alignment horizontal="center" vertical="center" wrapText="1"/>
    </xf>
    <xf numFmtId="172" fontId="56" fillId="2" borderId="1" xfId="0" applyNumberFormat="1" applyFont="1" applyFill="1" applyBorder="1" applyAlignment="1">
      <alignment horizontal="center" vertical="center" wrapText="1"/>
    </xf>
    <xf numFmtId="172" fontId="5" fillId="0" borderId="2" xfId="0" applyNumberFormat="1" applyFont="1" applyBorder="1" applyAlignment="1">
      <alignment horizontal="center" vertical="center"/>
    </xf>
    <xf numFmtId="172" fontId="62" fillId="0" borderId="0" xfId="0" applyNumberFormat="1" applyFont="1" applyAlignment="1">
      <alignment horizontal="left" vertical="center" wrapText="1"/>
    </xf>
    <xf numFmtId="172" fontId="6" fillId="0" borderId="2" xfId="0" applyNumberFormat="1" applyFont="1" applyBorder="1" applyAlignment="1">
      <alignment horizontal="center" vertical="center"/>
    </xf>
    <xf numFmtId="172" fontId="57" fillId="2" borderId="1" xfId="66" applyNumberFormat="1" applyFont="1" applyFill="1" applyBorder="1" applyAlignment="1">
      <alignment horizontal="center" vertical="center" wrapText="1"/>
    </xf>
    <xf numFmtId="172" fontId="6" fillId="0" borderId="7" xfId="0" applyNumberFormat="1" applyFont="1" applyBorder="1" applyAlignment="1">
      <alignment horizontal="left" vertical="center" wrapText="1"/>
    </xf>
    <xf numFmtId="49" fontId="57" fillId="2" borderId="3" xfId="0" applyNumberFormat="1" applyFont="1" applyFill="1" applyBorder="1" applyAlignment="1">
      <alignment horizontal="center" vertical="center"/>
    </xf>
    <xf numFmtId="49" fontId="56" fillId="2" borderId="3" xfId="0" applyNumberFormat="1" applyFont="1" applyFill="1" applyBorder="1" applyAlignment="1">
      <alignment horizontal="center" vertical="center"/>
    </xf>
    <xf numFmtId="172" fontId="57" fillId="2" borderId="3" xfId="66" applyNumberFormat="1" applyFont="1" applyFill="1" applyBorder="1" applyAlignment="1">
      <alignment horizontal="center" vertical="center" wrapText="1"/>
    </xf>
    <xf numFmtId="172" fontId="6" fillId="2" borderId="3" xfId="0" applyNumberFormat="1" applyFont="1" applyFill="1" applyBorder="1" applyAlignment="1">
      <alignment horizontal="center" vertical="center" wrapText="1"/>
    </xf>
    <xf numFmtId="172" fontId="5" fillId="0" borderId="1" xfId="66" applyNumberFormat="1" applyFont="1" applyBorder="1" applyAlignment="1">
      <alignment horizontal="center" vertical="center"/>
    </xf>
    <xf numFmtId="172" fontId="6" fillId="0" borderId="1" xfId="66" applyNumberFormat="1" applyFont="1" applyBorder="1" applyAlignment="1">
      <alignment horizontal="center" vertical="center"/>
    </xf>
    <xf numFmtId="172" fontId="57" fillId="2" borderId="7" xfId="0" applyNumberFormat="1" applyFont="1" applyFill="1" applyBorder="1" applyAlignment="1">
      <alignment vertical="center" wrapText="1"/>
    </xf>
    <xf numFmtId="172" fontId="8" fillId="2" borderId="7" xfId="0" applyNumberFormat="1" applyFont="1" applyFill="1" applyBorder="1" applyAlignment="1">
      <alignment horizontal="left" vertical="center" wrapText="1"/>
    </xf>
    <xf numFmtId="49" fontId="57" fillId="2" borderId="1" xfId="0" applyNumberFormat="1" applyFont="1" applyFill="1" applyBorder="1" applyAlignment="1">
      <alignment vertical="center"/>
    </xf>
    <xf numFmtId="172" fontId="64" fillId="0" borderId="0" xfId="0" applyNumberFormat="1" applyFont="1" applyAlignment="1">
      <alignment horizontal="left" vertical="center" wrapText="1"/>
    </xf>
    <xf numFmtId="172" fontId="56" fillId="2" borderId="1" xfId="0" applyNumberFormat="1" applyFont="1" applyFill="1" applyBorder="1" applyAlignment="1">
      <alignment horizontal="center" vertical="center"/>
    </xf>
    <xf numFmtId="172" fontId="57" fillId="2" borderId="1" xfId="0" applyNumberFormat="1" applyFont="1" applyFill="1" applyBorder="1" applyAlignment="1">
      <alignment horizontal="center" vertical="center"/>
    </xf>
    <xf numFmtId="49" fontId="48" fillId="2" borderId="1" xfId="0" applyNumberFormat="1" applyFont="1" applyFill="1" applyBorder="1" applyAlignment="1">
      <alignment horizontal="center" vertical="center" wrapText="1"/>
    </xf>
    <xf numFmtId="172" fontId="56" fillId="2" borderId="1" xfId="0" applyNumberFormat="1" applyFont="1" applyFill="1" applyBorder="1" applyAlignment="1">
      <alignment horizontal="left" vertical="center" wrapText="1"/>
    </xf>
    <xf numFmtId="172" fontId="57" fillId="2" borderId="3" xfId="0" applyNumberFormat="1" applyFont="1" applyFill="1" applyBorder="1" applyAlignment="1">
      <alignment horizontal="left" vertical="center" wrapText="1"/>
    </xf>
    <xf numFmtId="172" fontId="6" fillId="0" borderId="1" xfId="0" applyNumberFormat="1" applyFont="1" applyBorder="1" applyAlignment="1">
      <alignment horizontal="center"/>
    </xf>
    <xf numFmtId="172" fontId="5" fillId="3" borderId="1" xfId="66" applyNumberFormat="1" applyFont="1" applyFill="1" applyBorder="1"/>
    <xf numFmtId="172" fontId="57" fillId="3" borderId="7" xfId="0" applyNumberFormat="1" applyFont="1" applyFill="1" applyBorder="1" applyAlignment="1">
      <alignment horizontal="left"/>
    </xf>
    <xf numFmtId="172" fontId="6" fillId="3" borderId="1" xfId="0" applyNumberFormat="1" applyFont="1" applyFill="1" applyBorder="1" applyAlignment="1">
      <alignment horizontal="center"/>
    </xf>
    <xf numFmtId="188" fontId="60" fillId="2" borderId="1" xfId="0" applyNumberFormat="1" applyFont="1" applyFill="1" applyBorder="1" applyAlignment="1">
      <alignment horizontal="center" vertical="center" wrapText="1"/>
    </xf>
    <xf numFmtId="172" fontId="60" fillId="2" borderId="1" xfId="0" applyNumberFormat="1" applyFont="1" applyFill="1" applyBorder="1" applyAlignment="1">
      <alignment horizontal="justify" vertical="center" wrapText="1"/>
    </xf>
    <xf numFmtId="172" fontId="60" fillId="2" borderId="1" xfId="0" applyNumberFormat="1" applyFont="1" applyFill="1" applyBorder="1" applyAlignment="1">
      <alignment horizontal="center" vertical="center" wrapText="1"/>
    </xf>
    <xf numFmtId="188" fontId="53" fillId="2" borderId="1" xfId="0" applyNumberFormat="1" applyFont="1" applyFill="1" applyBorder="1" applyAlignment="1">
      <alignment horizontal="center" vertical="center" wrapText="1"/>
    </xf>
    <xf numFmtId="172" fontId="53" fillId="2" borderId="1" xfId="0" applyNumberFormat="1" applyFont="1" applyFill="1" applyBorder="1" applyAlignment="1">
      <alignment horizontal="justify" vertical="center" wrapText="1"/>
    </xf>
    <xf numFmtId="172" fontId="53" fillId="2" borderId="1" xfId="0" applyNumberFormat="1" applyFont="1" applyFill="1" applyBorder="1" applyAlignment="1">
      <alignment horizontal="center" vertical="center" wrapText="1"/>
    </xf>
    <xf numFmtId="172" fontId="53" fillId="2" borderId="1" xfId="0" applyNumberFormat="1" applyFont="1" applyFill="1" applyBorder="1" applyAlignment="1">
      <alignment vertical="top" wrapText="1"/>
    </xf>
    <xf numFmtId="49" fontId="60" fillId="2" borderId="1" xfId="0" applyNumberFormat="1" applyFont="1" applyFill="1" applyBorder="1" applyAlignment="1">
      <alignment horizontal="center" vertical="center" wrapText="1"/>
    </xf>
    <xf numFmtId="188" fontId="53" fillId="2" borderId="1" xfId="0" applyNumberFormat="1" applyFont="1" applyFill="1" applyBorder="1" applyAlignment="1">
      <alignment vertical="top" wrapText="1"/>
    </xf>
    <xf numFmtId="49" fontId="60" fillId="2" borderId="2" xfId="0" applyNumberFormat="1" applyFont="1" applyFill="1" applyBorder="1" applyAlignment="1">
      <alignment vertical="top" wrapText="1"/>
    </xf>
    <xf numFmtId="172" fontId="5" fillId="3" borderId="1" xfId="66" applyNumberFormat="1" applyFont="1" applyFill="1" applyBorder="1" applyAlignment="1">
      <alignment horizontal="center"/>
    </xf>
    <xf numFmtId="172" fontId="6" fillId="3" borderId="1" xfId="0" applyNumberFormat="1" applyFont="1" applyFill="1" applyBorder="1"/>
    <xf numFmtId="172" fontId="6" fillId="2" borderId="5" xfId="0" applyNumberFormat="1" applyFont="1" applyFill="1" applyBorder="1" applyAlignment="1">
      <alignment vertical="center" wrapText="1"/>
    </xf>
    <xf numFmtId="172" fontId="6" fillId="2" borderId="7" xfId="0" applyNumberFormat="1" applyFont="1" applyFill="1" applyBorder="1" applyAlignment="1">
      <alignment horizontal="center" vertical="center"/>
    </xf>
    <xf numFmtId="172" fontId="6" fillId="2" borderId="1" xfId="0" applyNumberFormat="1" applyFont="1" applyFill="1" applyBorder="1" applyAlignment="1">
      <alignment horizontal="center" vertical="center"/>
    </xf>
    <xf numFmtId="172" fontId="6" fillId="0" borderId="0" xfId="0" applyNumberFormat="1" applyFont="1" applyAlignment="1">
      <alignment horizontal="center" vertical="center"/>
    </xf>
    <xf numFmtId="172" fontId="8" fillId="4" borderId="3" xfId="0" applyNumberFormat="1" applyFont="1" applyFill="1" applyBorder="1" applyAlignment="1">
      <alignment horizontal="center" vertical="center"/>
    </xf>
    <xf numFmtId="49" fontId="5" fillId="0" borderId="1" xfId="0" applyNumberFormat="1" applyFont="1" applyBorder="1" applyAlignment="1">
      <alignment horizontal="right" vertical="center"/>
    </xf>
    <xf numFmtId="0" fontId="6" fillId="0" borderId="1" xfId="0" applyFont="1" applyBorder="1" applyAlignment="1">
      <alignment vertical="center"/>
    </xf>
    <xf numFmtId="49" fontId="5" fillId="0" borderId="3" xfId="0" applyNumberFormat="1" applyFont="1" applyBorder="1" applyAlignment="1">
      <alignment horizontal="right" vertical="center"/>
    </xf>
    <xf numFmtId="0" fontId="5" fillId="3" borderId="1" xfId="0" applyFont="1" applyFill="1" applyBorder="1" applyAlignment="1">
      <alignment horizontal="center" vertical="center"/>
    </xf>
    <xf numFmtId="188" fontId="5" fillId="0" borderId="1" xfId="0" applyNumberFormat="1" applyFont="1" applyBorder="1" applyAlignment="1">
      <alignment horizontal="center" vertical="center"/>
    </xf>
    <xf numFmtId="188" fontId="6" fillId="0" borderId="1" xfId="0" applyNumberFormat="1" applyFont="1" applyBorder="1" applyAlignment="1">
      <alignment horizontal="right" vertical="center"/>
    </xf>
    <xf numFmtId="188" fontId="6" fillId="0" borderId="1" xfId="0" applyNumberFormat="1" applyFont="1" applyBorder="1" applyAlignment="1">
      <alignment vertical="center"/>
    </xf>
    <xf numFmtId="188" fontId="6" fillId="0" borderId="3" xfId="0" applyNumberFormat="1" applyFont="1" applyBorder="1" applyAlignment="1">
      <alignment horizontal="center" vertical="center"/>
    </xf>
    <xf numFmtId="167" fontId="53" fillId="28" borderId="3" xfId="0" applyNumberFormat="1" applyFont="1" applyFill="1" applyBorder="1" applyAlignment="1">
      <alignment horizontal="center" vertical="center" wrapText="1"/>
    </xf>
    <xf numFmtId="49" fontId="6" fillId="0" borderId="3" xfId="0" applyNumberFormat="1" applyFont="1" applyBorder="1" applyAlignment="1">
      <alignment vertical="center"/>
    </xf>
    <xf numFmtId="0" fontId="8" fillId="2" borderId="1" xfId="0" applyFont="1" applyFill="1" applyBorder="1" applyAlignment="1">
      <alignment horizontal="center"/>
    </xf>
    <xf numFmtId="188" fontId="6" fillId="0" borderId="1" xfId="0" applyNumberFormat="1" applyFont="1" applyBorder="1" applyAlignment="1">
      <alignment horizontal="center" vertical="center"/>
    </xf>
    <xf numFmtId="188" fontId="6" fillId="2" borderId="1" xfId="0" applyNumberFormat="1" applyFont="1" applyFill="1" applyBorder="1" applyAlignment="1">
      <alignment vertical="center"/>
    </xf>
    <xf numFmtId="0" fontId="62" fillId="0" borderId="1" xfId="0" applyFont="1" applyBorder="1" applyAlignment="1">
      <alignment horizontal="left" vertical="center"/>
    </xf>
    <xf numFmtId="188" fontId="5" fillId="3" borderId="1" xfId="0" applyNumberFormat="1" applyFont="1" applyFill="1" applyBorder="1" applyAlignment="1">
      <alignment vertical="center"/>
    </xf>
    <xf numFmtId="172" fontId="5" fillId="3" borderId="1" xfId="0" applyNumberFormat="1" applyFont="1" applyFill="1" applyBorder="1" applyAlignment="1">
      <alignment vertical="center"/>
    </xf>
    <xf numFmtId="172" fontId="6" fillId="3" borderId="0" xfId="0" applyNumberFormat="1" applyFont="1" applyFill="1" applyAlignment="1">
      <alignment horizontal="center" vertical="center"/>
    </xf>
    <xf numFmtId="188" fontId="48" fillId="0" borderId="1" xfId="0" applyNumberFormat="1" applyFont="1" applyBorder="1" applyAlignment="1">
      <alignment horizontal="center" vertical="center"/>
    </xf>
    <xf numFmtId="188" fontId="6" fillId="2" borderId="1" xfId="0" applyNumberFormat="1" applyFont="1" applyFill="1" applyBorder="1" applyAlignment="1">
      <alignment horizontal="center" vertical="center"/>
    </xf>
    <xf numFmtId="188" fontId="6" fillId="2" borderId="1" xfId="0" applyNumberFormat="1" applyFont="1" applyFill="1" applyBorder="1"/>
    <xf numFmtId="172" fontId="48" fillId="2" borderId="1" xfId="363" applyNumberFormat="1" applyFont="1" applyFill="1" applyBorder="1" applyAlignment="1">
      <alignment horizontal="center" vertical="center" wrapText="1"/>
    </xf>
    <xf numFmtId="172" fontId="48" fillId="0" borderId="1" xfId="363" applyNumberFormat="1" applyFont="1" applyFill="1" applyBorder="1" applyAlignment="1">
      <alignment horizontal="center" vertical="center" wrapText="1"/>
    </xf>
    <xf numFmtId="172" fontId="8" fillId="0" borderId="1" xfId="0" applyNumberFormat="1" applyFont="1" applyBorder="1" applyAlignment="1">
      <alignment horizontal="left" vertical="center" wrapText="1"/>
    </xf>
    <xf numFmtId="172" fontId="54" fillId="2" borderId="1" xfId="0" applyNumberFormat="1" applyFont="1" applyFill="1" applyBorder="1" applyAlignment="1">
      <alignment horizontal="center" vertical="center" wrapText="1"/>
    </xf>
    <xf numFmtId="172" fontId="54" fillId="0" borderId="1" xfId="0" applyNumberFormat="1" applyFont="1" applyBorder="1" applyAlignment="1">
      <alignment horizontal="center" vertical="center" wrapText="1"/>
    </xf>
    <xf numFmtId="172" fontId="57" fillId="0" borderId="1" xfId="0" applyNumberFormat="1" applyFont="1" applyBorder="1" applyAlignment="1">
      <alignment horizontal="center" vertical="center" wrapText="1"/>
    </xf>
    <xf numFmtId="172" fontId="57" fillId="0" borderId="1" xfId="0" applyNumberFormat="1" applyFont="1" applyBorder="1" applyAlignment="1">
      <alignment vertical="center" wrapText="1"/>
    </xf>
    <xf numFmtId="172" fontId="6" fillId="0" borderId="1" xfId="0" applyNumberFormat="1" applyFont="1" applyBorder="1" applyAlignment="1">
      <alignment vertical="center" wrapText="1"/>
    </xf>
    <xf numFmtId="172" fontId="5" fillId="3" borderId="1" xfId="66" applyNumberFormat="1" applyFont="1" applyFill="1" applyBorder="1" applyAlignment="1">
      <alignment horizontal="center" vertical="center"/>
    </xf>
    <xf numFmtId="49" fontId="48" fillId="2" borderId="51" xfId="5" applyNumberFormat="1" applyFont="1" applyFill="1" applyBorder="1" applyAlignment="1">
      <alignment horizontal="right" vertical="center"/>
    </xf>
    <xf numFmtId="49" fontId="8" fillId="2" borderId="2" xfId="5" applyNumberFormat="1" applyFont="1" applyFill="1" applyBorder="1" applyAlignment="1">
      <alignment horizontal="right" vertical="center"/>
    </xf>
    <xf numFmtId="49" fontId="48" fillId="2" borderId="28" xfId="5" applyNumberFormat="1" applyFont="1" applyFill="1" applyBorder="1" applyAlignment="1">
      <alignment horizontal="center" vertical="center"/>
    </xf>
    <xf numFmtId="172" fontId="5" fillId="2" borderId="1" xfId="5" applyNumberFormat="1" applyFont="1" applyFill="1" applyBorder="1" applyAlignment="1">
      <alignment horizontal="left" vertical="center" wrapText="1"/>
    </xf>
    <xf numFmtId="172" fontId="48" fillId="2" borderId="1" xfId="5" applyNumberFormat="1" applyFont="1" applyFill="1" applyBorder="1" applyAlignment="1">
      <alignment horizontal="center" vertical="center" wrapText="1"/>
    </xf>
    <xf numFmtId="172" fontId="48" fillId="2" borderId="1" xfId="5" applyNumberFormat="1" applyFont="1" applyFill="1" applyBorder="1" applyAlignment="1">
      <alignment horizontal="left" vertical="center" wrapText="1"/>
    </xf>
    <xf numFmtId="49" fontId="48" fillId="2" borderId="9" xfId="5" applyNumberFormat="1" applyFont="1" applyFill="1" applyBorder="1" applyAlignment="1">
      <alignment horizontal="right" vertical="center"/>
    </xf>
    <xf numFmtId="49" fontId="8" fillId="2" borderId="9" xfId="5" applyNumberFormat="1" applyFont="1" applyFill="1" applyBorder="1" applyAlignment="1">
      <alignment horizontal="center" vertical="center"/>
    </xf>
    <xf numFmtId="49" fontId="8" fillId="2" borderId="28" xfId="5" applyNumberFormat="1" applyFont="1" applyFill="1" applyBorder="1" applyAlignment="1">
      <alignment horizontal="center" vertical="center"/>
    </xf>
    <xf numFmtId="172" fontId="8" fillId="2" borderId="1" xfId="5" applyNumberFormat="1" applyFont="1" applyFill="1" applyBorder="1" applyAlignment="1">
      <alignment horizontal="center" vertical="center" wrapText="1"/>
    </xf>
    <xf numFmtId="172" fontId="8" fillId="2" borderId="7" xfId="5" applyNumberFormat="1" applyFont="1" applyFill="1" applyBorder="1" applyAlignment="1">
      <alignment horizontal="left" vertical="center" wrapText="1"/>
    </xf>
    <xf numFmtId="172" fontId="8" fillId="2" borderId="3" xfId="5" applyNumberFormat="1" applyFont="1" applyFill="1" applyBorder="1" applyAlignment="1">
      <alignment horizontal="center" vertical="center" wrapText="1"/>
    </xf>
    <xf numFmtId="49" fontId="8" fillId="2" borderId="1" xfId="5" applyNumberFormat="1" applyFont="1" applyFill="1" applyBorder="1" applyAlignment="1">
      <alignment horizontal="center" vertical="center"/>
    </xf>
    <xf numFmtId="49" fontId="48" fillId="2" borderId="3" xfId="5" applyNumberFormat="1" applyFont="1" applyFill="1" applyBorder="1" applyAlignment="1">
      <alignment horizontal="center" vertical="center"/>
    </xf>
    <xf numFmtId="49" fontId="8" fillId="2" borderId="1" xfId="5" applyNumberFormat="1" applyFont="1" applyFill="1" applyBorder="1" applyAlignment="1">
      <alignment vertical="center"/>
    </xf>
    <xf numFmtId="49" fontId="8" fillId="2" borderId="9" xfId="5" applyNumberFormat="1" applyFont="1" applyFill="1" applyBorder="1" applyAlignment="1">
      <alignment vertical="center"/>
    </xf>
    <xf numFmtId="172" fontId="6" fillId="2" borderId="3" xfId="5" applyNumberFormat="1" applyFont="1" applyFill="1" applyBorder="1" applyAlignment="1">
      <alignment vertical="center" wrapText="1"/>
    </xf>
    <xf numFmtId="172" fontId="8" fillId="2" borderId="9" xfId="5" applyNumberFormat="1" applyFont="1" applyFill="1" applyBorder="1" applyAlignment="1">
      <alignment horizontal="center" vertical="center" wrapText="1"/>
    </xf>
    <xf numFmtId="172" fontId="8" fillId="2" borderId="1" xfId="5" applyNumberFormat="1" applyFont="1" applyFill="1" applyBorder="1" applyAlignment="1">
      <alignment horizontal="left" vertical="center" wrapText="1"/>
    </xf>
    <xf numFmtId="49" fontId="48" fillId="2" borderId="9" xfId="5" applyNumberFormat="1" applyFont="1" applyFill="1" applyBorder="1" applyAlignment="1">
      <alignment horizontal="center" vertical="center"/>
    </xf>
    <xf numFmtId="172" fontId="8" fillId="2" borderId="2" xfId="5" applyNumberFormat="1" applyFont="1" applyFill="1" applyBorder="1" applyAlignment="1">
      <alignment horizontal="center" vertical="center" wrapText="1"/>
    </xf>
    <xf numFmtId="172" fontId="8" fillId="2" borderId="2" xfId="5" applyNumberFormat="1" applyFont="1" applyFill="1" applyBorder="1" applyAlignment="1">
      <alignment horizontal="left" vertical="center" wrapText="1"/>
    </xf>
    <xf numFmtId="172" fontId="8" fillId="2" borderId="1" xfId="5" applyNumberFormat="1" applyFont="1" applyFill="1" applyBorder="1" applyAlignment="1">
      <alignment vertical="center" wrapText="1"/>
    </xf>
    <xf numFmtId="172" fontId="8" fillId="2" borderId="1" xfId="5" applyNumberFormat="1" applyFont="1" applyFill="1" applyBorder="1" applyAlignment="1">
      <alignment horizontal="center" vertical="center"/>
    </xf>
    <xf numFmtId="172" fontId="8" fillId="2" borderId="3" xfId="5" applyNumberFormat="1" applyFont="1" applyFill="1" applyBorder="1" applyAlignment="1">
      <alignment horizontal="left" vertical="center" wrapText="1"/>
    </xf>
    <xf numFmtId="49" fontId="48" fillId="2" borderId="1" xfId="5" applyNumberFormat="1" applyFont="1" applyFill="1" applyBorder="1" applyAlignment="1">
      <alignment horizontal="center" vertical="center"/>
    </xf>
    <xf numFmtId="172" fontId="5" fillId="2" borderId="1" xfId="5" applyNumberFormat="1" applyFont="1" applyFill="1" applyBorder="1" applyAlignment="1">
      <alignment vertical="center" wrapText="1"/>
    </xf>
    <xf numFmtId="172" fontId="48" fillId="3" borderId="1" xfId="5" applyNumberFormat="1" applyFont="1" applyFill="1" applyBorder="1" applyAlignment="1">
      <alignment horizontal="center" vertical="center"/>
    </xf>
    <xf numFmtId="172" fontId="8" fillId="3" borderId="1" xfId="5" applyNumberFormat="1" applyFont="1" applyFill="1" applyBorder="1" applyAlignment="1">
      <alignment horizontal="left" vertical="center"/>
    </xf>
    <xf numFmtId="172" fontId="48" fillId="3" borderId="1" xfId="5" applyNumberFormat="1" applyFont="1" applyFill="1" applyBorder="1" applyAlignment="1">
      <alignment vertical="center"/>
    </xf>
    <xf numFmtId="172" fontId="8" fillId="3" borderId="1" xfId="5" applyNumberFormat="1" applyFont="1" applyFill="1" applyBorder="1" applyAlignment="1">
      <alignment vertical="center"/>
    </xf>
    <xf numFmtId="168" fontId="6" fillId="0" borderId="2" xfId="0" applyNumberFormat="1" applyFont="1" applyBorder="1" applyAlignment="1">
      <alignment horizontal="center" vertical="center" wrapText="1"/>
    </xf>
    <xf numFmtId="0" fontId="5" fillId="0" borderId="3" xfId="0" applyFont="1" applyBorder="1" applyAlignment="1">
      <alignment vertical="center" wrapText="1"/>
    </xf>
    <xf numFmtId="0" fontId="48" fillId="2" borderId="1" xfId="5" applyFont="1" applyFill="1" applyBorder="1" applyAlignment="1">
      <alignment horizontal="left" vertical="center" wrapText="1"/>
    </xf>
    <xf numFmtId="49" fontId="5" fillId="0" borderId="3" xfId="0" applyNumberFormat="1" applyFont="1" applyBorder="1" applyAlignment="1">
      <alignment horizontal="center" vertical="center" wrapText="1"/>
    </xf>
    <xf numFmtId="0" fontId="8" fillId="2" borderId="3" xfId="29" applyFont="1" applyFill="1" applyBorder="1" applyAlignment="1">
      <alignment horizontal="left" vertical="center" wrapText="1"/>
    </xf>
    <xf numFmtId="188" fontId="6" fillId="2" borderId="1" xfId="0" applyNumberFormat="1" applyFont="1" applyFill="1" applyBorder="1" applyAlignment="1">
      <alignment horizontal="center" vertical="top"/>
    </xf>
    <xf numFmtId="172" fontId="8" fillId="2" borderId="9" xfId="0" applyNumberFormat="1" applyFont="1" applyFill="1" applyBorder="1" applyAlignment="1">
      <alignment vertical="center" wrapText="1"/>
    </xf>
    <xf numFmtId="172" fontId="8" fillId="2" borderId="5" xfId="5" applyNumberFormat="1" applyFont="1" applyFill="1" applyBorder="1" applyAlignment="1">
      <alignment horizontal="left" vertical="center" wrapText="1"/>
    </xf>
    <xf numFmtId="172" fontId="53" fillId="28" borderId="1" xfId="0" applyNumberFormat="1" applyFont="1" applyFill="1" applyBorder="1" applyAlignment="1">
      <alignment horizontal="center" vertical="center" wrapText="1"/>
    </xf>
    <xf numFmtId="49" fontId="48" fillId="2" borderId="3" xfId="0" applyNumberFormat="1" applyFont="1" applyFill="1" applyBorder="1" applyAlignment="1">
      <alignment horizontal="center" vertical="center" wrapText="1"/>
    </xf>
    <xf numFmtId="172" fontId="8" fillId="0" borderId="1" xfId="0" applyNumberFormat="1" applyFont="1" applyBorder="1"/>
    <xf numFmtId="49" fontId="48" fillId="0" borderId="7" xfId="0" applyNumberFormat="1" applyFont="1" applyBorder="1"/>
    <xf numFmtId="49" fontId="48" fillId="0" borderId="1" xfId="0" applyNumberFormat="1" applyFont="1" applyBorder="1"/>
    <xf numFmtId="172" fontId="48" fillId="0" borderId="1" xfId="0" applyNumberFormat="1" applyFont="1" applyBorder="1" applyAlignment="1">
      <alignment horizontal="center" vertical="center"/>
    </xf>
    <xf numFmtId="172" fontId="48" fillId="0" borderId="1" xfId="0" applyNumberFormat="1" applyFont="1" applyBorder="1" applyAlignment="1">
      <alignment horizontal="left" vertical="center" wrapText="1"/>
    </xf>
    <xf numFmtId="172" fontId="48" fillId="0" borderId="1" xfId="0" applyNumberFormat="1" applyFont="1" applyBorder="1" applyAlignment="1">
      <alignment horizontal="center" vertical="center" wrapText="1"/>
    </xf>
    <xf numFmtId="172" fontId="8" fillId="0" borderId="1" xfId="0" applyNumberFormat="1" applyFont="1" applyBorder="1" applyAlignment="1">
      <alignment horizontal="center" vertical="center"/>
    </xf>
    <xf numFmtId="49" fontId="48" fillId="2" borderId="2" xfId="0" applyNumberFormat="1" applyFont="1" applyFill="1" applyBorder="1" applyAlignment="1">
      <alignment horizontal="center" vertical="center" wrapText="1"/>
    </xf>
    <xf numFmtId="49" fontId="8" fillId="0" borderId="1" xfId="0" applyNumberFormat="1" applyFont="1" applyBorder="1"/>
    <xf numFmtId="172" fontId="8" fillId="0" borderId="1" xfId="0" applyNumberFormat="1" applyFont="1" applyBorder="1" applyAlignment="1">
      <alignment wrapText="1"/>
    </xf>
    <xf numFmtId="172" fontId="48" fillId="3" borderId="1" xfId="0" applyNumberFormat="1" applyFont="1" applyFill="1" applyBorder="1" applyAlignment="1">
      <alignment horizontal="center" vertical="center"/>
    </xf>
    <xf numFmtId="170" fontId="5" fillId="0" borderId="9" xfId="0" applyNumberFormat="1" applyFont="1" applyBorder="1" applyAlignment="1">
      <alignment horizontal="right" vertical="center"/>
    </xf>
    <xf numFmtId="0" fontId="6" fillId="2" borderId="2" xfId="0" applyFont="1" applyFill="1" applyBorder="1" applyAlignment="1">
      <alignment horizontal="right" vertical="center"/>
    </xf>
    <xf numFmtId="0" fontId="5" fillId="2" borderId="2" xfId="0" applyFont="1" applyFill="1" applyBorder="1" applyAlignment="1">
      <alignment horizontal="center" vertical="center"/>
    </xf>
    <xf numFmtId="0" fontId="6" fillId="2" borderId="3" xfId="5" applyFont="1" applyFill="1" applyBorder="1" applyAlignment="1">
      <alignment vertical="center" wrapText="1"/>
    </xf>
    <xf numFmtId="0" fontId="8" fillId="0" borderId="2" xfId="0" applyFont="1" applyBorder="1" applyAlignment="1">
      <alignment vertical="center" wrapText="1"/>
    </xf>
    <xf numFmtId="170" fontId="5" fillId="0" borderId="3" xfId="0" applyNumberFormat="1" applyFont="1" applyBorder="1" applyAlignment="1">
      <alignment horizontal="right" vertical="center"/>
    </xf>
    <xf numFmtId="171" fontId="6" fillId="0" borderId="3" xfId="0" applyNumberFormat="1" applyFont="1" applyBorder="1" applyAlignment="1">
      <alignment horizontal="center" vertical="center"/>
    </xf>
    <xf numFmtId="171" fontId="6" fillId="0" borderId="25" xfId="0" applyNumberFormat="1" applyFont="1" applyBorder="1" applyAlignment="1">
      <alignment horizontal="center" vertical="center"/>
    </xf>
    <xf numFmtId="0" fontId="6" fillId="2" borderId="9" xfId="0" applyFont="1" applyFill="1" applyBorder="1" applyAlignment="1">
      <alignment horizontal="right" vertical="center"/>
    </xf>
    <xf numFmtId="0" fontId="54" fillId="0" borderId="3" xfId="0" applyFont="1" applyBorder="1" applyAlignment="1">
      <alignment vertical="center" wrapText="1"/>
    </xf>
    <xf numFmtId="167" fontId="48" fillId="2" borderId="1" xfId="363" applyNumberFormat="1" applyFont="1" applyFill="1" applyBorder="1" applyAlignment="1">
      <alignment horizontal="center" vertical="center" wrapText="1"/>
    </xf>
    <xf numFmtId="167" fontId="48" fillId="0" borderId="1" xfId="363" applyNumberFormat="1" applyFont="1" applyFill="1" applyBorder="1" applyAlignment="1">
      <alignment horizontal="center" vertical="center" wrapText="1"/>
    </xf>
    <xf numFmtId="0" fontId="48" fillId="0" borderId="1" xfId="0" applyFont="1" applyBorder="1" applyAlignment="1">
      <alignment vertical="center" wrapText="1"/>
    </xf>
    <xf numFmtId="0" fontId="57" fillId="0" borderId="1" xfId="0" applyFont="1" applyBorder="1" applyAlignment="1">
      <alignment vertical="center" wrapText="1"/>
    </xf>
    <xf numFmtId="167" fontId="6" fillId="0" borderId="1" xfId="0" applyNumberFormat="1" applyFont="1" applyBorder="1" applyAlignment="1">
      <alignment vertical="center" wrapText="1"/>
    </xf>
    <xf numFmtId="167" fontId="54" fillId="2" borderId="1" xfId="0" applyNumberFormat="1" applyFont="1" applyFill="1" applyBorder="1" applyAlignment="1">
      <alignment horizontal="center" vertical="center" wrapText="1"/>
    </xf>
    <xf numFmtId="167" fontId="54" fillId="0" borderId="1" xfId="0" applyNumberFormat="1" applyFont="1" applyBorder="1" applyAlignment="1">
      <alignment horizontal="center" vertical="center" wrapText="1"/>
    </xf>
    <xf numFmtId="168" fontId="57" fillId="0" borderId="1" xfId="0" applyNumberFormat="1" applyFont="1" applyBorder="1" applyAlignment="1">
      <alignment horizontal="center" vertical="center" wrapText="1"/>
    </xf>
    <xf numFmtId="0" fontId="56" fillId="2" borderId="1" xfId="0" applyFont="1" applyFill="1" applyBorder="1" applyAlignment="1">
      <alignment horizontal="left" vertical="center" wrapText="1"/>
    </xf>
    <xf numFmtId="9" fontId="6" fillId="2" borderId="1" xfId="42" applyFont="1" applyFill="1" applyBorder="1" applyAlignment="1">
      <alignment horizontal="center" vertical="center" wrapText="1"/>
    </xf>
    <xf numFmtId="9" fontId="5" fillId="0" borderId="1" xfId="42" applyFont="1" applyFill="1" applyBorder="1" applyAlignment="1">
      <alignment horizontal="center" vertical="center" wrapText="1"/>
    </xf>
    <xf numFmtId="168" fontId="5" fillId="0" borderId="1" xfId="0" applyNumberFormat="1" applyFont="1" applyBorder="1" applyAlignment="1">
      <alignment horizontal="center" vertical="center" wrapText="1"/>
    </xf>
    <xf numFmtId="0" fontId="57" fillId="0" borderId="1" xfId="0" applyFont="1" applyBorder="1" applyAlignment="1">
      <alignment horizontal="left" vertical="center" wrapText="1"/>
    </xf>
    <xf numFmtId="167" fontId="57" fillId="2" borderId="1" xfId="0" applyNumberFormat="1" applyFont="1" applyFill="1" applyBorder="1" applyAlignment="1">
      <alignment horizontal="center" vertical="center" wrapText="1"/>
    </xf>
    <xf numFmtId="0" fontId="57" fillId="0" borderId="1" xfId="0" applyFont="1" applyBorder="1" applyAlignment="1">
      <alignment horizontal="center" vertical="center" wrapText="1"/>
    </xf>
    <xf numFmtId="3" fontId="57" fillId="0" borderId="1" xfId="0" applyNumberFormat="1" applyFont="1" applyBorder="1" applyAlignment="1">
      <alignment horizontal="center" vertical="center" wrapText="1"/>
    </xf>
    <xf numFmtId="3" fontId="6" fillId="0" borderId="1" xfId="0" applyNumberFormat="1" applyFont="1" applyBorder="1" applyAlignment="1">
      <alignment horizontal="center" vertical="center"/>
    </xf>
    <xf numFmtId="167" fontId="56" fillId="2" borderId="1" xfId="0" applyNumberFormat="1" applyFont="1" applyFill="1" applyBorder="1" applyAlignment="1">
      <alignment horizontal="center" vertical="center" wrapText="1"/>
    </xf>
    <xf numFmtId="167" fontId="56" fillId="0" borderId="1" xfId="0" applyNumberFormat="1" applyFont="1" applyBorder="1" applyAlignment="1">
      <alignment horizontal="center" vertical="center" wrapText="1"/>
    </xf>
    <xf numFmtId="0" fontId="56" fillId="0" borderId="1" xfId="0" applyFont="1" applyBorder="1" applyAlignment="1">
      <alignment horizontal="center" vertical="center" wrapText="1"/>
    </xf>
    <xf numFmtId="0" fontId="5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top" wrapText="1"/>
    </xf>
    <xf numFmtId="0" fontId="57" fillId="2" borderId="1" xfId="0" applyFont="1" applyFill="1" applyBorder="1" applyAlignment="1">
      <alignment horizontal="center" vertical="center" wrapText="1"/>
    </xf>
    <xf numFmtId="0" fontId="6" fillId="2" borderId="1" xfId="6" applyFont="1" applyFill="1" applyBorder="1" applyAlignment="1">
      <alignment vertical="center" wrapText="1"/>
    </xf>
    <xf numFmtId="0" fontId="6" fillId="2" borderId="1" xfId="0" applyFont="1" applyFill="1" applyBorder="1" applyAlignment="1">
      <alignment horizontal="center" vertical="top" wrapText="1"/>
    </xf>
    <xf numFmtId="0" fontId="5" fillId="0" borderId="1" xfId="0" applyFont="1" applyBorder="1" applyAlignment="1">
      <alignment wrapText="1"/>
    </xf>
    <xf numFmtId="3" fontId="6" fillId="2" borderId="1" xfId="0" applyNumberFormat="1" applyFont="1" applyFill="1" applyBorder="1" applyAlignment="1">
      <alignment horizontal="center" vertical="center" wrapText="1"/>
    </xf>
    <xf numFmtId="167" fontId="5" fillId="3" borderId="1" xfId="363" applyNumberFormat="1" applyFont="1" applyFill="1" applyBorder="1" applyAlignment="1">
      <alignment horizontal="center" vertical="center"/>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170" fontId="5" fillId="0" borderId="51" xfId="0" applyNumberFormat="1" applyFont="1" applyBorder="1" applyAlignment="1">
      <alignment horizontal="right" vertical="center"/>
    </xf>
    <xf numFmtId="170" fontId="6" fillId="0" borderId="3" xfId="0" applyNumberFormat="1" applyFont="1" applyBorder="1" applyAlignment="1">
      <alignment horizontal="right" vertical="center"/>
    </xf>
    <xf numFmtId="171" fontId="6" fillId="0" borderId="5" xfId="0" applyNumberFormat="1" applyFont="1" applyBorder="1" applyAlignment="1">
      <alignment horizontal="center" vertical="center"/>
    </xf>
    <xf numFmtId="0" fontId="5" fillId="2" borderId="5" xfId="5" applyFont="1" applyFill="1" applyBorder="1" applyAlignment="1">
      <alignment horizontal="left" vertical="center" wrapText="1"/>
    </xf>
    <xf numFmtId="0" fontId="6" fillId="2" borderId="5" xfId="5" applyFont="1" applyFill="1" applyBorder="1" applyAlignment="1">
      <alignment horizontal="left" vertical="center" wrapText="1"/>
    </xf>
    <xf numFmtId="167" fontId="6" fillId="3" borderId="1" xfId="0" applyNumberFormat="1" applyFont="1" applyFill="1" applyBorder="1"/>
    <xf numFmtId="170" fontId="56" fillId="2" borderId="9" xfId="0" applyNumberFormat="1" applyFont="1" applyFill="1" applyBorder="1" applyAlignment="1">
      <alignment horizontal="center" vertical="center"/>
    </xf>
    <xf numFmtId="171" fontId="57" fillId="2" borderId="2" xfId="0" applyNumberFormat="1" applyFont="1" applyFill="1" applyBorder="1" applyAlignment="1">
      <alignment horizontal="right" vertical="center"/>
    </xf>
    <xf numFmtId="0" fontId="56" fillId="2" borderId="2" xfId="0" applyFont="1" applyFill="1" applyBorder="1" applyAlignment="1">
      <alignment horizontal="center" vertical="center"/>
    </xf>
    <xf numFmtId="0" fontId="56" fillId="2" borderId="2" xfId="0" applyFont="1" applyFill="1" applyBorder="1" applyAlignment="1">
      <alignment vertical="center" wrapText="1"/>
    </xf>
    <xf numFmtId="167" fontId="56" fillId="2" borderId="9" xfId="0" applyNumberFormat="1" applyFont="1" applyFill="1" applyBorder="1" applyAlignment="1">
      <alignment horizontal="center" vertical="center" wrapText="1"/>
    </xf>
    <xf numFmtId="0" fontId="57" fillId="2" borderId="2" xfId="0" applyFont="1" applyFill="1" applyBorder="1" applyAlignment="1">
      <alignment horizontal="left" vertical="center" wrapText="1"/>
    </xf>
    <xf numFmtId="0" fontId="56" fillId="2" borderId="2" xfId="0" applyFont="1" applyFill="1" applyBorder="1" applyAlignment="1">
      <alignment horizontal="center" vertical="center" wrapText="1"/>
    </xf>
    <xf numFmtId="168" fontId="56" fillId="2" borderId="2" xfId="0" applyNumberFormat="1" applyFont="1" applyFill="1" applyBorder="1" applyAlignment="1">
      <alignment horizontal="center" vertical="center" wrapText="1"/>
    </xf>
    <xf numFmtId="170" fontId="56" fillId="2" borderId="1" xfId="0" applyNumberFormat="1" applyFont="1" applyFill="1" applyBorder="1" applyAlignment="1">
      <alignment vertical="center"/>
    </xf>
    <xf numFmtId="171" fontId="57" fillId="2" borderId="3" xfId="0" applyNumberFormat="1" applyFont="1" applyFill="1" applyBorder="1" applyAlignment="1">
      <alignment horizontal="center" vertical="center"/>
    </xf>
    <xf numFmtId="0" fontId="57" fillId="2" borderId="3" xfId="0" applyFont="1" applyFill="1" applyBorder="1" applyAlignment="1">
      <alignment vertical="center"/>
    </xf>
    <xf numFmtId="0" fontId="57" fillId="2" borderId="1" xfId="365" applyFont="1" applyFill="1" applyBorder="1" applyAlignment="1">
      <alignment vertical="center" wrapText="1"/>
    </xf>
    <xf numFmtId="0" fontId="57" fillId="2" borderId="1" xfId="0" applyFont="1" applyFill="1" applyBorder="1" applyAlignment="1">
      <alignment horizontal="left" vertical="center" wrapText="1"/>
    </xf>
    <xf numFmtId="171" fontId="57" fillId="2" borderId="1" xfId="0" applyNumberFormat="1" applyFont="1" applyFill="1" applyBorder="1" applyAlignment="1">
      <alignment horizontal="center" vertical="center"/>
    </xf>
    <xf numFmtId="0" fontId="57" fillId="2" borderId="1" xfId="0" applyFont="1" applyFill="1" applyBorder="1" applyAlignment="1">
      <alignment vertical="center"/>
    </xf>
    <xf numFmtId="0" fontId="57" fillId="2" borderId="1" xfId="0" applyFont="1" applyFill="1" applyBorder="1" applyAlignment="1">
      <alignment vertical="center" wrapText="1"/>
    </xf>
    <xf numFmtId="177" fontId="56" fillId="2" borderId="1" xfId="0" applyNumberFormat="1" applyFont="1" applyFill="1" applyBorder="1" applyAlignment="1">
      <alignment horizontal="center" vertical="center"/>
    </xf>
    <xf numFmtId="177" fontId="56" fillId="2" borderId="1" xfId="0" applyNumberFormat="1" applyFont="1" applyFill="1" applyBorder="1" applyAlignment="1">
      <alignment horizontal="left" vertical="center"/>
    </xf>
    <xf numFmtId="177" fontId="56" fillId="2" borderId="1" xfId="0" applyNumberFormat="1" applyFont="1" applyFill="1" applyBorder="1" applyAlignment="1">
      <alignment horizontal="left" vertical="center" wrapText="1"/>
    </xf>
    <xf numFmtId="189" fontId="48" fillId="2" borderId="1" xfId="0" applyNumberFormat="1" applyFont="1" applyFill="1" applyBorder="1" applyAlignment="1">
      <alignment horizontal="center" vertical="center"/>
    </xf>
    <xf numFmtId="0" fontId="57" fillId="2" borderId="1" xfId="0" applyFont="1" applyFill="1" applyBorder="1" applyAlignment="1">
      <alignment horizontal="center" vertical="center"/>
    </xf>
    <xf numFmtId="2" fontId="56" fillId="2" borderId="1" xfId="0" applyNumberFormat="1" applyFont="1" applyFill="1" applyBorder="1" applyAlignment="1">
      <alignment horizontal="center" vertical="center"/>
    </xf>
    <xf numFmtId="170" fontId="56" fillId="2" borderId="3" xfId="0" applyNumberFormat="1" applyFont="1" applyFill="1" applyBorder="1" applyAlignment="1">
      <alignment horizontal="center" vertical="center"/>
    </xf>
    <xf numFmtId="0" fontId="57" fillId="2" borderId="9" xfId="0" applyFont="1" applyFill="1" applyBorder="1" applyAlignment="1">
      <alignment horizontal="center" vertical="center"/>
    </xf>
    <xf numFmtId="0" fontId="57" fillId="2" borderId="1" xfId="365" applyFont="1" applyFill="1" applyBorder="1" applyAlignment="1">
      <alignment horizontal="left" vertical="center" wrapText="1"/>
    </xf>
    <xf numFmtId="168" fontId="57" fillId="2" borderId="1" xfId="0" applyNumberFormat="1" applyFont="1" applyFill="1" applyBorder="1" applyAlignment="1">
      <alignment horizontal="center" vertical="center"/>
    </xf>
    <xf numFmtId="189" fontId="57" fillId="2" borderId="1" xfId="0" applyNumberFormat="1" applyFont="1" applyFill="1" applyBorder="1" applyAlignment="1">
      <alignment horizontal="center" vertical="center"/>
    </xf>
    <xf numFmtId="189" fontId="48" fillId="2" borderId="3" xfId="0" applyNumberFormat="1" applyFont="1" applyFill="1" applyBorder="1" applyAlignment="1">
      <alignment horizontal="center" vertical="center"/>
    </xf>
    <xf numFmtId="0" fontId="57" fillId="2" borderId="2" xfId="365" applyFont="1" applyFill="1" applyBorder="1" applyAlignment="1">
      <alignment horizontal="left" vertical="center" wrapText="1"/>
    </xf>
    <xf numFmtId="0" fontId="6" fillId="2" borderId="2" xfId="0" applyFont="1" applyFill="1" applyBorder="1"/>
    <xf numFmtId="171" fontId="57" fillId="2" borderId="2" xfId="0" applyNumberFormat="1" applyFont="1" applyFill="1" applyBorder="1" applyAlignment="1">
      <alignment horizontal="center" vertical="center"/>
    </xf>
    <xf numFmtId="167" fontId="6" fillId="2" borderId="2" xfId="0" applyNumberFormat="1" applyFont="1" applyFill="1" applyBorder="1" applyAlignment="1">
      <alignment horizontal="center" vertical="center"/>
    </xf>
    <xf numFmtId="171" fontId="57" fillId="2" borderId="3" xfId="0" applyNumberFormat="1" applyFont="1" applyFill="1" applyBorder="1" applyAlignment="1">
      <alignment vertical="center"/>
    </xf>
    <xf numFmtId="0" fontId="6" fillId="2" borderId="3" xfId="0" applyFont="1" applyFill="1" applyBorder="1"/>
    <xf numFmtId="167" fontId="48" fillId="2" borderId="3" xfId="0" applyNumberFormat="1" applyFont="1" applyFill="1" applyBorder="1" applyAlignment="1">
      <alignment horizontal="center" vertical="center"/>
    </xf>
    <xf numFmtId="0" fontId="56" fillId="2" borderId="1" xfId="365" applyFont="1" applyFill="1" applyBorder="1" applyAlignment="1">
      <alignment vertical="center" wrapText="1"/>
    </xf>
    <xf numFmtId="170" fontId="56" fillId="2" borderId="9" xfId="0" applyNumberFormat="1" applyFont="1" applyFill="1" applyBorder="1" applyAlignment="1">
      <alignment vertical="center"/>
    </xf>
    <xf numFmtId="167" fontId="6" fillId="2" borderId="3" xfId="0" applyNumberFormat="1" applyFont="1" applyFill="1" applyBorder="1" applyAlignment="1">
      <alignment horizontal="center" vertical="center"/>
    </xf>
    <xf numFmtId="0" fontId="57" fillId="2" borderId="2" xfId="365" applyFont="1" applyFill="1" applyBorder="1" applyAlignment="1">
      <alignment vertical="center" wrapText="1"/>
    </xf>
    <xf numFmtId="0" fontId="6" fillId="3" borderId="1" xfId="0" applyFont="1" applyFill="1" applyBorder="1" applyAlignment="1">
      <alignment vertical="center"/>
    </xf>
    <xf numFmtId="170" fontId="56" fillId="0" borderId="51" xfId="0" applyNumberFormat="1" applyFont="1" applyBorder="1" applyAlignment="1">
      <alignment horizontal="right" vertical="center"/>
    </xf>
    <xf numFmtId="0" fontId="48" fillId="5" borderId="2" xfId="0" applyFont="1" applyFill="1" applyBorder="1" applyAlignment="1">
      <alignment vertical="center" wrapText="1"/>
    </xf>
    <xf numFmtId="0" fontId="48" fillId="5" borderId="2" xfId="0" applyFont="1" applyFill="1" applyBorder="1" applyAlignment="1">
      <alignment horizontal="left" vertical="center" wrapText="1"/>
    </xf>
    <xf numFmtId="170" fontId="56" fillId="0" borderId="1" xfId="0" applyNumberFormat="1" applyFont="1" applyBorder="1" applyAlignment="1">
      <alignment horizontal="right" vertical="center"/>
    </xf>
    <xf numFmtId="0" fontId="57" fillId="5" borderId="28" xfId="0" applyFont="1" applyFill="1" applyBorder="1" applyAlignment="1">
      <alignment vertical="center" wrapText="1"/>
    </xf>
    <xf numFmtId="167" fontId="57" fillId="5" borderId="2" xfId="0" applyNumberFormat="1" applyFont="1" applyFill="1" applyBorder="1" applyAlignment="1">
      <alignment horizontal="center" vertical="center" wrapText="1"/>
    </xf>
    <xf numFmtId="170" fontId="56" fillId="0" borderId="3" xfId="0" applyNumberFormat="1" applyFont="1" applyBorder="1" applyAlignment="1">
      <alignment horizontal="right" vertical="center"/>
    </xf>
    <xf numFmtId="0" fontId="6" fillId="5" borderId="2" xfId="0" applyFont="1" applyFill="1" applyBorder="1" applyAlignment="1">
      <alignment horizontal="right" vertical="center"/>
    </xf>
    <xf numFmtId="0" fontId="8" fillId="5" borderId="5" xfId="5"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5" borderId="0" xfId="0" applyFont="1" applyFill="1" applyAlignment="1">
      <alignment horizontal="left" vertical="center" wrapText="1"/>
    </xf>
    <xf numFmtId="16" fontId="57" fillId="5" borderId="1" xfId="0" applyNumberFormat="1" applyFont="1" applyFill="1" applyBorder="1" applyAlignment="1">
      <alignment horizontal="center" vertical="center" wrapText="1"/>
    </xf>
    <xf numFmtId="49" fontId="56" fillId="5" borderId="3" xfId="0" applyNumberFormat="1" applyFont="1" applyFill="1" applyBorder="1" applyAlignment="1">
      <alignment horizontal="center" vertical="center"/>
    </xf>
    <xf numFmtId="49" fontId="6" fillId="5" borderId="3" xfId="0" applyNumberFormat="1" applyFont="1" applyFill="1" applyBorder="1" applyAlignment="1">
      <alignment vertical="center"/>
    </xf>
    <xf numFmtId="0" fontId="48" fillId="5" borderId="1" xfId="0" applyFont="1" applyFill="1" applyBorder="1" applyAlignment="1">
      <alignment horizontal="left" vertical="center" wrapText="1"/>
    </xf>
    <xf numFmtId="167" fontId="56" fillId="5" borderId="3" xfId="0" applyNumberFormat="1" applyFont="1" applyFill="1" applyBorder="1" applyAlignment="1">
      <alignment horizontal="center" vertical="center" wrapText="1"/>
    </xf>
    <xf numFmtId="0" fontId="48" fillId="5" borderId="3" xfId="0" applyFont="1" applyFill="1" applyBorder="1" applyAlignment="1">
      <alignment horizontal="left" vertical="center" wrapText="1"/>
    </xf>
    <xf numFmtId="0" fontId="57" fillId="5" borderId="3" xfId="0" applyFont="1" applyFill="1" applyBorder="1" applyAlignment="1">
      <alignment horizontal="center" vertical="center" wrapText="1"/>
    </xf>
    <xf numFmtId="0" fontId="56" fillId="5" borderId="3" xfId="0" applyFont="1" applyFill="1" applyBorder="1" applyAlignment="1">
      <alignment horizontal="center" vertical="center"/>
    </xf>
    <xf numFmtId="49" fontId="56" fillId="5" borderId="3" xfId="0" applyNumberFormat="1" applyFont="1" applyFill="1" applyBorder="1" applyAlignment="1">
      <alignment vertical="center"/>
    </xf>
    <xf numFmtId="49" fontId="6" fillId="5" borderId="3" xfId="0" applyNumberFormat="1" applyFont="1" applyFill="1" applyBorder="1" applyAlignment="1">
      <alignment horizontal="center" vertical="center"/>
    </xf>
    <xf numFmtId="0" fontId="8" fillId="5" borderId="1" xfId="0" applyFont="1" applyFill="1" applyBorder="1" applyAlignment="1">
      <alignment vertical="center" wrapText="1"/>
    </xf>
    <xf numFmtId="167" fontId="6" fillId="5" borderId="3" xfId="0" applyNumberFormat="1" applyFont="1" applyFill="1" applyBorder="1" applyAlignment="1">
      <alignment horizontal="center" vertical="center" wrapText="1"/>
    </xf>
    <xf numFmtId="0" fontId="8" fillId="5" borderId="3" xfId="0" applyFont="1" applyFill="1" applyBorder="1" applyAlignment="1">
      <alignment horizontal="left" vertical="center" wrapText="1"/>
    </xf>
    <xf numFmtId="1" fontId="57" fillId="5" borderId="3" xfId="0" applyNumberFormat="1" applyFont="1" applyFill="1" applyBorder="1" applyAlignment="1">
      <alignment horizontal="center" vertical="center" wrapText="1"/>
    </xf>
    <xf numFmtId="190" fontId="56" fillId="3" borderId="1" xfId="0" applyNumberFormat="1" applyFont="1" applyFill="1" applyBorder="1" applyAlignment="1">
      <alignment horizontal="center" vertical="center"/>
    </xf>
    <xf numFmtId="170" fontId="5" fillId="0" borderId="1" xfId="0" applyNumberFormat="1" applyFont="1" applyBorder="1" applyAlignment="1">
      <alignment horizontal="center" vertical="center" wrapText="1"/>
    </xf>
    <xf numFmtId="171" fontId="5" fillId="0" borderId="1" xfId="0" applyNumberFormat="1" applyFont="1" applyBorder="1" applyAlignment="1">
      <alignment horizontal="center" vertical="center" wrapText="1"/>
    </xf>
    <xf numFmtId="168" fontId="5" fillId="2" borderId="1" xfId="0" applyNumberFormat="1" applyFont="1" applyFill="1" applyBorder="1" applyAlignment="1">
      <alignment horizontal="center" vertical="center" wrapText="1"/>
    </xf>
    <xf numFmtId="167" fontId="56" fillId="3" borderId="1" xfId="0" applyNumberFormat="1" applyFont="1" applyFill="1" applyBorder="1" applyAlignment="1">
      <alignment vertical="center"/>
    </xf>
    <xf numFmtId="170" fontId="56" fillId="0" borderId="1" xfId="0" applyNumberFormat="1" applyFont="1" applyBorder="1" applyAlignment="1">
      <alignment horizontal="center" vertical="center"/>
    </xf>
    <xf numFmtId="0" fontId="56" fillId="5" borderId="2" xfId="0" applyFont="1" applyFill="1" applyBorder="1" applyAlignment="1">
      <alignment horizontal="left" wrapText="1"/>
    </xf>
    <xf numFmtId="0" fontId="56" fillId="5" borderId="2" xfId="0" applyFont="1" applyFill="1" applyBorder="1" applyAlignment="1">
      <alignment horizontal="left" vertical="center" wrapText="1"/>
    </xf>
    <xf numFmtId="0" fontId="56" fillId="5" borderId="1" xfId="0" applyFont="1" applyFill="1" applyBorder="1" applyAlignment="1">
      <alignment horizontal="center" vertical="center" wrapText="1"/>
    </xf>
    <xf numFmtId="170" fontId="57" fillId="0" borderId="3" xfId="0" applyNumberFormat="1" applyFont="1" applyBorder="1" applyAlignment="1">
      <alignment horizontal="right" vertical="center"/>
    </xf>
    <xf numFmtId="0" fontId="8" fillId="5" borderId="1" xfId="0" applyFont="1" applyFill="1" applyBorder="1" applyAlignment="1">
      <alignment horizontal="center" vertical="center" wrapText="1"/>
    </xf>
    <xf numFmtId="49" fontId="57" fillId="5" borderId="3" xfId="0" applyNumberFormat="1" applyFont="1" applyFill="1" applyBorder="1" applyAlignment="1">
      <alignment vertical="center"/>
    </xf>
    <xf numFmtId="167" fontId="48" fillId="5" borderId="1" xfId="0" applyNumberFormat="1" applyFont="1" applyFill="1" applyBorder="1" applyAlignment="1">
      <alignment horizontal="center" vertical="center" wrapText="1"/>
    </xf>
    <xf numFmtId="0" fontId="56" fillId="5" borderId="1" xfId="0" applyFont="1" applyFill="1" applyBorder="1" applyAlignment="1">
      <alignment vertical="center" wrapText="1"/>
    </xf>
    <xf numFmtId="0" fontId="57" fillId="5" borderId="1" xfId="0" applyFont="1" applyFill="1" applyBorder="1" applyAlignment="1">
      <alignment vertical="center" wrapText="1"/>
    </xf>
    <xf numFmtId="0" fontId="48" fillId="5" borderId="1" xfId="0" applyFont="1" applyFill="1" applyBorder="1" applyAlignment="1">
      <alignment vertical="center" wrapText="1"/>
    </xf>
    <xf numFmtId="0" fontId="48" fillId="2" borderId="1" xfId="0" applyFont="1" applyFill="1" applyBorder="1"/>
    <xf numFmtId="49" fontId="57" fillId="5" borderId="3" xfId="0" applyNumberFormat="1" applyFont="1" applyFill="1" applyBorder="1" applyAlignment="1">
      <alignment horizontal="center" vertical="center"/>
    </xf>
    <xf numFmtId="0" fontId="57" fillId="0" borderId="0" xfId="0" applyFont="1" applyAlignment="1">
      <alignment vertical="center" wrapText="1"/>
    </xf>
    <xf numFmtId="0" fontId="8" fillId="5" borderId="3" xfId="0" applyFont="1" applyFill="1" applyBorder="1" applyAlignment="1">
      <alignment horizontal="center" vertical="center" wrapText="1"/>
    </xf>
    <xf numFmtId="167" fontId="48" fillId="3" borderId="1" xfId="0" applyNumberFormat="1" applyFont="1" applyFill="1" applyBorder="1" applyAlignment="1">
      <alignment horizontal="center" vertical="center"/>
    </xf>
    <xf numFmtId="0" fontId="56" fillId="3" borderId="1" xfId="0" applyFont="1" applyFill="1" applyBorder="1"/>
    <xf numFmtId="167" fontId="56" fillId="3" borderId="1" xfId="0" applyNumberFormat="1" applyFont="1" applyFill="1" applyBorder="1"/>
    <xf numFmtId="170" fontId="48" fillId="2" borderId="3" xfId="0" applyNumberFormat="1" applyFont="1" applyFill="1" applyBorder="1" applyAlignment="1">
      <alignment horizontal="center" vertical="center"/>
    </xf>
    <xf numFmtId="171" fontId="8" fillId="2" borderId="3" xfId="0" applyNumberFormat="1" applyFont="1" applyFill="1" applyBorder="1" applyAlignment="1">
      <alignment horizontal="center" vertical="center"/>
    </xf>
    <xf numFmtId="185" fontId="48" fillId="3" borderId="1" xfId="0" applyNumberFormat="1" applyFont="1" applyFill="1" applyBorder="1" applyAlignment="1">
      <alignment vertical="center"/>
    </xf>
    <xf numFmtId="0" fontId="56" fillId="5" borderId="1" xfId="0" applyFont="1" applyFill="1" applyBorder="1" applyAlignment="1">
      <alignment horizontal="right" vertical="center"/>
    </xf>
    <xf numFmtId="0" fontId="54" fillId="34" borderId="1" xfId="5" applyFont="1" applyFill="1" applyBorder="1" applyAlignment="1">
      <alignment horizontal="center" vertical="center" wrapText="1"/>
    </xf>
    <xf numFmtId="9" fontId="8" fillId="2" borderId="1" xfId="5" applyNumberFormat="1" applyFont="1" applyFill="1" applyBorder="1" applyAlignment="1">
      <alignment horizontal="center" vertical="center" wrapText="1"/>
    </xf>
    <xf numFmtId="0" fontId="6" fillId="0" borderId="1" xfId="5" applyFont="1" applyBorder="1" applyAlignment="1">
      <alignment horizontal="center" vertical="center"/>
    </xf>
    <xf numFmtId="0" fontId="54" fillId="0" borderId="1" xfId="5" applyFont="1" applyBorder="1" applyAlignment="1">
      <alignment horizontal="center" vertical="center"/>
    </xf>
    <xf numFmtId="0" fontId="65" fillId="34" borderId="1" xfId="5" applyFont="1" applyFill="1" applyBorder="1" applyAlignment="1">
      <alignment horizontal="center" vertical="center" wrapText="1"/>
    </xf>
    <xf numFmtId="0" fontId="8" fillId="2" borderId="1" xfId="5" applyFont="1" applyFill="1" applyBorder="1" applyAlignment="1">
      <alignment horizontal="center" vertical="center" wrapText="1"/>
    </xf>
    <xf numFmtId="9" fontId="8" fillId="34" borderId="1" xfId="5" applyNumberFormat="1" applyFont="1" applyFill="1" applyBorder="1" applyAlignment="1">
      <alignment horizontal="center" vertical="center" wrapText="1"/>
    </xf>
    <xf numFmtId="0" fontId="6" fillId="2" borderId="1" xfId="5" applyFont="1" applyFill="1" applyBorder="1" applyAlignment="1">
      <alignment horizontal="left" vertical="center" wrapText="1"/>
    </xf>
    <xf numFmtId="177" fontId="8" fillId="34" borderId="1" xfId="5" applyNumberFormat="1" applyFont="1" applyFill="1" applyBorder="1" applyAlignment="1">
      <alignment horizontal="center" vertical="center" wrapText="1"/>
    </xf>
    <xf numFmtId="0" fontId="48" fillId="34" borderId="1" xfId="0" applyFont="1" applyFill="1" applyBorder="1" applyAlignment="1">
      <alignment horizontal="center" vertical="center" wrapText="1"/>
    </xf>
    <xf numFmtId="0" fontId="8" fillId="34" borderId="1" xfId="0" applyFont="1" applyFill="1" applyBorder="1" applyAlignment="1">
      <alignment horizontal="center" vertical="center" wrapText="1"/>
    </xf>
    <xf numFmtId="9" fontId="8" fillId="34" borderId="1" xfId="0" applyNumberFormat="1" applyFont="1" applyFill="1" applyBorder="1" applyAlignment="1">
      <alignment horizontal="center" vertical="center" wrapText="1"/>
    </xf>
    <xf numFmtId="10" fontId="65" fillId="34" borderId="1" xfId="5" applyNumberFormat="1" applyFont="1" applyFill="1" applyBorder="1" applyAlignment="1">
      <alignment horizontal="center" vertical="center" wrapText="1"/>
    </xf>
    <xf numFmtId="10" fontId="8" fillId="34" borderId="1" xfId="0" applyNumberFormat="1" applyFont="1" applyFill="1" applyBorder="1" applyAlignment="1">
      <alignment horizontal="center" vertical="center" wrapText="1"/>
    </xf>
    <xf numFmtId="170" fontId="56" fillId="2" borderId="1" xfId="0" applyNumberFormat="1" applyFont="1" applyFill="1" applyBorder="1" applyAlignment="1">
      <alignment horizontal="right" vertical="center"/>
    </xf>
    <xf numFmtId="171" fontId="57" fillId="2" borderId="1" xfId="0" applyNumberFormat="1" applyFont="1" applyFill="1" applyBorder="1" applyAlignment="1">
      <alignment horizontal="right" vertical="center"/>
    </xf>
    <xf numFmtId="0" fontId="57" fillId="2" borderId="1" xfId="0" applyFont="1" applyFill="1" applyBorder="1" applyAlignment="1">
      <alignment horizontal="right" vertical="center"/>
    </xf>
    <xf numFmtId="168" fontId="56" fillId="2" borderId="1" xfId="0" applyNumberFormat="1" applyFont="1" applyFill="1" applyBorder="1" applyAlignment="1">
      <alignment horizontal="center" vertical="center" wrapText="1"/>
    </xf>
    <xf numFmtId="0" fontId="54" fillId="35" borderId="1" xfId="5" applyFont="1" applyFill="1" applyBorder="1" applyAlignment="1">
      <alignment horizontal="center" vertical="center"/>
    </xf>
    <xf numFmtId="0" fontId="54" fillId="34" borderId="1" xfId="5" applyFont="1" applyFill="1" applyBorder="1" applyAlignment="1">
      <alignment horizontal="center" vertical="center"/>
    </xf>
    <xf numFmtId="177" fontId="54" fillId="34" borderId="1" xfId="5" applyNumberFormat="1" applyFont="1" applyFill="1" applyBorder="1" applyAlignment="1">
      <alignment horizontal="center" vertical="center" wrapText="1"/>
    </xf>
    <xf numFmtId="0" fontId="8" fillId="34" borderId="1" xfId="5" applyFont="1" applyFill="1" applyBorder="1" applyAlignment="1">
      <alignment horizontal="center" vertical="center" wrapText="1"/>
    </xf>
    <xf numFmtId="49" fontId="57" fillId="5" borderId="1" xfId="0" applyNumberFormat="1" applyFont="1" applyFill="1" applyBorder="1" applyAlignment="1">
      <alignment horizontal="center" vertical="center"/>
    </xf>
    <xf numFmtId="0" fontId="57" fillId="3" borderId="1" xfId="0" applyFont="1" applyFill="1" applyBorder="1" applyAlignment="1">
      <alignment horizontal="center"/>
    </xf>
    <xf numFmtId="0" fontId="6" fillId="0" borderId="3" xfId="0" applyFont="1" applyBorder="1" applyAlignment="1">
      <alignment vertical="center" wrapText="1"/>
    </xf>
    <xf numFmtId="172" fontId="48" fillId="3" borderId="1" xfId="0" applyNumberFormat="1" applyFont="1" applyFill="1" applyBorder="1" applyAlignment="1">
      <alignment horizontal="center" vertical="center" wrapText="1"/>
    </xf>
    <xf numFmtId="172" fontId="48" fillId="3" borderId="1" xfId="0" applyNumberFormat="1" applyFont="1" applyFill="1" applyBorder="1" applyAlignment="1">
      <alignment horizontal="left" vertical="center" wrapText="1"/>
    </xf>
    <xf numFmtId="49" fontId="6" fillId="0" borderId="0" xfId="0" applyNumberFormat="1" applyFont="1" applyAlignment="1">
      <alignment horizontal="center" vertical="center"/>
    </xf>
    <xf numFmtId="0" fontId="5" fillId="0" borderId="1" xfId="6" applyFont="1" applyBorder="1" applyAlignment="1">
      <alignment vertical="center" wrapText="1"/>
    </xf>
    <xf numFmtId="0" fontId="6" fillId="0" borderId="1" xfId="0" applyFont="1" applyBorder="1" applyAlignment="1">
      <alignment horizontal="left" vertical="center"/>
    </xf>
    <xf numFmtId="167" fontId="5" fillId="0" borderId="5" xfId="0" applyNumberFormat="1" applyFont="1" applyBorder="1" applyAlignment="1">
      <alignment horizontal="center" vertical="center" wrapText="1"/>
    </xf>
    <xf numFmtId="49" fontId="6" fillId="0" borderId="3" xfId="0" applyNumberFormat="1" applyFont="1" applyBorder="1" applyAlignment="1">
      <alignment horizontal="center"/>
    </xf>
    <xf numFmtId="0" fontId="6" fillId="0" borderId="3" xfId="0" applyFont="1" applyBorder="1" applyAlignment="1">
      <alignment horizontal="left" vertical="center"/>
    </xf>
    <xf numFmtId="167" fontId="5" fillId="0" borderId="3" xfId="0" applyNumberFormat="1" applyFont="1" applyBorder="1" applyAlignment="1">
      <alignment horizontal="right" vertical="center" wrapText="1"/>
    </xf>
    <xf numFmtId="167" fontId="5" fillId="0" borderId="25" xfId="0" applyNumberFormat="1" applyFont="1" applyBorder="1" applyAlignment="1">
      <alignment horizontal="center" vertical="center" wrapText="1"/>
    </xf>
    <xf numFmtId="49" fontId="6" fillId="0" borderId="1" xfId="0" applyNumberFormat="1" applyFont="1" applyBorder="1" applyAlignment="1">
      <alignment horizontal="center"/>
    </xf>
    <xf numFmtId="181" fontId="6" fillId="0" borderId="1" xfId="0" applyNumberFormat="1" applyFont="1" applyBorder="1" applyAlignment="1">
      <alignment vertical="center"/>
    </xf>
    <xf numFmtId="181" fontId="6" fillId="0" borderId="1" xfId="0" applyNumberFormat="1" applyFont="1" applyBorder="1" applyAlignment="1">
      <alignment vertical="center" wrapText="1"/>
    </xf>
    <xf numFmtId="181" fontId="6" fillId="0" borderId="3" xfId="0" applyNumberFormat="1" applyFont="1" applyBorder="1" applyAlignment="1">
      <alignment horizontal="center" vertical="center"/>
    </xf>
    <xf numFmtId="181" fontId="6" fillId="0" borderId="1" xfId="0" applyNumberFormat="1" applyFont="1" applyBorder="1" applyAlignment="1">
      <alignment horizontal="left" vertical="center"/>
    </xf>
    <xf numFmtId="181" fontId="5" fillId="3" borderId="1" xfId="0" applyNumberFormat="1" applyFont="1" applyFill="1" applyBorder="1"/>
    <xf numFmtId="0" fontId="5" fillId="3" borderId="1" xfId="0" applyFont="1" applyFill="1" applyBorder="1"/>
    <xf numFmtId="170" fontId="5" fillId="0" borderId="51" xfId="0" applyNumberFormat="1" applyFont="1" applyBorder="1" applyAlignment="1">
      <alignment horizontal="center" vertical="center"/>
    </xf>
    <xf numFmtId="191" fontId="5" fillId="2" borderId="2" xfId="0" applyNumberFormat="1" applyFont="1" applyFill="1" applyBorder="1" applyAlignment="1">
      <alignment horizontal="center" vertical="center" wrapText="1"/>
    </xf>
    <xf numFmtId="0" fontId="5" fillId="2" borderId="2" xfId="0" applyFont="1" applyFill="1" applyBorder="1" applyAlignment="1">
      <alignment horizontal="left" vertical="top" wrapText="1"/>
    </xf>
    <xf numFmtId="170" fontId="5" fillId="0" borderId="3" xfId="0" applyNumberFormat="1" applyFont="1" applyBorder="1" applyAlignment="1">
      <alignment horizontal="center" vertical="center"/>
    </xf>
    <xf numFmtId="191" fontId="6" fillId="2" borderId="1" xfId="0" applyNumberFormat="1" applyFont="1" applyFill="1" applyBorder="1" applyAlignment="1">
      <alignment horizontal="center" vertical="center" wrapText="1"/>
    </xf>
    <xf numFmtId="191" fontId="6" fillId="0" borderId="1" xfId="0" applyNumberFormat="1" applyFont="1" applyBorder="1" applyAlignment="1">
      <alignment horizontal="center" vertical="center"/>
    </xf>
    <xf numFmtId="191" fontId="6" fillId="2" borderId="3" xfId="0" applyNumberFormat="1" applyFont="1" applyFill="1" applyBorder="1" applyAlignment="1">
      <alignment horizontal="center" vertical="center" wrapText="1"/>
    </xf>
    <xf numFmtId="191" fontId="6" fillId="0" borderId="1" xfId="0" applyNumberFormat="1" applyFont="1" applyBorder="1" applyAlignment="1">
      <alignment horizontal="center" vertical="center" wrapText="1"/>
    </xf>
    <xf numFmtId="9" fontId="6" fillId="2" borderId="3" xfId="0" applyNumberFormat="1" applyFont="1" applyFill="1" applyBorder="1" applyAlignment="1">
      <alignment horizontal="center" vertical="center" wrapText="1"/>
    </xf>
    <xf numFmtId="167" fontId="6" fillId="0" borderId="1" xfId="0" applyNumberFormat="1" applyFont="1" applyBorder="1" applyAlignment="1">
      <alignment horizontal="right" vertical="center" wrapText="1"/>
    </xf>
    <xf numFmtId="167" fontId="5" fillId="0" borderId="1" xfId="0" applyNumberFormat="1" applyFont="1" applyBorder="1" applyAlignment="1">
      <alignment horizontal="right" vertical="center" wrapText="1"/>
    </xf>
    <xf numFmtId="192" fontId="57" fillId="5" borderId="2" xfId="0" applyNumberFormat="1" applyFont="1" applyFill="1" applyBorder="1" applyAlignment="1">
      <alignment horizontal="center" vertical="center"/>
    </xf>
    <xf numFmtId="0" fontId="56" fillId="5" borderId="2" xfId="0" applyFont="1" applyFill="1" applyBorder="1" applyAlignment="1">
      <alignment horizontal="center" vertical="center"/>
    </xf>
    <xf numFmtId="0" fontId="56" fillId="5" borderId="28" xfId="0" applyFont="1" applyFill="1" applyBorder="1" applyAlignment="1">
      <alignment horizontal="center" vertical="center" wrapText="1"/>
    </xf>
    <xf numFmtId="0" fontId="56" fillId="5" borderId="9" xfId="0" applyFont="1" applyFill="1" applyBorder="1" applyAlignment="1">
      <alignment horizontal="center" vertical="center"/>
    </xf>
    <xf numFmtId="167" fontId="57" fillId="5" borderId="9" xfId="0" applyNumberFormat="1" applyFont="1" applyFill="1" applyBorder="1" applyAlignment="1">
      <alignment horizontal="center" vertical="center" wrapText="1"/>
    </xf>
    <xf numFmtId="0" fontId="56" fillId="5" borderId="9" xfId="0" applyFont="1" applyFill="1" applyBorder="1" applyAlignment="1">
      <alignment horizontal="left" vertical="center" wrapText="1"/>
    </xf>
    <xf numFmtId="0" fontId="56" fillId="5" borderId="9" xfId="0" applyFont="1" applyFill="1" applyBorder="1" applyAlignment="1">
      <alignment horizontal="center" vertical="center" wrapText="1"/>
    </xf>
    <xf numFmtId="0" fontId="56" fillId="5" borderId="10" xfId="0" applyFont="1" applyFill="1" applyBorder="1" applyAlignment="1">
      <alignment horizontal="center" vertical="center" wrapText="1"/>
    </xf>
    <xf numFmtId="0" fontId="56" fillId="5" borderId="3" xfId="0" applyFont="1" applyFill="1" applyBorder="1" applyAlignment="1">
      <alignment horizontal="left" vertical="center" wrapText="1"/>
    </xf>
    <xf numFmtId="167" fontId="57" fillId="5" borderId="3" xfId="0" applyNumberFormat="1" applyFont="1" applyFill="1" applyBorder="1" applyAlignment="1">
      <alignment horizontal="right" vertical="center" wrapText="1"/>
    </xf>
    <xf numFmtId="0" fontId="56" fillId="5" borderId="3" xfId="0" applyFont="1" applyFill="1" applyBorder="1" applyAlignment="1">
      <alignment horizontal="center" vertical="center" wrapText="1"/>
    </xf>
    <xf numFmtId="0" fontId="6" fillId="2" borderId="1" xfId="1" applyFont="1" applyFill="1" applyBorder="1" applyAlignment="1">
      <alignment horizontal="left" vertical="center" wrapText="1"/>
    </xf>
    <xf numFmtId="167" fontId="6" fillId="2" borderId="35" xfId="0" applyNumberFormat="1" applyFont="1" applyFill="1" applyBorder="1" applyAlignment="1">
      <alignment horizontal="center" vertical="center" wrapText="1"/>
    </xf>
    <xf numFmtId="167" fontId="6" fillId="30" borderId="35" xfId="0" applyNumberFormat="1" applyFont="1" applyFill="1" applyBorder="1" applyAlignment="1">
      <alignment horizontal="center" vertical="center" wrapText="1"/>
    </xf>
    <xf numFmtId="167" fontId="6" fillId="2" borderId="37" xfId="0" applyNumberFormat="1" applyFont="1" applyFill="1" applyBorder="1" applyAlignment="1">
      <alignment horizontal="center" vertical="center" wrapText="1"/>
    </xf>
    <xf numFmtId="0" fontId="6" fillId="33" borderId="1" xfId="0" applyFont="1" applyFill="1" applyBorder="1" applyAlignment="1">
      <alignment vertical="center" wrapText="1"/>
    </xf>
    <xf numFmtId="0" fontId="6" fillId="29" borderId="35" xfId="0" applyFont="1" applyFill="1" applyBorder="1" applyAlignment="1">
      <alignment horizontal="left" vertical="center" wrapText="1"/>
    </xf>
    <xf numFmtId="0" fontId="6" fillId="29" borderId="35" xfId="0" applyFont="1" applyFill="1" applyBorder="1" applyAlignment="1">
      <alignment horizontal="center" vertical="center"/>
    </xf>
    <xf numFmtId="0" fontId="6" fillId="32" borderId="35" xfId="0" applyFont="1" applyFill="1" applyBorder="1" applyAlignment="1">
      <alignment horizontal="left" vertical="center" wrapText="1"/>
    </xf>
    <xf numFmtId="167" fontId="6" fillId="29" borderId="35" xfId="0" applyNumberFormat="1" applyFont="1" applyFill="1" applyBorder="1" applyAlignment="1">
      <alignment horizontal="center" vertical="center" wrapText="1"/>
    </xf>
    <xf numFmtId="167" fontId="54" fillId="30" borderId="35" xfId="0" applyNumberFormat="1" applyFont="1" applyFill="1" applyBorder="1" applyAlignment="1">
      <alignment horizontal="center" vertical="center" wrapText="1"/>
    </xf>
    <xf numFmtId="0" fontId="6" fillId="29" borderId="35" xfId="0" applyFont="1" applyFill="1" applyBorder="1" applyAlignment="1">
      <alignment horizontal="center" vertical="center" wrapText="1"/>
    </xf>
    <xf numFmtId="0" fontId="54" fillId="29" borderId="35" xfId="0" applyFont="1" applyFill="1" applyBorder="1" applyAlignment="1">
      <alignment vertical="center" wrapText="1"/>
    </xf>
    <xf numFmtId="168" fontId="6" fillId="29" borderId="35" xfId="0" applyNumberFormat="1" applyFont="1" applyFill="1" applyBorder="1" applyAlignment="1">
      <alignment horizontal="center" vertical="center"/>
    </xf>
    <xf numFmtId="167" fontId="54" fillId="29" borderId="35" xfId="0" applyNumberFormat="1" applyFont="1" applyFill="1" applyBorder="1" applyAlignment="1">
      <alignment horizontal="center" vertical="center" wrapText="1"/>
    </xf>
    <xf numFmtId="0" fontId="54" fillId="29" borderId="35" xfId="0" applyFont="1" applyFill="1" applyBorder="1" applyAlignment="1">
      <alignment horizontal="center" vertical="center" wrapText="1"/>
    </xf>
    <xf numFmtId="168" fontId="6" fillId="2" borderId="35" xfId="0" applyNumberFormat="1" applyFont="1" applyFill="1" applyBorder="1" applyAlignment="1">
      <alignment horizontal="center" vertical="center"/>
    </xf>
    <xf numFmtId="0" fontId="6" fillId="29" borderId="0" xfId="0" applyFont="1" applyFill="1" applyAlignment="1">
      <alignment horizontal="left" vertical="center" wrapText="1"/>
    </xf>
    <xf numFmtId="0" fontId="54" fillId="29" borderId="40" xfId="0" applyFont="1" applyFill="1" applyBorder="1" applyAlignment="1">
      <alignment horizontal="left" vertical="center" wrapText="1"/>
    </xf>
    <xf numFmtId="167" fontId="6" fillId="29" borderId="37" xfId="0" applyNumberFormat="1" applyFont="1" applyFill="1" applyBorder="1" applyAlignment="1">
      <alignment horizontal="center" vertical="center" wrapText="1"/>
    </xf>
    <xf numFmtId="167" fontId="54" fillId="29" borderId="34" xfId="0" applyNumberFormat="1" applyFont="1" applyFill="1" applyBorder="1" applyAlignment="1">
      <alignment horizontal="center" vertical="center" wrapText="1"/>
    </xf>
    <xf numFmtId="167" fontId="54" fillId="30" borderId="34" xfId="0" applyNumberFormat="1" applyFont="1" applyFill="1" applyBorder="1" applyAlignment="1">
      <alignment horizontal="center" vertical="center" wrapText="1"/>
    </xf>
    <xf numFmtId="0" fontId="6" fillId="29" borderId="34" xfId="0" applyFont="1" applyFill="1" applyBorder="1" applyAlignment="1">
      <alignment horizontal="left" vertical="center" wrapText="1"/>
    </xf>
    <xf numFmtId="0" fontId="6" fillId="29" borderId="33" xfId="0" applyFont="1" applyFill="1" applyBorder="1" applyAlignment="1">
      <alignment horizontal="center" vertical="center" wrapText="1"/>
    </xf>
    <xf numFmtId="0" fontId="6" fillId="29" borderId="33" xfId="0" applyFont="1" applyFill="1" applyBorder="1" applyAlignment="1">
      <alignment horizontal="left" vertical="center" wrapText="1"/>
    </xf>
    <xf numFmtId="167" fontId="54" fillId="29" borderId="38" xfId="0" applyNumberFormat="1" applyFont="1" applyFill="1" applyBorder="1" applyAlignment="1">
      <alignment horizontal="center" vertical="center" wrapText="1"/>
    </xf>
    <xf numFmtId="167" fontId="54" fillId="30" borderId="38" xfId="0" applyNumberFormat="1" applyFont="1" applyFill="1" applyBorder="1" applyAlignment="1">
      <alignment horizontal="center" vertical="center" wrapText="1"/>
    </xf>
    <xf numFmtId="0" fontId="6" fillId="29" borderId="35" xfId="0" applyFont="1" applyFill="1" applyBorder="1" applyAlignment="1">
      <alignment vertical="center" wrapText="1"/>
    </xf>
    <xf numFmtId="0" fontId="54" fillId="29" borderId="35" xfId="0" applyFont="1" applyFill="1" applyBorder="1" applyAlignment="1">
      <alignment horizontal="left" vertical="center" wrapText="1"/>
    </xf>
    <xf numFmtId="0" fontId="54" fillId="29" borderId="33" xfId="0" applyFont="1" applyFill="1" applyBorder="1" applyAlignment="1">
      <alignment horizontal="center" vertical="center" wrapText="1"/>
    </xf>
    <xf numFmtId="168" fontId="6" fillId="29" borderId="33" xfId="0" applyNumberFormat="1" applyFont="1" applyFill="1" applyBorder="1" applyAlignment="1">
      <alignment horizontal="center" vertical="center" wrapText="1"/>
    </xf>
    <xf numFmtId="0" fontId="54" fillId="29" borderId="1" xfId="0" applyFont="1" applyFill="1" applyBorder="1" applyAlignment="1">
      <alignment horizontal="left" vertical="center" wrapText="1"/>
    </xf>
    <xf numFmtId="0" fontId="54" fillId="29" borderId="1" xfId="0" applyFont="1" applyFill="1" applyBorder="1" applyAlignment="1">
      <alignment horizontal="center" vertical="center" wrapText="1"/>
    </xf>
    <xf numFmtId="168" fontId="6" fillId="29" borderId="1" xfId="0" applyNumberFormat="1" applyFont="1" applyFill="1" applyBorder="1" applyAlignment="1">
      <alignment horizontal="center" vertical="center" wrapText="1"/>
    </xf>
    <xf numFmtId="1" fontId="6" fillId="29" borderId="1" xfId="0" applyNumberFormat="1" applyFont="1" applyFill="1" applyBorder="1" applyAlignment="1">
      <alignment horizontal="center" vertical="center" wrapText="1"/>
    </xf>
    <xf numFmtId="0" fontId="54" fillId="29" borderId="7" xfId="0" applyFont="1" applyFill="1" applyBorder="1" applyAlignment="1">
      <alignment horizontal="left" vertical="center" wrapText="1"/>
    </xf>
    <xf numFmtId="0" fontId="6" fillId="29" borderId="45" xfId="0" applyFont="1" applyFill="1" applyBorder="1" applyAlignment="1">
      <alignment horizontal="left" vertical="center" wrapText="1"/>
    </xf>
    <xf numFmtId="49" fontId="5" fillId="2" borderId="1" xfId="1" applyNumberFormat="1" applyFont="1" applyFill="1" applyBorder="1" applyAlignment="1">
      <alignment vertical="center" wrapText="1"/>
    </xf>
    <xf numFmtId="181" fontId="6" fillId="29" borderId="35" xfId="0" applyNumberFormat="1" applyFont="1" applyFill="1" applyBorder="1" applyAlignment="1">
      <alignment horizontal="center" vertical="center" wrapText="1"/>
    </xf>
    <xf numFmtId="3" fontId="6" fillId="2" borderId="1" xfId="175" applyNumberFormat="1" applyFont="1" applyFill="1" applyBorder="1" applyAlignment="1">
      <alignment horizontal="center" vertical="center" wrapText="1"/>
    </xf>
    <xf numFmtId="0" fontId="6" fillId="29" borderId="1" xfId="0" applyFont="1" applyFill="1" applyBorder="1" applyAlignment="1">
      <alignment horizontal="left" vertical="center" wrapText="1"/>
    </xf>
    <xf numFmtId="0" fontId="6" fillId="29" borderId="40" xfId="0" applyFont="1" applyFill="1" applyBorder="1" applyAlignment="1">
      <alignment horizontal="center" vertical="center" wrapText="1"/>
    </xf>
    <xf numFmtId="0" fontId="5" fillId="2" borderId="1" xfId="1" applyFont="1" applyFill="1" applyBorder="1" applyAlignment="1">
      <alignment horizontal="center" vertical="center" wrapText="1"/>
    </xf>
    <xf numFmtId="167" fontId="5" fillId="3" borderId="35" xfId="0" applyNumberFormat="1" applyFont="1" applyFill="1" applyBorder="1" applyAlignment="1">
      <alignment horizontal="center" vertical="center" wrapText="1"/>
    </xf>
    <xf numFmtId="0" fontId="5" fillId="3" borderId="1" xfId="1" applyFont="1" applyFill="1" applyBorder="1" applyAlignment="1">
      <alignment horizontal="center" vertical="center" wrapText="1"/>
    </xf>
    <xf numFmtId="49" fontId="5" fillId="2" borderId="3" xfId="1" applyNumberFormat="1" applyFont="1" applyFill="1" applyBorder="1" applyAlignment="1">
      <alignment horizontal="center" vertical="center" wrapText="1"/>
    </xf>
    <xf numFmtId="0" fontId="5" fillId="2" borderId="3" xfId="1" applyFont="1" applyFill="1" applyBorder="1" applyAlignment="1">
      <alignment horizontal="left" vertical="center" wrapText="1"/>
    </xf>
    <xf numFmtId="167" fontId="5" fillId="2" borderId="3" xfId="1" applyNumberFormat="1" applyFont="1" applyFill="1" applyBorder="1" applyAlignment="1">
      <alignment horizontal="center" vertical="center" wrapText="1"/>
    </xf>
    <xf numFmtId="0" fontId="6" fillId="2" borderId="3" xfId="1" applyFont="1" applyFill="1" applyBorder="1" applyAlignment="1">
      <alignment horizontal="left" vertical="center" wrapText="1"/>
    </xf>
    <xf numFmtId="0" fontId="5" fillId="2" borderId="3" xfId="1" applyFont="1" applyFill="1" applyBorder="1" applyAlignment="1">
      <alignment horizontal="center" vertical="center" wrapText="1"/>
    </xf>
    <xf numFmtId="167" fontId="6" fillId="2" borderId="3" xfId="1" applyNumberFormat="1" applyFont="1" applyFill="1" applyBorder="1" applyAlignment="1">
      <alignment horizontal="center" vertical="center" wrapText="1"/>
    </xf>
    <xf numFmtId="167" fontId="6" fillId="2" borderId="1" xfId="1" applyNumberFormat="1" applyFont="1" applyFill="1" applyBorder="1" applyAlignment="1">
      <alignment horizontal="center" vertical="center" wrapText="1"/>
    </xf>
    <xf numFmtId="167" fontId="5" fillId="2" borderId="1" xfId="1" applyNumberFormat="1" applyFont="1" applyFill="1" applyBorder="1" applyAlignment="1">
      <alignment horizontal="center" vertical="center" wrapText="1"/>
    </xf>
    <xf numFmtId="0" fontId="6" fillId="2" borderId="1" xfId="1" applyFont="1" applyFill="1" applyBorder="1" applyAlignment="1">
      <alignment horizontal="center" vertical="center" wrapText="1"/>
    </xf>
    <xf numFmtId="49" fontId="5" fillId="2" borderId="2" xfId="1" applyNumberFormat="1" applyFont="1" applyFill="1" applyBorder="1" applyAlignment="1">
      <alignment horizontal="center" vertical="center" wrapText="1"/>
    </xf>
    <xf numFmtId="167" fontId="5" fillId="3" borderId="1" xfId="1" applyNumberFormat="1" applyFont="1" applyFill="1" applyBorder="1" applyAlignment="1">
      <alignment horizontal="center" vertical="center" wrapText="1"/>
    </xf>
    <xf numFmtId="172" fontId="8" fillId="2" borderId="1" xfId="364" applyNumberFormat="1" applyFont="1" applyFill="1" applyBorder="1" applyAlignment="1">
      <alignment horizontal="center" vertical="center" wrapText="1"/>
    </xf>
    <xf numFmtId="172" fontId="8" fillId="2" borderId="1" xfId="364" applyNumberFormat="1" applyFont="1" applyFill="1" applyBorder="1" applyAlignment="1">
      <alignment vertical="center"/>
    </xf>
    <xf numFmtId="49" fontId="8" fillId="2" borderId="1" xfId="0" applyNumberFormat="1" applyFont="1" applyFill="1" applyBorder="1" applyAlignment="1">
      <alignment vertical="center"/>
    </xf>
    <xf numFmtId="172" fontId="48" fillId="2" borderId="1" xfId="24" applyNumberFormat="1" applyFont="1" applyFill="1" applyBorder="1" applyAlignment="1">
      <alignment horizontal="center" vertical="center" wrapText="1"/>
    </xf>
    <xf numFmtId="172" fontId="8" fillId="2" borderId="1" xfId="42" applyNumberFormat="1" applyFont="1" applyFill="1" applyBorder="1" applyAlignment="1">
      <alignment horizontal="center" vertical="center" wrapText="1"/>
    </xf>
    <xf numFmtId="172" fontId="66" fillId="2" borderId="1" xfId="0" applyNumberFormat="1" applyFont="1" applyFill="1" applyBorder="1" applyAlignment="1">
      <alignment horizontal="center" vertical="center" wrapText="1"/>
    </xf>
    <xf numFmtId="172" fontId="48" fillId="3" borderId="1" xfId="0" applyNumberFormat="1" applyFont="1" applyFill="1" applyBorder="1" applyAlignment="1">
      <alignment vertical="center"/>
    </xf>
    <xf numFmtId="172" fontId="5" fillId="3" borderId="2" xfId="0" applyNumberFormat="1" applyFont="1" applyFill="1" applyBorder="1" applyAlignment="1">
      <alignment vertical="center" wrapText="1"/>
    </xf>
    <xf numFmtId="172" fontId="5" fillId="3" borderId="2" xfId="0" applyNumberFormat="1" applyFont="1" applyFill="1" applyBorder="1" applyAlignment="1">
      <alignment horizontal="center" vertical="center"/>
    </xf>
    <xf numFmtId="172" fontId="48" fillId="2" borderId="1" xfId="0" applyNumberFormat="1" applyFont="1" applyFill="1" applyBorder="1" applyAlignment="1">
      <alignment vertical="top" wrapText="1"/>
    </xf>
    <xf numFmtId="172" fontId="48" fillId="2" borderId="1" xfId="176" applyNumberFormat="1" applyFont="1" applyFill="1" applyBorder="1" applyAlignment="1">
      <alignment horizontal="left" vertical="center" wrapText="1"/>
    </xf>
    <xf numFmtId="172" fontId="48" fillId="2" borderId="1" xfId="176" applyNumberFormat="1" applyFont="1" applyFill="1" applyBorder="1" applyAlignment="1">
      <alignment horizontal="center" vertical="center" wrapText="1"/>
    </xf>
    <xf numFmtId="172" fontId="8" fillId="2" borderId="1" xfId="176" applyNumberFormat="1" applyFont="1" applyFill="1" applyBorder="1" applyAlignment="1">
      <alignment horizontal="left" vertical="center" wrapText="1"/>
    </xf>
    <xf numFmtId="172" fontId="8" fillId="2" borderId="1" xfId="0" applyNumberFormat="1" applyFont="1" applyFill="1" applyBorder="1" applyAlignment="1">
      <alignment horizontal="left" vertical="top" wrapText="1"/>
    </xf>
    <xf numFmtId="172" fontId="8" fillId="2" borderId="1" xfId="176" applyNumberFormat="1" applyFont="1" applyFill="1" applyBorder="1" applyAlignment="1">
      <alignment horizontal="left" vertical="top" wrapText="1"/>
    </xf>
    <xf numFmtId="172" fontId="8" fillId="2" borderId="1" xfId="176" applyNumberFormat="1" applyFont="1" applyFill="1" applyBorder="1" applyAlignment="1">
      <alignment horizontal="center" vertical="center" wrapText="1"/>
    </xf>
    <xf numFmtId="172" fontId="48" fillId="2" borderId="1" xfId="0" applyNumberFormat="1" applyFont="1" applyFill="1" applyBorder="1" applyAlignment="1">
      <alignment horizontal="left" vertical="top" wrapText="1"/>
    </xf>
    <xf numFmtId="172" fontId="48" fillId="2" borderId="1" xfId="176" applyNumberFormat="1" applyFont="1" applyFill="1" applyBorder="1" applyAlignment="1">
      <alignment vertical="center" wrapText="1"/>
    </xf>
    <xf numFmtId="172" fontId="8" fillId="2" borderId="3" xfId="176" applyNumberFormat="1" applyFont="1" applyFill="1" applyBorder="1" applyAlignment="1">
      <alignment horizontal="center" vertical="center" wrapText="1"/>
    </xf>
    <xf numFmtId="172" fontId="8" fillId="2" borderId="1" xfId="21" applyNumberFormat="1" applyFont="1" applyFill="1" applyBorder="1" applyAlignment="1">
      <alignment horizontal="center" vertical="center" wrapText="1"/>
    </xf>
    <xf numFmtId="172" fontId="67" fillId="2" borderId="1" xfId="0" applyNumberFormat="1" applyFont="1" applyFill="1" applyBorder="1" applyAlignment="1">
      <alignment horizontal="center" vertical="center"/>
    </xf>
    <xf numFmtId="172" fontId="8" fillId="2" borderId="3" xfId="176" applyNumberFormat="1" applyFont="1" applyFill="1" applyBorder="1" applyAlignment="1">
      <alignment horizontal="left" vertical="center" wrapText="1"/>
    </xf>
    <xf numFmtId="172" fontId="8" fillId="2" borderId="2" xfId="0" applyNumberFormat="1" applyFont="1" applyFill="1" applyBorder="1" applyAlignment="1">
      <alignment horizontal="center" vertical="center" wrapText="1"/>
    </xf>
    <xf numFmtId="172" fontId="8" fillId="2" borderId="10" xfId="0" applyNumberFormat="1" applyFont="1" applyFill="1" applyBorder="1" applyAlignment="1">
      <alignment horizontal="center" vertical="center"/>
    </xf>
    <xf numFmtId="172" fontId="8" fillId="2" borderId="9" xfId="0" applyNumberFormat="1" applyFont="1" applyFill="1" applyBorder="1" applyAlignment="1">
      <alignment horizontal="center" vertical="center" wrapText="1"/>
    </xf>
    <xf numFmtId="49" fontId="48" fillId="2" borderId="1" xfId="0" applyNumberFormat="1" applyFont="1" applyFill="1" applyBorder="1" applyAlignment="1">
      <alignment vertical="center"/>
    </xf>
    <xf numFmtId="172" fontId="8" fillId="2" borderId="30" xfId="0" applyNumberFormat="1" applyFont="1" applyFill="1" applyBorder="1" applyAlignment="1">
      <alignment horizontal="left" vertical="center" wrapText="1"/>
    </xf>
    <xf numFmtId="172" fontId="8" fillId="2" borderId="7" xfId="176" applyNumberFormat="1" applyFont="1" applyFill="1" applyBorder="1" applyAlignment="1">
      <alignment horizontal="left" vertical="center" wrapText="1"/>
    </xf>
    <xf numFmtId="172" fontId="8" fillId="2" borderId="7" xfId="0" applyNumberFormat="1" applyFont="1" applyFill="1" applyBorder="1" applyAlignment="1">
      <alignment vertical="center" wrapText="1"/>
    </xf>
    <xf numFmtId="172" fontId="8" fillId="2" borderId="27" xfId="176" applyNumberFormat="1" applyFont="1" applyFill="1" applyBorder="1" applyAlignment="1">
      <alignment horizontal="left" vertical="center" wrapText="1"/>
    </xf>
    <xf numFmtId="172" fontId="8" fillId="2" borderId="2" xfId="176" applyNumberFormat="1" applyFont="1" applyFill="1" applyBorder="1" applyAlignment="1">
      <alignment horizontal="center" vertical="center" wrapText="1"/>
    </xf>
    <xf numFmtId="172" fontId="8" fillId="2" borderId="7" xfId="176" applyNumberFormat="1" applyFont="1" applyFill="1" applyBorder="1" applyAlignment="1">
      <alignment vertical="center" wrapText="1"/>
    </xf>
    <xf numFmtId="172" fontId="48" fillId="2" borderId="7" xfId="0" applyNumberFormat="1" applyFont="1" applyFill="1" applyBorder="1" applyAlignment="1">
      <alignment horizontal="left" vertical="center" wrapText="1"/>
    </xf>
    <xf numFmtId="172" fontId="8" fillId="2" borderId="9" xfId="0" applyNumberFormat="1" applyFont="1" applyFill="1" applyBorder="1" applyAlignment="1">
      <alignment horizontal="left" vertical="center" wrapText="1"/>
    </xf>
    <xf numFmtId="172" fontId="8" fillId="2" borderId="7" xfId="31" applyNumberFormat="1" applyFont="1" applyFill="1" applyBorder="1" applyAlignment="1">
      <alignment vertical="center" wrapText="1"/>
    </xf>
    <xf numFmtId="172" fontId="8" fillId="2" borderId="1" xfId="31" applyNumberFormat="1" applyFont="1" applyFill="1" applyBorder="1" applyAlignment="1">
      <alignment horizontal="center" vertical="center" wrapText="1"/>
    </xf>
    <xf numFmtId="172" fontId="8" fillId="2" borderId="7" xfId="31" applyNumberFormat="1" applyFont="1" applyFill="1" applyBorder="1" applyAlignment="1">
      <alignment wrapText="1"/>
    </xf>
    <xf numFmtId="172" fontId="8" fillId="2" borderId="0" xfId="0" applyNumberFormat="1" applyFont="1" applyFill="1" applyAlignment="1">
      <alignment horizontal="left" vertical="center" wrapText="1"/>
    </xf>
    <xf numFmtId="172" fontId="8" fillId="2" borderId="24" xfId="0" applyNumberFormat="1" applyFont="1" applyFill="1" applyBorder="1" applyAlignment="1">
      <alignment horizontal="center" vertical="center" wrapText="1"/>
    </xf>
    <xf numFmtId="172" fontId="8" fillId="2" borderId="1" xfId="282"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xf>
    <xf numFmtId="172" fontId="8" fillId="2" borderId="1" xfId="183" applyNumberFormat="1" applyFont="1" applyFill="1" applyBorder="1" applyAlignment="1">
      <alignment horizontal="left" vertical="center" wrapText="1"/>
    </xf>
    <xf numFmtId="172" fontId="8" fillId="2" borderId="1" xfId="183" applyNumberFormat="1" applyFont="1" applyFill="1" applyBorder="1" applyAlignment="1">
      <alignment horizontal="center" vertical="center" wrapText="1"/>
    </xf>
    <xf numFmtId="172" fontId="8" fillId="2" borderId="1" xfId="283" applyNumberFormat="1" applyFont="1" applyFill="1" applyBorder="1" applyAlignment="1">
      <alignment horizontal="center" vertical="center" wrapText="1"/>
    </xf>
    <xf numFmtId="172" fontId="8" fillId="2" borderId="1" xfId="282" applyNumberFormat="1" applyFont="1" applyFill="1" applyBorder="1" applyAlignment="1">
      <alignment horizontal="left" vertical="center" wrapText="1"/>
    </xf>
    <xf numFmtId="172" fontId="8" fillId="2" borderId="1" xfId="176" applyNumberFormat="1" applyFont="1" applyFill="1" applyBorder="1" applyAlignment="1">
      <alignment wrapText="1"/>
    </xf>
    <xf numFmtId="172" fontId="8" fillId="2" borderId="1" xfId="176" applyNumberFormat="1" applyFont="1" applyFill="1" applyBorder="1" applyAlignment="1">
      <alignment horizontal="center"/>
    </xf>
    <xf numFmtId="172" fontId="8" fillId="2" borderId="1" xfId="31" applyNumberFormat="1" applyFont="1" applyFill="1" applyBorder="1" applyAlignment="1">
      <alignment horizontal="left" wrapText="1"/>
    </xf>
    <xf numFmtId="49" fontId="48" fillId="2" borderId="1" xfId="0" applyNumberFormat="1" applyFont="1" applyFill="1" applyBorder="1" applyAlignment="1">
      <alignment horizontal="left" vertical="center"/>
    </xf>
    <xf numFmtId="172" fontId="8" fillId="2" borderId="1" xfId="184" applyNumberFormat="1" applyFont="1" applyFill="1" applyBorder="1" applyAlignment="1">
      <alignment horizontal="center" vertical="center" wrapText="1"/>
    </xf>
    <xf numFmtId="172" fontId="5" fillId="3" borderId="1" xfId="0" applyNumberFormat="1" applyFont="1" applyFill="1" applyBorder="1" applyAlignment="1">
      <alignment vertical="center" wrapText="1"/>
    </xf>
    <xf numFmtId="172"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right" vertical="center"/>
    </xf>
    <xf numFmtId="172" fontId="6" fillId="2" borderId="1" xfId="0" applyNumberFormat="1" applyFont="1" applyFill="1" applyBorder="1" applyAlignment="1">
      <alignment vertical="center"/>
    </xf>
    <xf numFmtId="172" fontId="6" fillId="2" borderId="3" xfId="0" applyNumberFormat="1" applyFont="1" applyFill="1" applyBorder="1" applyAlignment="1">
      <alignment horizontal="left" vertical="center" wrapText="1"/>
    </xf>
    <xf numFmtId="172" fontId="48" fillId="2" borderId="2" xfId="0" applyNumberFormat="1" applyFont="1" applyFill="1" applyBorder="1" applyAlignment="1">
      <alignment horizontal="left" vertical="top" wrapText="1"/>
    </xf>
    <xf numFmtId="172" fontId="48" fillId="2" borderId="1" xfId="2" applyNumberFormat="1" applyFont="1" applyFill="1" applyBorder="1" applyAlignment="1">
      <alignment horizontal="center" vertical="center" wrapText="1"/>
    </xf>
    <xf numFmtId="172" fontId="57" fillId="2" borderId="1" xfId="2" applyNumberFormat="1" applyFont="1" applyFill="1" applyBorder="1" applyAlignment="1">
      <alignment horizontal="center" vertical="center" wrapText="1"/>
    </xf>
    <xf numFmtId="172" fontId="8" fillId="2" borderId="1" xfId="2" applyNumberFormat="1" applyFont="1" applyFill="1" applyBorder="1" applyAlignment="1">
      <alignment horizontal="center" vertical="center" wrapText="1"/>
    </xf>
    <xf numFmtId="172" fontId="5" fillId="2" borderId="1" xfId="0" applyNumberFormat="1" applyFont="1" applyFill="1" applyBorder="1" applyAlignment="1">
      <alignment vertical="center" wrapText="1"/>
    </xf>
    <xf numFmtId="172" fontId="8" fillId="3" borderId="1" xfId="0" applyNumberFormat="1" applyFont="1" applyFill="1" applyBorder="1" applyAlignment="1">
      <alignment horizontal="left" vertical="center" wrapText="1"/>
    </xf>
    <xf numFmtId="172" fontId="8" fillId="3" borderId="1" xfId="0" applyNumberFormat="1" applyFont="1" applyFill="1" applyBorder="1" applyAlignment="1">
      <alignment horizontal="center" vertical="center" wrapText="1"/>
    </xf>
    <xf numFmtId="172" fontId="5" fillId="2" borderId="1" xfId="66" applyNumberFormat="1" applyFont="1" applyFill="1" applyBorder="1" applyAlignment="1">
      <alignment horizontal="center" vertical="center"/>
    </xf>
    <xf numFmtId="172" fontId="5" fillId="2" borderId="1"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172" fontId="6" fillId="2" borderId="3" xfId="0" applyNumberFormat="1" applyFont="1" applyFill="1" applyBorder="1" applyAlignment="1">
      <alignment vertical="center" wrapText="1"/>
    </xf>
    <xf numFmtId="172" fontId="6" fillId="2" borderId="3" xfId="66" applyNumberFormat="1" applyFont="1" applyFill="1" applyBorder="1" applyAlignment="1">
      <alignment horizontal="center" vertical="center"/>
    </xf>
    <xf numFmtId="172" fontId="6" fillId="2" borderId="3" xfId="66" applyNumberFormat="1" applyFont="1" applyFill="1" applyBorder="1" applyAlignment="1">
      <alignment vertical="center"/>
    </xf>
    <xf numFmtId="172" fontId="6" fillId="2" borderId="3" xfId="0" applyNumberFormat="1" applyFont="1" applyFill="1" applyBorder="1" applyAlignment="1">
      <alignment horizontal="left" wrapText="1"/>
    </xf>
    <xf numFmtId="172" fontId="54" fillId="2" borderId="1" xfId="0" applyNumberFormat="1" applyFont="1" applyFill="1" applyBorder="1" applyAlignment="1">
      <alignment wrapText="1"/>
    </xf>
    <xf numFmtId="172" fontId="5" fillId="2" borderId="1" xfId="0" applyNumberFormat="1" applyFont="1" applyFill="1" applyBorder="1" applyAlignment="1">
      <alignment horizontal="left" wrapText="1"/>
    </xf>
    <xf numFmtId="49" fontId="6" fillId="2" borderId="1" xfId="0" applyNumberFormat="1" applyFont="1" applyFill="1" applyBorder="1" applyAlignment="1">
      <alignment horizontal="left" vertical="center"/>
    </xf>
    <xf numFmtId="49" fontId="5" fillId="2" borderId="2" xfId="0" applyNumberFormat="1" applyFont="1" applyFill="1" applyBorder="1" applyAlignment="1">
      <alignment horizontal="center" vertical="center" wrapText="1"/>
    </xf>
    <xf numFmtId="49" fontId="6" fillId="2" borderId="2"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172" fontId="48" fillId="2" borderId="3" xfId="66" applyNumberFormat="1" applyFont="1" applyFill="1" applyBorder="1" applyAlignment="1">
      <alignment vertical="center"/>
    </xf>
    <xf numFmtId="172" fontId="6" fillId="2" borderId="1" xfId="0" applyNumberFormat="1" applyFont="1" applyFill="1" applyBorder="1" applyAlignment="1">
      <alignment horizontal="left" vertical="top" wrapText="1"/>
    </xf>
    <xf numFmtId="172" fontId="8" fillId="2" borderId="3" xfId="66" applyNumberFormat="1" applyFont="1" applyFill="1" applyBorder="1" applyAlignment="1">
      <alignment vertical="center"/>
    </xf>
    <xf numFmtId="172" fontId="6" fillId="2" borderId="3" xfId="0" applyNumberFormat="1" applyFont="1" applyFill="1" applyBorder="1" applyAlignment="1">
      <alignment horizontal="left" vertical="top" wrapText="1"/>
    </xf>
    <xf numFmtId="49" fontId="6" fillId="2" borderId="1" xfId="0" applyNumberFormat="1" applyFont="1" applyFill="1" applyBorder="1" applyAlignment="1">
      <alignment vertical="center" wrapText="1"/>
    </xf>
    <xf numFmtId="172" fontId="8" fillId="2" borderId="1" xfId="66" applyNumberFormat="1" applyFont="1" applyFill="1" applyBorder="1" applyAlignment="1">
      <alignment vertical="center"/>
    </xf>
    <xf numFmtId="172" fontId="6" fillId="2" borderId="1" xfId="0" applyNumberFormat="1" applyFont="1" applyFill="1" applyBorder="1" applyAlignment="1">
      <alignment vertical="top" wrapText="1"/>
    </xf>
    <xf numFmtId="172" fontId="6" fillId="2" borderId="7" xfId="0" applyNumberFormat="1" applyFont="1" applyFill="1" applyBorder="1" applyAlignment="1">
      <alignment vertical="center" wrapText="1"/>
    </xf>
    <xf numFmtId="172" fontId="6" fillId="2" borderId="1" xfId="0" applyNumberFormat="1" applyFont="1" applyFill="1" applyBorder="1" applyAlignment="1">
      <alignment wrapText="1"/>
    </xf>
    <xf numFmtId="0" fontId="5" fillId="3" borderId="5" xfId="0" applyFont="1" applyFill="1" applyBorder="1" applyAlignment="1">
      <alignment vertical="center"/>
    </xf>
    <xf numFmtId="172" fontId="5" fillId="3" borderId="6" xfId="0" applyNumberFormat="1" applyFont="1" applyFill="1" applyBorder="1" applyAlignment="1">
      <alignment vertical="center"/>
    </xf>
    <xf numFmtId="172" fontId="5" fillId="3" borderId="7" xfId="0" applyNumberFormat="1" applyFont="1" applyFill="1" applyBorder="1" applyAlignment="1">
      <alignment vertical="center"/>
    </xf>
    <xf numFmtId="172" fontId="5" fillId="3" borderId="5" xfId="0" applyNumberFormat="1" applyFont="1" applyFill="1" applyBorder="1" applyAlignment="1">
      <alignment vertical="center"/>
    </xf>
    <xf numFmtId="172" fontId="48" fillId="2" borderId="1" xfId="0" applyNumberFormat="1" applyFont="1" applyFill="1" applyBorder="1" applyAlignment="1">
      <alignment horizontal="justify" vertical="center" wrapText="1"/>
    </xf>
    <xf numFmtId="172" fontId="8" fillId="2" borderId="1" xfId="0" applyNumberFormat="1" applyFont="1" applyFill="1" applyBorder="1" applyAlignment="1">
      <alignment horizontal="justify" vertical="center" wrapText="1"/>
    </xf>
    <xf numFmtId="172" fontId="8" fillId="2" borderId="0" xfId="176" applyNumberFormat="1" applyFont="1" applyFill="1" applyAlignment="1">
      <alignment horizontal="left" vertical="center" wrapText="1"/>
    </xf>
    <xf numFmtId="0" fontId="6" fillId="2" borderId="2" xfId="0" applyFont="1" applyFill="1" applyBorder="1" applyAlignment="1">
      <alignment vertical="center"/>
    </xf>
    <xf numFmtId="167" fontId="8" fillId="0" borderId="2" xfId="0" applyNumberFormat="1" applyFont="1" applyBorder="1" applyAlignment="1">
      <alignment horizontal="center" vertical="center" wrapText="1"/>
    </xf>
    <xf numFmtId="49" fontId="6" fillId="2" borderId="2" xfId="1" applyNumberFormat="1" applyFont="1" applyFill="1" applyBorder="1" applyAlignment="1">
      <alignment horizontal="center" vertical="center" wrapText="1"/>
    </xf>
    <xf numFmtId="49" fontId="44" fillId="0" borderId="2" xfId="176" applyNumberFormat="1" applyFont="1" applyBorder="1" applyAlignment="1">
      <alignment vertical="center"/>
    </xf>
    <xf numFmtId="179" fontId="5" fillId="2" borderId="1" xfId="0" applyNumberFormat="1" applyFont="1" applyFill="1" applyBorder="1" applyAlignment="1">
      <alignment vertical="center" wrapText="1"/>
    </xf>
    <xf numFmtId="179" fontId="6" fillId="0" borderId="1" xfId="0" applyNumberFormat="1" applyFont="1" applyBorder="1" applyAlignment="1">
      <alignment vertical="center" wrapText="1"/>
    </xf>
    <xf numFmtId="0" fontId="54" fillId="0" borderId="1" xfId="283" applyFont="1" applyBorder="1" applyAlignment="1">
      <alignment horizontal="left" vertical="center" wrapText="1"/>
    </xf>
    <xf numFmtId="0" fontId="6" fillId="2" borderId="24" xfId="0" applyFont="1" applyFill="1" applyBorder="1" applyAlignment="1">
      <alignment horizontal="center" vertical="center" wrapText="1"/>
    </xf>
    <xf numFmtId="0" fontId="70" fillId="0" borderId="3" xfId="283" applyFont="1" applyBorder="1" applyAlignment="1">
      <alignment horizontal="left" vertical="center" wrapText="1"/>
    </xf>
    <xf numFmtId="0" fontId="74" fillId="5" borderId="2" xfId="0" applyFont="1" applyFill="1" applyBorder="1" applyAlignment="1">
      <alignment vertical="center" wrapText="1"/>
    </xf>
    <xf numFmtId="0" fontId="8" fillId="0" borderId="3" xfId="0" applyFont="1" applyBorder="1" applyAlignment="1">
      <alignment horizontal="center" vertical="center" wrapText="1"/>
    </xf>
    <xf numFmtId="1" fontId="8" fillId="0" borderId="3" xfId="0" applyNumberFormat="1" applyFont="1" applyBorder="1" applyAlignment="1">
      <alignment horizontal="center" vertical="center"/>
    </xf>
    <xf numFmtId="0" fontId="8" fillId="28" borderId="1" xfId="0" applyFont="1" applyFill="1" applyBorder="1" applyAlignment="1">
      <alignment horizontal="left" vertical="center" wrapText="1"/>
    </xf>
    <xf numFmtId="1" fontId="8"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xf>
    <xf numFmtId="0" fontId="8" fillId="0" borderId="3" xfId="0" applyFont="1" applyBorder="1" applyAlignment="1">
      <alignment horizontal="left" vertical="center" wrapText="1"/>
    </xf>
    <xf numFmtId="0" fontId="48" fillId="0" borderId="3" xfId="0" applyFont="1" applyBorder="1" applyAlignment="1">
      <alignment horizontal="left" vertical="center" wrapText="1"/>
    </xf>
    <xf numFmtId="0" fontId="8" fillId="0" borderId="0" xfId="0" applyFont="1" applyAlignment="1">
      <alignment horizontal="left" vertical="center" wrapText="1"/>
    </xf>
    <xf numFmtId="171" fontId="57" fillId="2" borderId="2" xfId="0" applyNumberFormat="1" applyFont="1" applyFill="1" applyBorder="1" applyAlignment="1">
      <alignment vertical="center"/>
    </xf>
    <xf numFmtId="167" fontId="6" fillId="2" borderId="2" xfId="0" applyNumberFormat="1" applyFont="1" applyFill="1" applyBorder="1" applyAlignment="1">
      <alignment vertical="center"/>
    </xf>
    <xf numFmtId="0" fontId="57" fillId="2" borderId="2" xfId="0" applyFont="1" applyFill="1" applyBorder="1" applyAlignment="1">
      <alignment horizontal="center" vertical="center"/>
    </xf>
    <xf numFmtId="0" fontId="6" fillId="2" borderId="1" xfId="0" applyFont="1" applyFill="1" applyBorder="1" applyAlignment="1">
      <alignment vertical="center"/>
    </xf>
    <xf numFmtId="171" fontId="57" fillId="2" borderId="1" xfId="0" applyNumberFormat="1" applyFont="1" applyFill="1" applyBorder="1" applyAlignment="1">
      <alignment vertical="center"/>
    </xf>
    <xf numFmtId="167" fontId="8" fillId="2" borderId="3" xfId="0" applyNumberFormat="1" applyFont="1" applyFill="1" applyBorder="1" applyAlignment="1">
      <alignment horizontal="center" vertical="center"/>
    </xf>
    <xf numFmtId="0" fontId="8" fillId="2" borderId="3" xfId="365" applyFont="1" applyFill="1" applyBorder="1" applyAlignment="1">
      <alignment vertical="center" wrapText="1"/>
    </xf>
    <xf numFmtId="167" fontId="73" fillId="0" borderId="1" xfId="0" applyNumberFormat="1" applyFont="1" applyBorder="1" applyAlignment="1">
      <alignment horizontal="center" vertical="center" wrapText="1"/>
    </xf>
    <xf numFmtId="0" fontId="6" fillId="2" borderId="0" xfId="0" applyFont="1" applyFill="1" applyAlignment="1">
      <alignment horizontal="center" vertical="center" wrapText="1"/>
    </xf>
    <xf numFmtId="49" fontId="70" fillId="2" borderId="1" xfId="1" applyNumberFormat="1" applyFont="1" applyFill="1" applyBorder="1" applyAlignment="1">
      <alignment horizontal="center" vertical="center" wrapText="1"/>
    </xf>
    <xf numFmtId="0" fontId="70" fillId="2" borderId="1" xfId="1" applyFont="1" applyFill="1" applyBorder="1" applyAlignment="1">
      <alignment horizontal="left" vertical="center" wrapText="1"/>
    </xf>
    <xf numFmtId="167" fontId="70" fillId="2" borderId="1" xfId="0" applyNumberFormat="1" applyFont="1" applyFill="1" applyBorder="1" applyAlignment="1">
      <alignment horizontal="center" vertical="center" wrapText="1"/>
    </xf>
    <xf numFmtId="0" fontId="73" fillId="2" borderId="2" xfId="1" applyFont="1" applyFill="1" applyBorder="1" applyAlignment="1">
      <alignment horizontal="left" vertical="center" wrapText="1"/>
    </xf>
    <xf numFmtId="167" fontId="73" fillId="2" borderId="9" xfId="0" applyNumberFormat="1" applyFont="1" applyFill="1" applyBorder="1" applyAlignment="1">
      <alignment horizontal="center" vertical="center" wrapText="1"/>
    </xf>
    <xf numFmtId="49" fontId="8" fillId="2" borderId="27" xfId="0" applyNumberFormat="1" applyFont="1" applyFill="1" applyBorder="1" applyAlignment="1">
      <alignment horizontal="center" vertical="top"/>
    </xf>
    <xf numFmtId="49" fontId="8" fillId="0" borderId="3" xfId="0" applyNumberFormat="1" applyFont="1" applyBorder="1" applyAlignment="1">
      <alignment horizontal="center" vertical="center"/>
    </xf>
    <xf numFmtId="167" fontId="8" fillId="0" borderId="3" xfId="5" applyNumberFormat="1" applyFont="1" applyBorder="1" applyAlignment="1">
      <alignment horizontal="center" vertical="center" wrapText="1"/>
    </xf>
    <xf numFmtId="0" fontId="8" fillId="0" borderId="3" xfId="5" applyFont="1" applyBorder="1" applyAlignment="1">
      <alignment horizontal="center" vertical="center" wrapText="1"/>
    </xf>
    <xf numFmtId="0" fontId="8" fillId="0" borderId="3" xfId="5" applyFont="1" applyBorder="1" applyAlignment="1">
      <alignment horizontal="left" vertical="center" wrapText="1"/>
    </xf>
    <xf numFmtId="165" fontId="8" fillId="0" borderId="3" xfId="193" applyFont="1" applyFill="1" applyBorder="1" applyAlignment="1">
      <alignment horizontal="center" vertical="center" wrapText="1"/>
    </xf>
    <xf numFmtId="184" fontId="8" fillId="0" borderId="3" xfId="247" applyNumberFormat="1" applyFont="1" applyFill="1" applyBorder="1" applyAlignment="1">
      <alignment horizontal="center" vertical="center" wrapText="1"/>
    </xf>
    <xf numFmtId="167" fontId="6" fillId="2" borderId="2" xfId="0" applyNumberFormat="1" applyFont="1" applyFill="1" applyBorder="1" applyAlignment="1">
      <alignment horizontal="center" vertical="center" wrapText="1"/>
    </xf>
    <xf numFmtId="0" fontId="6" fillId="0" borderId="2" xfId="176" applyFont="1" applyBorder="1" applyAlignment="1">
      <alignment vertical="center" wrapText="1"/>
    </xf>
    <xf numFmtId="172" fontId="70" fillId="0" borderId="27" xfId="0" applyNumberFormat="1" applyFont="1" applyBorder="1" applyAlignment="1">
      <alignment vertical="center" wrapText="1"/>
    </xf>
    <xf numFmtId="172" fontId="70" fillId="0" borderId="3" xfId="0" applyNumberFormat="1" applyFont="1" applyBorder="1" applyAlignment="1">
      <alignment vertical="center" wrapText="1"/>
    </xf>
    <xf numFmtId="172" fontId="5" fillId="2" borderId="3" xfId="0" applyNumberFormat="1" applyFont="1" applyFill="1" applyBorder="1" applyAlignment="1">
      <alignment horizontal="center" vertical="center" wrapText="1"/>
    </xf>
    <xf numFmtId="0" fontId="6" fillId="0" borderId="1" xfId="5" applyFont="1" applyBorder="1" applyAlignment="1">
      <alignment horizontal="left" vertical="center" wrapText="1"/>
    </xf>
    <xf numFmtId="49" fontId="6" fillId="2" borderId="3"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172" fontId="8" fillId="2" borderId="3" xfId="66" applyNumberFormat="1" applyFont="1" applyFill="1" applyBorder="1" applyAlignment="1">
      <alignment horizontal="center" vertical="center"/>
    </xf>
    <xf numFmtId="172" fontId="6" fillId="2" borderId="1" xfId="66" applyNumberFormat="1" applyFont="1" applyFill="1" applyBorder="1" applyAlignment="1">
      <alignment horizontal="center" vertical="center"/>
    </xf>
    <xf numFmtId="172" fontId="6" fillId="2" borderId="3" xfId="0" applyNumberFormat="1" applyFont="1" applyFill="1" applyBorder="1" applyAlignment="1">
      <alignment horizontal="center" vertical="center"/>
    </xf>
    <xf numFmtId="172" fontId="6" fillId="2" borderId="7" xfId="0" applyNumberFormat="1" applyFont="1" applyFill="1" applyBorder="1" applyAlignment="1">
      <alignment horizontal="center" vertical="center" wrapText="1"/>
    </xf>
    <xf numFmtId="0" fontId="8" fillId="2" borderId="30" xfId="5" applyFont="1" applyFill="1" applyBorder="1" applyAlignment="1">
      <alignment horizontal="left" vertical="center" wrapText="1"/>
    </xf>
    <xf numFmtId="170" fontId="48" fillId="0" borderId="1" xfId="28" applyNumberFormat="1" applyFont="1" applyBorder="1" applyAlignment="1">
      <alignment horizontal="center" vertical="center"/>
    </xf>
    <xf numFmtId="0" fontId="8" fillId="0" borderId="1" xfId="28" applyFont="1" applyBorder="1" applyAlignment="1">
      <alignment horizontal="center" vertical="center"/>
    </xf>
    <xf numFmtId="171" fontId="48" fillId="0" borderId="1" xfId="28" applyNumberFormat="1" applyFont="1" applyBorder="1" applyAlignment="1">
      <alignment horizontal="center" vertical="center"/>
    </xf>
    <xf numFmtId="170" fontId="5" fillId="2" borderId="1" xfId="0" applyNumberFormat="1" applyFont="1" applyFill="1" applyBorder="1" applyAlignment="1">
      <alignment horizontal="center" vertical="center"/>
    </xf>
    <xf numFmtId="9" fontId="6" fillId="2" borderId="1" xfId="0" applyNumberFormat="1" applyFont="1" applyFill="1" applyBorder="1" applyAlignment="1">
      <alignment vertical="center" wrapText="1"/>
    </xf>
    <xf numFmtId="170" fontId="5" fillId="2" borderId="1" xfId="0" applyNumberFormat="1" applyFont="1" applyFill="1" applyBorder="1" applyAlignment="1">
      <alignment horizontal="right" vertical="center"/>
    </xf>
    <xf numFmtId="0" fontId="6" fillId="0" borderId="1" xfId="5" applyFont="1" applyBorder="1" applyAlignment="1">
      <alignment horizontal="center" vertical="center" wrapText="1"/>
    </xf>
    <xf numFmtId="170" fontId="5" fillId="2" borderId="3" xfId="0" applyNumberFormat="1" applyFont="1" applyFill="1" applyBorder="1" applyAlignment="1">
      <alignment horizontal="right" vertical="center"/>
    </xf>
    <xf numFmtId="0" fontId="8" fillId="0" borderId="1" xfId="176" applyFont="1" applyBorder="1" applyAlignment="1">
      <alignment vertical="center" wrapText="1"/>
    </xf>
    <xf numFmtId="49" fontId="6" fillId="0" borderId="1" xfId="176" applyNumberFormat="1" applyFont="1" applyBorder="1" applyAlignment="1">
      <alignment vertical="center"/>
    </xf>
    <xf numFmtId="49" fontId="6" fillId="0" borderId="1" xfId="176" applyNumberFormat="1" applyFont="1" applyBorder="1" applyAlignment="1">
      <alignment horizontal="center" vertical="center"/>
    </xf>
    <xf numFmtId="43" fontId="5" fillId="3" borderId="3" xfId="11" applyNumberFormat="1" applyFont="1" applyFill="1" applyBorder="1" applyAlignment="1">
      <alignment horizontal="center" vertical="center" wrapText="1"/>
    </xf>
    <xf numFmtId="179" fontId="51" fillId="0" borderId="1" xfId="11" applyNumberFormat="1" applyFont="1" applyFill="1" applyBorder="1" applyAlignment="1">
      <alignment vertical="center" wrapText="1"/>
    </xf>
    <xf numFmtId="180" fontId="6" fillId="0" borderId="1" xfId="0" applyNumberFormat="1" applyFont="1" applyBorder="1" applyAlignment="1">
      <alignment vertical="center" wrapText="1"/>
    </xf>
    <xf numFmtId="180" fontId="5" fillId="0" borderId="1" xfId="0" applyNumberFormat="1" applyFont="1" applyBorder="1" applyAlignment="1">
      <alignment vertical="center" wrapText="1"/>
    </xf>
    <xf numFmtId="179" fontId="5" fillId="2" borderId="1" xfId="11" applyNumberFormat="1" applyFont="1" applyFill="1" applyBorder="1" applyAlignment="1">
      <alignment vertical="center" wrapText="1"/>
    </xf>
    <xf numFmtId="165" fontId="5" fillId="2" borderId="1" xfId="11" applyNumberFormat="1" applyFont="1" applyFill="1" applyBorder="1" applyAlignment="1">
      <alignment vertical="center" wrapText="1"/>
    </xf>
    <xf numFmtId="179" fontId="6" fillId="0" borderId="3" xfId="11" applyNumberFormat="1" applyFont="1" applyFill="1" applyBorder="1" applyAlignment="1">
      <alignment vertical="center" wrapText="1"/>
    </xf>
    <xf numFmtId="165" fontId="5" fillId="0" borderId="1" xfId="11" applyNumberFormat="1" applyFont="1" applyFill="1" applyBorder="1" applyAlignment="1">
      <alignment vertical="center" wrapText="1"/>
    </xf>
    <xf numFmtId="165" fontId="6" fillId="0" borderId="1" xfId="11" applyNumberFormat="1" applyFont="1" applyFill="1" applyBorder="1" applyAlignment="1">
      <alignment vertical="center" wrapText="1"/>
    </xf>
    <xf numFmtId="0" fontId="8" fillId="2" borderId="3" xfId="0" applyFont="1" applyFill="1" applyBorder="1" applyAlignment="1">
      <alignment horizontal="center"/>
    </xf>
    <xf numFmtId="0" fontId="55" fillId="2" borderId="1" xfId="5" applyFont="1" applyFill="1" applyBorder="1" applyAlignment="1">
      <alignment horizontal="left" vertical="center" wrapText="1"/>
    </xf>
    <xf numFmtId="170" fontId="48" fillId="0" borderId="1" xfId="276" applyNumberFormat="1" applyFont="1" applyBorder="1" applyAlignment="1">
      <alignment vertical="center"/>
    </xf>
    <xf numFmtId="49" fontId="48" fillId="2" borderId="1" xfId="0" applyNumberFormat="1" applyFont="1" applyFill="1" applyBorder="1" applyAlignment="1">
      <alignment horizontal="center" vertical="top"/>
    </xf>
    <xf numFmtId="172" fontId="6" fillId="0" borderId="3" xfId="0" applyNumberFormat="1" applyFont="1" applyBorder="1" applyAlignment="1">
      <alignment vertical="center" wrapText="1"/>
    </xf>
    <xf numFmtId="188" fontId="5" fillId="0" borderId="29" xfId="0" applyNumberFormat="1" applyFont="1" applyBorder="1" applyAlignment="1">
      <alignment horizontal="center" vertical="center"/>
    </xf>
    <xf numFmtId="49" fontId="48" fillId="2" borderId="1" xfId="5" applyNumberFormat="1" applyFont="1" applyFill="1" applyBorder="1" applyAlignment="1">
      <alignment vertical="center"/>
    </xf>
    <xf numFmtId="49" fontId="5" fillId="0" borderId="2" xfId="0" applyNumberFormat="1" applyFont="1" applyBorder="1" applyAlignment="1">
      <alignment horizontal="center" vertical="center" wrapText="1"/>
    </xf>
    <xf numFmtId="167" fontId="48" fillId="5" borderId="2" xfId="0" applyNumberFormat="1" applyFont="1" applyFill="1" applyBorder="1" applyAlignment="1">
      <alignment horizontal="center" vertical="center" wrapText="1"/>
    </xf>
    <xf numFmtId="167" fontId="8" fillId="5" borderId="1" xfId="0" applyNumberFormat="1" applyFont="1" applyFill="1" applyBorder="1" applyAlignment="1">
      <alignment horizontal="center" vertical="center" wrapText="1"/>
    </xf>
    <xf numFmtId="167" fontId="54" fillId="0" borderId="3" xfId="0" applyNumberFormat="1" applyFont="1" applyBorder="1" applyAlignment="1">
      <alignment horizontal="center" vertical="center" wrapText="1"/>
    </xf>
    <xf numFmtId="167" fontId="65" fillId="0" borderId="2" xfId="0" applyNumberFormat="1" applyFont="1" applyBorder="1" applyAlignment="1">
      <alignment horizontal="center" vertical="center" wrapText="1"/>
    </xf>
    <xf numFmtId="167" fontId="54" fillId="0" borderId="2" xfId="0" applyNumberFormat="1" applyFont="1" applyBorder="1" applyAlignment="1">
      <alignment horizontal="center" vertical="center" wrapText="1"/>
    </xf>
    <xf numFmtId="167" fontId="8" fillId="2" borderId="9" xfId="0" applyNumberFormat="1" applyFont="1" applyFill="1" applyBorder="1" applyAlignment="1">
      <alignment horizontal="center" vertical="center" wrapText="1"/>
    </xf>
    <xf numFmtId="167" fontId="65" fillId="0" borderId="1" xfId="0" applyNumberFormat="1" applyFont="1" applyBorder="1" applyAlignment="1">
      <alignment horizontal="center" vertical="center" wrapText="1"/>
    </xf>
    <xf numFmtId="172" fontId="5" fillId="2" borderId="3" xfId="66" applyNumberFormat="1" applyFont="1" applyFill="1" applyBorder="1" applyAlignment="1">
      <alignment horizontal="center" vertical="center"/>
    </xf>
    <xf numFmtId="49" fontId="5" fillId="2" borderId="0" xfId="0" applyNumberFormat="1" applyFont="1" applyFill="1" applyAlignment="1">
      <alignment horizontal="center" vertical="center"/>
    </xf>
    <xf numFmtId="49" fontId="6" fillId="2" borderId="7" xfId="0" applyNumberFormat="1" applyFont="1" applyFill="1" applyBorder="1" applyAlignment="1">
      <alignment vertical="center" wrapText="1"/>
    </xf>
    <xf numFmtId="172" fontId="8" fillId="2" borderId="1" xfId="66" applyNumberFormat="1" applyFont="1" applyFill="1" applyBorder="1" applyAlignment="1">
      <alignment horizontal="center" vertical="center" wrapText="1"/>
    </xf>
    <xf numFmtId="172" fontId="48" fillId="2" borderId="1" xfId="66" applyNumberFormat="1" applyFont="1" applyFill="1" applyBorder="1" applyAlignment="1">
      <alignment horizontal="center" vertical="center" wrapText="1"/>
    </xf>
    <xf numFmtId="167" fontId="5" fillId="2" borderId="1" xfId="0" applyNumberFormat="1" applyFont="1" applyFill="1" applyBorder="1" applyAlignment="1">
      <alignment vertical="center" wrapText="1"/>
    </xf>
    <xf numFmtId="167" fontId="6" fillId="2" borderId="1" xfId="0" applyNumberFormat="1" applyFont="1" applyFill="1" applyBorder="1" applyAlignment="1">
      <alignment vertical="center" wrapText="1"/>
    </xf>
    <xf numFmtId="0" fontId="48" fillId="2" borderId="1" xfId="6" applyFont="1" applyFill="1" applyBorder="1" applyAlignment="1">
      <alignment vertical="center" wrapText="1"/>
    </xf>
    <xf numFmtId="16" fontId="8" fillId="2" borderId="2" xfId="0" applyNumberFormat="1" applyFont="1" applyFill="1" applyBorder="1" applyAlignment="1">
      <alignment horizontal="left" vertical="center" wrapText="1"/>
    </xf>
    <xf numFmtId="167" fontId="8" fillId="0" borderId="1" xfId="0" applyNumberFormat="1" applyFont="1" applyBorder="1" applyAlignment="1">
      <alignment horizontal="center" vertical="center"/>
    </xf>
    <xf numFmtId="0" fontId="8" fillId="0" borderId="1" xfId="0" applyFont="1" applyBorder="1" applyAlignment="1">
      <alignment wrapText="1"/>
    </xf>
    <xf numFmtId="49" fontId="8"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0" fontId="40" fillId="0" borderId="1" xfId="0" applyFont="1" applyBorder="1" applyAlignment="1">
      <alignment horizontal="left" vertical="center"/>
    </xf>
    <xf numFmtId="0" fontId="48" fillId="5" borderId="5" xfId="5" applyFont="1" applyFill="1" applyBorder="1" applyAlignment="1">
      <alignment horizontal="left" vertical="center" wrapText="1"/>
    </xf>
    <xf numFmtId="0" fontId="8" fillId="2" borderId="2" xfId="0" applyFont="1" applyFill="1" applyBorder="1" applyAlignment="1">
      <alignment vertical="center" wrapText="1"/>
    </xf>
    <xf numFmtId="0" fontId="8" fillId="2" borderId="1" xfId="192" applyFont="1" applyFill="1" applyBorder="1" applyAlignment="1">
      <alignment vertical="center" wrapText="1"/>
    </xf>
    <xf numFmtId="0" fontId="48" fillId="2" borderId="3" xfId="0" applyFont="1" applyFill="1" applyBorder="1" applyAlignment="1">
      <alignment horizontal="left" vertical="center" wrapText="1"/>
    </xf>
    <xf numFmtId="16" fontId="8" fillId="2" borderId="1" xfId="0" applyNumberFormat="1" applyFont="1" applyFill="1" applyBorder="1" applyAlignment="1">
      <alignment horizontal="left" vertical="center" wrapText="1"/>
    </xf>
    <xf numFmtId="0" fontId="48" fillId="2" borderId="9" xfId="0" applyFont="1" applyFill="1" applyBorder="1" applyAlignment="1">
      <alignment horizontal="center" vertical="center" wrapText="1"/>
    </xf>
    <xf numFmtId="0" fontId="8" fillId="2" borderId="9" xfId="0" applyFont="1" applyFill="1" applyBorder="1" applyAlignment="1">
      <alignment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48" fillId="0" borderId="0" xfId="0" applyFont="1" applyAlignment="1">
      <alignment vertical="center" wrapText="1"/>
    </xf>
    <xf numFmtId="172" fontId="5" fillId="2" borderId="3" xfId="0" applyNumberFormat="1" applyFont="1" applyFill="1" applyBorder="1" applyAlignment="1">
      <alignment vertical="center" wrapText="1"/>
    </xf>
    <xf numFmtId="172" fontId="5" fillId="2" borderId="9" xfId="0" applyNumberFormat="1" applyFont="1" applyFill="1" applyBorder="1" applyAlignment="1">
      <alignment vertical="center" wrapText="1"/>
    </xf>
    <xf numFmtId="188" fontId="48" fillId="2" borderId="1" xfId="0" applyNumberFormat="1" applyFont="1" applyFill="1" applyBorder="1" applyAlignment="1">
      <alignment horizontal="center" vertical="center"/>
    </xf>
    <xf numFmtId="172" fontId="48" fillId="3" borderId="3" xfId="0" applyNumberFormat="1" applyFont="1" applyFill="1" applyBorder="1" applyAlignment="1">
      <alignment horizontal="center" vertical="center" wrapText="1"/>
    </xf>
    <xf numFmtId="172" fontId="48" fillId="3" borderId="9" xfId="0" applyNumberFormat="1" applyFont="1" applyFill="1" applyBorder="1" applyAlignment="1">
      <alignment horizontal="center" vertical="center" wrapText="1"/>
    </xf>
    <xf numFmtId="172" fontId="48" fillId="3" borderId="2" xfId="0" applyNumberFormat="1" applyFont="1" applyFill="1" applyBorder="1" applyAlignment="1">
      <alignment horizontal="center" vertical="center" wrapText="1"/>
    </xf>
    <xf numFmtId="188" fontId="48" fillId="3" borderId="3" xfId="0" applyNumberFormat="1" applyFont="1" applyFill="1" applyBorder="1" applyAlignment="1">
      <alignment horizontal="center" vertical="center" wrapText="1"/>
    </xf>
    <xf numFmtId="188" fontId="48" fillId="3" borderId="9" xfId="0" applyNumberFormat="1" applyFont="1" applyFill="1" applyBorder="1" applyAlignment="1">
      <alignment horizontal="center" vertical="center" wrapText="1"/>
    </xf>
    <xf numFmtId="188" fontId="48" fillId="3" borderId="2"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72" fontId="5" fillId="3" borderId="5" xfId="0" applyNumberFormat="1" applyFont="1" applyFill="1" applyBorder="1" applyAlignment="1">
      <alignment vertical="center"/>
    </xf>
    <xf numFmtId="172" fontId="5" fillId="3" borderId="6" xfId="0" applyNumberFormat="1" applyFont="1" applyFill="1" applyBorder="1" applyAlignment="1">
      <alignment vertical="center"/>
    </xf>
    <xf numFmtId="172" fontId="5" fillId="3" borderId="7" xfId="0" applyNumberFormat="1" applyFont="1" applyFill="1" applyBorder="1" applyAlignment="1">
      <alignment vertical="center"/>
    </xf>
    <xf numFmtId="172" fontId="5" fillId="4" borderId="5" xfId="0" applyNumberFormat="1" applyFont="1" applyFill="1" applyBorder="1" applyAlignment="1">
      <alignment horizontal="left"/>
    </xf>
    <xf numFmtId="172" fontId="5" fillId="4" borderId="6" xfId="0" applyNumberFormat="1" applyFont="1" applyFill="1" applyBorder="1" applyAlignment="1">
      <alignment horizontal="left"/>
    </xf>
    <xf numFmtId="172" fontId="5" fillId="4" borderId="7" xfId="0" applyNumberFormat="1" applyFont="1" applyFill="1" applyBorder="1" applyAlignment="1">
      <alignment horizontal="left"/>
    </xf>
    <xf numFmtId="172" fontId="8" fillId="2" borderId="3" xfId="5" applyNumberFormat="1" applyFont="1" applyFill="1" applyBorder="1" applyAlignment="1">
      <alignment horizontal="center" vertical="center" wrapText="1"/>
    </xf>
    <xf numFmtId="172" fontId="8" fillId="2" borderId="9" xfId="5" applyNumberFormat="1" applyFont="1" applyFill="1" applyBorder="1" applyAlignment="1">
      <alignment horizontal="center" vertical="center" wrapText="1"/>
    </xf>
    <xf numFmtId="172" fontId="8" fillId="2" borderId="2" xfId="5" applyNumberFormat="1" applyFont="1" applyFill="1" applyBorder="1" applyAlignment="1">
      <alignment horizontal="center" vertical="center" wrapText="1"/>
    </xf>
    <xf numFmtId="188" fontId="5" fillId="2" borderId="1" xfId="0" applyNumberFormat="1" applyFont="1" applyFill="1" applyBorder="1" applyAlignment="1">
      <alignment horizontal="center" vertical="center"/>
    </xf>
    <xf numFmtId="188" fontId="5" fillId="0" borderId="1" xfId="0" applyNumberFormat="1" applyFont="1" applyBorder="1" applyAlignment="1">
      <alignment horizontal="center" vertical="center"/>
    </xf>
    <xf numFmtId="49" fontId="6" fillId="0" borderId="3" xfId="0" applyNumberFormat="1" applyFont="1" applyBorder="1" applyAlignment="1">
      <alignment horizontal="center" vertical="center"/>
    </xf>
    <xf numFmtId="49" fontId="6" fillId="0" borderId="2" xfId="0" applyNumberFormat="1" applyFont="1" applyBorder="1" applyAlignment="1">
      <alignment horizontal="center" vertical="center"/>
    </xf>
    <xf numFmtId="172" fontId="48" fillId="4" borderId="3" xfId="0" applyNumberFormat="1" applyFont="1" applyFill="1" applyBorder="1" applyAlignment="1">
      <alignment horizontal="left" vertical="center" wrapText="1"/>
    </xf>
    <xf numFmtId="49" fontId="48" fillId="2" borderId="3" xfId="0" applyNumberFormat="1" applyFont="1" applyFill="1" applyBorder="1" applyAlignment="1">
      <alignment horizontal="center" vertical="center" wrapText="1"/>
    </xf>
    <xf numFmtId="49" fontId="48" fillId="2" borderId="9" xfId="0"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167" fontId="6" fillId="2" borderId="1" xfId="0" applyNumberFormat="1" applyFont="1" applyFill="1" applyBorder="1" applyAlignment="1">
      <alignment horizontal="center" vertical="center" wrapText="1"/>
    </xf>
    <xf numFmtId="188" fontId="48" fillId="3" borderId="5" xfId="0" applyNumberFormat="1" applyFont="1" applyFill="1" applyBorder="1" applyAlignment="1">
      <alignment horizontal="left" vertical="center"/>
    </xf>
    <xf numFmtId="188" fontId="48" fillId="3" borderId="6" xfId="0" applyNumberFormat="1" applyFont="1" applyFill="1" applyBorder="1" applyAlignment="1">
      <alignment horizontal="left" vertical="center"/>
    </xf>
    <xf numFmtId="188" fontId="48" fillId="3" borderId="7" xfId="0" applyNumberFormat="1" applyFont="1" applyFill="1" applyBorder="1" applyAlignment="1">
      <alignment horizontal="left" vertical="center"/>
    </xf>
    <xf numFmtId="172" fontId="5" fillId="3" borderId="1" xfId="0" applyNumberFormat="1" applyFont="1" applyFill="1" applyBorder="1"/>
    <xf numFmtId="0" fontId="8" fillId="3" borderId="1" xfId="363" applyNumberFormat="1" applyFont="1" applyFill="1" applyBorder="1" applyAlignment="1">
      <alignment horizontal="center" vertical="center" wrapText="1"/>
    </xf>
    <xf numFmtId="0" fontId="48" fillId="4" borderId="5" xfId="0" applyFont="1" applyFill="1" applyBorder="1" applyAlignment="1">
      <alignment horizontal="left" vertical="center" wrapText="1"/>
    </xf>
    <xf numFmtId="0" fontId="48" fillId="4" borderId="6" xfId="0" applyFont="1" applyFill="1" applyBorder="1" applyAlignment="1">
      <alignment horizontal="left" vertical="center" wrapText="1"/>
    </xf>
    <xf numFmtId="0" fontId="48" fillId="4" borderId="7" xfId="0" applyFont="1" applyFill="1" applyBorder="1" applyAlignment="1">
      <alignment horizontal="left" vertical="center" wrapText="1"/>
    </xf>
    <xf numFmtId="49" fontId="6" fillId="0" borderId="9" xfId="0" applyNumberFormat="1" applyFont="1" applyBorder="1" applyAlignment="1">
      <alignment horizontal="center" vertical="center"/>
    </xf>
    <xf numFmtId="49" fontId="48" fillId="2" borderId="8" xfId="0" applyNumberFormat="1" applyFont="1" applyFill="1" applyBorder="1" applyAlignment="1">
      <alignment horizontal="center" vertical="center" wrapText="1"/>
    </xf>
    <xf numFmtId="49" fontId="48" fillId="2" borderId="30" xfId="0" applyNumberFormat="1"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188" fontId="5" fillId="0" borderId="3" xfId="0" applyNumberFormat="1" applyFont="1" applyBorder="1" applyAlignment="1">
      <alignment horizontal="center" vertical="center"/>
    </xf>
    <xf numFmtId="188" fontId="5" fillId="0" borderId="9" xfId="0" applyNumberFormat="1" applyFont="1" applyBorder="1" applyAlignment="1">
      <alignment horizontal="center" vertical="center"/>
    </xf>
    <xf numFmtId="188" fontId="5" fillId="0" borderId="2" xfId="0" applyNumberFormat="1" applyFont="1" applyBorder="1" applyAlignment="1">
      <alignment horizontal="center" vertical="center"/>
    </xf>
    <xf numFmtId="171" fontId="48" fillId="3" borderId="1" xfId="0" applyNumberFormat="1" applyFont="1" applyFill="1" applyBorder="1" applyAlignment="1">
      <alignment horizontal="left" vertical="center"/>
    </xf>
    <xf numFmtId="167" fontId="56" fillId="3" borderId="1" xfId="0" applyNumberFormat="1" applyFont="1" applyFill="1" applyBorder="1"/>
    <xf numFmtId="172" fontId="48" fillId="4" borderId="5" xfId="0" applyNumberFormat="1" applyFont="1" applyFill="1" applyBorder="1" applyAlignment="1">
      <alignment horizontal="left" vertical="center" wrapText="1"/>
    </xf>
    <xf numFmtId="172" fontId="48" fillId="4" borderId="6" xfId="0" applyNumberFormat="1" applyFont="1" applyFill="1" applyBorder="1" applyAlignment="1">
      <alignment horizontal="left" vertical="center" wrapText="1"/>
    </xf>
    <xf numFmtId="172" fontId="48" fillId="4" borderId="7" xfId="0" applyNumberFormat="1" applyFont="1" applyFill="1" applyBorder="1" applyAlignment="1">
      <alignment horizontal="left" vertical="center" wrapText="1"/>
    </xf>
    <xf numFmtId="49" fontId="5" fillId="0" borderId="1" xfId="0" applyNumberFormat="1" applyFont="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172" fontId="48" fillId="4" borderId="26" xfId="0" applyNumberFormat="1" applyFont="1" applyFill="1" applyBorder="1" applyAlignment="1">
      <alignment horizontal="left" vertical="center" wrapText="1"/>
    </xf>
    <xf numFmtId="0" fontId="5" fillId="0" borderId="27" xfId="0" applyFont="1" applyBorder="1" applyAlignment="1">
      <alignment horizontal="center" vertical="center"/>
    </xf>
    <xf numFmtId="0" fontId="5" fillId="0" borderId="8" xfId="0" applyFont="1" applyBorder="1" applyAlignment="1">
      <alignment horizontal="center" vertical="center"/>
    </xf>
    <xf numFmtId="0" fontId="5" fillId="0" borderId="30" xfId="0" applyFont="1" applyBorder="1" applyAlignment="1">
      <alignment horizontal="center" vertical="center"/>
    </xf>
    <xf numFmtId="167" fontId="5" fillId="3" borderId="1" xfId="0" applyNumberFormat="1" applyFont="1" applyFill="1" applyBorder="1"/>
    <xf numFmtId="49" fontId="5" fillId="0" borderId="3" xfId="0" applyNumberFormat="1" applyFont="1" applyBorder="1" applyAlignment="1">
      <alignment horizontal="center" vertical="center"/>
    </xf>
    <xf numFmtId="49" fontId="5" fillId="0" borderId="9" xfId="0" applyNumberFormat="1" applyFont="1" applyBorder="1" applyAlignment="1">
      <alignment horizontal="center" vertical="center"/>
    </xf>
    <xf numFmtId="49" fontId="5" fillId="0" borderId="2" xfId="0" applyNumberFormat="1" applyFont="1" applyBorder="1" applyAlignment="1">
      <alignment horizontal="center" vertical="center"/>
    </xf>
    <xf numFmtId="49" fontId="48" fillId="2" borderId="8" xfId="0" applyNumberFormat="1" applyFont="1" applyFill="1" applyBorder="1" applyAlignment="1">
      <alignment horizontal="center" vertical="center"/>
    </xf>
    <xf numFmtId="49" fontId="48" fillId="2" borderId="30" xfId="0" applyNumberFormat="1" applyFont="1" applyFill="1" applyBorder="1" applyAlignment="1">
      <alignment horizontal="center" vertical="center"/>
    </xf>
    <xf numFmtId="188" fontId="5" fillId="0" borderId="1" xfId="0" applyNumberFormat="1" applyFont="1" applyBorder="1" applyAlignment="1">
      <alignment horizontal="center" vertical="center" wrapText="1"/>
    </xf>
    <xf numFmtId="188" fontId="48" fillId="0" borderId="3" xfId="0" applyNumberFormat="1" applyFont="1" applyBorder="1" applyAlignment="1">
      <alignment horizontal="center" vertical="center" wrapText="1"/>
    </xf>
    <xf numFmtId="188" fontId="48" fillId="0" borderId="2" xfId="0" applyNumberFormat="1" applyFont="1" applyBorder="1" applyAlignment="1">
      <alignment horizontal="center" vertical="center" wrapText="1"/>
    </xf>
    <xf numFmtId="188" fontId="56" fillId="2" borderId="3" xfId="0" applyNumberFormat="1" applyFont="1" applyFill="1" applyBorder="1" applyAlignment="1">
      <alignment horizontal="center" vertical="center"/>
    </xf>
    <xf numFmtId="188" fontId="56" fillId="2" borderId="9" xfId="0" applyNumberFormat="1" applyFont="1" applyFill="1" applyBorder="1" applyAlignment="1">
      <alignment horizontal="center" vertical="center"/>
    </xf>
    <xf numFmtId="172" fontId="62" fillId="0" borderId="3" xfId="0" applyNumberFormat="1" applyFont="1" applyBorder="1" applyAlignment="1">
      <alignment horizontal="left" vertical="center" wrapText="1"/>
    </xf>
    <xf numFmtId="172" fontId="62" fillId="0" borderId="2" xfId="0" applyNumberFormat="1" applyFont="1" applyBorder="1" applyAlignment="1">
      <alignment horizontal="left" vertical="center" wrapText="1"/>
    </xf>
    <xf numFmtId="0" fontId="6" fillId="0" borderId="3"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left" vertical="center" wrapText="1"/>
    </xf>
    <xf numFmtId="0" fontId="6" fillId="0" borderId="2" xfId="0" applyFont="1" applyBorder="1" applyAlignment="1">
      <alignment horizontal="left" vertical="center" wrapText="1"/>
    </xf>
    <xf numFmtId="167" fontId="6" fillId="0" borderId="3" xfId="0" applyNumberFormat="1" applyFont="1" applyBorder="1" applyAlignment="1">
      <alignment horizontal="center" vertical="center" wrapText="1"/>
    </xf>
    <xf numFmtId="167" fontId="6" fillId="0" borderId="2" xfId="0" applyNumberFormat="1" applyFont="1" applyBorder="1" applyAlignment="1">
      <alignment horizontal="center" vertical="center" wrapText="1"/>
    </xf>
    <xf numFmtId="167" fontId="6" fillId="0" borderId="3" xfId="0" applyNumberFormat="1" applyFont="1" applyBorder="1" applyAlignment="1">
      <alignment horizontal="right" vertical="center" wrapText="1"/>
    </xf>
    <xf numFmtId="167" fontId="6" fillId="0" borderId="2" xfId="0" applyNumberFormat="1" applyFont="1" applyBorder="1" applyAlignment="1">
      <alignment horizontal="right" vertical="center" wrapText="1"/>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167" fontId="5" fillId="0" borderId="3" xfId="0" applyNumberFormat="1" applyFont="1" applyBorder="1" applyAlignment="1">
      <alignment horizontal="center" vertical="center" wrapText="1"/>
    </xf>
    <xf numFmtId="167" fontId="5" fillId="0" borderId="2" xfId="0" applyNumberFormat="1" applyFont="1" applyBorder="1" applyAlignment="1">
      <alignment horizontal="center" vertical="center" wrapText="1"/>
    </xf>
    <xf numFmtId="167" fontId="5" fillId="0" borderId="3" xfId="0" applyNumberFormat="1" applyFont="1" applyBorder="1" applyAlignment="1">
      <alignment horizontal="right" vertical="center" wrapText="1"/>
    </xf>
    <xf numFmtId="167" fontId="5" fillId="0" borderId="2" xfId="0" applyNumberFormat="1" applyFont="1" applyBorder="1" applyAlignment="1">
      <alignment horizontal="right" vertical="center" wrapText="1"/>
    </xf>
    <xf numFmtId="0" fontId="6" fillId="2" borderId="3" xfId="0" applyFont="1" applyFill="1" applyBorder="1" applyAlignment="1">
      <alignment vertical="center" wrapText="1"/>
    </xf>
    <xf numFmtId="0" fontId="6" fillId="2" borderId="2" xfId="0" applyFont="1" applyFill="1" applyBorder="1" applyAlignment="1">
      <alignment vertical="center" wrapText="1"/>
    </xf>
    <xf numFmtId="0" fontId="56" fillId="0" borderId="27" xfId="0" applyFont="1" applyBorder="1" applyAlignment="1">
      <alignment horizontal="center" vertical="center"/>
    </xf>
    <xf numFmtId="0" fontId="56" fillId="0" borderId="8" xfId="0" applyFont="1" applyBorder="1" applyAlignment="1">
      <alignment horizontal="center" vertical="center"/>
    </xf>
    <xf numFmtId="0" fontId="56" fillId="0" borderId="30" xfId="0" applyFont="1" applyBorder="1" applyAlignment="1">
      <alignment horizontal="center" vertical="center"/>
    </xf>
    <xf numFmtId="172" fontId="48" fillId="4" borderId="25" xfId="0" applyNumberFormat="1" applyFont="1" applyFill="1" applyBorder="1" applyAlignment="1">
      <alignment horizontal="left" vertical="center" wrapText="1"/>
    </xf>
    <xf numFmtId="172" fontId="48" fillId="4" borderId="27" xfId="0" applyNumberFormat="1" applyFont="1" applyFill="1" applyBorder="1" applyAlignment="1">
      <alignment horizontal="left" vertical="center" wrapText="1"/>
    </xf>
    <xf numFmtId="0" fontId="56" fillId="0" borderId="3" xfId="0" applyFont="1" applyBorder="1" applyAlignment="1">
      <alignment horizontal="center" vertical="center"/>
    </xf>
    <xf numFmtId="0" fontId="56" fillId="0" borderId="9" xfId="0" applyFont="1" applyBorder="1" applyAlignment="1">
      <alignment horizontal="center" vertical="center"/>
    </xf>
    <xf numFmtId="0" fontId="56" fillId="0" borderId="2" xfId="0" applyFont="1" applyBorder="1" applyAlignment="1">
      <alignment horizontal="center" vertical="center"/>
    </xf>
    <xf numFmtId="170" fontId="56" fillId="2" borderId="1" xfId="0" applyNumberFormat="1" applyFont="1" applyFill="1" applyBorder="1" applyAlignment="1">
      <alignment horizontal="center" vertical="center"/>
    </xf>
    <xf numFmtId="171" fontId="57" fillId="0" borderId="1" xfId="0" applyNumberFormat="1" applyFont="1" applyBorder="1" applyAlignment="1">
      <alignment horizontal="center" vertical="center"/>
    </xf>
    <xf numFmtId="0" fontId="57" fillId="5" borderId="1" xfId="0" applyFont="1" applyFill="1" applyBorder="1" applyAlignment="1">
      <alignment horizontal="center" vertical="center"/>
    </xf>
    <xf numFmtId="0" fontId="8" fillId="2" borderId="1" xfId="0" applyFont="1" applyFill="1" applyBorder="1" applyAlignment="1">
      <alignment horizontal="left" vertical="center" wrapText="1"/>
    </xf>
    <xf numFmtId="0" fontId="6" fillId="0" borderId="1" xfId="5" applyFont="1" applyBorder="1" applyAlignment="1">
      <alignment horizontal="center" vertical="center"/>
    </xf>
    <xf numFmtId="0" fontId="54" fillId="34" borderId="1" xfId="5" applyFont="1" applyFill="1" applyBorder="1" applyAlignment="1">
      <alignment horizontal="center" vertical="center"/>
    </xf>
    <xf numFmtId="170" fontId="5" fillId="0" borderId="1" xfId="0" applyNumberFormat="1" applyFont="1" applyBorder="1" applyAlignment="1">
      <alignment horizontal="center" vertical="center"/>
    </xf>
    <xf numFmtId="171" fontId="6" fillId="0" borderId="3" xfId="0" applyNumberFormat="1" applyFont="1" applyBorder="1" applyAlignment="1">
      <alignment horizontal="center" vertical="center"/>
    </xf>
    <xf numFmtId="171" fontId="6" fillId="0" borderId="2" xfId="0" applyNumberFormat="1" applyFont="1" applyBorder="1" applyAlignment="1">
      <alignment horizontal="center" vertical="center"/>
    </xf>
    <xf numFmtId="167" fontId="6" fillId="2" borderId="3" xfId="0" applyNumberFormat="1" applyFont="1" applyFill="1" applyBorder="1" applyAlignment="1">
      <alignment horizontal="center" vertical="center" wrapText="1"/>
    </xf>
    <xf numFmtId="167" fontId="6" fillId="2" borderId="2" xfId="0" applyNumberFormat="1" applyFont="1" applyFill="1" applyBorder="1" applyAlignment="1">
      <alignment horizontal="center" vertical="center" wrapText="1"/>
    </xf>
    <xf numFmtId="0" fontId="5" fillId="2" borderId="8" xfId="0" applyFont="1" applyFill="1" applyBorder="1" applyAlignment="1">
      <alignment horizontal="center" vertical="center"/>
    </xf>
    <xf numFmtId="172" fontId="8" fillId="0" borderId="3" xfId="0" applyNumberFormat="1" applyFont="1" applyBorder="1" applyAlignment="1">
      <alignment horizontal="center" vertical="center"/>
    </xf>
    <xf numFmtId="172" fontId="8" fillId="0" borderId="2" xfId="0" applyNumberFormat="1" applyFont="1" applyBorder="1" applyAlignment="1">
      <alignment horizontal="center" vertical="center"/>
    </xf>
    <xf numFmtId="172" fontId="5" fillId="3" borderId="5" xfId="0" applyNumberFormat="1" applyFont="1" applyFill="1" applyBorder="1" applyAlignment="1">
      <alignment horizontal="left" vertical="center"/>
    </xf>
    <xf numFmtId="172" fontId="5" fillId="3" borderId="6" xfId="0" applyNumberFormat="1" applyFont="1" applyFill="1" applyBorder="1" applyAlignment="1">
      <alignment horizontal="left" vertical="center"/>
    </xf>
    <xf numFmtId="172" fontId="5" fillId="3" borderId="7" xfId="0" applyNumberFormat="1" applyFont="1" applyFill="1" applyBorder="1" applyAlignment="1">
      <alignment horizontal="left" vertical="center"/>
    </xf>
    <xf numFmtId="172" fontId="48" fillId="3" borderId="1" xfId="5" applyNumberFormat="1" applyFont="1" applyFill="1" applyBorder="1" applyAlignment="1">
      <alignment vertical="center"/>
    </xf>
    <xf numFmtId="172" fontId="48" fillId="4" borderId="1" xfId="0" applyNumberFormat="1" applyFont="1" applyFill="1" applyBorder="1" applyAlignment="1">
      <alignment horizontal="left" vertical="center" wrapText="1"/>
    </xf>
    <xf numFmtId="49" fontId="8" fillId="0" borderId="3"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0" borderId="2" xfId="0" applyNumberFormat="1" applyFont="1" applyBorder="1" applyAlignment="1">
      <alignment horizontal="center" vertical="center"/>
    </xf>
    <xf numFmtId="49" fontId="8" fillId="0" borderId="3" xfId="0" applyNumberFormat="1" applyFont="1" applyBorder="1" applyAlignment="1">
      <alignment horizontal="center"/>
    </xf>
    <xf numFmtId="49" fontId="8" fillId="0" borderId="9" xfId="0" applyNumberFormat="1" applyFont="1" applyBorder="1" applyAlignment="1">
      <alignment horizontal="center"/>
    </xf>
    <xf numFmtId="49" fontId="8" fillId="0" borderId="2" xfId="0" applyNumberFormat="1" applyFont="1" applyBorder="1" applyAlignment="1">
      <alignment horizontal="center"/>
    </xf>
    <xf numFmtId="172" fontId="8" fillId="2" borderId="3" xfId="5" applyNumberFormat="1" applyFont="1" applyFill="1" applyBorder="1" applyAlignment="1">
      <alignment horizontal="left" vertical="center" wrapText="1"/>
    </xf>
    <xf numFmtId="172" fontId="8" fillId="2" borderId="2" xfId="5" applyNumberFormat="1" applyFont="1" applyFill="1" applyBorder="1" applyAlignment="1">
      <alignment horizontal="left" vertical="center" wrapText="1"/>
    </xf>
    <xf numFmtId="172" fontId="8" fillId="0" borderId="3" xfId="0" applyNumberFormat="1" applyFont="1" applyBorder="1" applyAlignment="1">
      <alignment horizontal="left" vertical="center" wrapText="1"/>
    </xf>
    <xf numFmtId="172" fontId="8" fillId="0" borderId="9" xfId="0" applyNumberFormat="1" applyFont="1" applyBorder="1" applyAlignment="1">
      <alignment horizontal="left" vertical="center" wrapText="1"/>
    </xf>
    <xf numFmtId="172" fontId="8" fillId="0" borderId="2" xfId="0" applyNumberFormat="1" applyFont="1" applyBorder="1" applyAlignment="1">
      <alignment horizontal="left" vertical="center" wrapText="1"/>
    </xf>
    <xf numFmtId="172" fontId="8" fillId="0" borderId="9" xfId="0" applyNumberFormat="1" applyFont="1" applyBorder="1" applyAlignment="1">
      <alignment horizontal="center" vertical="center"/>
    </xf>
    <xf numFmtId="49" fontId="8" fillId="2" borderId="3" xfId="0" applyNumberFormat="1" applyFont="1" applyFill="1" applyBorder="1" applyAlignment="1">
      <alignment horizontal="center" vertical="center" wrapText="1"/>
    </xf>
    <xf numFmtId="49" fontId="8" fillId="2" borderId="9"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172" fontId="8" fillId="2" borderId="3" xfId="0" applyNumberFormat="1" applyFont="1" applyFill="1" applyBorder="1" applyAlignment="1">
      <alignment horizontal="left" vertical="center" wrapText="1"/>
    </xf>
    <xf numFmtId="172" fontId="8" fillId="2" borderId="9" xfId="0" applyNumberFormat="1" applyFont="1" applyFill="1" applyBorder="1" applyAlignment="1">
      <alignment horizontal="left" vertical="center" wrapText="1"/>
    </xf>
    <xf numFmtId="172" fontId="8" fillId="2" borderId="2" xfId="0" applyNumberFormat="1" applyFont="1" applyFill="1" applyBorder="1" applyAlignment="1">
      <alignment horizontal="left" vertical="center" wrapText="1"/>
    </xf>
    <xf numFmtId="172" fontId="8" fillId="2" borderId="3" xfId="0" applyNumberFormat="1" applyFont="1" applyFill="1" applyBorder="1" applyAlignment="1">
      <alignment horizontal="center" vertical="center" wrapText="1"/>
    </xf>
    <xf numFmtId="172" fontId="8" fillId="2" borderId="9" xfId="0" applyNumberFormat="1" applyFont="1" applyFill="1" applyBorder="1" applyAlignment="1">
      <alignment horizontal="center" vertical="center" wrapText="1"/>
    </xf>
    <xf numFmtId="172" fontId="8" fillId="2" borderId="2"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2" fontId="8" fillId="2" borderId="1" xfId="0" applyNumberFormat="1" applyFont="1" applyFill="1" applyBorder="1" applyAlignment="1">
      <alignment horizontal="left" vertical="center" wrapText="1"/>
    </xf>
    <xf numFmtId="172" fontId="8" fillId="0" borderId="3" xfId="0" applyNumberFormat="1" applyFont="1" applyBorder="1" applyAlignment="1">
      <alignment horizontal="center" vertical="center" wrapText="1"/>
    </xf>
    <xf numFmtId="172" fontId="8" fillId="0" borderId="9" xfId="0" applyNumberFormat="1" applyFont="1" applyBorder="1" applyAlignment="1">
      <alignment horizontal="center" vertical="center" wrapText="1"/>
    </xf>
    <xf numFmtId="172" fontId="8" fillId="0" borderId="2" xfId="0" applyNumberFormat="1" applyFont="1" applyBorder="1" applyAlignment="1">
      <alignment horizontal="center" vertical="center" wrapText="1"/>
    </xf>
    <xf numFmtId="172" fontId="5" fillId="2" borderId="3" xfId="0" applyNumberFormat="1" applyFont="1" applyFill="1" applyBorder="1" applyAlignment="1">
      <alignment horizontal="center" vertical="center" wrapText="1"/>
    </xf>
    <xf numFmtId="172" fontId="5" fillId="2" borderId="2" xfId="0" applyNumberFormat="1" applyFont="1" applyFill="1" applyBorder="1" applyAlignment="1">
      <alignment horizontal="center" vertical="center" wrapText="1"/>
    </xf>
    <xf numFmtId="172" fontId="6" fillId="2" borderId="1" xfId="0" applyNumberFormat="1" applyFont="1" applyFill="1" applyBorder="1" applyAlignment="1">
      <alignment vertical="center" wrapText="1"/>
    </xf>
    <xf numFmtId="172" fontId="6" fillId="0" borderId="1" xfId="0" applyNumberFormat="1" applyFont="1" applyBorder="1" applyAlignment="1">
      <alignment horizontal="center" vertical="center" wrapText="1"/>
    </xf>
    <xf numFmtId="172" fontId="5" fillId="0" borderId="1" xfId="0" applyNumberFormat="1" applyFont="1" applyBorder="1" applyAlignment="1">
      <alignment horizontal="center" vertical="center"/>
    </xf>
    <xf numFmtId="188" fontId="5" fillId="2" borderId="3" xfId="0" applyNumberFormat="1" applyFont="1" applyFill="1" applyBorder="1" applyAlignment="1">
      <alignment horizontal="center" vertical="center"/>
    </xf>
    <xf numFmtId="188" fontId="5" fillId="2" borderId="9" xfId="0" applyNumberFormat="1" applyFont="1" applyFill="1" applyBorder="1" applyAlignment="1">
      <alignment horizontal="center" vertical="center"/>
    </xf>
    <xf numFmtId="188" fontId="5" fillId="2" borderId="2"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6" fillId="2" borderId="1" xfId="0" applyNumberFormat="1" applyFont="1" applyFill="1" applyBorder="1" applyAlignment="1">
      <alignment horizontal="right" vertical="center"/>
    </xf>
    <xf numFmtId="188" fontId="6" fillId="2" borderId="1" xfId="0" applyNumberFormat="1" applyFont="1" applyFill="1" applyBorder="1" applyAlignment="1">
      <alignment horizontal="right" vertical="center"/>
    </xf>
    <xf numFmtId="172" fontId="5" fillId="2" borderId="1" xfId="0" applyNumberFormat="1" applyFont="1" applyFill="1" applyBorder="1" applyAlignment="1">
      <alignment horizontal="left" vertical="center" wrapText="1"/>
    </xf>
    <xf numFmtId="172" fontId="5" fillId="3" borderId="1" xfId="0" applyNumberFormat="1" applyFont="1" applyFill="1" applyBorder="1" applyAlignment="1">
      <alignment horizontal="left" vertical="center"/>
    </xf>
    <xf numFmtId="172" fontId="6" fillId="2" borderId="3" xfId="5" applyNumberFormat="1" applyFont="1" applyFill="1" applyBorder="1" applyAlignment="1">
      <alignment horizontal="left" vertical="center" wrapText="1"/>
    </xf>
    <xf numFmtId="172" fontId="6" fillId="2" borderId="9" xfId="5" applyNumberFormat="1" applyFont="1" applyFill="1" applyBorder="1" applyAlignment="1">
      <alignment horizontal="left" vertical="center" wrapText="1"/>
    </xf>
    <xf numFmtId="172" fontId="6" fillId="2" borderId="2" xfId="5" applyNumberFormat="1" applyFont="1" applyFill="1" applyBorder="1" applyAlignment="1">
      <alignment horizontal="left" vertical="center" wrapText="1"/>
    </xf>
    <xf numFmtId="172" fontId="5" fillId="4" borderId="26" xfId="0" applyNumberFormat="1" applyFont="1" applyFill="1" applyBorder="1" applyAlignment="1">
      <alignment horizontal="left"/>
    </xf>
    <xf numFmtId="172" fontId="5" fillId="4" borderId="27" xfId="0" applyNumberFormat="1" applyFont="1" applyFill="1" applyBorder="1" applyAlignment="1">
      <alignment horizontal="left"/>
    </xf>
    <xf numFmtId="49" fontId="48" fillId="2" borderId="3" xfId="5" applyNumberFormat="1" applyFont="1" applyFill="1" applyBorder="1" applyAlignment="1">
      <alignment horizontal="center" vertical="center"/>
    </xf>
    <xf numFmtId="49" fontId="48" fillId="2" borderId="9" xfId="5" applyNumberFormat="1" applyFont="1" applyFill="1" applyBorder="1" applyAlignment="1">
      <alignment horizontal="center" vertical="center"/>
    </xf>
    <xf numFmtId="49" fontId="48" fillId="2" borderId="2" xfId="5" applyNumberFormat="1" applyFont="1" applyFill="1" applyBorder="1" applyAlignment="1">
      <alignment horizontal="center" vertical="center"/>
    </xf>
    <xf numFmtId="49" fontId="8" fillId="2" borderId="3" xfId="5" applyNumberFormat="1" applyFont="1" applyFill="1" applyBorder="1" applyAlignment="1">
      <alignment horizontal="center" vertical="center"/>
    </xf>
    <xf numFmtId="49" fontId="8" fillId="2" borderId="9" xfId="5" applyNumberFormat="1" applyFont="1" applyFill="1" applyBorder="1" applyAlignment="1">
      <alignment horizontal="center" vertical="center"/>
    </xf>
    <xf numFmtId="49" fontId="8" fillId="2" borderId="2" xfId="5" applyNumberFormat="1" applyFont="1" applyFill="1" applyBorder="1" applyAlignment="1">
      <alignment horizontal="center" vertical="center"/>
    </xf>
    <xf numFmtId="172" fontId="6" fillId="0" borderId="3" xfId="5" applyNumberFormat="1" applyFont="1" applyBorder="1" applyAlignment="1">
      <alignment horizontal="left" vertical="center" wrapText="1"/>
    </xf>
    <xf numFmtId="172" fontId="6" fillId="0" borderId="2" xfId="5" applyNumberFormat="1" applyFont="1" applyBorder="1" applyAlignment="1">
      <alignment horizontal="left" vertical="center" wrapText="1"/>
    </xf>
    <xf numFmtId="49" fontId="8" fillId="2" borderId="1" xfId="5" applyNumberFormat="1" applyFont="1" applyFill="1" applyBorder="1" applyAlignment="1">
      <alignment horizontal="center" vertical="center"/>
    </xf>
    <xf numFmtId="49" fontId="48" fillId="2" borderId="3" xfId="5" applyNumberFormat="1" applyFont="1" applyFill="1" applyBorder="1" applyAlignment="1">
      <alignment horizontal="center" vertical="center" wrapText="1"/>
    </xf>
    <xf numFmtId="49" fontId="48" fillId="2" borderId="9" xfId="5" applyNumberFormat="1" applyFont="1" applyFill="1" applyBorder="1" applyAlignment="1">
      <alignment horizontal="center" vertical="center" wrapText="1"/>
    </xf>
    <xf numFmtId="49" fontId="48" fillId="2" borderId="2" xfId="5" applyNumberFormat="1" applyFont="1" applyFill="1" applyBorder="1" applyAlignment="1">
      <alignment horizontal="center" vertical="center" wrapText="1"/>
    </xf>
    <xf numFmtId="172" fontId="5" fillId="3" borderId="5" xfId="0" applyNumberFormat="1" applyFont="1" applyFill="1" applyBorder="1" applyAlignment="1">
      <alignment horizontal="left" vertical="center" wrapText="1"/>
    </xf>
    <xf numFmtId="172" fontId="5" fillId="3" borderId="6" xfId="0" applyNumberFormat="1" applyFont="1" applyFill="1" applyBorder="1" applyAlignment="1">
      <alignment horizontal="left" vertical="center" wrapText="1"/>
    </xf>
    <xf numFmtId="172" fontId="5" fillId="3" borderId="7" xfId="0" applyNumberFormat="1" applyFont="1" applyFill="1" applyBorder="1" applyAlignment="1">
      <alignment horizontal="left" vertical="center" wrapText="1"/>
    </xf>
    <xf numFmtId="172" fontId="56" fillId="3" borderId="1" xfId="0" applyNumberFormat="1" applyFont="1" applyFill="1" applyBorder="1"/>
    <xf numFmtId="188" fontId="48" fillId="2" borderId="27" xfId="0" applyNumberFormat="1" applyFont="1" applyFill="1" applyBorder="1" applyAlignment="1">
      <alignment horizontal="center" vertical="center"/>
    </xf>
    <xf numFmtId="188" fontId="48" fillId="2" borderId="8" xfId="0" applyNumberFormat="1" applyFont="1" applyFill="1" applyBorder="1" applyAlignment="1">
      <alignment horizontal="center" vertical="center"/>
    </xf>
    <xf numFmtId="188" fontId="48" fillId="2" borderId="30" xfId="0" applyNumberFormat="1" applyFont="1" applyFill="1" applyBorder="1" applyAlignment="1">
      <alignment horizontal="center" vertical="center"/>
    </xf>
    <xf numFmtId="188" fontId="5" fillId="0" borderId="27" xfId="0" applyNumberFormat="1" applyFont="1" applyBorder="1" applyAlignment="1">
      <alignment horizontal="center" vertical="center"/>
    </xf>
    <xf numFmtId="188" fontId="5" fillId="0" borderId="8" xfId="0" applyNumberFormat="1" applyFont="1" applyBorder="1" applyAlignment="1">
      <alignment horizontal="center" vertical="center"/>
    </xf>
    <xf numFmtId="172" fontId="57" fillId="2" borderId="3" xfId="0" applyNumberFormat="1" applyFont="1" applyFill="1" applyBorder="1" applyAlignment="1">
      <alignment horizontal="left" vertical="center" wrapText="1"/>
    </xf>
    <xf numFmtId="172" fontId="57" fillId="2" borderId="2" xfId="0" applyNumberFormat="1" applyFont="1" applyFill="1" applyBorder="1" applyAlignment="1">
      <alignment horizontal="left" vertical="center" wrapText="1"/>
    </xf>
    <xf numFmtId="172" fontId="57" fillId="2" borderId="3" xfId="66" applyNumberFormat="1" applyFont="1" applyFill="1" applyBorder="1" applyAlignment="1">
      <alignment horizontal="center" vertical="center" wrapText="1"/>
    </xf>
    <xf numFmtId="172" fontId="57" fillId="2" borderId="2" xfId="66" applyNumberFormat="1" applyFont="1" applyFill="1" applyBorder="1" applyAlignment="1">
      <alignment horizontal="center" vertical="center" wrapText="1"/>
    </xf>
    <xf numFmtId="172" fontId="57" fillId="2" borderId="1" xfId="66" applyNumberFormat="1" applyFont="1" applyFill="1" applyBorder="1" applyAlignment="1">
      <alignment horizontal="center" vertical="center" wrapText="1"/>
    </xf>
    <xf numFmtId="188" fontId="6" fillId="0" borderId="3" xfId="0" applyNumberFormat="1" applyFont="1" applyBorder="1" applyAlignment="1">
      <alignment horizontal="right" vertical="center"/>
    </xf>
    <xf numFmtId="188" fontId="6" fillId="0" borderId="2" xfId="0" applyNumberFormat="1" applyFont="1" applyBorder="1" applyAlignment="1">
      <alignment horizontal="right" vertical="center"/>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167" fontId="8" fillId="2" borderId="3" xfId="0" applyNumberFormat="1" applyFont="1" applyFill="1" applyBorder="1" applyAlignment="1">
      <alignment horizontal="center" vertical="center" wrapText="1"/>
    </xf>
    <xf numFmtId="167" fontId="8" fillId="2" borderId="2" xfId="0" applyNumberFormat="1" applyFont="1" applyFill="1" applyBorder="1" applyAlignment="1">
      <alignment horizontal="center" vertical="center" wrapText="1"/>
    </xf>
    <xf numFmtId="172" fontId="5" fillId="3" borderId="5" xfId="1" applyNumberFormat="1" applyFont="1" applyFill="1" applyBorder="1" applyAlignment="1">
      <alignment horizontal="left" vertical="center"/>
    </xf>
    <xf numFmtId="172" fontId="5" fillId="3" borderId="6" xfId="1" applyNumberFormat="1" applyFont="1" applyFill="1" applyBorder="1" applyAlignment="1">
      <alignment horizontal="left" vertical="center"/>
    </xf>
    <xf numFmtId="172" fontId="5" fillId="3" borderId="7" xfId="1" applyNumberFormat="1" applyFont="1" applyFill="1" applyBorder="1" applyAlignment="1">
      <alignment horizontal="left" vertical="center"/>
    </xf>
    <xf numFmtId="172" fontId="6" fillId="2" borderId="3" xfId="0" applyNumberFormat="1" applyFont="1" applyFill="1" applyBorder="1" applyAlignment="1">
      <alignment horizontal="left" vertical="center" wrapText="1"/>
    </xf>
    <xf numFmtId="172" fontId="6" fillId="2" borderId="2" xfId="0" applyNumberFormat="1" applyFont="1" applyFill="1" applyBorder="1" applyAlignment="1">
      <alignment horizontal="left" vertical="center" wrapText="1"/>
    </xf>
    <xf numFmtId="172" fontId="8" fillId="2" borderId="3" xfId="66" applyNumberFormat="1" applyFont="1" applyFill="1" applyBorder="1" applyAlignment="1">
      <alignment horizontal="center" vertical="center" wrapText="1"/>
    </xf>
    <xf numFmtId="172" fontId="8" fillId="2" borderId="2" xfId="66" applyNumberFormat="1" applyFont="1" applyFill="1" applyBorder="1" applyAlignment="1">
      <alignment horizontal="center" vertical="center" wrapText="1"/>
    </xf>
    <xf numFmtId="49" fontId="57" fillId="2" borderId="3" xfId="0" applyNumberFormat="1" applyFont="1" applyFill="1" applyBorder="1" applyAlignment="1">
      <alignment horizontal="center" vertical="center"/>
    </xf>
    <xf numFmtId="49" fontId="57" fillId="2" borderId="2" xfId="0" applyNumberFormat="1" applyFont="1" applyFill="1" applyBorder="1" applyAlignment="1">
      <alignment horizontal="center" vertical="center"/>
    </xf>
    <xf numFmtId="172" fontId="57" fillId="2" borderId="3" xfId="0" applyNumberFormat="1" applyFont="1" applyFill="1" applyBorder="1" applyAlignment="1">
      <alignment horizontal="center" vertical="center" wrapText="1"/>
    </xf>
    <xf numFmtId="172" fontId="57" fillId="2" borderId="2" xfId="0" applyNumberFormat="1" applyFont="1" applyFill="1" applyBorder="1" applyAlignment="1">
      <alignment horizontal="center" vertical="center" wrapText="1"/>
    </xf>
    <xf numFmtId="49" fontId="8" fillId="2" borderId="3"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49" fontId="6" fillId="0" borderId="3"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8" fillId="28" borderId="3" xfId="0" applyFont="1" applyFill="1" applyBorder="1" applyAlignment="1">
      <alignment horizontal="left" vertical="center" wrapText="1"/>
    </xf>
    <xf numFmtId="0" fontId="8" fillId="28" borderId="9" xfId="0" applyFont="1" applyFill="1" applyBorder="1" applyAlignment="1">
      <alignment horizontal="left" vertical="center" wrapText="1"/>
    </xf>
    <xf numFmtId="0" fontId="8" fillId="28" borderId="2" xfId="0" applyFont="1" applyFill="1" applyBorder="1" applyAlignment="1">
      <alignment horizontal="left" vertical="center" wrapText="1"/>
    </xf>
    <xf numFmtId="167" fontId="6" fillId="2" borderId="3" xfId="0" applyNumberFormat="1" applyFont="1" applyFill="1" applyBorder="1" applyAlignment="1">
      <alignment horizontal="center" vertical="center"/>
    </xf>
    <xf numFmtId="167" fontId="6" fillId="2" borderId="9" xfId="0" applyNumberFormat="1" applyFont="1" applyFill="1" applyBorder="1" applyAlignment="1">
      <alignment horizontal="center" vertical="center"/>
    </xf>
    <xf numFmtId="167" fontId="6" fillId="2" borderId="2" xfId="0" applyNumberFormat="1" applyFont="1" applyFill="1" applyBorder="1" applyAlignment="1">
      <alignment horizontal="center" vertical="center"/>
    </xf>
    <xf numFmtId="167" fontId="6" fillId="2" borderId="9"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xf>
    <xf numFmtId="49" fontId="6" fillId="2" borderId="2" xfId="0" applyNumberFormat="1"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49" fontId="6" fillId="0" borderId="3" xfId="0" applyNumberFormat="1" applyFont="1" applyBorder="1" applyAlignment="1">
      <alignment horizontal="right" vertical="center"/>
    </xf>
    <xf numFmtId="49" fontId="6" fillId="0" borderId="9" xfId="0" applyNumberFormat="1" applyFont="1" applyBorder="1" applyAlignment="1">
      <alignment horizontal="right" vertical="center"/>
    </xf>
    <xf numFmtId="49" fontId="6" fillId="0" borderId="2" xfId="0" applyNumberFormat="1" applyFont="1" applyBorder="1" applyAlignment="1">
      <alignment horizontal="right" vertical="center"/>
    </xf>
    <xf numFmtId="0" fontId="6" fillId="0" borderId="9" xfId="0" applyFont="1" applyBorder="1" applyAlignment="1">
      <alignment horizontal="left" vertical="center" wrapText="1"/>
    </xf>
    <xf numFmtId="172" fontId="5" fillId="3" borderId="25" xfId="1" applyNumberFormat="1" applyFont="1" applyFill="1" applyBorder="1" applyAlignment="1">
      <alignment horizontal="left" vertical="center"/>
    </xf>
    <xf numFmtId="172" fontId="5" fillId="3" borderId="26" xfId="1" applyNumberFormat="1" applyFont="1" applyFill="1" applyBorder="1" applyAlignment="1">
      <alignment horizontal="left" vertical="center"/>
    </xf>
    <xf numFmtId="172" fontId="5" fillId="3" borderId="27" xfId="1" applyNumberFormat="1" applyFont="1" applyFill="1" applyBorder="1" applyAlignment="1">
      <alignment horizontal="left" vertical="center"/>
    </xf>
    <xf numFmtId="172" fontId="5" fillId="3" borderId="3" xfId="0" applyNumberFormat="1" applyFont="1" applyFill="1" applyBorder="1"/>
    <xf numFmtId="172" fontId="5" fillId="3" borderId="28" xfId="1" applyNumberFormat="1" applyFont="1" applyFill="1" applyBorder="1" applyAlignment="1">
      <alignment horizontal="left" vertical="center"/>
    </xf>
    <xf numFmtId="172" fontId="8" fillId="2" borderId="3" xfId="173" applyNumberFormat="1" applyFont="1" applyFill="1" applyBorder="1" applyAlignment="1">
      <alignment horizontal="center" vertical="center"/>
    </xf>
    <xf numFmtId="172" fontId="8" fillId="2" borderId="2" xfId="173" applyNumberFormat="1" applyFont="1" applyFill="1" applyBorder="1" applyAlignment="1">
      <alignment horizontal="center" vertical="center"/>
    </xf>
    <xf numFmtId="172" fontId="8" fillId="2" borderId="3" xfId="173" applyNumberFormat="1" applyFont="1" applyFill="1" applyBorder="1" applyAlignment="1">
      <alignment horizontal="center" vertical="center" wrapText="1"/>
    </xf>
    <xf numFmtId="172" fontId="8" fillId="2" borderId="2" xfId="173" applyNumberFormat="1" applyFont="1" applyFill="1" applyBorder="1" applyAlignment="1">
      <alignment horizontal="center" vertical="center" wrapText="1"/>
    </xf>
    <xf numFmtId="172" fontId="8" fillId="2" borderId="1" xfId="173" applyNumberFormat="1" applyFont="1" applyFill="1" applyBorder="1" applyAlignment="1">
      <alignment horizontal="center" vertical="center" wrapText="1"/>
    </xf>
    <xf numFmtId="49" fontId="8" fillId="2" borderId="9" xfId="0" applyNumberFormat="1" applyFont="1" applyFill="1" applyBorder="1" applyAlignment="1">
      <alignment horizontal="center" vertical="center"/>
    </xf>
    <xf numFmtId="172" fontId="8" fillId="2" borderId="9" xfId="173" applyNumberFormat="1" applyFont="1" applyFill="1" applyBorder="1" applyAlignment="1">
      <alignment horizontal="center" vertical="center"/>
    </xf>
    <xf numFmtId="49" fontId="8" fillId="2" borderId="1" xfId="0" applyNumberFormat="1" applyFont="1" applyFill="1" applyBorder="1" applyAlignment="1">
      <alignment horizontal="center" vertical="center"/>
    </xf>
    <xf numFmtId="172" fontId="8" fillId="2" borderId="3" xfId="0" applyNumberFormat="1" applyFont="1" applyFill="1" applyBorder="1" applyAlignment="1">
      <alignment horizontal="center" vertical="center"/>
    </xf>
    <xf numFmtId="172" fontId="8" fillId="2" borderId="2" xfId="0" applyNumberFormat="1" applyFont="1" applyFill="1" applyBorder="1" applyAlignment="1">
      <alignment horizontal="center" vertical="center"/>
    </xf>
    <xf numFmtId="172" fontId="8" fillId="2" borderId="1" xfId="173" applyNumberFormat="1" applyFont="1" applyFill="1" applyBorder="1" applyAlignment="1">
      <alignment horizontal="center" vertical="center"/>
    </xf>
    <xf numFmtId="172" fontId="8" fillId="2" borderId="3" xfId="0" applyNumberFormat="1" applyFont="1" applyFill="1" applyBorder="1" applyAlignment="1">
      <alignment horizontal="right" vertical="center"/>
    </xf>
    <xf numFmtId="172" fontId="8" fillId="2" borderId="2" xfId="0" applyNumberFormat="1" applyFont="1" applyFill="1" applyBorder="1" applyAlignment="1">
      <alignment horizontal="right" vertical="center"/>
    </xf>
    <xf numFmtId="172" fontId="48" fillId="4" borderId="10" xfId="0" applyNumberFormat="1" applyFont="1" applyFill="1" applyBorder="1" applyAlignment="1">
      <alignment horizontal="left" vertical="center" wrapText="1"/>
    </xf>
    <xf numFmtId="172" fontId="48" fillId="4" borderId="0" xfId="0" applyNumberFormat="1" applyFont="1" applyFill="1" applyAlignment="1">
      <alignment horizontal="left" vertical="center" wrapText="1"/>
    </xf>
    <xf numFmtId="172" fontId="48" fillId="4" borderId="8" xfId="0" applyNumberFormat="1" applyFont="1" applyFill="1" applyBorder="1" applyAlignment="1">
      <alignment horizontal="left" vertical="center" wrapText="1"/>
    </xf>
    <xf numFmtId="0" fontId="40" fillId="2" borderId="3" xfId="176" applyFont="1" applyFill="1" applyBorder="1" applyAlignment="1">
      <alignment horizontal="center" vertical="center" wrapText="1"/>
    </xf>
    <xf numFmtId="0" fontId="40" fillId="2" borderId="2" xfId="176" applyFont="1" applyFill="1" applyBorder="1" applyAlignment="1">
      <alignment horizontal="center" vertical="center" wrapText="1"/>
    </xf>
    <xf numFmtId="0" fontId="6" fillId="2" borderId="1" xfId="0" applyFont="1" applyFill="1" applyBorder="1" applyAlignment="1">
      <alignment horizontal="center"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171" fontId="48" fillId="0" borderId="1" xfId="0" applyNumberFormat="1" applyFont="1" applyBorder="1" applyAlignment="1">
      <alignment horizontal="center" vertical="center"/>
    </xf>
    <xf numFmtId="0" fontId="5" fillId="4" borderId="25" xfId="0" applyFont="1" applyFill="1" applyBorder="1" applyAlignment="1">
      <alignment horizontal="left"/>
    </xf>
    <xf numFmtId="0" fontId="5" fillId="4" borderId="26" xfId="0" applyFont="1" applyFill="1" applyBorder="1" applyAlignment="1">
      <alignment horizontal="left"/>
    </xf>
    <xf numFmtId="0" fontId="5" fillId="4" borderId="27" xfId="0" applyFont="1" applyFill="1" applyBorder="1" applyAlignment="1">
      <alignment horizontal="left"/>
    </xf>
    <xf numFmtId="167" fontId="8" fillId="2" borderId="3" xfId="285" applyNumberFormat="1" applyFont="1" applyFill="1" applyBorder="1" applyAlignment="1">
      <alignment horizontal="center" vertical="center" wrapText="1"/>
    </xf>
    <xf numFmtId="167" fontId="0" fillId="0" borderId="2" xfId="0" applyNumberFormat="1" applyBorder="1" applyAlignment="1">
      <alignment horizontal="center" vertical="center" wrapText="1"/>
    </xf>
    <xf numFmtId="0" fontId="0" fillId="0" borderId="2" xfId="0" applyBorder="1" applyAlignment="1">
      <alignment horizontal="center"/>
    </xf>
    <xf numFmtId="167" fontId="8" fillId="2" borderId="2" xfId="285" applyNumberFormat="1" applyFont="1" applyFill="1" applyBorder="1" applyAlignment="1">
      <alignment horizontal="center" vertical="center" wrapText="1"/>
    </xf>
    <xf numFmtId="172" fontId="8" fillId="2" borderId="1" xfId="173" applyNumberFormat="1" applyFont="1" applyFill="1" applyBorder="1" applyAlignment="1">
      <alignment horizontal="right" vertical="center"/>
    </xf>
    <xf numFmtId="172" fontId="8" fillId="2" borderId="3" xfId="173" applyNumberFormat="1" applyFont="1" applyFill="1" applyBorder="1" applyAlignment="1">
      <alignment horizontal="right" vertical="center"/>
    </xf>
    <xf numFmtId="172" fontId="8" fillId="2" borderId="9" xfId="173" applyNumberFormat="1" applyFont="1" applyFill="1" applyBorder="1" applyAlignment="1">
      <alignment horizontal="right" vertical="center"/>
    </xf>
    <xf numFmtId="172" fontId="8" fillId="2" borderId="2" xfId="173" applyNumberFormat="1" applyFont="1" applyFill="1" applyBorder="1" applyAlignment="1">
      <alignment horizontal="right" vertical="center"/>
    </xf>
    <xf numFmtId="0" fontId="56" fillId="3" borderId="5" xfId="186" applyFont="1" applyFill="1" applyBorder="1" applyAlignment="1">
      <alignment horizontal="left" vertical="center"/>
    </xf>
    <xf numFmtId="0" fontId="56" fillId="3" borderId="6" xfId="186" applyFont="1" applyFill="1" applyBorder="1" applyAlignment="1">
      <alignment horizontal="left" vertical="center"/>
    </xf>
    <xf numFmtId="0" fontId="56" fillId="3" borderId="7" xfId="186" applyFont="1" applyFill="1" applyBorder="1" applyAlignment="1">
      <alignment horizontal="left" vertical="center"/>
    </xf>
    <xf numFmtId="172" fontId="48" fillId="4" borderId="5" xfId="184" applyNumberFormat="1" applyFont="1" applyFill="1" applyBorder="1" applyAlignment="1">
      <alignment horizontal="left" vertical="center" wrapText="1"/>
    </xf>
    <xf numFmtId="172" fontId="48" fillId="4" borderId="6" xfId="184" applyNumberFormat="1" applyFont="1" applyFill="1" applyBorder="1" applyAlignment="1">
      <alignment horizontal="left" vertical="center" wrapText="1"/>
    </xf>
    <xf numFmtId="172" fontId="48" fillId="4" borderId="7" xfId="184" applyNumberFormat="1" applyFont="1" applyFill="1" applyBorder="1" applyAlignment="1">
      <alignment horizontal="left" vertical="center" wrapText="1"/>
    </xf>
    <xf numFmtId="171" fontId="48" fillId="2" borderId="3" xfId="276" applyNumberFormat="1" applyFont="1" applyFill="1" applyBorder="1" applyAlignment="1">
      <alignment horizontal="center" vertical="center"/>
    </xf>
    <xf numFmtId="171" fontId="48" fillId="2" borderId="9" xfId="276" applyNumberFormat="1" applyFont="1" applyFill="1" applyBorder="1" applyAlignment="1">
      <alignment horizontal="center" vertical="center"/>
    </xf>
    <xf numFmtId="187" fontId="8" fillId="2" borderId="3" xfId="0" applyNumberFormat="1" applyFont="1" applyFill="1" applyBorder="1" applyAlignment="1">
      <alignment horizontal="center" vertical="center" wrapText="1"/>
    </xf>
    <xf numFmtId="187" fontId="8" fillId="2" borderId="9" xfId="0" applyNumberFormat="1" applyFont="1" applyFill="1" applyBorder="1" applyAlignment="1">
      <alignment horizontal="center" vertical="center" wrapText="1"/>
    </xf>
    <xf numFmtId="187" fontId="40" fillId="2" borderId="9" xfId="0" applyNumberFormat="1" applyFont="1" applyFill="1" applyBorder="1" applyAlignment="1">
      <alignment horizontal="center" vertical="center" wrapText="1"/>
    </xf>
    <xf numFmtId="187" fontId="8" fillId="2" borderId="2" xfId="0" applyNumberFormat="1" applyFont="1" applyFill="1" applyBorder="1" applyAlignment="1">
      <alignment horizontal="center" vertical="center" wrapText="1"/>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170" fontId="48" fillId="2" borderId="1" xfId="176" applyNumberFormat="1" applyFont="1" applyFill="1" applyBorder="1" applyAlignment="1">
      <alignment horizontal="center" vertical="center"/>
    </xf>
    <xf numFmtId="170" fontId="19" fillId="2" borderId="1" xfId="176" applyNumberFormat="1" applyFont="1" applyFill="1" applyBorder="1" applyAlignment="1">
      <alignment horizontal="center" vertical="center"/>
    </xf>
    <xf numFmtId="49" fontId="40" fillId="2" borderId="1" xfId="0" applyNumberFormat="1" applyFont="1" applyFill="1" applyBorder="1" applyAlignment="1">
      <alignment horizontal="center" vertical="center"/>
    </xf>
    <xf numFmtId="0" fontId="6" fillId="2" borderId="1" xfId="0" applyFont="1" applyFill="1" applyBorder="1" applyAlignment="1">
      <alignment horizontal="center"/>
    </xf>
    <xf numFmtId="0" fontId="17" fillId="2" borderId="1" xfId="0" applyFont="1" applyFill="1" applyBorder="1" applyAlignment="1">
      <alignment horizontal="center"/>
    </xf>
    <xf numFmtId="167" fontId="0" fillId="0" borderId="9" xfId="0" applyNumberFormat="1" applyBorder="1" applyAlignment="1">
      <alignment horizontal="center"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165" fontId="48" fillId="0" borderId="1" xfId="5" applyNumberFormat="1" applyFont="1" applyBorder="1" applyAlignment="1">
      <alignment horizontal="center" vertical="center" wrapText="1"/>
    </xf>
    <xf numFmtId="0" fontId="48" fillId="0" borderId="1" xfId="5" applyFont="1" applyBorder="1" applyAlignment="1">
      <alignment horizontal="center" vertical="center" wrapText="1"/>
    </xf>
    <xf numFmtId="49" fontId="17" fillId="0" borderId="3" xfId="0" applyNumberFormat="1" applyFont="1" applyBorder="1" applyAlignment="1">
      <alignment horizontal="center" vertical="center"/>
    </xf>
    <xf numFmtId="49" fontId="17" fillId="0" borderId="2" xfId="0" applyNumberFormat="1" applyFont="1" applyBorder="1" applyAlignment="1">
      <alignment horizontal="center" vertical="center"/>
    </xf>
    <xf numFmtId="171" fontId="48" fillId="2" borderId="3" xfId="184" applyNumberFormat="1" applyFont="1" applyFill="1" applyBorder="1" applyAlignment="1">
      <alignment horizontal="center" vertical="center"/>
    </xf>
    <xf numFmtId="171" fontId="48" fillId="2" borderId="9" xfId="184" applyNumberFormat="1" applyFont="1" applyFill="1" applyBorder="1" applyAlignment="1">
      <alignment horizontal="center" vertical="center"/>
    </xf>
    <xf numFmtId="171" fontId="48" fillId="2" borderId="2" xfId="184" applyNumberFormat="1" applyFont="1" applyFill="1" applyBorder="1" applyAlignment="1">
      <alignment horizontal="center" vertical="center"/>
    </xf>
    <xf numFmtId="49" fontId="8" fillId="2" borderId="3" xfId="0" applyNumberFormat="1" applyFont="1" applyFill="1" applyBorder="1" applyAlignment="1">
      <alignment horizontal="center" vertical="top" wrapText="1"/>
    </xf>
    <xf numFmtId="49" fontId="8" fillId="2" borderId="9" xfId="0" applyNumberFormat="1" applyFont="1" applyFill="1" applyBorder="1" applyAlignment="1">
      <alignment horizontal="center" vertical="top" wrapText="1"/>
    </xf>
    <xf numFmtId="167" fontId="6" fillId="0" borderId="9" xfId="0" applyNumberFormat="1" applyFont="1" applyBorder="1" applyAlignment="1">
      <alignment horizontal="center"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center" wrapText="1"/>
    </xf>
    <xf numFmtId="167" fontId="40" fillId="0" borderId="3" xfId="0" applyNumberFormat="1" applyFont="1" applyBorder="1" applyAlignment="1">
      <alignment horizontal="center" vertical="center" wrapText="1"/>
    </xf>
    <xf numFmtId="167" fontId="40" fillId="0" borderId="2" xfId="0" applyNumberFormat="1" applyFont="1" applyBorder="1" applyAlignment="1">
      <alignment horizontal="center" vertical="center" wrapText="1"/>
    </xf>
    <xf numFmtId="0" fontId="48" fillId="0" borderId="25" xfId="5" applyFont="1" applyBorder="1" applyAlignment="1">
      <alignment horizontal="left" vertical="top" wrapText="1"/>
    </xf>
    <xf numFmtId="0" fontId="48" fillId="0" borderId="10" xfId="5" applyFont="1" applyBorder="1" applyAlignment="1">
      <alignment horizontal="left" vertical="top" wrapText="1"/>
    </xf>
    <xf numFmtId="0" fontId="48" fillId="0" borderId="28" xfId="5" applyFont="1" applyBorder="1" applyAlignment="1">
      <alignment horizontal="left" vertical="top" wrapText="1"/>
    </xf>
    <xf numFmtId="171" fontId="8" fillId="0" borderId="1" xfId="0" applyNumberFormat="1" applyFont="1" applyBorder="1" applyAlignment="1">
      <alignment horizontal="center" vertical="center"/>
    </xf>
    <xf numFmtId="171" fontId="48" fillId="3" borderId="1" xfId="0" applyNumberFormat="1" applyFont="1" applyFill="1" applyBorder="1"/>
    <xf numFmtId="49" fontId="6" fillId="0" borderId="1" xfId="0" applyNumberFormat="1" applyFont="1" applyBorder="1" applyAlignment="1">
      <alignment horizontal="right" vertical="center"/>
    </xf>
    <xf numFmtId="49" fontId="44" fillId="0" borderId="9" xfId="0" applyNumberFormat="1" applyFont="1" applyBorder="1" applyAlignment="1">
      <alignment horizontal="center" vertical="center"/>
    </xf>
    <xf numFmtId="167" fontId="8" fillId="0" borderId="3" xfId="0" applyNumberFormat="1" applyFont="1" applyBorder="1" applyAlignment="1">
      <alignment horizontal="center" vertical="center" wrapText="1"/>
    </xf>
    <xf numFmtId="167" fontId="8" fillId="0" borderId="9" xfId="0" applyNumberFormat="1" applyFont="1" applyBorder="1" applyAlignment="1">
      <alignment horizontal="center" vertical="center" wrapText="1"/>
    </xf>
    <xf numFmtId="167" fontId="8" fillId="0" borderId="2" xfId="0" applyNumberFormat="1" applyFont="1" applyBorder="1" applyAlignment="1">
      <alignment horizontal="center" vertical="center" wrapText="1"/>
    </xf>
    <xf numFmtId="0" fontId="5" fillId="4" borderId="5" xfId="0" applyFont="1" applyFill="1" applyBorder="1" applyAlignment="1">
      <alignment horizontal="left"/>
    </xf>
    <xf numFmtId="0" fontId="6" fillId="4" borderId="6" xfId="0" applyFont="1" applyFill="1" applyBorder="1" applyAlignment="1">
      <alignment horizontal="left"/>
    </xf>
    <xf numFmtId="0" fontId="6" fillId="4" borderId="7" xfId="0" applyFont="1" applyFill="1" applyBorder="1" applyAlignment="1">
      <alignment horizontal="left"/>
    </xf>
    <xf numFmtId="1" fontId="5" fillId="0" borderId="3"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6" fillId="0" borderId="3" xfId="0" applyFont="1" applyBorder="1" applyAlignment="1">
      <alignment vertical="center"/>
    </xf>
    <xf numFmtId="0" fontId="6" fillId="0" borderId="2" xfId="0" applyFont="1" applyBorder="1" applyAlignment="1">
      <alignment vertical="center"/>
    </xf>
    <xf numFmtId="0" fontId="5" fillId="0" borderId="1" xfId="0" applyFont="1" applyBorder="1" applyAlignment="1">
      <alignment horizontal="left"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183" applyFont="1" applyBorder="1" applyAlignment="1">
      <alignment horizontal="center" vertical="center"/>
    </xf>
    <xf numFmtId="0" fontId="5" fillId="0" borderId="9" xfId="183" applyFont="1" applyBorder="1" applyAlignment="1">
      <alignment horizontal="center" vertical="center"/>
    </xf>
    <xf numFmtId="0" fontId="5" fillId="0" borderId="2" xfId="183" applyFont="1" applyBorder="1" applyAlignment="1">
      <alignment horizontal="center" vertical="center"/>
    </xf>
    <xf numFmtId="0" fontId="5" fillId="2" borderId="1" xfId="0" applyFont="1" applyFill="1" applyBorder="1" applyAlignment="1">
      <alignment horizontal="left" vertical="center" wrapText="1"/>
    </xf>
    <xf numFmtId="167" fontId="60" fillId="28" borderId="3" xfId="0" applyNumberFormat="1" applyFont="1" applyFill="1" applyBorder="1" applyAlignment="1">
      <alignment horizontal="center" vertical="center" wrapText="1"/>
    </xf>
    <xf numFmtId="167" fontId="60" fillId="28" borderId="2" xfId="0" applyNumberFormat="1" applyFont="1" applyFill="1" applyBorder="1" applyAlignment="1">
      <alignment horizontal="center" vertical="center" wrapText="1"/>
    </xf>
    <xf numFmtId="0" fontId="56" fillId="4" borderId="5" xfId="186" applyFont="1" applyFill="1" applyBorder="1" applyAlignment="1">
      <alignment horizontal="left" vertical="center"/>
    </xf>
    <xf numFmtId="0" fontId="56" fillId="4" borderId="6" xfId="186" applyFont="1" applyFill="1" applyBorder="1" applyAlignment="1">
      <alignment horizontal="left" vertical="center"/>
    </xf>
    <xf numFmtId="0" fontId="56" fillId="4" borderId="7" xfId="186" applyFont="1" applyFill="1" applyBorder="1" applyAlignment="1">
      <alignment horizontal="left" vertical="center"/>
    </xf>
    <xf numFmtId="49" fontId="39" fillId="0" borderId="9" xfId="0" applyNumberFormat="1" applyFont="1" applyBorder="1" applyAlignment="1">
      <alignment horizontal="center" vertical="center"/>
    </xf>
    <xf numFmtId="49" fontId="39" fillId="0" borderId="2" xfId="0" applyNumberFormat="1" applyFont="1" applyBorder="1" applyAlignment="1">
      <alignment horizontal="center" vertical="center"/>
    </xf>
    <xf numFmtId="0" fontId="48" fillId="3" borderId="5" xfId="0" applyFont="1" applyFill="1" applyBorder="1" applyAlignment="1">
      <alignment horizontal="left" vertical="center"/>
    </xf>
    <xf numFmtId="0" fontId="48" fillId="3" borderId="6" xfId="0" applyFont="1" applyFill="1" applyBorder="1" applyAlignment="1">
      <alignment horizontal="left" vertical="center"/>
    </xf>
    <xf numFmtId="0" fontId="48" fillId="3" borderId="7" xfId="0" applyFont="1" applyFill="1" applyBorder="1" applyAlignment="1">
      <alignment horizontal="left" vertical="center"/>
    </xf>
    <xf numFmtId="0" fontId="6" fillId="0" borderId="3" xfId="176" applyFont="1" applyBorder="1" applyAlignment="1">
      <alignment horizontal="left" vertical="center" wrapText="1"/>
    </xf>
    <xf numFmtId="0" fontId="6" fillId="0" borderId="9" xfId="176" applyFont="1" applyBorder="1" applyAlignment="1">
      <alignment horizontal="left" vertical="center" wrapText="1"/>
    </xf>
    <xf numFmtId="0" fontId="6" fillId="0" borderId="2" xfId="176" applyFont="1" applyBorder="1" applyAlignment="1">
      <alignment horizontal="left" vertical="center" wrapText="1"/>
    </xf>
    <xf numFmtId="0" fontId="6" fillId="0" borderId="1" xfId="0" applyFont="1" applyBorder="1" applyAlignment="1">
      <alignment horizontal="center" vertical="center" wrapText="1"/>
    </xf>
    <xf numFmtId="0" fontId="5"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5" xfId="183" applyFont="1" applyFill="1" applyBorder="1" applyAlignment="1">
      <alignment horizontal="left" vertical="top"/>
    </xf>
    <xf numFmtId="0" fontId="5" fillId="3" borderId="6" xfId="183" applyFont="1" applyFill="1" applyBorder="1" applyAlignment="1">
      <alignment horizontal="left" vertical="top"/>
    </xf>
    <xf numFmtId="0" fontId="5" fillId="3" borderId="7" xfId="183" applyFont="1" applyFill="1" applyBorder="1" applyAlignment="1">
      <alignment horizontal="left" vertical="top"/>
    </xf>
    <xf numFmtId="0" fontId="5" fillId="0" borderId="1" xfId="0" applyFont="1" applyBorder="1" applyAlignment="1">
      <alignment vertical="center" wrapText="1"/>
    </xf>
    <xf numFmtId="167" fontId="6" fillId="0" borderId="1" xfId="0" applyNumberFormat="1" applyFont="1" applyBorder="1" applyAlignment="1">
      <alignment horizontal="center" vertical="center" wrapText="1"/>
    </xf>
    <xf numFmtId="49" fontId="6" fillId="0" borderId="3" xfId="183" applyNumberFormat="1" applyFont="1" applyBorder="1" applyAlignment="1">
      <alignment horizontal="center"/>
    </xf>
    <xf numFmtId="49" fontId="6" fillId="0" borderId="9" xfId="183" applyNumberFormat="1" applyFont="1" applyBorder="1" applyAlignment="1">
      <alignment horizontal="center"/>
    </xf>
    <xf numFmtId="49" fontId="6" fillId="0" borderId="2" xfId="183" applyNumberFormat="1" applyFont="1" applyBorder="1" applyAlignment="1">
      <alignment horizontal="center"/>
    </xf>
    <xf numFmtId="0" fontId="6" fillId="2" borderId="9" xfId="0" applyFont="1" applyFill="1" applyBorder="1" applyAlignment="1">
      <alignment horizontal="left" vertical="center" wrapText="1"/>
    </xf>
    <xf numFmtId="0" fontId="17" fillId="2" borderId="9" xfId="0" applyFont="1" applyFill="1" applyBorder="1" applyAlignment="1">
      <alignment horizontal="left" vertical="center" wrapText="1"/>
    </xf>
    <xf numFmtId="170" fontId="48" fillId="2" borderId="3" xfId="176" applyNumberFormat="1" applyFont="1" applyFill="1" applyBorder="1" applyAlignment="1">
      <alignment horizontal="center" vertical="center"/>
    </xf>
    <xf numFmtId="170" fontId="48" fillId="2" borderId="9" xfId="176" applyNumberFormat="1" applyFont="1" applyFill="1" applyBorder="1" applyAlignment="1">
      <alignment horizontal="center" vertical="center"/>
    </xf>
    <xf numFmtId="170" fontId="19" fillId="2" borderId="9" xfId="176" applyNumberFormat="1" applyFont="1" applyFill="1" applyBorder="1" applyAlignment="1">
      <alignment horizontal="center" vertical="center"/>
    </xf>
    <xf numFmtId="170" fontId="48" fillId="2" borderId="2" xfId="176" applyNumberFormat="1" applyFont="1" applyFill="1" applyBorder="1" applyAlignment="1">
      <alignment horizontal="center" vertical="center"/>
    </xf>
    <xf numFmtId="49" fontId="8" fillId="2" borderId="25" xfId="0" applyNumberFormat="1" applyFont="1" applyFill="1" applyBorder="1" applyAlignment="1">
      <alignment horizontal="center" vertical="center"/>
    </xf>
    <xf numFmtId="49" fontId="8" fillId="2" borderId="10" xfId="0" applyNumberFormat="1" applyFont="1" applyFill="1" applyBorder="1" applyAlignment="1">
      <alignment horizontal="center" vertical="center"/>
    </xf>
    <xf numFmtId="49" fontId="40" fillId="2" borderId="10" xfId="0" applyNumberFormat="1" applyFont="1" applyFill="1" applyBorder="1" applyAlignment="1">
      <alignment horizontal="center" vertical="center"/>
    </xf>
    <xf numFmtId="49" fontId="8" fillId="2" borderId="28" xfId="0" applyNumberFormat="1" applyFont="1" applyFill="1" applyBorder="1" applyAlignment="1">
      <alignment horizontal="center" vertical="center"/>
    </xf>
    <xf numFmtId="0" fontId="17" fillId="2" borderId="3" xfId="30" applyFont="1" applyFill="1" applyBorder="1" applyAlignment="1">
      <alignment horizontal="center" vertical="center" wrapText="1"/>
    </xf>
    <xf numFmtId="0" fontId="17" fillId="2" borderId="2" xfId="30" applyFont="1" applyFill="1" applyBorder="1" applyAlignment="1">
      <alignment horizontal="center" vertical="center" wrapText="1"/>
    </xf>
    <xf numFmtId="0" fontId="5" fillId="4" borderId="1" xfId="0" applyFont="1" applyFill="1" applyBorder="1" applyAlignment="1">
      <alignment horizontal="left"/>
    </xf>
    <xf numFmtId="172" fontId="48" fillId="4" borderId="1" xfId="184" applyNumberFormat="1" applyFont="1" applyFill="1" applyBorder="1" applyAlignment="1">
      <alignment horizontal="left" vertical="center" wrapText="1"/>
    </xf>
    <xf numFmtId="0" fontId="8" fillId="0" borderId="3" xfId="5" applyFont="1" applyBorder="1" applyAlignment="1">
      <alignment horizontal="center" vertical="center" wrapText="1"/>
    </xf>
    <xf numFmtId="0" fontId="8" fillId="0" borderId="2" xfId="5" applyFont="1" applyBorder="1" applyAlignment="1">
      <alignment horizontal="center" vertical="center" wrapText="1"/>
    </xf>
    <xf numFmtId="0" fontId="8" fillId="0" borderId="3" xfId="247" applyNumberFormat="1" applyFont="1" applyFill="1" applyBorder="1" applyAlignment="1">
      <alignment horizontal="center" vertical="center" wrapText="1"/>
    </xf>
    <xf numFmtId="0" fontId="8" fillId="0" borderId="2" xfId="247" applyNumberFormat="1" applyFont="1" applyFill="1" applyBorder="1" applyAlignment="1">
      <alignment horizontal="center" vertical="center" wrapText="1"/>
    </xf>
    <xf numFmtId="170" fontId="19" fillId="2" borderId="3" xfId="176" applyNumberFormat="1" applyFont="1" applyFill="1" applyBorder="1" applyAlignment="1">
      <alignment horizontal="center" vertical="center"/>
    </xf>
    <xf numFmtId="49" fontId="6" fillId="2" borderId="25"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8" xfId="0" applyNumberFormat="1"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49" fontId="56" fillId="5" borderId="3" xfId="186" applyNumberFormat="1" applyFont="1" applyFill="1" applyBorder="1" applyAlignment="1">
      <alignment horizontal="center" vertical="center"/>
    </xf>
    <xf numFmtId="49" fontId="56" fillId="5" borderId="2" xfId="186" applyNumberFormat="1" applyFont="1" applyFill="1" applyBorder="1" applyAlignment="1">
      <alignment horizontal="center" vertical="center"/>
    </xf>
    <xf numFmtId="49" fontId="48" fillId="0" borderId="3" xfId="0" applyNumberFormat="1" applyFont="1" applyBorder="1" applyAlignment="1">
      <alignment horizontal="center" vertical="center"/>
    </xf>
    <xf numFmtId="49" fontId="48" fillId="0" borderId="9" xfId="0" applyNumberFormat="1" applyFont="1" applyBorder="1" applyAlignment="1">
      <alignment horizontal="center" vertical="center"/>
    </xf>
    <xf numFmtId="49" fontId="48" fillId="0" borderId="2" xfId="0" applyNumberFormat="1" applyFont="1" applyBorder="1" applyAlignment="1">
      <alignment horizontal="center" vertical="center"/>
    </xf>
    <xf numFmtId="0" fontId="5" fillId="4" borderId="6" xfId="0" applyFont="1" applyFill="1" applyBorder="1" applyAlignment="1">
      <alignment horizontal="left"/>
    </xf>
    <xf numFmtId="0" fontId="5" fillId="4" borderId="7" xfId="0" applyFont="1" applyFill="1" applyBorder="1" applyAlignment="1">
      <alignment horizontal="left"/>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49" fontId="5" fillId="0" borderId="3" xfId="1" applyNumberFormat="1" applyFont="1" applyBorder="1" applyAlignment="1">
      <alignment horizontal="center" vertical="center"/>
    </xf>
    <xf numFmtId="49" fontId="5" fillId="0" borderId="9" xfId="1" applyNumberFormat="1" applyFont="1" applyBorder="1" applyAlignment="1">
      <alignment horizontal="center" vertical="center"/>
    </xf>
    <xf numFmtId="49" fontId="5" fillId="0" borderId="2" xfId="1" applyNumberFormat="1" applyFont="1" applyBorder="1" applyAlignment="1">
      <alignment horizontal="center" vertical="center"/>
    </xf>
    <xf numFmtId="49" fontId="6" fillId="0" borderId="3" xfId="1" applyNumberFormat="1" applyFont="1" applyBorder="1" applyAlignment="1">
      <alignment horizontal="center" vertical="center"/>
    </xf>
    <xf numFmtId="49" fontId="6" fillId="0" borderId="9" xfId="1" applyNumberFormat="1" applyFont="1" applyBorder="1" applyAlignment="1">
      <alignment horizontal="center" vertical="center"/>
    </xf>
    <xf numFmtId="49" fontId="6" fillId="0" borderId="2" xfId="1" applyNumberFormat="1" applyFont="1" applyBorder="1" applyAlignment="1">
      <alignment horizontal="center" vertical="center"/>
    </xf>
    <xf numFmtId="171" fontId="6" fillId="0" borderId="1" xfId="176" applyNumberFormat="1" applyFont="1" applyBorder="1" applyAlignment="1">
      <alignment horizontal="center" vertical="center"/>
    </xf>
    <xf numFmtId="0" fontId="44" fillId="0" borderId="3" xfId="176" applyFont="1" applyBorder="1" applyAlignment="1">
      <alignment horizontal="center" vertical="center"/>
    </xf>
    <xf numFmtId="0" fontId="44" fillId="0" borderId="2" xfId="176" applyFont="1" applyBorder="1" applyAlignment="1">
      <alignment horizontal="center" vertical="center"/>
    </xf>
    <xf numFmtId="0" fontId="6" fillId="0" borderId="3" xfId="176" applyFont="1" applyBorder="1" applyAlignment="1">
      <alignment vertical="center" wrapText="1"/>
    </xf>
    <xf numFmtId="0" fontId="6" fillId="0" borderId="2" xfId="176" applyFont="1" applyBorder="1" applyAlignment="1">
      <alignmen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30" xfId="0" applyFont="1" applyFill="1" applyBorder="1" applyAlignment="1">
      <alignment horizontal="left" vertical="center" wrapText="1"/>
    </xf>
    <xf numFmtId="0" fontId="48" fillId="3" borderId="28" xfId="0" applyFont="1" applyFill="1" applyBorder="1" applyAlignment="1">
      <alignment horizontal="left" vertical="center" wrapText="1"/>
    </xf>
    <xf numFmtId="0" fontId="48" fillId="3" borderId="29" xfId="0" applyFont="1" applyFill="1" applyBorder="1" applyAlignment="1">
      <alignment horizontal="left" vertical="center" wrapText="1"/>
    </xf>
    <xf numFmtId="0" fontId="48" fillId="3" borderId="30" xfId="0" applyFont="1" applyFill="1" applyBorder="1" applyAlignment="1">
      <alignment horizontal="left" vertical="center" wrapText="1"/>
    </xf>
    <xf numFmtId="0" fontId="48" fillId="4" borderId="10" xfId="0" applyFont="1" applyFill="1" applyBorder="1" applyAlignment="1">
      <alignment horizontal="left" vertical="center" wrapText="1"/>
    </xf>
    <xf numFmtId="0" fontId="48" fillId="4" borderId="0" xfId="0" applyFont="1" applyFill="1" applyAlignment="1">
      <alignment horizontal="left" vertical="center" wrapText="1"/>
    </xf>
    <xf numFmtId="0" fontId="48" fillId="4" borderId="8" xfId="0" applyFont="1" applyFill="1" applyBorder="1" applyAlignment="1">
      <alignment horizontal="left" vertical="center" wrapText="1"/>
    </xf>
    <xf numFmtId="0" fontId="48"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39" fillId="2" borderId="2" xfId="0" applyFont="1" applyFill="1" applyBorder="1" applyAlignment="1">
      <alignment horizontal="center" vertical="center" wrapText="1"/>
    </xf>
    <xf numFmtId="49" fontId="6" fillId="0" borderId="1" xfId="0" applyNumberFormat="1" applyFont="1" applyBorder="1" applyAlignment="1">
      <alignment horizontal="center" vertical="center"/>
    </xf>
    <xf numFmtId="0" fontId="6" fillId="0" borderId="3" xfId="176" applyFont="1" applyBorder="1" applyAlignment="1">
      <alignment horizontal="center" vertical="center"/>
    </xf>
    <xf numFmtId="0" fontId="6" fillId="0" borderId="9" xfId="176" applyFont="1" applyBorder="1" applyAlignment="1">
      <alignment horizontal="center" vertical="center"/>
    </xf>
    <xf numFmtId="0" fontId="6" fillId="0" borderId="2" xfId="176" applyFont="1" applyBorder="1" applyAlignment="1">
      <alignment horizontal="center" vertical="center"/>
    </xf>
    <xf numFmtId="0" fontId="17" fillId="0" borderId="1" xfId="0" applyFont="1" applyBorder="1" applyAlignment="1">
      <alignment horizontal="left" vertical="center" wrapText="1"/>
    </xf>
    <xf numFmtId="171" fontId="48" fillId="4" borderId="5" xfId="0" applyNumberFormat="1" applyFont="1" applyFill="1" applyBorder="1" applyAlignment="1">
      <alignment horizontal="left"/>
    </xf>
    <xf numFmtId="171" fontId="48" fillId="4" borderId="6" xfId="0" applyNumberFormat="1" applyFont="1" applyFill="1" applyBorder="1" applyAlignment="1">
      <alignment horizontal="left"/>
    </xf>
    <xf numFmtId="171" fontId="48" fillId="4" borderId="7" xfId="0" applyNumberFormat="1" applyFont="1" applyFill="1" applyBorder="1" applyAlignment="1">
      <alignment horizontal="left"/>
    </xf>
    <xf numFmtId="0" fontId="48" fillId="4" borderId="5" xfId="0" applyFont="1" applyFill="1" applyBorder="1" applyAlignment="1">
      <alignment horizontal="left" wrapText="1"/>
    </xf>
    <xf numFmtId="0" fontId="48" fillId="4" borderId="6" xfId="0" applyFont="1" applyFill="1" applyBorder="1" applyAlignment="1">
      <alignment horizontal="left" wrapText="1"/>
    </xf>
    <xf numFmtId="0" fontId="48" fillId="4" borderId="7" xfId="0" applyFont="1" applyFill="1" applyBorder="1" applyAlignment="1">
      <alignment horizontal="left" wrapText="1"/>
    </xf>
    <xf numFmtId="171" fontId="48" fillId="2" borderId="1" xfId="0" applyNumberFormat="1" applyFont="1" applyFill="1" applyBorder="1" applyAlignment="1">
      <alignment horizontal="center" vertical="center"/>
    </xf>
    <xf numFmtId="171" fontId="8" fillId="2" borderId="3" xfId="0" applyNumberFormat="1" applyFont="1" applyFill="1" applyBorder="1" applyAlignment="1">
      <alignment horizontal="center"/>
    </xf>
    <xf numFmtId="171" fontId="8" fillId="2" borderId="9" xfId="0" applyNumberFormat="1" applyFont="1" applyFill="1" applyBorder="1" applyAlignment="1">
      <alignment horizontal="center"/>
    </xf>
    <xf numFmtId="171" fontId="8" fillId="2" borderId="2" xfId="0" applyNumberFormat="1" applyFont="1" applyFill="1" applyBorder="1" applyAlignment="1">
      <alignment horizontal="center"/>
    </xf>
    <xf numFmtId="172" fontId="47" fillId="0" borderId="0" xfId="0" applyNumberFormat="1" applyFont="1" applyAlignment="1">
      <alignment horizontal="center" wrapText="1"/>
    </xf>
    <xf numFmtId="0" fontId="48" fillId="3" borderId="1" xfId="363" applyNumberFormat="1" applyFont="1" applyFill="1" applyBorder="1" applyAlignment="1">
      <alignment horizontal="center" vertical="center" wrapText="1"/>
    </xf>
    <xf numFmtId="171" fontId="8" fillId="0" borderId="1" xfId="28" applyNumberFormat="1" applyFont="1" applyBorder="1" applyAlignment="1">
      <alignment horizontal="center" vertical="center"/>
    </xf>
    <xf numFmtId="0" fontId="8" fillId="2" borderId="1" xfId="5" applyFont="1" applyFill="1" applyBorder="1" applyAlignment="1">
      <alignment horizontal="left" vertical="center" wrapText="1"/>
    </xf>
    <xf numFmtId="170" fontId="48" fillId="0" borderId="3" xfId="28" applyNumberFormat="1" applyFont="1" applyBorder="1" applyAlignment="1">
      <alignment horizontal="center" vertical="center"/>
    </xf>
    <xf numFmtId="170" fontId="48" fillId="0" borderId="9" xfId="28" applyNumberFormat="1" applyFont="1" applyBorder="1" applyAlignment="1">
      <alignment horizontal="center" vertical="center"/>
    </xf>
    <xf numFmtId="170" fontId="48" fillId="0" borderId="2" xfId="28" applyNumberFormat="1" applyFont="1" applyBorder="1" applyAlignment="1">
      <alignment horizontal="center" vertical="center"/>
    </xf>
    <xf numFmtId="0" fontId="8" fillId="0" borderId="3" xfId="28" applyFont="1" applyBorder="1" applyAlignment="1">
      <alignment horizontal="center" vertical="center"/>
    </xf>
    <xf numFmtId="0" fontId="8" fillId="0" borderId="9" xfId="28" applyFont="1" applyBorder="1" applyAlignment="1">
      <alignment horizontal="center" vertical="center"/>
    </xf>
    <xf numFmtId="0" fontId="8" fillId="0" borderId="2" xfId="28" applyFont="1" applyBorder="1" applyAlignment="1">
      <alignment horizontal="center" vertical="center"/>
    </xf>
    <xf numFmtId="49" fontId="5" fillId="0" borderId="3" xfId="176" applyNumberFormat="1" applyFont="1" applyBorder="1" applyAlignment="1">
      <alignment horizontal="center" vertical="center"/>
    </xf>
    <xf numFmtId="49" fontId="5" fillId="0" borderId="9" xfId="176" applyNumberFormat="1" applyFont="1" applyBorder="1" applyAlignment="1">
      <alignment horizontal="center" vertical="center"/>
    </xf>
    <xf numFmtId="0" fontId="6" fillId="0" borderId="3" xfId="1" applyFont="1" applyBorder="1" applyAlignment="1">
      <alignment horizontal="left" vertical="center" wrapText="1"/>
    </xf>
    <xf numFmtId="0" fontId="6" fillId="0" borderId="9" xfId="1" applyFont="1" applyBorder="1" applyAlignment="1">
      <alignment horizontal="left" vertical="center" wrapText="1"/>
    </xf>
    <xf numFmtId="0" fontId="6" fillId="0" borderId="2" xfId="1" applyFont="1" applyBorder="1" applyAlignment="1">
      <alignment horizontal="left" vertical="center" wrapText="1"/>
    </xf>
    <xf numFmtId="0" fontId="5" fillId="0" borderId="9" xfId="0" applyFont="1" applyBorder="1" applyAlignment="1">
      <alignment horizontal="center" vertical="center" wrapText="1"/>
    </xf>
    <xf numFmtId="171" fontId="6" fillId="0" borderId="3" xfId="176" applyNumberFormat="1" applyFont="1" applyBorder="1" applyAlignment="1">
      <alignment horizontal="center" vertical="center"/>
    </xf>
    <xf numFmtId="171" fontId="6" fillId="0" borderId="2" xfId="176" applyNumberFormat="1" applyFont="1" applyBorder="1" applyAlignment="1">
      <alignment horizontal="center" vertical="center"/>
    </xf>
    <xf numFmtId="49" fontId="5" fillId="0" borderId="2" xfId="176" applyNumberFormat="1" applyFont="1" applyBorder="1" applyAlignment="1">
      <alignment horizontal="center" vertical="center"/>
    </xf>
    <xf numFmtId="0" fontId="5" fillId="0" borderId="3" xfId="176" applyFont="1" applyBorder="1" applyAlignment="1">
      <alignment horizontal="center" vertical="center"/>
    </xf>
    <xf numFmtId="0" fontId="5" fillId="0" borderId="2" xfId="176" applyFont="1" applyBorder="1" applyAlignment="1">
      <alignment horizontal="center" vertical="center"/>
    </xf>
    <xf numFmtId="0" fontId="8" fillId="0" borderId="3" xfId="176" applyFont="1" applyBorder="1" applyAlignment="1">
      <alignment horizontal="left" vertical="center" wrapText="1"/>
    </xf>
    <xf numFmtId="0" fontId="8" fillId="0" borderId="2" xfId="176" applyFont="1" applyBorder="1" applyAlignment="1">
      <alignment horizontal="left" vertical="center" wrapText="1"/>
    </xf>
    <xf numFmtId="49" fontId="6" fillId="0" borderId="3" xfId="176" applyNumberFormat="1" applyFont="1" applyBorder="1" applyAlignment="1">
      <alignment horizontal="center" vertical="center"/>
    </xf>
    <xf numFmtId="49" fontId="6" fillId="0" borderId="9" xfId="176" applyNumberFormat="1" applyFont="1" applyBorder="1" applyAlignment="1">
      <alignment horizontal="center" vertical="center"/>
    </xf>
    <xf numFmtId="49" fontId="6" fillId="0" borderId="2" xfId="176" applyNumberFormat="1" applyFont="1" applyBorder="1" applyAlignment="1">
      <alignment horizontal="center" vertical="center"/>
    </xf>
    <xf numFmtId="167" fontId="8" fillId="2" borderId="1" xfId="285" applyNumberFormat="1" applyFont="1" applyFill="1" applyBorder="1" applyAlignment="1">
      <alignment horizontal="center" vertical="center" wrapText="1"/>
    </xf>
    <xf numFmtId="167" fontId="0" fillId="0" borderId="1" xfId="0" applyNumberFormat="1" applyBorder="1" applyAlignment="1">
      <alignment horizontal="center" vertical="center" wrapText="1"/>
    </xf>
    <xf numFmtId="167" fontId="8" fillId="2" borderId="3" xfId="5" applyNumberFormat="1" applyFont="1" applyFill="1" applyBorder="1" applyAlignment="1">
      <alignment horizontal="center" vertical="center" wrapText="1"/>
    </xf>
    <xf numFmtId="0" fontId="8" fillId="2" borderId="3" xfId="0" applyFont="1" applyFill="1" applyBorder="1" applyAlignment="1">
      <alignment vertical="top" wrapText="1"/>
    </xf>
    <xf numFmtId="0" fontId="0" fillId="0" borderId="2" xfId="0" applyBorder="1" applyAlignment="1">
      <alignment vertical="top" wrapText="1"/>
    </xf>
    <xf numFmtId="0" fontId="8" fillId="2" borderId="3"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0" fillId="0" borderId="2" xfId="0" applyBorder="1" applyAlignment="1">
      <alignment horizontal="center" vertical="center" wrapText="1"/>
    </xf>
    <xf numFmtId="3" fontId="8" fillId="2" borderId="3" xfId="0" applyNumberFormat="1" applyFont="1" applyFill="1" applyBorder="1" applyAlignment="1">
      <alignment horizontal="center" vertical="center" wrapText="1"/>
    </xf>
    <xf numFmtId="167" fontId="8" fillId="2" borderId="3" xfId="285" applyNumberFormat="1" applyFont="1" applyFill="1" applyBorder="1" applyAlignment="1">
      <alignment horizontal="center" vertical="center"/>
    </xf>
    <xf numFmtId="167" fontId="8" fillId="2" borderId="2" xfId="285" applyNumberFormat="1" applyFont="1" applyFill="1" applyBorder="1" applyAlignment="1">
      <alignment horizontal="center" vertical="center"/>
    </xf>
    <xf numFmtId="167" fontId="8" fillId="2" borderId="9" xfId="285" applyNumberFormat="1" applyFont="1" applyFill="1" applyBorder="1" applyAlignment="1">
      <alignment horizontal="center" vertical="center" wrapText="1"/>
    </xf>
    <xf numFmtId="0" fontId="0" fillId="0" borderId="3" xfId="0" applyBorder="1" applyAlignment="1">
      <alignment horizontal="center" vertical="top"/>
    </xf>
    <xf numFmtId="0" fontId="0" fillId="0" borderId="2" xfId="0" applyBorder="1" applyAlignment="1">
      <alignment horizontal="center" vertical="top"/>
    </xf>
    <xf numFmtId="49" fontId="8" fillId="2" borderId="3" xfId="0" applyNumberFormat="1" applyFont="1" applyFill="1" applyBorder="1" applyAlignment="1">
      <alignment horizontal="center" vertical="top"/>
    </xf>
    <xf numFmtId="49" fontId="8" fillId="2" borderId="2" xfId="0" applyNumberFormat="1" applyFont="1" applyFill="1" applyBorder="1" applyAlignment="1">
      <alignment horizontal="center" vertical="top"/>
    </xf>
    <xf numFmtId="0" fontId="0" fillId="0" borderId="2" xfId="0" applyBorder="1" applyAlignment="1">
      <alignment horizontal="center" vertical="center"/>
    </xf>
    <xf numFmtId="0" fontId="40" fillId="2" borderId="9" xfId="0" applyFont="1" applyFill="1" applyBorder="1" applyAlignment="1">
      <alignment horizontal="left" vertical="center" wrapText="1"/>
    </xf>
    <xf numFmtId="0" fontId="8" fillId="2" borderId="9" xfId="0" applyFont="1" applyFill="1" applyBorder="1" applyAlignment="1">
      <alignment horizontal="left" vertical="center" wrapText="1"/>
    </xf>
    <xf numFmtId="187" fontId="8" fillId="2" borderId="1" xfId="0" applyNumberFormat="1" applyFont="1" applyFill="1" applyBorder="1" applyAlignment="1">
      <alignment horizontal="center" vertical="center" wrapText="1"/>
    </xf>
    <xf numFmtId="0" fontId="48" fillId="2" borderId="3" xfId="0" applyFont="1" applyFill="1" applyBorder="1" applyAlignment="1">
      <alignment horizontal="center" vertical="center"/>
    </xf>
    <xf numFmtId="0" fontId="19" fillId="2" borderId="9" xfId="0" applyFont="1" applyFill="1" applyBorder="1" applyAlignment="1">
      <alignment horizontal="center" vertical="center"/>
    </xf>
    <xf numFmtId="0" fontId="48" fillId="2" borderId="9" xfId="0" applyFont="1" applyFill="1" applyBorder="1" applyAlignment="1">
      <alignment horizontal="center" vertical="center"/>
    </xf>
    <xf numFmtId="0" fontId="48" fillId="2" borderId="2" xfId="0" applyFont="1" applyFill="1" applyBorder="1" applyAlignment="1">
      <alignment horizontal="center" vertical="center"/>
    </xf>
    <xf numFmtId="49" fontId="40" fillId="2" borderId="9" xfId="0" applyNumberFormat="1" applyFont="1" applyFill="1" applyBorder="1" applyAlignment="1">
      <alignment horizontal="center" vertical="center"/>
    </xf>
    <xf numFmtId="0" fontId="6" fillId="2" borderId="3" xfId="0" applyFont="1" applyFill="1" applyBorder="1" applyAlignment="1">
      <alignment horizontal="center"/>
    </xf>
    <xf numFmtId="0" fontId="6" fillId="2" borderId="9" xfId="0" applyFont="1" applyFill="1" applyBorder="1" applyAlignment="1">
      <alignment horizontal="center"/>
    </xf>
    <xf numFmtId="0" fontId="17" fillId="2" borderId="9" xfId="0" applyFont="1" applyFill="1" applyBorder="1" applyAlignment="1">
      <alignment horizontal="center"/>
    </xf>
    <xf numFmtId="0" fontId="6" fillId="2" borderId="2" xfId="0" applyFont="1" applyFill="1" applyBorder="1" applyAlignment="1">
      <alignment horizontal="center"/>
    </xf>
    <xf numFmtId="49" fontId="48" fillId="2" borderId="3" xfId="0" applyNumberFormat="1" applyFont="1" applyFill="1" applyBorder="1" applyAlignment="1">
      <alignment horizontal="center" vertical="top"/>
    </xf>
    <xf numFmtId="49" fontId="48" fillId="2" borderId="9" xfId="0" applyNumberFormat="1" applyFont="1" applyFill="1" applyBorder="1" applyAlignment="1">
      <alignment horizontal="center" vertical="top"/>
    </xf>
    <xf numFmtId="49" fontId="48" fillId="2" borderId="2" xfId="0" applyNumberFormat="1" applyFont="1" applyFill="1" applyBorder="1" applyAlignment="1">
      <alignment horizontal="center" vertical="top"/>
    </xf>
    <xf numFmtId="167" fontId="8" fillId="2" borderId="3" xfId="192" applyNumberFormat="1" applyFont="1" applyFill="1" applyBorder="1" applyAlignment="1">
      <alignment horizontal="center" vertical="center" wrapText="1"/>
    </xf>
    <xf numFmtId="49" fontId="8" fillId="2" borderId="3" xfId="192" applyNumberFormat="1" applyFont="1" applyFill="1" applyBorder="1" applyAlignment="1">
      <alignment horizontal="center" vertical="center"/>
    </xf>
    <xf numFmtId="49" fontId="8" fillId="2" borderId="9" xfId="192" applyNumberFormat="1" applyFont="1" applyFill="1" applyBorder="1" applyAlignment="1">
      <alignment horizontal="center" vertical="center"/>
    </xf>
    <xf numFmtId="0" fontId="0" fillId="0" borderId="9" xfId="0" applyBorder="1" applyAlignment="1">
      <alignment horizontal="center" vertical="center"/>
    </xf>
    <xf numFmtId="49" fontId="8" fillId="2" borderId="3" xfId="192" applyNumberFormat="1" applyFont="1" applyFill="1" applyBorder="1" applyAlignment="1">
      <alignment horizontal="center" vertical="top"/>
    </xf>
    <xf numFmtId="49" fontId="8" fillId="2" borderId="9" xfId="192" applyNumberFormat="1" applyFont="1" applyFill="1"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center"/>
    </xf>
    <xf numFmtId="49" fontId="8" fillId="2" borderId="1" xfId="0" applyNumberFormat="1" applyFont="1" applyFill="1" applyBorder="1" applyAlignment="1">
      <alignment horizontal="center" vertical="top"/>
    </xf>
    <xf numFmtId="0" fontId="0" fillId="0" borderId="1" xfId="0" applyBorder="1" applyAlignment="1">
      <alignment horizontal="center" vertical="top"/>
    </xf>
    <xf numFmtId="0" fontId="6" fillId="2" borderId="3" xfId="6" applyFont="1" applyFill="1" applyBorder="1" applyAlignment="1">
      <alignment horizontal="left" vertical="center" wrapText="1"/>
    </xf>
    <xf numFmtId="0" fontId="6" fillId="2" borderId="9" xfId="6" applyFont="1" applyFill="1" applyBorder="1" applyAlignment="1">
      <alignment horizontal="left" vertical="center" wrapText="1"/>
    </xf>
    <xf numFmtId="0" fontId="6" fillId="2" borderId="2" xfId="6" applyFont="1" applyFill="1" applyBorder="1" applyAlignment="1">
      <alignment horizontal="left" vertical="center" wrapText="1"/>
    </xf>
    <xf numFmtId="0" fontId="40" fillId="2" borderId="3" xfId="176" applyFont="1" applyFill="1" applyBorder="1" applyAlignment="1">
      <alignment horizontal="left" vertical="center" wrapText="1"/>
    </xf>
    <xf numFmtId="0" fontId="40" fillId="2" borderId="2" xfId="176" applyFont="1" applyFill="1" applyBorder="1" applyAlignment="1">
      <alignment horizontal="left" vertical="center" wrapText="1"/>
    </xf>
    <xf numFmtId="0" fontId="56" fillId="2" borderId="3" xfId="186" applyFont="1" applyFill="1" applyBorder="1" applyAlignment="1">
      <alignment horizontal="center" vertical="center"/>
    </xf>
    <xf numFmtId="0" fontId="56" fillId="2" borderId="9" xfId="186" applyFont="1" applyFill="1" applyBorder="1" applyAlignment="1">
      <alignment horizontal="center" vertical="center"/>
    </xf>
    <xf numFmtId="0" fontId="56" fillId="2" borderId="2" xfId="186" applyFont="1" applyFill="1" applyBorder="1" applyAlignment="1">
      <alignment horizontal="center" vertical="center"/>
    </xf>
    <xf numFmtId="170" fontId="5" fillId="0" borderId="3" xfId="0" applyNumberFormat="1" applyFont="1" applyBorder="1" applyAlignment="1">
      <alignment horizontal="center" vertical="center"/>
    </xf>
    <xf numFmtId="170" fontId="5" fillId="0" borderId="2" xfId="0" applyNumberFormat="1" applyFont="1" applyBorder="1" applyAlignment="1">
      <alignment horizontal="center" vertical="center"/>
    </xf>
    <xf numFmtId="167" fontId="5" fillId="2" borderId="3" xfId="0" applyNumberFormat="1" applyFont="1" applyFill="1" applyBorder="1" applyAlignment="1">
      <alignment horizontal="center" vertical="center" wrapText="1"/>
    </xf>
    <xf numFmtId="167" fontId="5" fillId="2" borderId="2" xfId="0" applyNumberFormat="1" applyFont="1" applyFill="1" applyBorder="1" applyAlignment="1">
      <alignment horizontal="center" vertical="center" wrapText="1"/>
    </xf>
    <xf numFmtId="0" fontId="8" fillId="2" borderId="3" xfId="0" applyFont="1" applyFill="1" applyBorder="1" applyAlignment="1">
      <alignment horizontal="center"/>
    </xf>
    <xf numFmtId="0" fontId="8" fillId="2" borderId="9" xfId="0" applyFont="1" applyFill="1" applyBorder="1" applyAlignment="1">
      <alignment horizontal="center"/>
    </xf>
    <xf numFmtId="0" fontId="8" fillId="2" borderId="2" xfId="0" applyFont="1" applyFill="1" applyBorder="1" applyAlignment="1">
      <alignment horizontal="center"/>
    </xf>
    <xf numFmtId="167" fontId="8" fillId="2" borderId="3" xfId="193" applyNumberFormat="1" applyFont="1" applyFill="1" applyBorder="1" applyAlignment="1">
      <alignment horizontal="center" vertical="center" wrapText="1"/>
    </xf>
    <xf numFmtId="167" fontId="8" fillId="2" borderId="9" xfId="193" applyNumberFormat="1" applyFont="1" applyFill="1" applyBorder="1" applyAlignment="1">
      <alignment horizontal="center" vertical="center" wrapText="1"/>
    </xf>
    <xf numFmtId="0" fontId="17" fillId="2" borderId="3" xfId="0" applyFont="1" applyFill="1" applyBorder="1" applyAlignment="1">
      <alignment horizontal="center" vertical="center"/>
    </xf>
    <xf numFmtId="0" fontId="17" fillId="2" borderId="2" xfId="0" applyFont="1" applyFill="1" applyBorder="1" applyAlignment="1">
      <alignment horizontal="center" vertical="center"/>
    </xf>
    <xf numFmtId="0" fontId="6" fillId="0" borderId="3" xfId="0" applyFont="1" applyBorder="1" applyAlignment="1">
      <alignment horizontal="left" vertical="top" wrapText="1"/>
    </xf>
    <xf numFmtId="0" fontId="6" fillId="0" borderId="2" xfId="0" applyFont="1" applyBorder="1" applyAlignment="1">
      <alignment horizontal="left" vertical="top" wrapText="1"/>
    </xf>
    <xf numFmtId="49" fontId="8" fillId="2" borderId="27" xfId="0" applyNumberFormat="1" applyFont="1" applyFill="1" applyBorder="1" applyAlignment="1">
      <alignment horizontal="center" vertical="center"/>
    </xf>
    <xf numFmtId="0" fontId="0" fillId="0" borderId="8" xfId="0" applyBorder="1" applyAlignment="1">
      <alignment horizontal="center" vertical="center"/>
    </xf>
    <xf numFmtId="0" fontId="0" fillId="0" borderId="30" xfId="0" applyBorder="1" applyAlignment="1">
      <alignment horizontal="center" vertical="center"/>
    </xf>
    <xf numFmtId="0" fontId="5" fillId="2" borderId="25"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28" xfId="0" applyFont="1" applyFill="1" applyBorder="1" applyAlignment="1">
      <alignment horizontal="center" vertical="center"/>
    </xf>
    <xf numFmtId="0" fontId="0" fillId="0" borderId="27" xfId="0" applyBorder="1" applyAlignment="1">
      <alignment horizontal="center" vertical="top"/>
    </xf>
    <xf numFmtId="0" fontId="0" fillId="0" borderId="30" xfId="0" applyBorder="1" applyAlignment="1">
      <alignment horizontal="center" vertical="top"/>
    </xf>
    <xf numFmtId="167" fontId="8" fillId="2" borderId="3" xfId="5" applyNumberFormat="1" applyFont="1" applyFill="1" applyBorder="1" applyAlignment="1">
      <alignment horizontal="left" vertical="center" wrapText="1"/>
    </xf>
    <xf numFmtId="167" fontId="0" fillId="0" borderId="9" xfId="0" applyNumberFormat="1" applyBorder="1" applyAlignment="1">
      <alignment horizontal="left" vertical="center" wrapText="1"/>
    </xf>
    <xf numFmtId="167" fontId="0" fillId="0" borderId="2" xfId="0" applyNumberFormat="1" applyBorder="1" applyAlignment="1">
      <alignment horizontal="left" vertical="center" wrapText="1"/>
    </xf>
    <xf numFmtId="0" fontId="6" fillId="2" borderId="3" xfId="192" applyFont="1" applyFill="1" applyBorder="1" applyAlignment="1">
      <alignment horizontal="left" vertical="center" wrapText="1"/>
    </xf>
    <xf numFmtId="0" fontId="6" fillId="2" borderId="9" xfId="192" applyFont="1" applyFill="1" applyBorder="1" applyAlignment="1">
      <alignment horizontal="left" vertical="center" wrapText="1"/>
    </xf>
    <xf numFmtId="167" fontId="8" fillId="2" borderId="25" xfId="285" applyNumberFormat="1" applyFont="1" applyFill="1" applyBorder="1" applyAlignment="1">
      <alignment horizontal="center" vertical="center" wrapText="1"/>
    </xf>
    <xf numFmtId="167" fontId="8" fillId="2" borderId="28" xfId="285" applyNumberFormat="1" applyFont="1" applyFill="1" applyBorder="1" applyAlignment="1">
      <alignment horizontal="center" vertical="center" wrapText="1"/>
    </xf>
    <xf numFmtId="0" fontId="6" fillId="2" borderId="3" xfId="0" applyFont="1" applyFill="1" applyBorder="1" applyAlignment="1">
      <alignment horizontal="left" vertical="top" wrapText="1"/>
    </xf>
    <xf numFmtId="0" fontId="6" fillId="2" borderId="2" xfId="0" applyFont="1" applyFill="1" applyBorder="1" applyAlignment="1">
      <alignment horizontal="left" vertical="top" wrapText="1"/>
    </xf>
    <xf numFmtId="167" fontId="8" fillId="2" borderId="25" xfId="285" applyNumberFormat="1" applyFont="1" applyFill="1" applyBorder="1" applyAlignment="1">
      <alignment horizontal="center" vertical="center"/>
    </xf>
    <xf numFmtId="167" fontId="8" fillId="2" borderId="28" xfId="285" applyNumberFormat="1" applyFont="1" applyFill="1" applyBorder="1" applyAlignment="1">
      <alignment horizontal="center" vertical="center"/>
    </xf>
    <xf numFmtId="0" fontId="0" fillId="0" borderId="2" xfId="0" applyBorder="1" applyAlignment="1">
      <alignment vertical="center" wrapText="1"/>
    </xf>
    <xf numFmtId="0" fontId="48" fillId="3" borderId="1" xfId="5" applyFont="1" applyFill="1" applyBorder="1" applyAlignment="1">
      <alignment horizontal="center" vertical="center" wrapText="1"/>
    </xf>
    <xf numFmtId="0" fontId="0" fillId="0" borderId="9" xfId="0" applyBorder="1" applyAlignment="1">
      <alignment horizontal="center" vertical="center" wrapText="1"/>
    </xf>
    <xf numFmtId="0" fontId="8" fillId="2" borderId="3" xfId="0" applyFont="1" applyFill="1" applyBorder="1" applyAlignment="1">
      <alignment vertical="center" wrapText="1"/>
    </xf>
    <xf numFmtId="0" fontId="8" fillId="0" borderId="3" xfId="5" applyFont="1" applyBorder="1" applyAlignment="1">
      <alignment horizontal="left" vertical="center" wrapText="1"/>
    </xf>
    <xf numFmtId="0" fontId="8" fillId="0" borderId="2" xfId="5" applyFont="1" applyBorder="1" applyAlignment="1">
      <alignment horizontal="left" vertical="center" wrapText="1"/>
    </xf>
    <xf numFmtId="0" fontId="46" fillId="0" borderId="0" xfId="0" applyFont="1" applyAlignment="1">
      <alignment horizontal="right" vertical="center" wrapText="1"/>
    </xf>
    <xf numFmtId="0" fontId="8" fillId="2" borderId="1" xfId="0" applyFont="1" applyFill="1" applyBorder="1" applyAlignment="1">
      <alignment horizontal="center" vertical="center"/>
    </xf>
    <xf numFmtId="0" fontId="8" fillId="2" borderId="1" xfId="176" applyFont="1" applyFill="1" applyBorder="1" applyAlignment="1">
      <alignment horizontal="center" vertical="center"/>
    </xf>
    <xf numFmtId="0" fontId="8" fillId="2" borderId="3" xfId="0" applyFont="1" applyFill="1" applyBorder="1" applyAlignment="1">
      <alignment horizontal="center" vertical="center"/>
    </xf>
    <xf numFmtId="49" fontId="8" fillId="2" borderId="2" xfId="0" applyNumberFormat="1" applyFont="1" applyFill="1" applyBorder="1" applyAlignment="1">
      <alignment horizontal="center" vertical="top" wrapText="1"/>
    </xf>
    <xf numFmtId="17" fontId="6" fillId="2" borderId="3" xfId="0" applyNumberFormat="1" applyFont="1" applyFill="1" applyBorder="1" applyAlignment="1">
      <alignment horizontal="left" vertical="center" wrapText="1"/>
    </xf>
    <xf numFmtId="17" fontId="6" fillId="2" borderId="2" xfId="0" applyNumberFormat="1" applyFont="1" applyFill="1" applyBorder="1" applyAlignment="1">
      <alignment horizontal="left" vertical="center" wrapText="1"/>
    </xf>
    <xf numFmtId="0" fontId="8" fillId="2" borderId="25" xfId="176" applyFont="1" applyFill="1" applyBorder="1" applyAlignment="1">
      <alignment horizontal="left" vertical="center" wrapText="1"/>
    </xf>
    <xf numFmtId="0" fontId="8" fillId="2" borderId="28" xfId="176" applyFont="1" applyFill="1" applyBorder="1" applyAlignment="1">
      <alignment horizontal="left" vertical="center" wrapText="1"/>
    </xf>
    <xf numFmtId="171" fontId="48" fillId="3" borderId="5" xfId="184" applyNumberFormat="1" applyFont="1" applyFill="1" applyBorder="1" applyAlignment="1">
      <alignment horizontal="left" vertical="center"/>
    </xf>
    <xf numFmtId="171" fontId="48" fillId="3" borderId="6" xfId="184" applyNumberFormat="1" applyFont="1" applyFill="1" applyBorder="1" applyAlignment="1">
      <alignment horizontal="left" vertical="center"/>
    </xf>
    <xf numFmtId="171" fontId="48" fillId="3" borderId="7" xfId="184" applyNumberFormat="1" applyFont="1" applyFill="1" applyBorder="1" applyAlignment="1">
      <alignment horizontal="left" vertical="center"/>
    </xf>
    <xf numFmtId="49" fontId="48" fillId="2" borderId="1" xfId="5" applyNumberFormat="1" applyFont="1" applyFill="1" applyBorder="1" applyAlignment="1">
      <alignment horizontal="center" vertical="center"/>
    </xf>
    <xf numFmtId="172" fontId="6" fillId="2" borderId="3" xfId="0" applyNumberFormat="1" applyFont="1" applyFill="1" applyBorder="1" applyAlignment="1">
      <alignment horizontal="center" vertical="center" wrapText="1"/>
    </xf>
    <xf numFmtId="172" fontId="6" fillId="2" borderId="2" xfId="0" applyNumberFormat="1" applyFont="1" applyFill="1" applyBorder="1" applyAlignment="1">
      <alignment horizontal="center" vertical="center" wrapText="1"/>
    </xf>
    <xf numFmtId="49" fontId="6" fillId="2" borderId="9" xfId="0" applyNumberFormat="1" applyFont="1" applyFill="1" applyBorder="1" applyAlignment="1">
      <alignment horizontal="center" vertical="center"/>
    </xf>
    <xf numFmtId="0" fontId="48" fillId="2" borderId="5" xfId="0" applyFont="1" applyFill="1" applyBorder="1" applyAlignment="1">
      <alignment horizontal="center" vertical="center"/>
    </xf>
    <xf numFmtId="0" fontId="48" fillId="2" borderId="6" xfId="0" applyFont="1" applyFill="1" applyBorder="1" applyAlignment="1">
      <alignment horizontal="center" vertical="center"/>
    </xf>
    <xf numFmtId="0" fontId="48" fillId="2" borderId="7" xfId="0" applyFont="1" applyFill="1" applyBorder="1" applyAlignment="1">
      <alignment horizontal="center" vertical="center"/>
    </xf>
    <xf numFmtId="49" fontId="48" fillId="2" borderId="3" xfId="0" applyNumberFormat="1" applyFont="1" applyFill="1" applyBorder="1" applyAlignment="1">
      <alignment horizontal="center" vertical="center"/>
    </xf>
    <xf numFmtId="49" fontId="48" fillId="2" borderId="9" xfId="0" applyNumberFormat="1" applyFont="1" applyFill="1" applyBorder="1" applyAlignment="1">
      <alignment horizontal="center" vertical="center"/>
    </xf>
    <xf numFmtId="49" fontId="8" fillId="2" borderId="27" xfId="0" applyNumberFormat="1" applyFont="1" applyFill="1" applyBorder="1" applyAlignment="1">
      <alignment horizontal="center" vertical="top"/>
    </xf>
    <xf numFmtId="0" fontId="8" fillId="2" borderId="2" xfId="0" applyFont="1" applyFill="1" applyBorder="1" applyAlignment="1">
      <alignment horizontal="center" vertical="center"/>
    </xf>
    <xf numFmtId="49" fontId="48" fillId="2" borderId="3" xfId="1" applyNumberFormat="1" applyFont="1" applyFill="1" applyBorder="1" applyAlignment="1">
      <alignment horizontal="center" vertical="center" wrapText="1"/>
    </xf>
    <xf numFmtId="49" fontId="48" fillId="2" borderId="9" xfId="1" applyNumberFormat="1" applyFont="1" applyFill="1" applyBorder="1" applyAlignment="1">
      <alignment horizontal="center" vertical="center" wrapText="1"/>
    </xf>
    <xf numFmtId="49" fontId="48" fillId="2" borderId="2" xfId="1"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xf>
    <xf numFmtId="49" fontId="48" fillId="2" borderId="3" xfId="0" applyNumberFormat="1" applyFont="1" applyFill="1" applyBorder="1" applyAlignment="1">
      <alignment horizontal="left" vertical="center"/>
    </xf>
    <xf numFmtId="49" fontId="8" fillId="2" borderId="9" xfId="0" applyNumberFormat="1" applyFont="1" applyFill="1" applyBorder="1" applyAlignment="1">
      <alignment horizontal="left" vertical="center"/>
    </xf>
    <xf numFmtId="172" fontId="48" fillId="3" borderId="5" xfId="0" applyNumberFormat="1" applyFont="1" applyFill="1" applyBorder="1" applyAlignment="1">
      <alignment horizontal="left"/>
    </xf>
    <xf numFmtId="172" fontId="48" fillId="3" borderId="6" xfId="0" applyNumberFormat="1" applyFont="1" applyFill="1" applyBorder="1" applyAlignment="1">
      <alignment horizontal="left"/>
    </xf>
    <xf numFmtId="172" fontId="48" fillId="3" borderId="7" xfId="0" applyNumberFormat="1" applyFont="1" applyFill="1" applyBorder="1" applyAlignment="1">
      <alignment horizontal="left"/>
    </xf>
    <xf numFmtId="49" fontId="5" fillId="2" borderId="8" xfId="0" applyNumberFormat="1" applyFont="1" applyFill="1" applyBorder="1" applyAlignment="1">
      <alignment horizontal="center" vertical="center"/>
    </xf>
    <xf numFmtId="49" fontId="5" fillId="2" borderId="3" xfId="1" applyNumberFormat="1" applyFont="1" applyFill="1" applyBorder="1" applyAlignment="1">
      <alignment horizontal="center" vertical="center" wrapText="1"/>
    </xf>
    <xf numFmtId="49" fontId="5" fillId="2" borderId="2"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6" fillId="2" borderId="2" xfId="1" applyNumberFormat="1" applyFont="1" applyFill="1" applyBorder="1" applyAlignment="1">
      <alignment horizontal="center" vertical="center" wrapText="1"/>
    </xf>
    <xf numFmtId="49" fontId="6" fillId="2" borderId="1" xfId="1" applyNumberFormat="1" applyFont="1" applyFill="1" applyBorder="1" applyAlignment="1">
      <alignment horizontal="center" vertical="center" wrapText="1"/>
    </xf>
    <xf numFmtId="49" fontId="5" fillId="2" borderId="1" xfId="1" applyNumberFormat="1" applyFont="1" applyFill="1" applyBorder="1" applyAlignment="1">
      <alignment horizontal="center" vertical="center" wrapText="1"/>
    </xf>
    <xf numFmtId="0" fontId="6" fillId="2" borderId="1" xfId="1" applyFont="1" applyFill="1" applyBorder="1" applyAlignment="1">
      <alignment horizontal="left" vertical="center" wrapText="1"/>
    </xf>
    <xf numFmtId="49" fontId="6" fillId="2" borderId="9" xfId="1" applyNumberFormat="1" applyFont="1" applyFill="1" applyBorder="1" applyAlignment="1">
      <alignment horizontal="center" vertical="center" wrapText="1"/>
    </xf>
    <xf numFmtId="49" fontId="5" fillId="2" borderId="9" xfId="1" applyNumberFormat="1" applyFont="1" applyFill="1" applyBorder="1" applyAlignment="1">
      <alignment horizontal="center" vertical="center" wrapText="1"/>
    </xf>
    <xf numFmtId="0" fontId="5" fillId="2" borderId="48" xfId="1" applyFont="1" applyFill="1" applyBorder="1" applyAlignment="1">
      <alignment horizontal="left" vertical="center" wrapText="1"/>
    </xf>
    <xf numFmtId="0" fontId="5" fillId="2" borderId="49" xfId="1" applyFont="1" applyFill="1" applyBorder="1" applyAlignment="1">
      <alignment horizontal="left" vertical="center" wrapText="1"/>
    </xf>
    <xf numFmtId="49" fontId="5"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172" fontId="5" fillId="2" borderId="3" xfId="0" applyNumberFormat="1" applyFont="1" applyFill="1" applyBorder="1" applyAlignment="1">
      <alignment horizontal="left" vertical="center" wrapText="1"/>
    </xf>
    <xf numFmtId="172" fontId="5" fillId="2" borderId="9" xfId="0" applyNumberFormat="1" applyFont="1" applyFill="1" applyBorder="1" applyAlignment="1">
      <alignment horizontal="left" vertical="center" wrapText="1"/>
    </xf>
    <xf numFmtId="172" fontId="5" fillId="2" borderId="2" xfId="0" applyNumberFormat="1" applyFont="1" applyFill="1" applyBorder="1" applyAlignment="1">
      <alignment horizontal="left" vertical="center" wrapText="1"/>
    </xf>
    <xf numFmtId="172" fontId="5" fillId="2" borderId="1" xfId="0" applyNumberFormat="1" applyFont="1" applyFill="1" applyBorder="1" applyAlignment="1">
      <alignment horizontal="center" vertical="center" wrapText="1"/>
    </xf>
    <xf numFmtId="172" fontId="51" fillId="2" borderId="9" xfId="0" applyNumberFormat="1" applyFont="1" applyFill="1" applyBorder="1" applyAlignment="1">
      <alignment horizontal="left" vertical="center" wrapText="1"/>
    </xf>
    <xf numFmtId="172" fontId="51" fillId="2" borderId="2" xfId="0" applyNumberFormat="1" applyFont="1" applyFill="1" applyBorder="1" applyAlignment="1">
      <alignment horizontal="left" vertical="center" wrapText="1"/>
    </xf>
    <xf numFmtId="172" fontId="6" fillId="2" borderId="1" xfId="0" applyNumberFormat="1" applyFont="1" applyFill="1" applyBorder="1" applyAlignment="1">
      <alignment horizontal="left" vertical="center" wrapText="1"/>
    </xf>
    <xf numFmtId="172" fontId="6" fillId="2" borderId="1" xfId="0" applyNumberFormat="1" applyFont="1" applyFill="1" applyBorder="1" applyAlignment="1">
      <alignment horizontal="center" vertical="center"/>
    </xf>
    <xf numFmtId="49" fontId="48" fillId="2" borderId="1" xfId="0" applyNumberFormat="1" applyFont="1" applyFill="1" applyBorder="1" applyAlignment="1">
      <alignment horizontal="center" vertical="center"/>
    </xf>
    <xf numFmtId="49" fontId="48" fillId="2" borderId="5" xfId="0" applyNumberFormat="1" applyFont="1" applyFill="1" applyBorder="1" applyAlignment="1">
      <alignment horizontal="center" vertical="center"/>
    </xf>
    <xf numFmtId="172" fontId="5" fillId="2" borderId="7" xfId="0" applyNumberFormat="1" applyFont="1" applyFill="1" applyBorder="1" applyAlignment="1">
      <alignment horizontal="center" vertical="center" wrapText="1"/>
    </xf>
    <xf numFmtId="172" fontId="6" fillId="2" borderId="1" xfId="0" applyNumberFormat="1" applyFont="1" applyFill="1" applyBorder="1" applyAlignment="1">
      <alignment horizontal="center" vertical="center" wrapText="1"/>
    </xf>
    <xf numFmtId="172" fontId="8" fillId="2" borderId="1" xfId="5" applyNumberFormat="1" applyFont="1" applyFill="1" applyBorder="1" applyAlignment="1">
      <alignment horizontal="left" vertical="center" wrapText="1"/>
    </xf>
    <xf numFmtId="49" fontId="6" fillId="2" borderId="1" xfId="0" applyNumberFormat="1" applyFont="1" applyFill="1" applyBorder="1" applyAlignment="1">
      <alignment horizontal="center" vertical="center"/>
    </xf>
    <xf numFmtId="172" fontId="8" fillId="2" borderId="1" xfId="0" applyNumberFormat="1" applyFont="1" applyFill="1" applyBorder="1" applyAlignment="1">
      <alignment horizontal="center" vertical="center" wrapText="1"/>
    </xf>
    <xf numFmtId="172" fontId="5" fillId="2" borderId="3" xfId="5" applyNumberFormat="1" applyFont="1" applyFill="1" applyBorder="1" applyAlignment="1">
      <alignment horizontal="left" vertical="center" wrapText="1"/>
    </xf>
    <xf numFmtId="172" fontId="5" fillId="2" borderId="2" xfId="5" applyNumberFormat="1" applyFont="1" applyFill="1" applyBorder="1" applyAlignment="1">
      <alignment horizontal="left" vertical="center" wrapText="1"/>
    </xf>
    <xf numFmtId="172" fontId="5" fillId="2" borderId="1" xfId="0" applyNumberFormat="1" applyFont="1" applyFill="1" applyBorder="1" applyAlignment="1">
      <alignment horizontal="left" vertical="center"/>
    </xf>
    <xf numFmtId="172" fontId="5" fillId="2" borderId="1" xfId="0" applyNumberFormat="1" applyFont="1" applyFill="1" applyBorder="1" applyAlignment="1">
      <alignment horizontal="center" vertical="center"/>
    </xf>
    <xf numFmtId="172" fontId="5" fillId="2" borderId="1" xfId="2"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xf>
    <xf numFmtId="172" fontId="8" fillId="2" borderId="9" xfId="0" applyNumberFormat="1" applyFont="1" applyFill="1" applyBorder="1" applyAlignment="1">
      <alignment horizontal="left" vertical="center"/>
    </xf>
    <xf numFmtId="172" fontId="8" fillId="2" borderId="9" xfId="0" applyNumberFormat="1" applyFont="1" applyFill="1" applyBorder="1" applyAlignment="1">
      <alignment horizontal="center" vertical="center"/>
    </xf>
    <xf numFmtId="49" fontId="48" fillId="2" borderId="9" xfId="0" applyNumberFormat="1" applyFont="1" applyFill="1" applyBorder="1" applyAlignment="1">
      <alignment horizontal="left" vertical="center"/>
    </xf>
    <xf numFmtId="49" fontId="8" fillId="2" borderId="2" xfId="0" applyNumberFormat="1" applyFont="1" applyFill="1" applyBorder="1" applyAlignment="1">
      <alignment horizontal="left" vertical="center"/>
    </xf>
    <xf numFmtId="172" fontId="48" fillId="2" borderId="3" xfId="0" applyNumberFormat="1" applyFont="1" applyFill="1" applyBorder="1" applyAlignment="1">
      <alignment horizontal="left" vertical="center" wrapText="1"/>
    </xf>
    <xf numFmtId="172" fontId="48" fillId="2" borderId="9" xfId="0" applyNumberFormat="1" applyFont="1" applyFill="1" applyBorder="1" applyAlignment="1">
      <alignment horizontal="left" vertical="center" wrapText="1"/>
    </xf>
    <xf numFmtId="172" fontId="8" fillId="2" borderId="2" xfId="0" applyNumberFormat="1" applyFont="1" applyFill="1" applyBorder="1" applyAlignment="1">
      <alignment horizontal="left" vertical="center"/>
    </xf>
    <xf numFmtId="172" fontId="48" fillId="2" borderId="3" xfId="0" applyNumberFormat="1" applyFont="1" applyFill="1" applyBorder="1" applyAlignment="1">
      <alignment horizontal="center" vertical="center" wrapText="1"/>
    </xf>
    <xf numFmtId="172" fontId="48" fillId="2" borderId="9" xfId="0" applyNumberFormat="1" applyFont="1" applyFill="1" applyBorder="1" applyAlignment="1">
      <alignment horizontal="center" vertical="center" wrapText="1"/>
    </xf>
    <xf numFmtId="172" fontId="48" fillId="2" borderId="2" xfId="0" applyNumberFormat="1" applyFont="1" applyFill="1" applyBorder="1" applyAlignment="1">
      <alignment horizontal="center" vertical="center"/>
    </xf>
    <xf numFmtId="49" fontId="8" fillId="2" borderId="2" xfId="0" applyNumberFormat="1" applyFont="1" applyFill="1" applyBorder="1" applyAlignment="1">
      <alignment vertical="center"/>
    </xf>
    <xf numFmtId="172" fontId="8" fillId="2" borderId="2" xfId="0" applyNumberFormat="1" applyFont="1" applyFill="1" applyBorder="1" applyAlignment="1">
      <alignment vertical="center"/>
    </xf>
    <xf numFmtId="172" fontId="8" fillId="2" borderId="1" xfId="0" applyNumberFormat="1" applyFont="1" applyFill="1" applyBorder="1"/>
    <xf numFmtId="172" fontId="8" fillId="2" borderId="1" xfId="0" applyNumberFormat="1" applyFont="1" applyFill="1" applyBorder="1" applyAlignment="1">
      <alignment horizontal="center"/>
    </xf>
    <xf numFmtId="172" fontId="48" fillId="2" borderId="1" xfId="0" applyNumberFormat="1" applyFont="1" applyFill="1" applyBorder="1" applyAlignment="1">
      <alignment horizontal="left" vertical="center" wrapText="1"/>
    </xf>
    <xf numFmtId="172" fontId="48" fillId="2" borderId="1" xfId="0" applyNumberFormat="1" applyFont="1" applyFill="1" applyBorder="1" applyAlignment="1">
      <alignment horizontal="center" vertical="center" wrapText="1"/>
    </xf>
    <xf numFmtId="172" fontId="8" fillId="2" borderId="9" xfId="0" applyNumberFormat="1" applyFont="1" applyFill="1" applyBorder="1" applyAlignment="1">
      <alignment horizontal="center"/>
    </xf>
    <xf numFmtId="172" fontId="8" fillId="2" borderId="2" xfId="0" applyNumberFormat="1" applyFont="1" applyFill="1" applyBorder="1" applyAlignment="1">
      <alignment horizontal="center"/>
    </xf>
    <xf numFmtId="49" fontId="48" fillId="2" borderId="3" xfId="0" applyNumberFormat="1" applyFont="1" applyFill="1" applyBorder="1" applyAlignment="1">
      <alignment vertical="center"/>
    </xf>
    <xf numFmtId="49" fontId="48" fillId="2" borderId="9" xfId="0" applyNumberFormat="1" applyFont="1" applyFill="1" applyBorder="1" applyAlignment="1">
      <alignment vertical="center"/>
    </xf>
    <xf numFmtId="172" fontId="48" fillId="2" borderId="3" xfId="0" applyNumberFormat="1" applyFont="1" applyFill="1" applyBorder="1" applyAlignment="1">
      <alignment vertical="center" wrapText="1"/>
    </xf>
    <xf numFmtId="172" fontId="48" fillId="2" borderId="9" xfId="0" applyNumberFormat="1" applyFont="1" applyFill="1" applyBorder="1" applyAlignment="1">
      <alignment vertical="center" wrapText="1"/>
    </xf>
    <xf numFmtId="49" fontId="48" fillId="2" borderId="1" xfId="0" applyNumberFormat="1" applyFont="1" applyFill="1" applyBorder="1" applyAlignment="1">
      <alignment horizontal="center" vertical="center" wrapText="1"/>
    </xf>
    <xf numFmtId="172" fontId="48" fillId="3" borderId="28" xfId="0" applyNumberFormat="1" applyFont="1" applyFill="1" applyBorder="1" applyAlignment="1">
      <alignment horizontal="left"/>
    </xf>
    <xf numFmtId="172" fontId="48" fillId="3" borderId="29" xfId="0" applyNumberFormat="1" applyFont="1" applyFill="1" applyBorder="1" applyAlignment="1">
      <alignment horizontal="left"/>
    </xf>
    <xf numFmtId="172" fontId="48" fillId="3" borderId="30" xfId="0" applyNumberFormat="1" applyFont="1" applyFill="1" applyBorder="1" applyAlignment="1">
      <alignment horizontal="left"/>
    </xf>
    <xf numFmtId="172" fontId="8" fillId="2" borderId="3" xfId="0" applyNumberFormat="1" applyFont="1" applyFill="1" applyBorder="1" applyAlignment="1">
      <alignment vertical="center" wrapText="1"/>
    </xf>
    <xf numFmtId="172" fontId="8" fillId="2" borderId="9" xfId="0" applyNumberFormat="1" applyFont="1" applyFill="1" applyBorder="1" applyAlignment="1">
      <alignment vertical="center" wrapText="1"/>
    </xf>
    <xf numFmtId="172" fontId="8" fillId="2" borderId="2" xfId="0" applyNumberFormat="1" applyFont="1" applyFill="1" applyBorder="1" applyAlignment="1">
      <alignment vertical="center" wrapText="1"/>
    </xf>
    <xf numFmtId="172" fontId="8" fillId="2" borderId="1" xfId="0" applyNumberFormat="1" applyFont="1" applyFill="1" applyBorder="1" applyAlignment="1">
      <alignment horizontal="center" vertical="center"/>
    </xf>
    <xf numFmtId="172" fontId="8" fillId="2" borderId="1" xfId="0" applyNumberFormat="1" applyFont="1" applyFill="1" applyBorder="1" applyAlignment="1">
      <alignment vertical="center" wrapText="1"/>
    </xf>
    <xf numFmtId="172" fontId="8" fillId="2" borderId="1" xfId="24" applyNumberFormat="1" applyFont="1" applyFill="1" applyBorder="1" applyAlignment="1">
      <alignment horizontal="center" vertical="center"/>
    </xf>
    <xf numFmtId="172" fontId="8" fillId="2" borderId="1" xfId="4" applyNumberFormat="1" applyFont="1" applyFill="1" applyBorder="1" applyAlignment="1">
      <alignment horizontal="center" vertical="center"/>
    </xf>
    <xf numFmtId="172" fontId="8" fillId="2" borderId="1" xfId="5" applyNumberFormat="1" applyFont="1" applyFill="1" applyBorder="1" applyAlignment="1">
      <alignment vertical="center" wrapText="1"/>
    </xf>
    <xf numFmtId="49" fontId="8" fillId="2" borderId="1" xfId="0" applyNumberFormat="1" applyFont="1" applyFill="1" applyBorder="1" applyAlignment="1">
      <alignment horizontal="left" vertical="center" wrapText="1"/>
    </xf>
    <xf numFmtId="172" fontId="48" fillId="2" borderId="1" xfId="0" applyNumberFormat="1" applyFont="1" applyFill="1" applyBorder="1" applyAlignment="1">
      <alignment vertical="center" wrapText="1"/>
    </xf>
    <xf numFmtId="0" fontId="5" fillId="3" borderId="46" xfId="183" applyFont="1" applyFill="1" applyBorder="1" applyAlignment="1">
      <alignment horizontal="left" vertical="top"/>
    </xf>
    <xf numFmtId="167" fontId="6" fillId="2" borderId="3" xfId="1" applyNumberFormat="1" applyFont="1" applyFill="1" applyBorder="1" applyAlignment="1">
      <alignment horizontal="center" vertical="center" wrapText="1"/>
    </xf>
    <xf numFmtId="167" fontId="6" fillId="2" borderId="9"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0" fontId="5" fillId="2" borderId="3" xfId="1" applyFont="1" applyFill="1" applyBorder="1" applyAlignment="1">
      <alignment horizontal="left" vertical="center" wrapText="1"/>
    </xf>
    <xf numFmtId="0" fontId="5" fillId="2" borderId="2" xfId="1" applyFont="1" applyFill="1" applyBorder="1" applyAlignment="1">
      <alignment horizontal="left" vertical="center" wrapText="1"/>
    </xf>
    <xf numFmtId="167" fontId="5" fillId="2" borderId="3" xfId="1" applyNumberFormat="1" applyFont="1" applyFill="1" applyBorder="1" applyAlignment="1">
      <alignment horizontal="center" vertical="center" wrapText="1"/>
    </xf>
    <xf numFmtId="167" fontId="5" fillId="2" borderId="2" xfId="1" applyNumberFormat="1" applyFont="1" applyFill="1" applyBorder="1" applyAlignment="1">
      <alignment horizontal="center" vertical="center" wrapText="1"/>
    </xf>
    <xf numFmtId="0" fontId="6" fillId="2" borderId="3" xfId="1" applyFont="1" applyFill="1" applyBorder="1" applyAlignment="1">
      <alignment horizontal="left" vertical="center" wrapText="1"/>
    </xf>
    <xf numFmtId="0" fontId="6" fillId="2" borderId="9" xfId="1" applyFont="1" applyFill="1" applyBorder="1" applyAlignment="1">
      <alignment horizontal="left" vertical="center" wrapText="1"/>
    </xf>
    <xf numFmtId="0" fontId="6" fillId="2" borderId="2" xfId="1" applyFont="1" applyFill="1" applyBorder="1" applyAlignment="1">
      <alignment horizontal="left" vertical="center" wrapText="1"/>
    </xf>
    <xf numFmtId="0" fontId="6" fillId="2" borderId="48" xfId="1" applyFont="1" applyFill="1" applyBorder="1" applyAlignment="1">
      <alignment horizontal="left" vertical="center" wrapText="1"/>
    </xf>
    <xf numFmtId="0" fontId="6" fillId="2" borderId="50" xfId="1" applyFont="1" applyFill="1" applyBorder="1" applyAlignment="1">
      <alignment horizontal="left" vertical="center" wrapText="1"/>
    </xf>
    <xf numFmtId="0" fontId="6" fillId="2" borderId="49" xfId="1" applyFont="1" applyFill="1" applyBorder="1" applyAlignment="1">
      <alignment horizontal="left" vertical="center" wrapText="1"/>
    </xf>
    <xf numFmtId="0" fontId="5" fillId="4" borderId="25" xfId="1" applyFont="1" applyFill="1" applyBorder="1" applyAlignment="1">
      <alignment horizontal="left" vertical="center" wrapText="1"/>
    </xf>
    <xf numFmtId="0" fontId="5" fillId="4" borderId="26" xfId="1" applyFont="1" applyFill="1" applyBorder="1" applyAlignment="1">
      <alignment horizontal="left" vertical="center" wrapText="1"/>
    </xf>
    <xf numFmtId="0" fontId="5" fillId="2" borderId="48" xfId="1" applyFont="1" applyFill="1" applyBorder="1" applyAlignment="1">
      <alignment horizontal="left" wrapText="1"/>
    </xf>
    <xf numFmtId="0" fontId="5" fillId="2" borderId="49" xfId="1" applyFont="1" applyFill="1" applyBorder="1" applyAlignment="1">
      <alignment horizontal="left" wrapText="1"/>
    </xf>
    <xf numFmtId="167" fontId="5" fillId="2" borderId="33" xfId="0" applyNumberFormat="1" applyFont="1" applyFill="1" applyBorder="1" applyAlignment="1">
      <alignment horizontal="center" vertical="center" wrapText="1"/>
    </xf>
    <xf numFmtId="167" fontId="8" fillId="2" borderId="34" xfId="0" applyNumberFormat="1" applyFont="1" applyFill="1" applyBorder="1" applyAlignment="1">
      <alignment horizontal="center"/>
    </xf>
    <xf numFmtId="167" fontId="5" fillId="30" borderId="33" xfId="0" applyNumberFormat="1" applyFont="1" applyFill="1" applyBorder="1" applyAlignment="1">
      <alignment horizontal="center" vertical="center" wrapText="1"/>
    </xf>
    <xf numFmtId="167" fontId="5" fillId="31"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wrapText="1"/>
    </xf>
    <xf numFmtId="167" fontId="6" fillId="30" borderId="36" xfId="0" applyNumberFormat="1" applyFont="1" applyFill="1" applyBorder="1" applyAlignment="1">
      <alignment horizontal="center" vertical="center" wrapText="1"/>
    </xf>
    <xf numFmtId="167" fontId="8" fillId="2" borderId="36" xfId="0" applyNumberFormat="1" applyFont="1" applyFill="1" applyBorder="1" applyAlignment="1">
      <alignment horizontal="center"/>
    </xf>
    <xf numFmtId="167" fontId="6" fillId="2" borderId="36"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167" fontId="8" fillId="2" borderId="34" xfId="0" applyNumberFormat="1" applyFont="1" applyFill="1" applyBorder="1"/>
    <xf numFmtId="167" fontId="6" fillId="30" borderId="33" xfId="0" applyNumberFormat="1" applyFont="1" applyFill="1" applyBorder="1" applyAlignment="1">
      <alignment horizontal="center" vertical="center"/>
    </xf>
    <xf numFmtId="167" fontId="6" fillId="29" borderId="33" xfId="0" applyNumberFormat="1" applyFont="1" applyFill="1" applyBorder="1" applyAlignment="1">
      <alignment horizontal="center" vertical="center" wrapText="1"/>
    </xf>
    <xf numFmtId="167" fontId="8" fillId="2" borderId="36" xfId="0" applyNumberFormat="1" applyFont="1" applyFill="1" applyBorder="1"/>
    <xf numFmtId="167" fontId="6" fillId="30" borderId="33" xfId="0" applyNumberFormat="1" applyFont="1" applyFill="1" applyBorder="1" applyAlignment="1">
      <alignment horizontal="center" vertical="center" wrapText="1"/>
    </xf>
    <xf numFmtId="167" fontId="54" fillId="29" borderId="33" xfId="0" applyNumberFormat="1" applyFont="1" applyFill="1" applyBorder="1" applyAlignment="1">
      <alignment horizontal="center" vertical="center" wrapText="1"/>
    </xf>
    <xf numFmtId="167" fontId="54" fillId="29" borderId="36" xfId="0" applyNumberFormat="1" applyFont="1" applyFill="1" applyBorder="1" applyAlignment="1">
      <alignment horizontal="center" vertical="center" wrapText="1"/>
    </xf>
    <xf numFmtId="167" fontId="54" fillId="29" borderId="38" xfId="0" applyNumberFormat="1" applyFont="1" applyFill="1" applyBorder="1" applyAlignment="1">
      <alignment horizontal="center" vertical="center" wrapText="1"/>
    </xf>
    <xf numFmtId="167" fontId="8" fillId="2" borderId="31" xfId="0" applyNumberFormat="1" applyFont="1" applyFill="1" applyBorder="1"/>
    <xf numFmtId="167" fontId="8" fillId="2" borderId="39" xfId="0" applyNumberFormat="1" applyFont="1" applyFill="1" applyBorder="1"/>
    <xf numFmtId="167" fontId="54" fillId="30" borderId="38" xfId="0" applyNumberFormat="1" applyFont="1" applyFill="1" applyBorder="1" applyAlignment="1">
      <alignment horizontal="center" vertical="center" wrapText="1"/>
    </xf>
    <xf numFmtId="167" fontId="6" fillId="0" borderId="1" xfId="0" applyNumberFormat="1" applyFont="1" applyBorder="1" applyAlignment="1">
      <alignment horizontal="center" vertical="center"/>
    </xf>
    <xf numFmtId="0" fontId="6" fillId="0" borderId="33" xfId="0" applyFont="1" applyBorder="1" applyAlignment="1">
      <alignment vertical="center" wrapText="1"/>
    </xf>
    <xf numFmtId="0" fontId="8" fillId="0" borderId="36" xfId="0" applyFont="1" applyBorder="1"/>
    <xf numFmtId="0" fontId="6" fillId="2" borderId="33" xfId="0" applyFont="1" applyFill="1" applyBorder="1" applyAlignment="1">
      <alignment horizontal="center" vertical="center" wrapText="1"/>
    </xf>
    <xf numFmtId="0" fontId="8" fillId="2" borderId="36" xfId="0" applyFont="1" applyFill="1" applyBorder="1"/>
    <xf numFmtId="0" fontId="6" fillId="29" borderId="36" xfId="0" applyFont="1" applyFill="1" applyBorder="1" applyAlignment="1">
      <alignment horizontal="left" vertical="center" wrapText="1"/>
    </xf>
    <xf numFmtId="0" fontId="8" fillId="2" borderId="34" xfId="0" applyFont="1" applyFill="1" applyBorder="1"/>
    <xf numFmtId="0" fontId="6" fillId="29" borderId="36" xfId="0" applyFont="1" applyFill="1" applyBorder="1" applyAlignment="1">
      <alignment horizontal="center" vertical="center"/>
    </xf>
    <xf numFmtId="0" fontId="54" fillId="29" borderId="33" xfId="0" applyFont="1" applyFill="1" applyBorder="1" applyAlignment="1">
      <alignment horizontal="left" vertical="center" wrapText="1"/>
    </xf>
    <xf numFmtId="0" fontId="54" fillId="29" borderId="33" xfId="0" applyFont="1" applyFill="1" applyBorder="1" applyAlignment="1">
      <alignment horizontal="center" vertical="center" wrapText="1"/>
    </xf>
    <xf numFmtId="0" fontId="6" fillId="2" borderId="41" xfId="0" applyFont="1" applyFill="1" applyBorder="1" applyAlignment="1">
      <alignment horizontal="left" vertical="center" wrapText="1"/>
    </xf>
    <xf numFmtId="0" fontId="6" fillId="2" borderId="43" xfId="0" applyFont="1" applyFill="1" applyBorder="1" applyAlignment="1">
      <alignment horizontal="left" vertical="center" wrapText="1"/>
    </xf>
    <xf numFmtId="0" fontId="6" fillId="2" borderId="42" xfId="0" applyFont="1" applyFill="1" applyBorder="1" applyAlignment="1">
      <alignment horizontal="center" vertical="center" wrapText="1"/>
    </xf>
    <xf numFmtId="0" fontId="6" fillId="2" borderId="44" xfId="0" applyFont="1" applyFill="1" applyBorder="1" applyAlignment="1">
      <alignment horizontal="center" vertical="center" wrapText="1"/>
    </xf>
    <xf numFmtId="167" fontId="54" fillId="30" borderId="33" xfId="0" applyNumberFormat="1" applyFont="1" applyFill="1" applyBorder="1" applyAlignment="1">
      <alignment horizontal="center" vertical="center" wrapText="1"/>
    </xf>
    <xf numFmtId="167" fontId="54" fillId="30" borderId="36" xfId="0" applyNumberFormat="1" applyFont="1" applyFill="1" applyBorder="1" applyAlignment="1">
      <alignment horizontal="center" vertical="center" wrapText="1"/>
    </xf>
    <xf numFmtId="167" fontId="54" fillId="29" borderId="31" xfId="0" applyNumberFormat="1" applyFont="1" applyFill="1" applyBorder="1" applyAlignment="1">
      <alignment horizontal="center" vertical="center" wrapText="1"/>
    </xf>
    <xf numFmtId="167" fontId="54" fillId="29" borderId="1" xfId="0" applyNumberFormat="1" applyFont="1" applyFill="1" applyBorder="1" applyAlignment="1">
      <alignment horizontal="center" vertical="center" wrapText="1"/>
    </xf>
    <xf numFmtId="0" fontId="6" fillId="2" borderId="33" xfId="0" applyFont="1" applyFill="1" applyBorder="1" applyAlignment="1">
      <alignment vertical="center" wrapText="1"/>
    </xf>
    <xf numFmtId="172" fontId="6" fillId="2" borderId="9" xfId="0" applyNumberFormat="1" applyFont="1" applyFill="1" applyBorder="1" applyAlignment="1">
      <alignment horizontal="left" vertical="center" wrapText="1"/>
    </xf>
    <xf numFmtId="172" fontId="6" fillId="2" borderId="3" xfId="66" applyNumberFormat="1" applyFont="1" applyFill="1" applyBorder="1" applyAlignment="1">
      <alignment horizontal="center" vertical="center"/>
    </xf>
    <xf numFmtId="172" fontId="6" fillId="2" borderId="9" xfId="66" applyNumberFormat="1" applyFont="1" applyFill="1" applyBorder="1" applyAlignment="1">
      <alignment horizontal="center" vertical="center"/>
    </xf>
    <xf numFmtId="172" fontId="6" fillId="2" borderId="2" xfId="66" applyNumberFormat="1" applyFont="1" applyFill="1" applyBorder="1" applyAlignment="1">
      <alignment horizontal="center" vertical="center"/>
    </xf>
    <xf numFmtId="172" fontId="8" fillId="2" borderId="3" xfId="66" applyNumberFormat="1" applyFont="1" applyFill="1" applyBorder="1" applyAlignment="1">
      <alignment horizontal="center" vertical="center"/>
    </xf>
    <xf numFmtId="172" fontId="8" fillId="2" borderId="9" xfId="66" applyNumberFormat="1" applyFont="1" applyFill="1" applyBorder="1" applyAlignment="1">
      <alignment horizontal="center" vertical="center"/>
    </xf>
    <xf numFmtId="172" fontId="8" fillId="2" borderId="2" xfId="66"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2" borderId="9"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5" fillId="2" borderId="9" xfId="0" applyNumberFormat="1" applyFont="1" applyFill="1" applyBorder="1" applyAlignment="1">
      <alignment horizontal="center" vertical="center" wrapText="1"/>
    </xf>
    <xf numFmtId="172" fontId="6" fillId="2" borderId="5" xfId="0" applyNumberFormat="1" applyFont="1" applyFill="1" applyBorder="1" applyAlignment="1">
      <alignment horizontal="center" vertical="center" wrapText="1"/>
    </xf>
    <xf numFmtId="172" fontId="6" fillId="2" borderId="6" xfId="0" applyNumberFormat="1" applyFont="1" applyFill="1" applyBorder="1" applyAlignment="1">
      <alignment horizontal="center" vertical="center" wrapText="1"/>
    </xf>
    <xf numFmtId="172" fontId="6" fillId="2" borderId="7" xfId="0" applyNumberFormat="1" applyFont="1" applyFill="1" applyBorder="1" applyAlignment="1">
      <alignment horizontal="center" vertical="center" wrapText="1"/>
    </xf>
    <xf numFmtId="172" fontId="6" fillId="2" borderId="5" xfId="0" applyNumberFormat="1" applyFont="1" applyFill="1" applyBorder="1" applyAlignment="1">
      <alignment horizontal="center" wrapText="1"/>
    </xf>
    <xf numFmtId="172" fontId="6" fillId="2" borderId="6" xfId="0" applyNumberFormat="1" applyFont="1" applyFill="1" applyBorder="1" applyAlignment="1">
      <alignment horizontal="center" wrapText="1"/>
    </xf>
    <xf numFmtId="172" fontId="6" fillId="2" borderId="7" xfId="0" applyNumberFormat="1" applyFont="1" applyFill="1" applyBorder="1" applyAlignment="1">
      <alignment horizontal="center" wrapText="1"/>
    </xf>
    <xf numFmtId="172" fontId="6" fillId="2" borderId="1" xfId="66" applyNumberFormat="1" applyFont="1" applyFill="1" applyBorder="1" applyAlignment="1">
      <alignment horizontal="center" vertical="center"/>
    </xf>
    <xf numFmtId="172" fontId="8" fillId="2" borderId="1" xfId="66" applyNumberFormat="1" applyFont="1" applyFill="1" applyBorder="1" applyAlignment="1">
      <alignment horizontal="center" vertical="center"/>
    </xf>
  </cellXfs>
  <cellStyles count="366">
    <cellStyle name="20% - Accent1" xfId="88"/>
    <cellStyle name="20% - Accent2" xfId="89"/>
    <cellStyle name="20% - Accent3" xfId="90"/>
    <cellStyle name="20% - Accent4" xfId="91"/>
    <cellStyle name="20% - Accent5" xfId="92"/>
    <cellStyle name="20% - Accent6" xfId="93"/>
    <cellStyle name="40% - Accent1" xfId="94"/>
    <cellStyle name="40% - Accent2" xfId="95"/>
    <cellStyle name="40% - Accent3" xfId="96"/>
    <cellStyle name="40% - Accent4" xfId="97"/>
    <cellStyle name="40% - Accent5" xfId="98"/>
    <cellStyle name="40% - Accent6" xfId="99"/>
    <cellStyle name="60% - Accent1" xfId="100"/>
    <cellStyle name="60% - Accent2" xfId="101"/>
    <cellStyle name="60% - Accent3" xfId="102"/>
    <cellStyle name="60% - Accent4" xfId="103"/>
    <cellStyle name="60% - Accent5" xfId="104"/>
    <cellStyle name="60% - Accent6" xfId="105"/>
    <cellStyle name="Accent1" xfId="106"/>
    <cellStyle name="Accent2" xfId="107"/>
    <cellStyle name="Accent3" xfId="108"/>
    <cellStyle name="Accent4" xfId="109"/>
    <cellStyle name="Accent5" xfId="110"/>
    <cellStyle name="Accent6" xfId="111"/>
    <cellStyle name="Bad" xfId="112"/>
    <cellStyle name="Calculation" xfId="113"/>
    <cellStyle name="Calculation 2" xfId="178"/>
    <cellStyle name="Calculation 2 2" xfId="347"/>
    <cellStyle name="Calculation 2 3" xfId="353"/>
    <cellStyle name="Calculation 2 4" xfId="342"/>
    <cellStyle name="Calculation 2 5" xfId="318"/>
    <cellStyle name="Calculation 3" xfId="327"/>
    <cellStyle name="Calculation 4" xfId="345"/>
    <cellStyle name="Calculation 5" xfId="334"/>
    <cellStyle name="Calculation 6" xfId="362"/>
    <cellStyle name="Check Cell" xfId="114"/>
    <cellStyle name="Excel Built-in Normal" xfId="27"/>
    <cellStyle name="Explanatory Text" xfId="115"/>
    <cellStyle name="Good" xfId="116"/>
    <cellStyle name="Heading 1" xfId="117"/>
    <cellStyle name="Heading 2" xfId="118"/>
    <cellStyle name="Heading 3" xfId="119"/>
    <cellStyle name="Heading 4" xfId="120"/>
    <cellStyle name="Input" xfId="121"/>
    <cellStyle name="Input 2" xfId="179"/>
    <cellStyle name="Input 2 2" xfId="348"/>
    <cellStyle name="Input 2 3" xfId="355"/>
    <cellStyle name="Input 2 4" xfId="340"/>
    <cellStyle name="Input 2 5" xfId="323"/>
    <cellStyle name="Input 3" xfId="329"/>
    <cellStyle name="Input 4" xfId="317"/>
    <cellStyle name="Input 5" xfId="325"/>
    <cellStyle name="Input 6" xfId="361"/>
    <cellStyle name="Linked Cell" xfId="122"/>
    <cellStyle name="Neutral" xfId="123"/>
    <cellStyle name="Normal 4" xfId="17"/>
    <cellStyle name="Normal_Sheet1" xfId="18"/>
    <cellStyle name="Note" xfId="124"/>
    <cellStyle name="Note 2" xfId="180"/>
    <cellStyle name="Note 2 2" xfId="349"/>
    <cellStyle name="Note 2 3" xfId="346"/>
    <cellStyle name="Note 2 4" xfId="356"/>
    <cellStyle name="Note 2 5" xfId="339"/>
    <cellStyle name="Note 3" xfId="330"/>
    <cellStyle name="Note 4" xfId="336"/>
    <cellStyle name="Note 5" xfId="320"/>
    <cellStyle name="Note 6" xfId="344"/>
    <cellStyle name="Output" xfId="125"/>
    <cellStyle name="Output 2" xfId="181"/>
    <cellStyle name="Output 2 2" xfId="350"/>
    <cellStyle name="Output 2 3" xfId="338"/>
    <cellStyle name="Output 2 4" xfId="322"/>
    <cellStyle name="Output 2 5" xfId="328"/>
    <cellStyle name="Output 3" xfId="331"/>
    <cellStyle name="Output 4" xfId="352"/>
    <cellStyle name="Output 5" xfId="319"/>
    <cellStyle name="Output 6" xfId="354"/>
    <cellStyle name="Title" xfId="126"/>
    <cellStyle name="Total" xfId="127"/>
    <cellStyle name="Total 2" xfId="182"/>
    <cellStyle name="Total 2 2" xfId="351"/>
    <cellStyle name="Total 2 3" xfId="332"/>
    <cellStyle name="Total 2 4" xfId="343"/>
    <cellStyle name="Total 2 5" xfId="321"/>
    <cellStyle name="Total 3" xfId="333"/>
    <cellStyle name="Total 4" xfId="337"/>
    <cellStyle name="Total 5" xfId="335"/>
    <cellStyle name="Total 6" xfId="326"/>
    <cellStyle name="Warning Text" xfId="128"/>
    <cellStyle name="Денежный 2" xfId="8"/>
    <cellStyle name="Денежный 2 2" xfId="41"/>
    <cellStyle name="Обычный" xfId="0" builtinId="0"/>
    <cellStyle name="Обычный 10" xfId="29"/>
    <cellStyle name="Обычный 10 2" xfId="176"/>
    <cellStyle name="Обычный 10 3" xfId="252"/>
    <cellStyle name="Обычный 11" xfId="28"/>
    <cellStyle name="Обычный 11 2" xfId="277"/>
    <cellStyle name="Обычный 11 3" xfId="262"/>
    <cellStyle name="Обычный 12" xfId="34"/>
    <cellStyle name="Обычный 12 2" xfId="283"/>
    <cellStyle name="Обычный 12 3" xfId="264"/>
    <cellStyle name="Обычный 13" xfId="184"/>
    <cellStyle name="Обычный 13 2" xfId="276"/>
    <cellStyle name="Обычный 14" xfId="186"/>
    <cellStyle name="Обычный 14 2" xfId="286"/>
    <cellStyle name="Обычный 15" xfId="33"/>
    <cellStyle name="Обычный 15 2" xfId="183"/>
    <cellStyle name="Обычный 15 2 2" xfId="282"/>
    <cellStyle name="Обычный 15 3" xfId="287"/>
    <cellStyle name="Обычный 15 4" xfId="263"/>
    <cellStyle name="Обычный 16" xfId="255"/>
    <cellStyle name="Обычный 18" xfId="288"/>
    <cellStyle name="Обычный 19" xfId="289"/>
    <cellStyle name="Обычный 2" xfId="3"/>
    <cellStyle name="Обычный 2 2" xfId="5"/>
    <cellStyle name="Обычный 2 2 2" xfId="25"/>
    <cellStyle name="Обычный 2 2 2 2" xfId="130"/>
    <cellStyle name="Обычный 2 2 2 2 2" xfId="194"/>
    <cellStyle name="Обычный 2 2 2 3" xfId="198"/>
    <cellStyle name="Обычный 2 2 2 4" xfId="190"/>
    <cellStyle name="Обычный 2 2 3" xfId="172"/>
    <cellStyle name="Обычный 2 2 3 2" xfId="191"/>
    <cellStyle name="Обычный 2 2 4" xfId="43"/>
    <cellStyle name="Обычный 2 2 4 2" xfId="195"/>
    <cellStyle name="Обычный 2 2 5" xfId="187"/>
    <cellStyle name="Обычный 2 3" xfId="44"/>
    <cellStyle name="Обычный 2 4" xfId="129"/>
    <cellStyle name="Обычный 2 5" xfId="251"/>
    <cellStyle name="Обычный 2 5 2" xfId="291"/>
    <cellStyle name="Обычный 2 5 3" xfId="290"/>
    <cellStyle name="Обычный 2 6" xfId="256"/>
    <cellStyle name="Обычный 2_09.04.2014_Programme budget 2014_Education_Modified" xfId="30"/>
    <cellStyle name="Обычный 2_Бюджетный циркуляр 2015г.Нацстат" xfId="365"/>
    <cellStyle name="Обычный 20" xfId="292"/>
    <cellStyle name="Обычный 3" xfId="6"/>
    <cellStyle name="Обычный 3 2" xfId="45"/>
    <cellStyle name="Обычный 3 3" xfId="46"/>
    <cellStyle name="Обычный 3 3 2" xfId="47"/>
    <cellStyle name="Обычный 3 3 2 2" xfId="37"/>
    <cellStyle name="Обычный 3 3 2 2 2" xfId="70"/>
    <cellStyle name="Обычный 3 3 2 2 2 2" xfId="225"/>
    <cellStyle name="Обычный 3 3 2 2 3" xfId="134"/>
    <cellStyle name="Обычный 3 3 2 2 4" xfId="203"/>
    <cellStyle name="Обычный 3 3 2 3" xfId="69"/>
    <cellStyle name="Обычный 3 3 2 3 2" xfId="224"/>
    <cellStyle name="Обычный 3 3 2 4" xfId="133"/>
    <cellStyle name="Обычный 3 3 2 5" xfId="205"/>
    <cellStyle name="Обычный 3 3 2_09.04.2014_Programme budget 2014_Education_Modified" xfId="135"/>
    <cellStyle name="Обычный 3 3 3" xfId="48"/>
    <cellStyle name="Обычный 3 3 3 2" xfId="71"/>
    <cellStyle name="Обычный 3 3 3 2 2" xfId="226"/>
    <cellStyle name="Обычный 3 3 3 3" xfId="136"/>
    <cellStyle name="Обычный 3 3 3 4" xfId="206"/>
    <cellStyle name="Обычный 3 3 4" xfId="68"/>
    <cellStyle name="Обычный 3 3 4 2" xfId="223"/>
    <cellStyle name="Обычный 3 3 5" xfId="132"/>
    <cellStyle name="Обычный 3 3 6" xfId="204"/>
    <cellStyle name="Обычный 3 3_09.04.2014_Programme budget 2014_Education_Modified" xfId="137"/>
    <cellStyle name="Обычный 3 4" xfId="49"/>
    <cellStyle name="Обычный 3 4 2" xfId="50"/>
    <cellStyle name="Обычный 3 4 2 2" xfId="73"/>
    <cellStyle name="Обычный 3 4 2 2 2" xfId="228"/>
    <cellStyle name="Обычный 3 4 2 3" xfId="139"/>
    <cellStyle name="Обычный 3 4 2 4" xfId="208"/>
    <cellStyle name="Обычный 3 4 3" xfId="72"/>
    <cellStyle name="Обычный 3 4 3 2" xfId="227"/>
    <cellStyle name="Обычный 3 4 4" xfId="138"/>
    <cellStyle name="Обычный 3 4 5" xfId="207"/>
    <cellStyle name="Обычный 3 4_09.04.2014_Programme budget 2014_Education_Modified" xfId="140"/>
    <cellStyle name="Обычный 3 5" xfId="51"/>
    <cellStyle name="Обычный 3 5 2" xfId="74"/>
    <cellStyle name="Обычный 3 5 2 2" xfId="229"/>
    <cellStyle name="Обычный 3 5 3" xfId="141"/>
    <cellStyle name="Обычный 3 5 4" xfId="209"/>
    <cellStyle name="Обычный 3 6" xfId="67"/>
    <cellStyle name="Обычный 3 6 2" xfId="222"/>
    <cellStyle name="Обычный 3 7" xfId="131"/>
    <cellStyle name="Обычный 3_09.04.2014_Programme budget 2014_Education_Modified" xfId="142"/>
    <cellStyle name="Обычный 4" xfId="1"/>
    <cellStyle name="Обычный 4 10" xfId="278"/>
    <cellStyle name="Обычный 4 2" xfId="19"/>
    <cellStyle name="Обычный 4 2 2" xfId="54"/>
    <cellStyle name="Обычный 4 2 2 2" xfId="77"/>
    <cellStyle name="Обычный 4 2 2 2 2" xfId="232"/>
    <cellStyle name="Обычный 4 2 2 3" xfId="145"/>
    <cellStyle name="Обычный 4 2 2 4" xfId="212"/>
    <cellStyle name="Обычный 4 2 3" xfId="76"/>
    <cellStyle name="Обычный 4 2 3 2" xfId="231"/>
    <cellStyle name="Обычный 4 2 4" xfId="144"/>
    <cellStyle name="Обычный 4 2 5" xfId="170"/>
    <cellStyle name="Обычный 4 2 6" xfId="53"/>
    <cellStyle name="Обычный 4 2 6 2" xfId="265"/>
    <cellStyle name="Обычный 4 2 7" xfId="211"/>
    <cellStyle name="Обычный 4 2_09.04.2014_Programme budget 2014_Education_Modified" xfId="146"/>
    <cellStyle name="Обычный 4 3" xfId="55"/>
    <cellStyle name="Обычный 4 3 2" xfId="78"/>
    <cellStyle name="Обычный 4 3 2 2" xfId="233"/>
    <cellStyle name="Обычный 4 3 3" xfId="147"/>
    <cellStyle name="Обычный 4 3 4" xfId="213"/>
    <cellStyle name="Обычный 4 4" xfId="75"/>
    <cellStyle name="Обычный 4 4 2" xfId="230"/>
    <cellStyle name="Обычный 4 5" xfId="52"/>
    <cellStyle name="Обычный 4 5 2" xfId="210"/>
    <cellStyle name="Обычный 4 6" xfId="143"/>
    <cellStyle name="Обычный 4 7" xfId="293"/>
    <cellStyle name="Обычный 4 8" xfId="274"/>
    <cellStyle name="Обычный 4_09.04.2014_Programme budget 2014_Education_Modified" xfId="148"/>
    <cellStyle name="Обычный 5" xfId="9"/>
    <cellStyle name="Обычный 5 2" xfId="20"/>
    <cellStyle name="Обычный 5 3" xfId="149"/>
    <cellStyle name="Обычный 5 4" xfId="168"/>
    <cellStyle name="Обычный 5 5" xfId="38"/>
    <cellStyle name="Обычный 5 6" xfId="358"/>
    <cellStyle name="Обычный 6" xfId="16"/>
    <cellStyle name="Обычный 6 2" xfId="57"/>
    <cellStyle name="Обычный 6 2 2" xfId="58"/>
    <cellStyle name="Обычный 6 2 2 2" xfId="81"/>
    <cellStyle name="Обычный 6 2 2 2 2" xfId="236"/>
    <cellStyle name="Обычный 6 2 2 3" xfId="152"/>
    <cellStyle name="Обычный 6 2 2 4" xfId="216"/>
    <cellStyle name="Обычный 6 2 3" xfId="80"/>
    <cellStyle name="Обычный 6 2 3 2" xfId="235"/>
    <cellStyle name="Обычный 6 2 4" xfId="151"/>
    <cellStyle name="Обычный 6 2 5" xfId="215"/>
    <cellStyle name="Обычный 6 2_09.04.2014_Programme budget 2014_Education_Modified" xfId="153"/>
    <cellStyle name="Обычный 6 3" xfId="59"/>
    <cellStyle name="Обычный 6 3 2" xfId="82"/>
    <cellStyle name="Обычный 6 3 2 2" xfId="237"/>
    <cellStyle name="Обычный 6 3 3" xfId="154"/>
    <cellStyle name="Обычный 6 3 4" xfId="217"/>
    <cellStyle name="Обычный 6 4" xfId="79"/>
    <cellStyle name="Обычный 6 4 2" xfId="234"/>
    <cellStyle name="Обычный 6 5" xfId="56"/>
    <cellStyle name="Обычный 6 5 2" xfId="214"/>
    <cellStyle name="Обычный 6 6" xfId="150"/>
    <cellStyle name="Обычный 6_09.04.2014_Programme budget 2014_Education_Modified" xfId="155"/>
    <cellStyle name="Обычный 7" xfId="14"/>
    <cellStyle name="Обычный 7 2" xfId="162"/>
    <cellStyle name="Обычный 7 2 2" xfId="250"/>
    <cellStyle name="Обычный 7 3" xfId="31"/>
    <cellStyle name="Обычный 8" xfId="13"/>
    <cellStyle name="Обычный 8 2" xfId="163"/>
    <cellStyle name="Обычный 8 2 2" xfId="192"/>
    <cellStyle name="Обычный 8 3" xfId="196"/>
    <cellStyle name="Обычный 8 4" xfId="188"/>
    <cellStyle name="Обычный 9" xfId="12"/>
    <cellStyle name="Обычный 9 2" xfId="166"/>
    <cellStyle name="Обычный 9 3" xfId="199"/>
    <cellStyle name="Обычный 9 4" xfId="258"/>
    <cellStyle name="Процентный" xfId="364" builtinId="5"/>
    <cellStyle name="Процентный 2" xfId="2"/>
    <cellStyle name="Процентный 2 2" xfId="21"/>
    <cellStyle name="Процентный 2 3" xfId="60"/>
    <cellStyle name="Процентный 2 4" xfId="164"/>
    <cellStyle name="Процентный 2 4 2" xfId="247"/>
    <cellStyle name="Процентный 2 5" xfId="357"/>
    <cellStyle name="Процентный 3" xfId="10"/>
    <cellStyle name="Процентный 3 2" xfId="22"/>
    <cellStyle name="Процентный 3 2 2" xfId="259"/>
    <cellStyle name="Процентный 4" xfId="42"/>
    <cellStyle name="Процентный 4 2" xfId="294"/>
    <cellStyle name="Процентный 5" xfId="161"/>
    <cellStyle name="Процентный 5 2" xfId="295"/>
    <cellStyle name="Процентный 6" xfId="36"/>
    <cellStyle name="Процентный 6 2" xfId="202"/>
    <cellStyle name="Процентный 7" xfId="280"/>
    <cellStyle name="Стиль 1" xfId="87"/>
    <cellStyle name="Стиль 1 2" xfId="242"/>
    <cellStyle name="Стиль 1 3" xfId="341"/>
    <cellStyle name="Стиль 1 4" xfId="324"/>
    <cellStyle name="Финансовый" xfId="363" builtinId="3"/>
    <cellStyle name="Финансовый 10" xfId="296"/>
    <cellStyle name="Финансовый 10 2" xfId="285"/>
    <cellStyle name="Финансовый 11" xfId="284"/>
    <cellStyle name="Финансовый 12" xfId="261"/>
    <cellStyle name="Финансовый 2" xfId="4"/>
    <cellStyle name="Финансовый 2 2" xfId="23"/>
    <cellStyle name="Финансовый 2 2 2" xfId="63"/>
    <cellStyle name="Финансовый 2 2 2 2" xfId="64"/>
    <cellStyle name="Финансовый 2 2 2 2 2" xfId="85"/>
    <cellStyle name="Финансовый 2 2 2 2 2 2" xfId="240"/>
    <cellStyle name="Финансовый 2 2 2 2 2 2 2" xfId="297"/>
    <cellStyle name="Финансовый 2 2 2 2 2 3" xfId="272"/>
    <cellStyle name="Финансовый 2 2 2 2 3" xfId="158"/>
    <cellStyle name="Финансовый 2 2 2 2 3 2" xfId="245"/>
    <cellStyle name="Финансовый 2 2 2 2 3 2 2" xfId="298"/>
    <cellStyle name="Финансовый 2 2 2 2 4" xfId="220"/>
    <cellStyle name="Финансовый 2 2 2 2 4 2" xfId="299"/>
    <cellStyle name="Финансовый 2 2 2 2 5" xfId="268"/>
    <cellStyle name="Финансовый 2 2 2 3" xfId="84"/>
    <cellStyle name="Финансовый 2 2 2 3 2" xfId="239"/>
    <cellStyle name="Финансовый 2 2 2 3 2 2" xfId="300"/>
    <cellStyle name="Финансовый 2 2 2 3 3" xfId="271"/>
    <cellStyle name="Финансовый 2 2 2 4" xfId="157"/>
    <cellStyle name="Финансовый 2 2 2 4 2" xfId="244"/>
    <cellStyle name="Финансовый 2 2 2 4 2 2" xfId="301"/>
    <cellStyle name="Финансовый 2 2 2 5" xfId="219"/>
    <cellStyle name="Финансовый 2 2 2 5 2" xfId="302"/>
    <cellStyle name="Финансовый 2 2 2 6" xfId="267"/>
    <cellStyle name="Финансовый 2 2 3" xfId="65"/>
    <cellStyle name="Финансовый 2 2 3 2" xfId="86"/>
    <cellStyle name="Финансовый 2 2 3 2 2" xfId="241"/>
    <cellStyle name="Финансовый 2 2 3 2 2 2" xfId="303"/>
    <cellStyle name="Финансовый 2 2 3 2 3" xfId="273"/>
    <cellStyle name="Финансовый 2 2 3 3" xfId="159"/>
    <cellStyle name="Финансовый 2 2 3 3 2" xfId="246"/>
    <cellStyle name="Финансовый 2 2 3 3 2 2" xfId="304"/>
    <cellStyle name="Финансовый 2 2 3 4" xfId="221"/>
    <cellStyle name="Финансовый 2 2 3 4 2" xfId="305"/>
    <cellStyle name="Финансовый 2 2 3 5" xfId="269"/>
    <cellStyle name="Финансовый 2 2 4" xfId="83"/>
    <cellStyle name="Финансовый 2 2 4 2" xfId="238"/>
    <cellStyle name="Финансовый 2 2 4 2 2" xfId="306"/>
    <cellStyle name="Финансовый 2 2 4 3" xfId="270"/>
    <cellStyle name="Финансовый 2 2 5" xfId="156"/>
    <cellStyle name="Финансовый 2 2 5 2" xfId="243"/>
    <cellStyle name="Финансовый 2 2 5 2 2" xfId="307"/>
    <cellStyle name="Финансовый 2 2 6" xfId="62"/>
    <cellStyle name="Финансовый 2 2 6 2" xfId="266"/>
    <cellStyle name="Финансовый 2 2 7" xfId="218"/>
    <cellStyle name="Финансовый 2 3" xfId="61"/>
    <cellStyle name="Финансовый 2 3 2" xfId="308"/>
    <cellStyle name="Финансовый 2 4" xfId="165"/>
    <cellStyle name="Финансовый 2 4 2" xfId="248"/>
    <cellStyle name="Финансовый 2 5" xfId="40"/>
    <cellStyle name="Финансовый 2 6" xfId="254"/>
    <cellStyle name="Финансовый 2 6 2" xfId="309"/>
    <cellStyle name="Финансовый 2 7" xfId="310"/>
    <cellStyle name="Финансовый 2 8" xfId="311"/>
    <cellStyle name="Финансовый 2 9" xfId="360"/>
    <cellStyle name="Финансовый 3" xfId="7"/>
    <cellStyle name="Финансовый 3 2" xfId="24"/>
    <cellStyle name="Финансовый 3 2 2" xfId="66"/>
    <cellStyle name="Финансовый 3 3" xfId="169"/>
    <cellStyle name="Финансовый 3 3 2" xfId="312"/>
    <cellStyle name="Финансовый 3 4" xfId="171"/>
    <cellStyle name="Финансовый 3 4 2" xfId="313"/>
    <cellStyle name="Финансовый 3 5" xfId="39"/>
    <cellStyle name="Финансовый 3 6" xfId="314"/>
    <cellStyle name="Финансовый 3 7" xfId="315"/>
    <cellStyle name="Финансовый 3 8" xfId="316"/>
    <cellStyle name="Финансовый 3 9" xfId="359"/>
    <cellStyle name="Финансовый 4" xfId="11"/>
    <cellStyle name="Финансовый 4 2" xfId="15"/>
    <cellStyle name="Финансовый 4 2 2" xfId="167"/>
    <cellStyle name="Финансовый 4 2 3" xfId="193"/>
    <cellStyle name="Финансовый 4 3" xfId="175"/>
    <cellStyle name="Финансовый 4 3 2" xfId="197"/>
    <cellStyle name="Финансовый 4 4" xfId="160"/>
    <cellStyle name="Финансовый 4 5" xfId="189"/>
    <cellStyle name="Финансовый 4 6" xfId="200"/>
    <cellStyle name="Финансовый 4 7" xfId="257"/>
    <cellStyle name="Финансовый 5" xfId="26"/>
    <cellStyle name="Финансовый 5 2" xfId="173"/>
    <cellStyle name="Финансовый 5 2 2" xfId="275"/>
    <cellStyle name="Финансовый 5 3" xfId="32"/>
    <cellStyle name="Финансовый 5 3 2" xfId="281"/>
    <cellStyle name="Финансовый 5 4" xfId="249"/>
    <cellStyle name="Финансовый 5 4 2" xfId="279"/>
    <cellStyle name="Финансовый 5 5" xfId="260"/>
    <cellStyle name="Финансовый 6" xfId="174"/>
    <cellStyle name="Финансовый 7" xfId="177"/>
    <cellStyle name="Финансовый 7 2" xfId="253"/>
    <cellStyle name="Финансовый 8" xfId="35"/>
    <cellStyle name="Финансовый 8 2" xfId="201"/>
    <cellStyle name="Финансовый 9" xfId="18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2.xml"/><Relationship Id="rId5" Type="http://schemas.openxmlformats.org/officeDocument/2006/relationships/styles" Target="styles.xml"/><Relationship Id="rId10" Type="http://schemas.openxmlformats.org/officeDocument/2006/relationships/customXml" Target="../customXml/item1.xml"/><Relationship Id="rId4" Type="http://schemas.openxmlformats.org/officeDocument/2006/relationships/theme" Target="theme/theme1.xml"/><Relationship Id="rId9" Type="http://schemas.microsoft.com/office/2017/10/relationships/person" Target="persons/person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begaliev/Downloads/&#1075;&#1086;&#1089;&#1089;&#1083;&#1091;&#1078;&#1073;&#1072;/&#1056;&#1072;&#1089;&#1095;&#1077;&#1090;&#1099;%202023-20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мета 2023-2025 гг.."/>
      <sheetName val="Смета 2023"/>
      <sheetName val="2111 новый"/>
      <sheetName val="2111 "/>
      <sheetName val="2211 "/>
      <sheetName val="2212"/>
      <sheetName val="2214"/>
      <sheetName val="2215 "/>
      <sheetName val="2221 "/>
      <sheetName val="2222"/>
      <sheetName val="2231"/>
      <sheetName val="311"/>
      <sheetName val="Лист2"/>
    </sheetNames>
    <sheetDataSet>
      <sheetData sheetId="0" refreshError="1">
        <row r="30">
          <cell r="K30">
            <v>1.0102278442087593</v>
          </cell>
        </row>
        <row r="53">
          <cell r="K53">
            <v>1.0102278442087593</v>
          </cell>
        </row>
        <row r="60">
          <cell r="K60">
            <v>1.0203222214036245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78"/>
  <sheetViews>
    <sheetView tabSelected="1" view="pageBreakPreview" topLeftCell="A746" zoomScaleNormal="80" zoomScaleSheetLayoutView="100" workbookViewId="0">
      <selection activeCell="G883" sqref="G883"/>
    </sheetView>
  </sheetViews>
  <sheetFormatPr defaultColWidth="9.140625" defaultRowHeight="12.75" x14ac:dyDescent="0.2"/>
  <cols>
    <col min="1" max="1" width="9.140625" style="6"/>
    <col min="2" max="2" width="8.5703125" style="8" customWidth="1"/>
    <col min="3" max="3" width="8.140625" style="8" customWidth="1"/>
    <col min="4" max="4" width="7.42578125" style="6" customWidth="1"/>
    <col min="5" max="5" width="44.7109375" style="6" customWidth="1"/>
    <col min="6" max="6" width="17.28515625" style="9" customWidth="1"/>
    <col min="7" max="7" width="16.42578125" style="9" customWidth="1"/>
    <col min="8" max="10" width="16.5703125" style="9" bestFit="1" customWidth="1"/>
    <col min="11" max="11" width="37.28515625" style="6" customWidth="1"/>
    <col min="12" max="12" width="12.5703125" style="8" customWidth="1"/>
    <col min="13" max="13" width="12.7109375" style="8" customWidth="1"/>
    <col min="14" max="14" width="12.42578125" style="8" customWidth="1"/>
    <col min="15" max="15" width="12.28515625" style="8" customWidth="1"/>
    <col min="16" max="17" width="14.85546875" style="8" bestFit="1" customWidth="1"/>
    <col min="18" max="18" width="18.5703125" style="6" customWidth="1"/>
    <col min="19" max="16384" width="9.140625" style="6"/>
  </cols>
  <sheetData>
    <row r="1" spans="1:17" s="1" customFormat="1" ht="72" customHeight="1" x14ac:dyDescent="0.25">
      <c r="B1" s="3"/>
      <c r="C1" s="3"/>
      <c r="F1" s="2"/>
      <c r="G1" s="2"/>
      <c r="H1" s="2"/>
      <c r="I1" s="2"/>
      <c r="J1" s="2"/>
      <c r="L1" s="1805" t="s">
        <v>2092</v>
      </c>
      <c r="M1" s="1805"/>
      <c r="N1" s="1805"/>
      <c r="O1" s="1805"/>
      <c r="P1" s="1805"/>
      <c r="Q1" s="1805"/>
    </row>
    <row r="2" spans="1:17" s="1" customFormat="1" ht="15" x14ac:dyDescent="0.25">
      <c r="B2" s="3"/>
      <c r="C2" s="3"/>
      <c r="F2" s="2"/>
      <c r="G2" s="2"/>
      <c r="H2" s="2"/>
      <c r="I2" s="2"/>
      <c r="J2" s="2"/>
      <c r="L2" s="84"/>
      <c r="M2" s="84"/>
      <c r="N2" s="84"/>
      <c r="O2" s="84"/>
      <c r="P2" s="84"/>
      <c r="Q2" s="84"/>
    </row>
    <row r="3" spans="1:17" s="5" customFormat="1" ht="16.5" x14ac:dyDescent="0.25">
      <c r="A3" s="1691" t="s">
        <v>1448</v>
      </c>
      <c r="B3" s="1691"/>
      <c r="C3" s="1691"/>
      <c r="D3" s="1691"/>
      <c r="E3" s="1691"/>
      <c r="F3" s="1691"/>
      <c r="G3" s="1691"/>
      <c r="H3" s="1691"/>
      <c r="I3" s="1691"/>
      <c r="J3" s="1691"/>
      <c r="K3" s="1691"/>
      <c r="L3" s="1691"/>
      <c r="M3" s="1691"/>
      <c r="N3" s="1691"/>
      <c r="O3" s="1691"/>
      <c r="P3" s="1691"/>
      <c r="Q3" s="1691"/>
    </row>
    <row r="4" spans="1:17" s="1" customFormat="1" ht="15" x14ac:dyDescent="0.25">
      <c r="B4" s="3"/>
      <c r="C4" s="3"/>
      <c r="F4" s="2"/>
      <c r="G4" s="2"/>
      <c r="H4" s="2"/>
      <c r="I4" s="2"/>
      <c r="J4" s="2"/>
      <c r="L4" s="3"/>
      <c r="M4" s="3"/>
      <c r="N4" s="3"/>
      <c r="O4" s="3"/>
      <c r="P4" s="3"/>
      <c r="Q4" s="3"/>
    </row>
    <row r="5" spans="1:17" ht="14.25" x14ac:dyDescent="0.2">
      <c r="A5" s="1267" t="s">
        <v>1518</v>
      </c>
      <c r="B5" s="1270" t="s">
        <v>1514</v>
      </c>
      <c r="C5" s="1270" t="s">
        <v>1515</v>
      </c>
      <c r="D5" s="1270" t="s">
        <v>1516</v>
      </c>
      <c r="E5" s="1267" t="s">
        <v>1449</v>
      </c>
      <c r="F5" s="1692" t="s">
        <v>1450</v>
      </c>
      <c r="G5" s="1692"/>
      <c r="H5" s="1692"/>
      <c r="I5" s="1692"/>
      <c r="J5" s="1692"/>
      <c r="K5" s="1273" t="s">
        <v>1451</v>
      </c>
      <c r="L5" s="1273" t="s">
        <v>1452</v>
      </c>
      <c r="M5" s="1273" t="s">
        <v>1453</v>
      </c>
      <c r="N5" s="1273" t="s">
        <v>1454</v>
      </c>
      <c r="O5" s="1273"/>
      <c r="P5" s="1273"/>
      <c r="Q5" s="1273"/>
    </row>
    <row r="6" spans="1:17" ht="30.75" customHeight="1" x14ac:dyDescent="0.2">
      <c r="A6" s="1268"/>
      <c r="B6" s="1271"/>
      <c r="C6" s="1271"/>
      <c r="D6" s="1271"/>
      <c r="E6" s="1268"/>
      <c r="F6" s="1298" t="s">
        <v>1455</v>
      </c>
      <c r="G6" s="1298"/>
      <c r="H6" s="1298"/>
      <c r="I6" s="1298"/>
      <c r="J6" s="1298"/>
      <c r="K6" s="1273"/>
      <c r="L6" s="1273"/>
      <c r="M6" s="1273"/>
      <c r="N6" s="1273"/>
      <c r="O6" s="1273"/>
      <c r="P6" s="1273"/>
      <c r="Q6" s="1273"/>
    </row>
    <row r="7" spans="1:17" s="10" customFormat="1" ht="14.25" x14ac:dyDescent="0.2">
      <c r="A7" s="1269"/>
      <c r="B7" s="1272"/>
      <c r="C7" s="1272"/>
      <c r="D7" s="1272"/>
      <c r="E7" s="1269"/>
      <c r="F7" s="85">
        <v>2021</v>
      </c>
      <c r="G7" s="85">
        <v>2022</v>
      </c>
      <c r="H7" s="85">
        <v>2023</v>
      </c>
      <c r="I7" s="85">
        <v>2024</v>
      </c>
      <c r="J7" s="85">
        <v>2025</v>
      </c>
      <c r="K7" s="1273"/>
      <c r="L7" s="1273"/>
      <c r="M7" s="85">
        <v>2021</v>
      </c>
      <c r="N7" s="85">
        <v>2022</v>
      </c>
      <c r="O7" s="85">
        <v>2023</v>
      </c>
      <c r="P7" s="85">
        <v>2024</v>
      </c>
      <c r="Q7" s="85">
        <v>2025</v>
      </c>
    </row>
    <row r="8" spans="1:17" s="10" customFormat="1" ht="21.75" customHeight="1" x14ac:dyDescent="0.2">
      <c r="A8" s="1299" t="s">
        <v>1971</v>
      </c>
      <c r="B8" s="1300"/>
      <c r="C8" s="1300"/>
      <c r="D8" s="1300"/>
      <c r="E8" s="1300"/>
      <c r="F8" s="1300"/>
      <c r="G8" s="1300"/>
      <c r="H8" s="1300"/>
      <c r="I8" s="1300"/>
      <c r="J8" s="1300"/>
      <c r="K8" s="1300"/>
      <c r="L8" s="1300"/>
      <c r="M8" s="1300"/>
      <c r="N8" s="1300"/>
      <c r="O8" s="1301"/>
      <c r="P8" s="86"/>
      <c r="Q8" s="86"/>
    </row>
    <row r="9" spans="1:17" s="11" customFormat="1" ht="74.25" x14ac:dyDescent="0.2">
      <c r="A9" s="1587">
        <v>11</v>
      </c>
      <c r="B9" s="87">
        <v>1</v>
      </c>
      <c r="C9" s="88"/>
      <c r="D9" s="89"/>
      <c r="E9" s="90" t="s">
        <v>1482</v>
      </c>
      <c r="F9" s="91">
        <v>575640.80000000005</v>
      </c>
      <c r="G9" s="91">
        <v>577640.9</v>
      </c>
      <c r="H9" s="91">
        <f>H10+H16</f>
        <v>767490.8</v>
      </c>
      <c r="I9" s="91">
        <v>591810.9</v>
      </c>
      <c r="J9" s="91">
        <v>597424.69999999995</v>
      </c>
      <c r="K9" s="92" t="s">
        <v>1519</v>
      </c>
      <c r="L9" s="93" t="s">
        <v>3</v>
      </c>
      <c r="M9" s="94">
        <f>M13*100/M12</f>
        <v>20</v>
      </c>
      <c r="N9" s="94">
        <f t="shared" ref="N9:Q9" si="0">N13*100/N12</f>
        <v>21.315789473684209</v>
      </c>
      <c r="O9" s="94">
        <f t="shared" si="0"/>
        <v>25</v>
      </c>
      <c r="P9" s="94">
        <f t="shared" si="0"/>
        <v>25</v>
      </c>
      <c r="Q9" s="94">
        <f t="shared" si="0"/>
        <v>25</v>
      </c>
    </row>
    <row r="10" spans="1:17" s="11" customFormat="1" ht="75" x14ac:dyDescent="0.2">
      <c r="A10" s="1706"/>
      <c r="B10" s="1695"/>
      <c r="C10" s="1693">
        <v>1</v>
      </c>
      <c r="D10" s="1698"/>
      <c r="E10" s="1694" t="s">
        <v>25</v>
      </c>
      <c r="F10" s="1371">
        <v>575640.80000000005</v>
      </c>
      <c r="G10" s="1371">
        <v>577640.9</v>
      </c>
      <c r="H10" s="1371">
        <v>726927.8</v>
      </c>
      <c r="I10" s="1371">
        <v>591810.9</v>
      </c>
      <c r="J10" s="1371">
        <v>597424.69999999995</v>
      </c>
      <c r="K10" s="95" t="s">
        <v>26</v>
      </c>
      <c r="L10" s="16" t="s">
        <v>24</v>
      </c>
      <c r="M10" s="16">
        <v>90</v>
      </c>
      <c r="N10" s="16">
        <v>90</v>
      </c>
      <c r="O10" s="16">
        <v>90</v>
      </c>
      <c r="P10" s="16">
        <v>90</v>
      </c>
      <c r="Q10" s="16">
        <v>90</v>
      </c>
    </row>
    <row r="11" spans="1:17" s="11" customFormat="1" ht="30" x14ac:dyDescent="0.2">
      <c r="A11" s="1706"/>
      <c r="B11" s="1696"/>
      <c r="C11" s="1693"/>
      <c r="D11" s="1699"/>
      <c r="E11" s="1694"/>
      <c r="F11" s="1479"/>
      <c r="G11" s="1479"/>
      <c r="H11" s="1479"/>
      <c r="I11" s="1479"/>
      <c r="J11" s="1479"/>
      <c r="K11" s="95" t="s">
        <v>1535</v>
      </c>
      <c r="L11" s="16" t="s">
        <v>3</v>
      </c>
      <c r="M11" s="16">
        <v>2</v>
      </c>
      <c r="N11" s="16">
        <v>2</v>
      </c>
      <c r="O11" s="16">
        <v>2</v>
      </c>
      <c r="P11" s="16">
        <v>2</v>
      </c>
      <c r="Q11" s="16">
        <v>2</v>
      </c>
    </row>
    <row r="12" spans="1:17" s="11" customFormat="1" ht="30" x14ac:dyDescent="0.2">
      <c r="A12" s="1706"/>
      <c r="B12" s="1696"/>
      <c r="C12" s="1693"/>
      <c r="D12" s="1699"/>
      <c r="E12" s="1694"/>
      <c r="F12" s="1479"/>
      <c r="G12" s="1479"/>
      <c r="H12" s="1479"/>
      <c r="I12" s="1479"/>
      <c r="J12" s="1479"/>
      <c r="K12" s="95" t="s">
        <v>1797</v>
      </c>
      <c r="L12" s="16" t="s">
        <v>3</v>
      </c>
      <c r="M12" s="16">
        <v>380</v>
      </c>
      <c r="N12" s="16">
        <v>380</v>
      </c>
      <c r="O12" s="16">
        <v>400</v>
      </c>
      <c r="P12" s="16">
        <v>400</v>
      </c>
      <c r="Q12" s="16">
        <v>400</v>
      </c>
    </row>
    <row r="13" spans="1:17" s="11" customFormat="1" ht="45" x14ac:dyDescent="0.2">
      <c r="A13" s="1706"/>
      <c r="B13" s="1696"/>
      <c r="C13" s="1693"/>
      <c r="D13" s="1699"/>
      <c r="E13" s="1694"/>
      <c r="F13" s="1479"/>
      <c r="G13" s="1479"/>
      <c r="H13" s="1479"/>
      <c r="I13" s="1479"/>
      <c r="J13" s="1479"/>
      <c r="K13" s="95" t="s">
        <v>1520</v>
      </c>
      <c r="L13" s="16" t="s">
        <v>106</v>
      </c>
      <c r="M13" s="16">
        <v>76</v>
      </c>
      <c r="N13" s="16">
        <v>81</v>
      </c>
      <c r="O13" s="16">
        <v>100</v>
      </c>
      <c r="P13" s="16">
        <v>100</v>
      </c>
      <c r="Q13" s="16">
        <v>100</v>
      </c>
    </row>
    <row r="14" spans="1:17" s="11" customFormat="1" ht="30" x14ac:dyDescent="0.2">
      <c r="A14" s="1706"/>
      <c r="B14" s="1696"/>
      <c r="C14" s="1693"/>
      <c r="D14" s="1699"/>
      <c r="E14" s="1694"/>
      <c r="F14" s="1479"/>
      <c r="G14" s="1479"/>
      <c r="H14" s="1479"/>
      <c r="I14" s="1479"/>
      <c r="J14" s="1479"/>
      <c r="K14" s="95" t="s">
        <v>27</v>
      </c>
      <c r="L14" s="16" t="s">
        <v>106</v>
      </c>
      <c r="M14" s="16">
        <v>2</v>
      </c>
      <c r="N14" s="16">
        <v>6</v>
      </c>
      <c r="O14" s="16">
        <v>7</v>
      </c>
      <c r="P14" s="16">
        <v>7</v>
      </c>
      <c r="Q14" s="16">
        <v>7</v>
      </c>
    </row>
    <row r="15" spans="1:17" s="11" customFormat="1" ht="30" x14ac:dyDescent="0.2">
      <c r="A15" s="1706"/>
      <c r="B15" s="1697"/>
      <c r="C15" s="1693"/>
      <c r="D15" s="1700"/>
      <c r="E15" s="1694"/>
      <c r="F15" s="1372"/>
      <c r="G15" s="1372"/>
      <c r="H15" s="1372"/>
      <c r="I15" s="1372"/>
      <c r="J15" s="1372"/>
      <c r="K15" s="95" t="s">
        <v>28</v>
      </c>
      <c r="L15" s="16" t="s">
        <v>106</v>
      </c>
      <c r="M15" s="16">
        <v>7</v>
      </c>
      <c r="N15" s="16">
        <v>4</v>
      </c>
      <c r="O15" s="16">
        <v>5</v>
      </c>
      <c r="P15" s="16">
        <v>5</v>
      </c>
      <c r="Q15" s="16">
        <v>5</v>
      </c>
    </row>
    <row r="16" spans="1:17" s="11" customFormat="1" ht="45" x14ac:dyDescent="0.2">
      <c r="A16" s="1588"/>
      <c r="B16" s="1204">
        <v>113</v>
      </c>
      <c r="C16" s="1206">
        <v>1</v>
      </c>
      <c r="D16" s="1205"/>
      <c r="E16" s="1203" t="s">
        <v>1801</v>
      </c>
      <c r="F16" s="1190"/>
      <c r="G16" s="1190"/>
      <c r="H16" s="1190">
        <v>40563</v>
      </c>
      <c r="I16" s="1190"/>
      <c r="J16" s="1190"/>
      <c r="K16" s="95"/>
      <c r="L16" s="16"/>
      <c r="M16" s="16"/>
      <c r="N16" s="16"/>
      <c r="O16" s="16"/>
      <c r="P16" s="16"/>
      <c r="Q16" s="16"/>
    </row>
    <row r="17" spans="1:17" s="11" customFormat="1" ht="15" x14ac:dyDescent="0.2">
      <c r="A17" s="1662" t="s">
        <v>35</v>
      </c>
      <c r="B17" s="1663"/>
      <c r="C17" s="1663"/>
      <c r="D17" s="1663"/>
      <c r="E17" s="1664"/>
      <c r="F17" s="96">
        <v>575640.80000000005</v>
      </c>
      <c r="G17" s="96">
        <v>577640.9</v>
      </c>
      <c r="H17" s="96">
        <f>H9</f>
        <v>767490.8</v>
      </c>
      <c r="I17" s="96">
        <v>591810.9</v>
      </c>
      <c r="J17" s="96">
        <v>597424.69999999995</v>
      </c>
      <c r="K17" s="97"/>
      <c r="L17" s="98"/>
      <c r="M17" s="99"/>
      <c r="N17" s="99"/>
      <c r="O17" s="99"/>
      <c r="P17" s="99"/>
      <c r="Q17" s="99"/>
    </row>
    <row r="18" spans="1:17" s="11" customFormat="1" ht="23.25" customHeight="1" x14ac:dyDescent="0.2">
      <c r="A18" s="1668" t="s">
        <v>1972</v>
      </c>
      <c r="B18" s="1669"/>
      <c r="C18" s="1669"/>
      <c r="D18" s="1669"/>
      <c r="E18" s="1669"/>
      <c r="F18" s="1669"/>
      <c r="G18" s="1669"/>
      <c r="H18" s="1669"/>
      <c r="I18" s="1669"/>
      <c r="J18" s="1669"/>
      <c r="K18" s="1669"/>
      <c r="L18" s="1669"/>
      <c r="M18" s="1669"/>
      <c r="N18" s="1669"/>
      <c r="O18" s="1670"/>
      <c r="P18" s="100"/>
      <c r="Q18" s="101"/>
    </row>
    <row r="19" spans="1:17" s="11" customFormat="1" ht="28.5" x14ac:dyDescent="0.2">
      <c r="A19" s="1671">
        <v>12</v>
      </c>
      <c r="B19" s="102">
        <v>122</v>
      </c>
      <c r="C19" s="103"/>
      <c r="D19" s="103"/>
      <c r="E19" s="103" t="s">
        <v>478</v>
      </c>
      <c r="F19" s="104">
        <f>SUM(F20:F24)</f>
        <v>303581</v>
      </c>
      <c r="G19" s="104">
        <f>SUM(G20:G24)</f>
        <v>481351.79999999993</v>
      </c>
      <c r="H19" s="104">
        <f>SUM(H20:H24)</f>
        <v>420216.00000000006</v>
      </c>
      <c r="I19" s="104">
        <f>SUM(I20:I24)</f>
        <v>429627.6</v>
      </c>
      <c r="J19" s="104">
        <f>SUM(J20:J24)</f>
        <v>438916.8</v>
      </c>
      <c r="K19" s="103"/>
      <c r="L19" s="103"/>
      <c r="M19" s="103"/>
      <c r="N19" s="103"/>
      <c r="O19" s="103"/>
      <c r="P19" s="105"/>
      <c r="Q19" s="105"/>
    </row>
    <row r="20" spans="1:17" s="11" customFormat="1" ht="60" x14ac:dyDescent="0.2">
      <c r="A20" s="1671"/>
      <c r="B20" s="106"/>
      <c r="C20" s="107">
        <v>1</v>
      </c>
      <c r="D20" s="108"/>
      <c r="E20" s="109" t="s">
        <v>394</v>
      </c>
      <c r="F20" s="110">
        <v>257737.9</v>
      </c>
      <c r="G20" s="110">
        <v>400671.1</v>
      </c>
      <c r="H20" s="110">
        <v>408475.2</v>
      </c>
      <c r="I20" s="110">
        <v>417766.7</v>
      </c>
      <c r="J20" s="110">
        <v>426937.5</v>
      </c>
      <c r="K20" s="111" t="s">
        <v>398</v>
      </c>
      <c r="L20" s="112" t="s">
        <v>3</v>
      </c>
      <c r="M20" s="113">
        <v>7.0216828626760264E-2</v>
      </c>
      <c r="N20" s="113">
        <v>0.13800000000000001</v>
      </c>
      <c r="O20" s="113">
        <v>0.13800000000000001</v>
      </c>
      <c r="P20" s="113">
        <v>0.13800000000000001</v>
      </c>
      <c r="Q20" s="113">
        <v>0.13800000000000001</v>
      </c>
    </row>
    <row r="21" spans="1:17" s="11" customFormat="1" ht="75" x14ac:dyDescent="0.2">
      <c r="A21" s="1671"/>
      <c r="B21" s="106"/>
      <c r="C21" s="114">
        <v>2</v>
      </c>
      <c r="D21" s="115"/>
      <c r="E21" s="116" t="s">
        <v>1523</v>
      </c>
      <c r="F21" s="117">
        <v>5798.7</v>
      </c>
      <c r="G21" s="117">
        <v>5894.6</v>
      </c>
      <c r="H21" s="117">
        <v>6861.9</v>
      </c>
      <c r="I21" s="117">
        <v>6932.1</v>
      </c>
      <c r="J21" s="117">
        <v>7001.3</v>
      </c>
      <c r="K21" s="118" t="s">
        <v>1521</v>
      </c>
      <c r="L21" s="119" t="s">
        <v>3</v>
      </c>
      <c r="M21" s="120">
        <v>100</v>
      </c>
      <c r="N21" s="120">
        <v>100</v>
      </c>
      <c r="O21" s="120">
        <v>100</v>
      </c>
      <c r="P21" s="120">
        <v>100</v>
      </c>
      <c r="Q21" s="120">
        <v>100</v>
      </c>
    </row>
    <row r="22" spans="1:17" s="11" customFormat="1" ht="60" x14ac:dyDescent="0.2">
      <c r="A22" s="1671"/>
      <c r="B22" s="106"/>
      <c r="C22" s="114">
        <v>3</v>
      </c>
      <c r="D22" s="115"/>
      <c r="E22" s="116" t="s">
        <v>395</v>
      </c>
      <c r="F22" s="121">
        <v>38744.400000000001</v>
      </c>
      <c r="G22" s="121">
        <v>40000</v>
      </c>
      <c r="H22" s="121"/>
      <c r="I22" s="121"/>
      <c r="J22" s="121"/>
      <c r="K22" s="116" t="s">
        <v>1522</v>
      </c>
      <c r="L22" s="119" t="s">
        <v>106</v>
      </c>
      <c r="M22" s="122">
        <v>69</v>
      </c>
      <c r="N22" s="122">
        <v>71.236101217208159</v>
      </c>
      <c r="O22" s="122"/>
      <c r="P22" s="122"/>
      <c r="Q22" s="122"/>
    </row>
    <row r="23" spans="1:17" s="11" customFormat="1" ht="60" x14ac:dyDescent="0.2">
      <c r="A23" s="1671"/>
      <c r="B23" s="106"/>
      <c r="C23" s="114">
        <v>4</v>
      </c>
      <c r="D23" s="115"/>
      <c r="E23" s="116" t="s">
        <v>396</v>
      </c>
      <c r="F23" s="117">
        <v>1300</v>
      </c>
      <c r="G23" s="117">
        <v>4786.1000000000004</v>
      </c>
      <c r="H23" s="117">
        <v>4878.8999999999996</v>
      </c>
      <c r="I23" s="117">
        <v>4928.8</v>
      </c>
      <c r="J23" s="117">
        <v>4978</v>
      </c>
      <c r="K23" s="116" t="s">
        <v>399</v>
      </c>
      <c r="L23" s="119" t="s">
        <v>106</v>
      </c>
      <c r="M23" s="122">
        <v>15</v>
      </c>
      <c r="N23" s="122">
        <v>15</v>
      </c>
      <c r="O23" s="122">
        <v>24</v>
      </c>
      <c r="P23" s="122">
        <v>24</v>
      </c>
      <c r="Q23" s="122">
        <v>24</v>
      </c>
    </row>
    <row r="24" spans="1:17" s="11" customFormat="1" ht="60" x14ac:dyDescent="0.2">
      <c r="A24" s="1671"/>
      <c r="B24" s="106"/>
      <c r="C24" s="114">
        <v>5</v>
      </c>
      <c r="D24" s="115"/>
      <c r="E24" s="123" t="s">
        <v>397</v>
      </c>
      <c r="F24" s="121"/>
      <c r="G24" s="121">
        <v>30000</v>
      </c>
      <c r="H24" s="121"/>
      <c r="I24" s="121"/>
      <c r="J24" s="121"/>
      <c r="K24" s="124" t="s">
        <v>400</v>
      </c>
      <c r="L24" s="119" t="s">
        <v>106</v>
      </c>
      <c r="M24" s="122">
        <v>84</v>
      </c>
      <c r="N24" s="122">
        <v>150</v>
      </c>
      <c r="O24" s="122">
        <v>150</v>
      </c>
      <c r="P24" s="122">
        <v>150</v>
      </c>
      <c r="Q24" s="122">
        <v>150</v>
      </c>
    </row>
    <row r="25" spans="1:17" s="11" customFormat="1" ht="15" x14ac:dyDescent="0.2">
      <c r="A25" s="1665" t="s">
        <v>35</v>
      </c>
      <c r="B25" s="1666"/>
      <c r="C25" s="1666"/>
      <c r="D25" s="1666"/>
      <c r="E25" s="1667"/>
      <c r="F25" s="96">
        <v>303581</v>
      </c>
      <c r="G25" s="96">
        <v>481351.79999999993</v>
      </c>
      <c r="H25" s="96">
        <f t="shared" ref="H25:I25" si="1">H20+H21+H22+H23+H24</f>
        <v>420216.00000000006</v>
      </c>
      <c r="I25" s="96">
        <f t="shared" si="1"/>
        <v>429627.6</v>
      </c>
      <c r="J25" s="96">
        <f>J20+J21+J22+J23+J24</f>
        <v>438916.8</v>
      </c>
      <c r="K25" s="125"/>
      <c r="L25" s="126"/>
      <c r="M25" s="127"/>
      <c r="N25" s="127"/>
      <c r="O25" s="127"/>
      <c r="P25" s="127"/>
      <c r="Q25" s="128"/>
    </row>
    <row r="26" spans="1:17" s="11" customFormat="1" ht="23.25" customHeight="1" x14ac:dyDescent="0.2">
      <c r="A26" s="1668" t="s">
        <v>1973</v>
      </c>
      <c r="B26" s="1669"/>
      <c r="C26" s="1669"/>
      <c r="D26" s="1669"/>
      <c r="E26" s="1669"/>
      <c r="F26" s="1669"/>
      <c r="G26" s="1669"/>
      <c r="H26" s="1669"/>
      <c r="I26" s="1669"/>
      <c r="J26" s="1669"/>
      <c r="K26" s="1669"/>
      <c r="L26" s="1669"/>
      <c r="M26" s="1669"/>
      <c r="N26" s="1669"/>
      <c r="O26" s="1670"/>
      <c r="P26" s="100"/>
      <c r="Q26" s="101"/>
    </row>
    <row r="27" spans="1:17" s="11" customFormat="1" ht="57" x14ac:dyDescent="0.2">
      <c r="A27" s="129"/>
      <c r="B27" s="130" t="s">
        <v>12</v>
      </c>
      <c r="C27" s="131"/>
      <c r="D27" s="131"/>
      <c r="E27" s="132" t="s">
        <v>1790</v>
      </c>
      <c r="F27" s="133">
        <f>F28</f>
        <v>7952.7</v>
      </c>
      <c r="G27" s="133">
        <f t="shared" ref="G27:J27" si="2">G28</f>
        <v>8053</v>
      </c>
      <c r="H27" s="133">
        <f t="shared" si="2"/>
        <v>8207.2999999999993</v>
      </c>
      <c r="I27" s="133">
        <f t="shared" si="2"/>
        <v>8449.7999999999993</v>
      </c>
      <c r="J27" s="133">
        <f t="shared" si="2"/>
        <v>8534.2000000000007</v>
      </c>
      <c r="K27" s="129"/>
      <c r="L27" s="129"/>
      <c r="M27" s="129"/>
      <c r="N27" s="129"/>
      <c r="O27" s="129"/>
      <c r="P27" s="129"/>
      <c r="Q27" s="129"/>
    </row>
    <row r="28" spans="1:17" s="11" customFormat="1" ht="155.25" customHeight="1" x14ac:dyDescent="0.2">
      <c r="A28" s="1651" t="s">
        <v>29</v>
      </c>
      <c r="B28" s="1651"/>
      <c r="C28" s="1654" t="s">
        <v>8</v>
      </c>
      <c r="D28" s="1654"/>
      <c r="E28" s="1703" t="s">
        <v>30</v>
      </c>
      <c r="F28" s="1371">
        <v>7952.7</v>
      </c>
      <c r="G28" s="1371">
        <v>8053</v>
      </c>
      <c r="H28" s="1371">
        <v>8207.2999999999993</v>
      </c>
      <c r="I28" s="1371">
        <v>8449.7999999999993</v>
      </c>
      <c r="J28" s="1371">
        <v>8534.2000000000007</v>
      </c>
      <c r="K28" s="134" t="s">
        <v>31</v>
      </c>
      <c r="L28" s="50" t="s">
        <v>3</v>
      </c>
      <c r="M28" s="135">
        <v>30</v>
      </c>
      <c r="N28" s="136">
        <v>40</v>
      </c>
      <c r="O28" s="136">
        <v>70</v>
      </c>
      <c r="P28" s="136">
        <v>80</v>
      </c>
      <c r="Q28" s="136">
        <v>85</v>
      </c>
    </row>
    <row r="29" spans="1:17" s="11" customFormat="1" ht="45" x14ac:dyDescent="0.2">
      <c r="A29" s="1652"/>
      <c r="B29" s="1652"/>
      <c r="C29" s="1655"/>
      <c r="D29" s="1655"/>
      <c r="E29" s="1704"/>
      <c r="F29" s="1479"/>
      <c r="G29" s="1479"/>
      <c r="H29" s="1479"/>
      <c r="I29" s="1479"/>
      <c r="J29" s="1479"/>
      <c r="K29" s="134" t="s">
        <v>32</v>
      </c>
      <c r="L29" s="50" t="s">
        <v>3</v>
      </c>
      <c r="M29" s="135">
        <v>30</v>
      </c>
      <c r="N29" s="136">
        <v>40</v>
      </c>
      <c r="O29" s="136">
        <v>50</v>
      </c>
      <c r="P29" s="136">
        <v>50</v>
      </c>
      <c r="Q29" s="136">
        <v>60</v>
      </c>
    </row>
    <row r="30" spans="1:17" s="11" customFormat="1" ht="30" x14ac:dyDescent="0.2">
      <c r="A30" s="1653"/>
      <c r="B30" s="1653"/>
      <c r="C30" s="1656"/>
      <c r="D30" s="1656"/>
      <c r="E30" s="1705"/>
      <c r="F30" s="1372"/>
      <c r="G30" s="1372"/>
      <c r="H30" s="1372"/>
      <c r="I30" s="1372"/>
      <c r="J30" s="1372"/>
      <c r="K30" s="134" t="s">
        <v>33</v>
      </c>
      <c r="L30" s="50" t="s">
        <v>3</v>
      </c>
      <c r="M30" s="135">
        <v>30</v>
      </c>
      <c r="N30" s="135">
        <v>30</v>
      </c>
      <c r="O30" s="135">
        <v>30</v>
      </c>
      <c r="P30" s="135">
        <v>30</v>
      </c>
      <c r="Q30" s="135">
        <v>30</v>
      </c>
    </row>
    <row r="31" spans="1:17" s="11" customFormat="1" ht="15" x14ac:dyDescent="0.2">
      <c r="A31" s="1648" t="s">
        <v>35</v>
      </c>
      <c r="B31" s="1649"/>
      <c r="C31" s="1649"/>
      <c r="D31" s="1649"/>
      <c r="E31" s="1650"/>
      <c r="F31" s="96">
        <f>F28</f>
        <v>7952.7</v>
      </c>
      <c r="G31" s="96">
        <f t="shared" ref="G31:J31" si="3">G28</f>
        <v>8053</v>
      </c>
      <c r="H31" s="96">
        <f t="shared" si="3"/>
        <v>8207.2999999999993</v>
      </c>
      <c r="I31" s="96">
        <f t="shared" si="3"/>
        <v>8449.7999999999993</v>
      </c>
      <c r="J31" s="96">
        <f t="shared" si="3"/>
        <v>8534.2000000000007</v>
      </c>
      <c r="K31" s="97"/>
      <c r="L31" s="98"/>
      <c r="M31" s="99"/>
      <c r="N31" s="99"/>
      <c r="O31" s="99"/>
      <c r="P31" s="99"/>
      <c r="Q31" s="99"/>
    </row>
    <row r="32" spans="1:17" s="11" customFormat="1" ht="14.25" x14ac:dyDescent="0.2">
      <c r="A32" s="1579" t="s">
        <v>1974</v>
      </c>
      <c r="B32" s="1646"/>
      <c r="C32" s="1646"/>
      <c r="D32" s="1646"/>
      <c r="E32" s="1646"/>
      <c r="F32" s="1646"/>
      <c r="G32" s="1646"/>
      <c r="H32" s="1646"/>
      <c r="I32" s="1646"/>
      <c r="J32" s="1646"/>
      <c r="K32" s="1646"/>
      <c r="L32" s="1646"/>
      <c r="M32" s="1646"/>
      <c r="N32" s="1646"/>
      <c r="O32" s="1646"/>
      <c r="P32" s="1646"/>
      <c r="Q32" s="1647"/>
    </row>
    <row r="33" spans="1:17" s="11" customFormat="1" ht="42" customHeight="1" x14ac:dyDescent="0.2">
      <c r="A33" s="1607">
        <v>14</v>
      </c>
      <c r="B33" s="1207">
        <v>142</v>
      </c>
      <c r="C33" s="623"/>
      <c r="D33" s="51"/>
      <c r="E33" s="162" t="s">
        <v>1965</v>
      </c>
      <c r="F33" s="616">
        <f>F34+F35</f>
        <v>0</v>
      </c>
      <c r="G33" s="616">
        <f t="shared" ref="G33:J33" si="4">G34+G35</f>
        <v>0</v>
      </c>
      <c r="H33" s="616">
        <f t="shared" si="4"/>
        <v>1030000</v>
      </c>
      <c r="I33" s="616">
        <f t="shared" si="4"/>
        <v>1030000</v>
      </c>
      <c r="J33" s="616">
        <f t="shared" si="4"/>
        <v>1030000</v>
      </c>
      <c r="K33" s="106"/>
      <c r="L33" s="1208"/>
      <c r="M33" s="105"/>
      <c r="N33" s="105"/>
      <c r="O33" s="105"/>
      <c r="P33" s="105"/>
      <c r="Q33" s="105"/>
    </row>
    <row r="34" spans="1:17" s="11" customFormat="1" ht="60" x14ac:dyDescent="0.2">
      <c r="A34" s="1608"/>
      <c r="B34" s="1209"/>
      <c r="C34" s="46" t="s">
        <v>5</v>
      </c>
      <c r="D34" s="51"/>
      <c r="E34" s="1195" t="s">
        <v>1803</v>
      </c>
      <c r="F34" s="616"/>
      <c r="G34" s="616"/>
      <c r="H34" s="619">
        <v>1000000</v>
      </c>
      <c r="I34" s="619">
        <v>1000000</v>
      </c>
      <c r="J34" s="619">
        <v>1000000</v>
      </c>
      <c r="K34" s="1195" t="s">
        <v>1805</v>
      </c>
      <c r="L34" s="1210" t="s">
        <v>87</v>
      </c>
      <c r="M34" s="122">
        <v>69</v>
      </c>
      <c r="N34" s="122"/>
      <c r="O34" s="122"/>
      <c r="P34" s="122"/>
      <c r="Q34" s="122"/>
    </row>
    <row r="35" spans="1:17" s="11" customFormat="1" ht="60" x14ac:dyDescent="0.2">
      <c r="A35" s="1609"/>
      <c r="B35" s="1211"/>
      <c r="C35" s="549" t="s">
        <v>6</v>
      </c>
      <c r="D35" s="550"/>
      <c r="E35" s="1195" t="s">
        <v>1804</v>
      </c>
      <c r="F35" s="616"/>
      <c r="G35" s="616"/>
      <c r="H35" s="619">
        <v>30000</v>
      </c>
      <c r="I35" s="619">
        <v>30000</v>
      </c>
      <c r="J35" s="619">
        <v>30000</v>
      </c>
      <c r="K35" s="1195" t="s">
        <v>1805</v>
      </c>
      <c r="L35" s="1210" t="s">
        <v>87</v>
      </c>
      <c r="M35" s="122">
        <v>84</v>
      </c>
      <c r="N35" s="122">
        <v>150</v>
      </c>
      <c r="O35" s="122">
        <v>150</v>
      </c>
      <c r="P35" s="122">
        <v>150</v>
      </c>
      <c r="Q35" s="122">
        <v>150</v>
      </c>
    </row>
    <row r="36" spans="1:17" s="11" customFormat="1" ht="15" x14ac:dyDescent="0.2">
      <c r="A36" s="1648" t="s">
        <v>1802</v>
      </c>
      <c r="B36" s="1649"/>
      <c r="C36" s="1649"/>
      <c r="D36" s="1649"/>
      <c r="E36" s="1650"/>
      <c r="F36" s="293">
        <f>F33</f>
        <v>0</v>
      </c>
      <c r="G36" s="293">
        <f t="shared" ref="G36:J36" si="5">G33</f>
        <v>0</v>
      </c>
      <c r="H36" s="293">
        <f t="shared" si="5"/>
        <v>1030000</v>
      </c>
      <c r="I36" s="293">
        <f t="shared" si="5"/>
        <v>1030000</v>
      </c>
      <c r="J36" s="293">
        <f t="shared" si="5"/>
        <v>1030000</v>
      </c>
      <c r="K36" s="97"/>
      <c r="L36" s="98"/>
      <c r="M36" s="99"/>
      <c r="N36" s="99"/>
      <c r="O36" s="99"/>
      <c r="P36" s="99"/>
      <c r="Q36" s="99"/>
    </row>
    <row r="37" spans="1:17" s="11" customFormat="1" ht="20.25" customHeight="1" x14ac:dyDescent="0.2">
      <c r="A37" s="1579" t="s">
        <v>1975</v>
      </c>
      <c r="B37" s="1646"/>
      <c r="C37" s="1646"/>
      <c r="D37" s="1646"/>
      <c r="E37" s="1646"/>
      <c r="F37" s="1646"/>
      <c r="G37" s="1646"/>
      <c r="H37" s="1646"/>
      <c r="I37" s="1646"/>
      <c r="J37" s="1646"/>
      <c r="K37" s="1646"/>
      <c r="L37" s="1646"/>
      <c r="M37" s="1646"/>
      <c r="N37" s="1646"/>
      <c r="O37" s="1646"/>
      <c r="P37" s="1646"/>
      <c r="Q37" s="1647"/>
    </row>
    <row r="38" spans="1:17" s="11" customFormat="1" ht="84.6" customHeight="1" x14ac:dyDescent="0.2">
      <c r="A38" s="1672">
        <v>15</v>
      </c>
      <c r="B38" s="137" t="s">
        <v>1532</v>
      </c>
      <c r="C38" s="138">
        <v>1</v>
      </c>
      <c r="D38" s="139"/>
      <c r="E38" s="1191" t="s">
        <v>1524</v>
      </c>
      <c r="F38" s="47">
        <v>135651.6</v>
      </c>
      <c r="G38" s="47">
        <v>204706.2</v>
      </c>
      <c r="H38" s="47">
        <v>274794</v>
      </c>
      <c r="I38" s="47">
        <v>274794</v>
      </c>
      <c r="J38" s="47">
        <v>274794</v>
      </c>
      <c r="K38" s="134" t="s">
        <v>407</v>
      </c>
      <c r="L38" s="140" t="s">
        <v>106</v>
      </c>
      <c r="M38" s="23">
        <v>37</v>
      </c>
      <c r="N38" s="23">
        <v>37</v>
      </c>
      <c r="O38" s="23">
        <v>37</v>
      </c>
      <c r="P38" s="23">
        <v>37</v>
      </c>
      <c r="Q38" s="23">
        <v>37</v>
      </c>
    </row>
    <row r="39" spans="1:17" s="11" customFormat="1" ht="45" x14ac:dyDescent="0.2">
      <c r="A39" s="1673"/>
      <c r="B39" s="141"/>
      <c r="C39" s="138">
        <v>2</v>
      </c>
      <c r="D39" s="139"/>
      <c r="E39" s="156" t="s">
        <v>1525</v>
      </c>
      <c r="F39" s="47">
        <v>112042</v>
      </c>
      <c r="G39" s="47">
        <v>48135.7</v>
      </c>
      <c r="H39" s="47">
        <v>78920.600000000006</v>
      </c>
      <c r="I39" s="47">
        <v>72375.199999999997</v>
      </c>
      <c r="J39" s="47">
        <v>77971</v>
      </c>
      <c r="K39" s="134" t="s">
        <v>408</v>
      </c>
      <c r="L39" s="140" t="s">
        <v>106</v>
      </c>
      <c r="M39" s="23">
        <v>90</v>
      </c>
      <c r="N39" s="23">
        <v>90</v>
      </c>
      <c r="O39" s="23">
        <v>90</v>
      </c>
      <c r="P39" s="23">
        <v>90</v>
      </c>
      <c r="Q39" s="23">
        <v>90</v>
      </c>
    </row>
    <row r="40" spans="1:17" s="11" customFormat="1" ht="75" x14ac:dyDescent="0.2">
      <c r="A40" s="1673"/>
      <c r="B40" s="141"/>
      <c r="C40" s="138">
        <v>3</v>
      </c>
      <c r="D40" s="139"/>
      <c r="E40" s="156" t="s">
        <v>1013</v>
      </c>
      <c r="F40" s="47">
        <v>1637.4</v>
      </c>
      <c r="G40" s="47">
        <v>2957.3</v>
      </c>
      <c r="H40" s="47">
        <v>2508</v>
      </c>
      <c r="I40" s="47">
        <v>2508</v>
      </c>
      <c r="J40" s="47">
        <v>2508</v>
      </c>
      <c r="K40" s="134" t="s">
        <v>409</v>
      </c>
      <c r="L40" s="140" t="s">
        <v>106</v>
      </c>
      <c r="M40" s="142">
        <v>69</v>
      </c>
      <c r="N40" s="142">
        <v>69</v>
      </c>
      <c r="O40" s="142">
        <v>69</v>
      </c>
      <c r="P40" s="142">
        <v>69</v>
      </c>
      <c r="Q40" s="142">
        <v>69</v>
      </c>
    </row>
    <row r="41" spans="1:17" s="11" customFormat="1" ht="105" x14ac:dyDescent="0.2">
      <c r="A41" s="1673"/>
      <c r="B41" s="141"/>
      <c r="C41" s="138">
        <v>4</v>
      </c>
      <c r="D41" s="139"/>
      <c r="E41" s="143" t="s">
        <v>401</v>
      </c>
      <c r="F41" s="47">
        <v>12912.4</v>
      </c>
      <c r="G41" s="47">
        <v>8496.9</v>
      </c>
      <c r="H41" s="47">
        <v>8496.9</v>
      </c>
      <c r="I41" s="47">
        <v>8496.9</v>
      </c>
      <c r="J41" s="47">
        <v>8496.9</v>
      </c>
      <c r="K41" s="134" t="s">
        <v>410</v>
      </c>
      <c r="L41" s="144" t="s">
        <v>180</v>
      </c>
      <c r="M41" s="145">
        <v>6224</v>
      </c>
      <c r="N41" s="145">
        <v>2085</v>
      </c>
      <c r="O41" s="145">
        <v>2738</v>
      </c>
      <c r="P41" s="145">
        <v>2738</v>
      </c>
      <c r="Q41" s="145">
        <v>2738</v>
      </c>
    </row>
    <row r="42" spans="1:17" s="11" customFormat="1" ht="45" x14ac:dyDescent="0.2">
      <c r="A42" s="1673"/>
      <c r="B42" s="141"/>
      <c r="C42" s="138">
        <v>5</v>
      </c>
      <c r="D42" s="139"/>
      <c r="E42" s="143" t="s">
        <v>402</v>
      </c>
      <c r="F42" s="47">
        <v>611.29999999999995</v>
      </c>
      <c r="G42" s="47">
        <v>374</v>
      </c>
      <c r="H42" s="47">
        <v>374</v>
      </c>
      <c r="I42" s="47">
        <v>374</v>
      </c>
      <c r="J42" s="47">
        <v>374</v>
      </c>
      <c r="K42" s="134" t="s">
        <v>411</v>
      </c>
      <c r="L42" s="140" t="s">
        <v>319</v>
      </c>
      <c r="M42" s="23">
        <v>2</v>
      </c>
      <c r="N42" s="23">
        <v>2</v>
      </c>
      <c r="O42" s="23">
        <v>2</v>
      </c>
      <c r="P42" s="23">
        <v>2</v>
      </c>
      <c r="Q42" s="23">
        <v>2</v>
      </c>
    </row>
    <row r="43" spans="1:17" s="11" customFormat="1" ht="30" x14ac:dyDescent="0.2">
      <c r="A43" s="1673"/>
      <c r="B43" s="141"/>
      <c r="C43" s="138">
        <v>6</v>
      </c>
      <c r="D43" s="139"/>
      <c r="E43" s="156" t="s">
        <v>403</v>
      </c>
      <c r="F43" s="47">
        <v>169045.6</v>
      </c>
      <c r="G43" s="47">
        <v>15611.8</v>
      </c>
      <c r="H43" s="47">
        <v>15611.8</v>
      </c>
      <c r="I43" s="47">
        <v>15611.8</v>
      </c>
      <c r="J43" s="47">
        <v>15611.8</v>
      </c>
      <c r="K43" s="134" t="s">
        <v>412</v>
      </c>
      <c r="L43" s="140" t="s">
        <v>106</v>
      </c>
      <c r="M43" s="146">
        <v>2</v>
      </c>
      <c r="N43" s="23">
        <v>2</v>
      </c>
      <c r="O43" s="23">
        <v>6</v>
      </c>
      <c r="P43" s="23">
        <v>6</v>
      </c>
      <c r="Q43" s="23">
        <v>6</v>
      </c>
    </row>
    <row r="44" spans="1:17" s="11" customFormat="1" ht="37.5" customHeight="1" x14ac:dyDescent="0.25">
      <c r="A44" s="1673"/>
      <c r="B44" s="141"/>
      <c r="C44" s="138">
        <v>7</v>
      </c>
      <c r="D44" s="147"/>
      <c r="E44" s="1212" t="s">
        <v>1527</v>
      </c>
      <c r="F44" s="47">
        <v>19000</v>
      </c>
      <c r="G44" s="47">
        <v>19000</v>
      </c>
      <c r="H44" s="47">
        <v>13474</v>
      </c>
      <c r="I44" s="47">
        <v>13474</v>
      </c>
      <c r="J44" s="47">
        <v>13474</v>
      </c>
      <c r="K44" s="134"/>
      <c r="L44" s="148"/>
      <c r="M44" s="149"/>
      <c r="N44" s="149"/>
      <c r="O44" s="149"/>
      <c r="P44" s="149"/>
      <c r="Q44" s="150"/>
    </row>
    <row r="45" spans="1:17" s="11" customFormat="1" ht="37.5" customHeight="1" x14ac:dyDescent="0.2">
      <c r="A45" s="1673"/>
      <c r="B45" s="141"/>
      <c r="C45" s="138">
        <v>8</v>
      </c>
      <c r="D45" s="147"/>
      <c r="E45" s="1212" t="s">
        <v>1806</v>
      </c>
      <c r="F45" s="47">
        <v>282470.7</v>
      </c>
      <c r="G45" s="47">
        <v>313921.3</v>
      </c>
      <c r="H45" s="47">
        <v>331429.90000000002</v>
      </c>
      <c r="I45" s="47">
        <v>338008.5</v>
      </c>
      <c r="J45" s="47">
        <v>346924.4</v>
      </c>
      <c r="K45" s="134" t="s">
        <v>1526</v>
      </c>
      <c r="L45" s="144" t="s">
        <v>3</v>
      </c>
      <c r="M45" s="412">
        <v>100</v>
      </c>
      <c r="N45" s="412">
        <v>100</v>
      </c>
      <c r="O45" s="412">
        <v>100</v>
      </c>
      <c r="P45" s="412">
        <v>100</v>
      </c>
      <c r="Q45" s="412">
        <v>100</v>
      </c>
    </row>
    <row r="46" spans="1:17" s="11" customFormat="1" ht="37.5" customHeight="1" x14ac:dyDescent="0.2">
      <c r="A46" s="1673"/>
      <c r="B46" s="1701"/>
      <c r="C46" s="1707">
        <v>9</v>
      </c>
      <c r="D46" s="1710"/>
      <c r="E46" s="1712" t="s">
        <v>404</v>
      </c>
      <c r="F46" s="1371">
        <v>100761.7</v>
      </c>
      <c r="G46" s="1371">
        <v>88066.8</v>
      </c>
      <c r="H46" s="1371">
        <v>123660</v>
      </c>
      <c r="I46" s="1371">
        <v>136874.4</v>
      </c>
      <c r="J46" s="1371">
        <v>138174.20000000001</v>
      </c>
      <c r="K46" s="134" t="s">
        <v>415</v>
      </c>
      <c r="L46" s="148" t="s">
        <v>106</v>
      </c>
      <c r="M46" s="412">
        <v>118</v>
      </c>
      <c r="N46" s="412">
        <v>124</v>
      </c>
      <c r="O46" s="412">
        <v>118</v>
      </c>
      <c r="P46" s="412">
        <v>118</v>
      </c>
      <c r="Q46" s="197">
        <v>118</v>
      </c>
    </row>
    <row r="47" spans="1:17" s="11" customFormat="1" ht="37.5" customHeight="1" x14ac:dyDescent="0.2">
      <c r="A47" s="1673"/>
      <c r="B47" s="1709"/>
      <c r="C47" s="1708"/>
      <c r="D47" s="1711"/>
      <c r="E47" s="1713"/>
      <c r="F47" s="1372"/>
      <c r="G47" s="1372"/>
      <c r="H47" s="1372"/>
      <c r="I47" s="1372"/>
      <c r="J47" s="1372"/>
      <c r="K47" s="134" t="s">
        <v>416</v>
      </c>
      <c r="L47" s="148" t="s">
        <v>106</v>
      </c>
      <c r="M47" s="412">
        <v>44</v>
      </c>
      <c r="N47" s="412">
        <v>66</v>
      </c>
      <c r="O47" s="412">
        <v>24</v>
      </c>
      <c r="P47" s="412">
        <v>24</v>
      </c>
      <c r="Q47" s="197">
        <v>24</v>
      </c>
    </row>
    <row r="48" spans="1:17" s="11" customFormat="1" ht="45" x14ac:dyDescent="0.2">
      <c r="A48" s="1673"/>
      <c r="B48" s="137" t="s">
        <v>1531</v>
      </c>
      <c r="C48" s="138">
        <v>1</v>
      </c>
      <c r="D48" s="147"/>
      <c r="E48" s="151" t="s">
        <v>1966</v>
      </c>
      <c r="F48" s="47">
        <v>4750</v>
      </c>
      <c r="G48" s="47">
        <v>6000</v>
      </c>
      <c r="H48" s="47">
        <v>6000</v>
      </c>
      <c r="I48" s="47">
        <v>6000</v>
      </c>
      <c r="J48" s="47">
        <v>6000</v>
      </c>
      <c r="K48" s="134" t="s">
        <v>413</v>
      </c>
      <c r="L48" s="144" t="s">
        <v>3</v>
      </c>
      <c r="M48" s="152">
        <v>0.38320358194506071</v>
      </c>
      <c r="N48" s="153">
        <v>0.31578947368421051</v>
      </c>
      <c r="O48" s="153">
        <v>0.30978454484905749</v>
      </c>
      <c r="P48" s="153">
        <v>0.30664813149071873</v>
      </c>
      <c r="Q48" s="153">
        <v>0.30361453099145325</v>
      </c>
    </row>
    <row r="49" spans="1:17" s="11" customFormat="1" ht="30" x14ac:dyDescent="0.2">
      <c r="A49" s="1673"/>
      <c r="B49" s="141"/>
      <c r="C49" s="138">
        <v>2</v>
      </c>
      <c r="D49" s="147"/>
      <c r="E49" s="143" t="s">
        <v>1967</v>
      </c>
      <c r="F49" s="47"/>
      <c r="G49" s="47">
        <v>1500</v>
      </c>
      <c r="H49" s="47">
        <v>1500</v>
      </c>
      <c r="I49" s="47">
        <v>1500</v>
      </c>
      <c r="J49" s="47">
        <v>1500</v>
      </c>
      <c r="K49" s="134" t="s">
        <v>414</v>
      </c>
      <c r="L49" s="154" t="s">
        <v>3</v>
      </c>
      <c r="M49" s="152"/>
      <c r="N49" s="153">
        <v>7.8947368421052627E-2</v>
      </c>
      <c r="O49" s="153">
        <v>7.7446136212264372E-2</v>
      </c>
      <c r="P49" s="153">
        <v>7.6662032872679683E-2</v>
      </c>
      <c r="Q49" s="153">
        <v>7.5903632747863312E-2</v>
      </c>
    </row>
    <row r="50" spans="1:17" s="11" customFormat="1" ht="60" x14ac:dyDescent="0.25">
      <c r="A50" s="1673"/>
      <c r="B50" s="141"/>
      <c r="C50" s="138">
        <v>3</v>
      </c>
      <c r="D50" s="147"/>
      <c r="E50" s="155" t="s">
        <v>1968</v>
      </c>
      <c r="F50" s="47">
        <v>7645.5</v>
      </c>
      <c r="G50" s="47">
        <v>11500</v>
      </c>
      <c r="H50" s="47">
        <v>11868.3</v>
      </c>
      <c r="I50" s="47">
        <v>12066.4</v>
      </c>
      <c r="J50" s="47">
        <v>12261.9</v>
      </c>
      <c r="K50" s="134" t="s">
        <v>414</v>
      </c>
      <c r="L50" s="154" t="s">
        <v>3</v>
      </c>
      <c r="M50" s="152">
        <v>0.61679641805493934</v>
      </c>
      <c r="N50" s="153">
        <v>0.60526315789473684</v>
      </c>
      <c r="O50" s="153">
        <v>0.61276931893867814</v>
      </c>
      <c r="P50" s="153">
        <v>0.6166898356366014</v>
      </c>
      <c r="Q50" s="153">
        <v>0.62048183626068332</v>
      </c>
    </row>
    <row r="51" spans="1:17" s="11" customFormat="1" ht="30" x14ac:dyDescent="0.2">
      <c r="A51" s="1673"/>
      <c r="B51" s="137" t="s">
        <v>1529</v>
      </c>
      <c r="C51" s="138">
        <v>1</v>
      </c>
      <c r="D51" s="139"/>
      <c r="E51" s="156" t="s">
        <v>405</v>
      </c>
      <c r="F51" s="47">
        <v>30768.6</v>
      </c>
      <c r="G51" s="47">
        <v>31161.4</v>
      </c>
      <c r="H51" s="47">
        <v>79147.7</v>
      </c>
      <c r="I51" s="47">
        <v>84733.5</v>
      </c>
      <c r="J51" s="47">
        <v>83628.399999999994</v>
      </c>
      <c r="K51" s="134" t="s">
        <v>417</v>
      </c>
      <c r="L51" s="154" t="s">
        <v>515</v>
      </c>
      <c r="M51" s="29">
        <v>273</v>
      </c>
      <c r="N51" s="29">
        <v>260</v>
      </c>
      <c r="O51" s="29">
        <v>260</v>
      </c>
      <c r="P51" s="29">
        <v>260</v>
      </c>
      <c r="Q51" s="29">
        <v>260</v>
      </c>
    </row>
    <row r="52" spans="1:17" s="11" customFormat="1" ht="42" customHeight="1" x14ac:dyDescent="0.2">
      <c r="A52" s="1674"/>
      <c r="B52" s="137" t="s">
        <v>1530</v>
      </c>
      <c r="C52" s="1657">
        <v>1</v>
      </c>
      <c r="D52" s="1658"/>
      <c r="E52" s="1660" t="s">
        <v>406</v>
      </c>
      <c r="F52" s="47">
        <v>7420.5</v>
      </c>
      <c r="G52" s="47">
        <v>7355.8</v>
      </c>
      <c r="H52" s="47">
        <v>10840.4</v>
      </c>
      <c r="I52" s="47">
        <v>9499.5</v>
      </c>
      <c r="J52" s="47">
        <v>11238.4</v>
      </c>
      <c r="K52" s="134" t="s">
        <v>1528</v>
      </c>
      <c r="L52" s="140" t="s">
        <v>106</v>
      </c>
      <c r="M52" s="29">
        <v>10</v>
      </c>
      <c r="N52" s="29">
        <v>12</v>
      </c>
      <c r="O52" s="29">
        <v>15</v>
      </c>
      <c r="P52" s="29">
        <v>15</v>
      </c>
      <c r="Q52" s="29">
        <v>15</v>
      </c>
    </row>
    <row r="53" spans="1:17" s="11" customFormat="1" ht="12.75" hidden="1" customHeight="1" x14ac:dyDescent="0.2">
      <c r="A53" s="1675"/>
      <c r="B53" s="1154"/>
      <c r="C53" s="1657"/>
      <c r="D53" s="1659"/>
      <c r="E53" s="1661"/>
      <c r="F53" s="58"/>
      <c r="G53" s="58"/>
      <c r="H53" s="58"/>
      <c r="I53" s="58"/>
      <c r="J53" s="58"/>
      <c r="K53" s="61"/>
      <c r="L53" s="65" t="s">
        <v>1</v>
      </c>
      <c r="M53" s="66">
        <v>10</v>
      </c>
      <c r="N53" s="66">
        <v>12</v>
      </c>
      <c r="O53" s="66">
        <v>15</v>
      </c>
      <c r="P53" s="66">
        <v>15</v>
      </c>
      <c r="Q53" s="66">
        <v>15</v>
      </c>
    </row>
    <row r="54" spans="1:17" s="11" customFormat="1" ht="15" x14ac:dyDescent="0.2">
      <c r="A54" s="1648" t="s">
        <v>35</v>
      </c>
      <c r="B54" s="1649"/>
      <c r="C54" s="1649"/>
      <c r="D54" s="1649"/>
      <c r="E54" s="1650"/>
      <c r="F54" s="96">
        <f>F38+F39+F40+F41+F42+F43+F44+F45+F46+F48+F49+F50+F51+F52</f>
        <v>884717.29999999993</v>
      </c>
      <c r="G54" s="96">
        <f t="shared" ref="G54:J54" si="6">G38+G39+G40+G41+G42+G43+G44+G45+G46+G48+G49+G50+G51+G52</f>
        <v>758787.20000000007</v>
      </c>
      <c r="H54" s="96">
        <f t="shared" si="6"/>
        <v>958625.6</v>
      </c>
      <c r="I54" s="96">
        <f t="shared" si="6"/>
        <v>976316.20000000007</v>
      </c>
      <c r="J54" s="96">
        <f t="shared" si="6"/>
        <v>992957.00000000012</v>
      </c>
      <c r="K54" s="97"/>
      <c r="L54" s="158"/>
      <c r="M54" s="159"/>
      <c r="N54" s="159"/>
      <c r="O54" s="159"/>
      <c r="P54" s="159"/>
      <c r="Q54" s="160"/>
    </row>
    <row r="55" spans="1:17" s="11" customFormat="1" ht="14.25" x14ac:dyDescent="0.2">
      <c r="A55" s="1681" t="s">
        <v>1976</v>
      </c>
      <c r="B55" s="1682"/>
      <c r="C55" s="1682"/>
      <c r="D55" s="1682"/>
      <c r="E55" s="1682"/>
      <c r="F55" s="1682"/>
      <c r="G55" s="1682"/>
      <c r="H55" s="1682"/>
      <c r="I55" s="1682"/>
      <c r="J55" s="1682"/>
      <c r="K55" s="1682"/>
      <c r="L55" s="1682"/>
      <c r="M55" s="1682"/>
      <c r="N55" s="1682"/>
      <c r="O55" s="1682"/>
      <c r="P55" s="1682"/>
      <c r="Q55" s="1683"/>
    </row>
    <row r="56" spans="1:17" s="11" customFormat="1" ht="73.5" x14ac:dyDescent="0.2">
      <c r="A56" s="1687">
        <v>16</v>
      </c>
      <c r="B56" s="45" t="s">
        <v>1807</v>
      </c>
      <c r="C56" s="45"/>
      <c r="D56" s="45"/>
      <c r="E56" s="106" t="s">
        <v>1746</v>
      </c>
      <c r="F56" s="161">
        <v>174146.1</v>
      </c>
      <c r="G56" s="161">
        <v>201791.4</v>
      </c>
      <c r="H56" s="161">
        <f>H57</f>
        <v>216561</v>
      </c>
      <c r="I56" s="161">
        <f t="shared" ref="I56:J56" si="7">I57</f>
        <v>202491.4</v>
      </c>
      <c r="J56" s="161">
        <f t="shared" si="7"/>
        <v>202891.4</v>
      </c>
      <c r="K56" s="162" t="s">
        <v>277</v>
      </c>
      <c r="L56" s="16" t="s">
        <v>3</v>
      </c>
      <c r="M56" s="16">
        <v>1056</v>
      </c>
      <c r="N56" s="16">
        <v>0</v>
      </c>
      <c r="O56" s="16">
        <v>0</v>
      </c>
      <c r="P56" s="16">
        <v>0</v>
      </c>
      <c r="Q56" s="16">
        <v>0</v>
      </c>
    </row>
    <row r="57" spans="1:17" s="11" customFormat="1" ht="45" x14ac:dyDescent="0.2">
      <c r="A57" s="1687"/>
      <c r="B57" s="46"/>
      <c r="C57" s="46" t="s">
        <v>5</v>
      </c>
      <c r="D57" s="45"/>
      <c r="E57" s="163" t="s">
        <v>1533</v>
      </c>
      <c r="F57" s="47">
        <v>174146.1</v>
      </c>
      <c r="G57" s="47">
        <v>201791.4</v>
      </c>
      <c r="H57" s="47">
        <v>216561</v>
      </c>
      <c r="I57" s="47">
        <v>202491.4</v>
      </c>
      <c r="J57" s="47">
        <v>202891.4</v>
      </c>
      <c r="K57" s="163" t="s">
        <v>278</v>
      </c>
      <c r="L57" s="16" t="s">
        <v>106</v>
      </c>
      <c r="M57" s="16">
        <v>650</v>
      </c>
      <c r="N57" s="28" t="s">
        <v>221</v>
      </c>
      <c r="O57" s="28" t="s">
        <v>221</v>
      </c>
      <c r="P57" s="28" t="s">
        <v>222</v>
      </c>
      <c r="Q57" s="28" t="s">
        <v>222</v>
      </c>
    </row>
    <row r="58" spans="1:17" s="11" customFormat="1" ht="38.25" hidden="1" x14ac:dyDescent="0.2">
      <c r="A58" s="1687"/>
      <c r="B58" s="46"/>
      <c r="C58" s="46" t="s">
        <v>6</v>
      </c>
      <c r="D58" s="45"/>
      <c r="E58" s="12" t="s">
        <v>229</v>
      </c>
      <c r="F58" s="47"/>
      <c r="G58" s="47"/>
      <c r="H58" s="48"/>
      <c r="I58" s="48"/>
      <c r="J58" s="48"/>
      <c r="K58" s="54" t="s">
        <v>279</v>
      </c>
      <c r="L58" s="16"/>
      <c r="M58" s="16" t="s">
        <v>77</v>
      </c>
      <c r="N58" s="16" t="s">
        <v>77</v>
      </c>
      <c r="O58" s="16" t="s">
        <v>77</v>
      </c>
      <c r="P58" s="16" t="s">
        <v>77</v>
      </c>
      <c r="Q58" s="16" t="s">
        <v>77</v>
      </c>
    </row>
    <row r="59" spans="1:17" s="11" customFormat="1" ht="38.25" hidden="1" x14ac:dyDescent="0.2">
      <c r="A59" s="1687"/>
      <c r="B59" s="46"/>
      <c r="C59" s="46" t="s">
        <v>4</v>
      </c>
      <c r="D59" s="45"/>
      <c r="E59" s="12" t="s">
        <v>230</v>
      </c>
      <c r="F59" s="47"/>
      <c r="G59" s="47"/>
      <c r="H59" s="47"/>
      <c r="I59" s="47"/>
      <c r="J59" s="47"/>
      <c r="K59" s="54" t="s">
        <v>280</v>
      </c>
      <c r="L59" s="16" t="s">
        <v>3</v>
      </c>
      <c r="M59" s="16">
        <v>100</v>
      </c>
      <c r="N59" s="16">
        <v>100</v>
      </c>
      <c r="O59" s="16">
        <v>100</v>
      </c>
      <c r="P59" s="16">
        <v>100</v>
      </c>
      <c r="Q59" s="16">
        <v>100</v>
      </c>
    </row>
    <row r="60" spans="1:17" s="11" customFormat="1" ht="25.5" hidden="1" x14ac:dyDescent="0.2">
      <c r="A60" s="1687"/>
      <c r="B60" s="46"/>
      <c r="C60" s="46" t="s">
        <v>7</v>
      </c>
      <c r="D60" s="45"/>
      <c r="E60" s="12" t="s">
        <v>231</v>
      </c>
      <c r="F60" s="47"/>
      <c r="G60" s="47"/>
      <c r="H60" s="49"/>
      <c r="I60" s="49"/>
      <c r="J60" s="49"/>
      <c r="K60" s="54" t="s">
        <v>281</v>
      </c>
      <c r="L60" s="16" t="s">
        <v>3</v>
      </c>
      <c r="M60" s="16">
        <v>100</v>
      </c>
      <c r="N60" s="16">
        <v>100</v>
      </c>
      <c r="O60" s="16">
        <v>100</v>
      </c>
      <c r="P60" s="16">
        <v>100</v>
      </c>
      <c r="Q60" s="16">
        <v>100</v>
      </c>
    </row>
    <row r="61" spans="1:17" s="11" customFormat="1" ht="51" hidden="1" x14ac:dyDescent="0.2">
      <c r="A61" s="1687"/>
      <c r="B61" s="46"/>
      <c r="C61" s="46" t="s">
        <v>8</v>
      </c>
      <c r="D61" s="45"/>
      <c r="E61" s="54" t="s">
        <v>232</v>
      </c>
      <c r="F61" s="47"/>
      <c r="G61" s="47"/>
      <c r="H61" s="49"/>
      <c r="I61" s="49"/>
      <c r="J61" s="49"/>
      <c r="K61" s="54" t="s">
        <v>282</v>
      </c>
      <c r="L61" s="50" t="s">
        <v>283</v>
      </c>
      <c r="M61" s="16">
        <v>30</v>
      </c>
      <c r="N61" s="16">
        <v>30</v>
      </c>
      <c r="O61" s="16">
        <v>30</v>
      </c>
      <c r="P61" s="16">
        <v>30</v>
      </c>
      <c r="Q61" s="16">
        <v>30</v>
      </c>
    </row>
    <row r="62" spans="1:17" s="11" customFormat="1" ht="15" hidden="1" x14ac:dyDescent="0.25">
      <c r="A62" s="1687"/>
      <c r="B62" s="46"/>
      <c r="C62" s="46" t="s">
        <v>9</v>
      </c>
      <c r="D62" s="45"/>
      <c r="E62" s="164" t="s">
        <v>233</v>
      </c>
      <c r="F62" s="47"/>
      <c r="G62" s="47"/>
      <c r="H62" s="49"/>
      <c r="I62" s="49"/>
      <c r="J62" s="49"/>
      <c r="K62" s="165" t="s">
        <v>284</v>
      </c>
      <c r="L62" s="16" t="s">
        <v>106</v>
      </c>
      <c r="M62" s="16">
        <v>14</v>
      </c>
      <c r="N62" s="16">
        <v>14</v>
      </c>
      <c r="O62" s="16"/>
      <c r="P62" s="16"/>
      <c r="Q62" s="16"/>
    </row>
    <row r="63" spans="1:17" s="11" customFormat="1" ht="30" hidden="1" x14ac:dyDescent="0.25">
      <c r="A63" s="1687"/>
      <c r="B63" s="46"/>
      <c r="C63" s="46" t="s">
        <v>10</v>
      </c>
      <c r="D63" s="45"/>
      <c r="E63" s="165" t="s">
        <v>234</v>
      </c>
      <c r="F63" s="47"/>
      <c r="G63" s="47"/>
      <c r="H63" s="49"/>
      <c r="I63" s="49"/>
      <c r="J63" s="49"/>
      <c r="K63" s="186" t="s">
        <v>285</v>
      </c>
      <c r="L63" s="16" t="s">
        <v>106</v>
      </c>
      <c r="M63" s="16">
        <v>278</v>
      </c>
      <c r="N63" s="16">
        <v>280</v>
      </c>
      <c r="O63" s="16"/>
      <c r="P63" s="16"/>
      <c r="Q63" s="16"/>
    </row>
    <row r="64" spans="1:17" s="11" customFormat="1" ht="30" hidden="1" x14ac:dyDescent="0.2">
      <c r="A64" s="1687"/>
      <c r="B64" s="46"/>
      <c r="C64" s="46" t="s">
        <v>11</v>
      </c>
      <c r="D64" s="45"/>
      <c r="E64" s="182" t="s">
        <v>235</v>
      </c>
      <c r="F64" s="47"/>
      <c r="G64" s="47"/>
      <c r="H64" s="49"/>
      <c r="I64" s="49"/>
      <c r="J64" s="49"/>
      <c r="K64" s="165" t="s">
        <v>286</v>
      </c>
      <c r="L64" s="16" t="s">
        <v>106</v>
      </c>
      <c r="M64" s="16">
        <v>88</v>
      </c>
      <c r="N64" s="16">
        <v>90</v>
      </c>
      <c r="O64" s="16"/>
      <c r="P64" s="16"/>
      <c r="Q64" s="16"/>
    </row>
    <row r="65" spans="1:18" s="11" customFormat="1" ht="14.25" x14ac:dyDescent="0.2">
      <c r="A65" s="1648" t="s">
        <v>35</v>
      </c>
      <c r="B65" s="1649"/>
      <c r="C65" s="1649"/>
      <c r="D65" s="1649"/>
      <c r="E65" s="1650"/>
      <c r="F65" s="96">
        <v>174146.1</v>
      </c>
      <c r="G65" s="96">
        <v>201791.4</v>
      </c>
      <c r="H65" s="96">
        <f>H56</f>
        <v>216561</v>
      </c>
      <c r="I65" s="96">
        <f t="shared" ref="I65:J65" si="8">I56</f>
        <v>202491.4</v>
      </c>
      <c r="J65" s="96">
        <f t="shared" si="8"/>
        <v>202891.4</v>
      </c>
      <c r="K65" s="166"/>
      <c r="L65" s="167"/>
      <c r="M65" s="167"/>
      <c r="N65" s="167"/>
      <c r="O65" s="167"/>
      <c r="P65" s="167"/>
      <c r="Q65" s="167"/>
    </row>
    <row r="66" spans="1:18" s="11" customFormat="1" ht="14.25" x14ac:dyDescent="0.2">
      <c r="A66" s="1684" t="s">
        <v>237</v>
      </c>
      <c r="B66" s="1685"/>
      <c r="C66" s="1685"/>
      <c r="D66" s="1685"/>
      <c r="E66" s="1685"/>
      <c r="F66" s="1685"/>
      <c r="G66" s="1685"/>
      <c r="H66" s="1685"/>
      <c r="I66" s="1685"/>
      <c r="J66" s="1685"/>
      <c r="K66" s="1685"/>
      <c r="L66" s="1685"/>
      <c r="M66" s="1685"/>
      <c r="N66" s="1685"/>
      <c r="O66" s="1685"/>
      <c r="P66" s="1685"/>
      <c r="Q66" s="1686"/>
    </row>
    <row r="67" spans="1:18" s="11" customFormat="1" ht="89.25" x14ac:dyDescent="0.2">
      <c r="A67" s="1688"/>
      <c r="B67" s="168" t="s">
        <v>0</v>
      </c>
      <c r="C67" s="168"/>
      <c r="D67" s="168"/>
      <c r="E67" s="163" t="s">
        <v>1536</v>
      </c>
      <c r="F67" s="161">
        <v>14277.5</v>
      </c>
      <c r="G67" s="161">
        <v>13914.1</v>
      </c>
      <c r="H67" s="161">
        <f>H68</f>
        <v>13914.1</v>
      </c>
      <c r="I67" s="161">
        <f t="shared" ref="I67:J67" si="9">I68</f>
        <v>13914.1</v>
      </c>
      <c r="J67" s="161">
        <f t="shared" si="9"/>
        <v>15090.7</v>
      </c>
      <c r="K67" s="163" t="s">
        <v>1534</v>
      </c>
      <c r="L67" s="169" t="s">
        <v>3</v>
      </c>
      <c r="M67" s="169">
        <v>4.9000000000000004</v>
      </c>
      <c r="N67" s="169">
        <v>4.9000000000000004</v>
      </c>
      <c r="O67" s="169">
        <v>4.9000000000000004</v>
      </c>
      <c r="P67" s="169">
        <v>4.9000000000000004</v>
      </c>
      <c r="Q67" s="169">
        <v>4.9000000000000004</v>
      </c>
    </row>
    <row r="68" spans="1:18" s="11" customFormat="1" ht="60.6" customHeight="1" x14ac:dyDescent="0.2">
      <c r="A68" s="1689"/>
      <c r="B68" s="28"/>
      <c r="C68" s="28" t="s">
        <v>5</v>
      </c>
      <c r="D68" s="28"/>
      <c r="E68" s="163" t="s">
        <v>245</v>
      </c>
      <c r="F68" s="47">
        <v>14277.5</v>
      </c>
      <c r="G68" s="47">
        <v>13914.1</v>
      </c>
      <c r="H68" s="47">
        <v>13914.1</v>
      </c>
      <c r="I68" s="47">
        <v>13914.1</v>
      </c>
      <c r="J68" s="47">
        <v>15090.7</v>
      </c>
      <c r="K68" s="163" t="s">
        <v>287</v>
      </c>
      <c r="L68" s="16" t="s">
        <v>106</v>
      </c>
      <c r="M68" s="16">
        <v>4.9000000000000004</v>
      </c>
      <c r="N68" s="16">
        <v>4.9000000000000004</v>
      </c>
      <c r="O68" s="16">
        <v>4.9000000000000004</v>
      </c>
      <c r="P68" s="16">
        <v>4.9000000000000004</v>
      </c>
      <c r="Q68" s="16">
        <v>4.9000000000000004</v>
      </c>
    </row>
    <row r="69" spans="1:18" s="11" customFormat="1" ht="38.25" hidden="1" x14ac:dyDescent="0.2">
      <c r="A69" s="1689"/>
      <c r="B69" s="28" t="s">
        <v>0</v>
      </c>
      <c r="C69" s="28" t="s">
        <v>6</v>
      </c>
      <c r="D69" s="28"/>
      <c r="E69" s="12" t="s">
        <v>238</v>
      </c>
      <c r="F69" s="47"/>
      <c r="G69" s="47"/>
      <c r="H69" s="47"/>
      <c r="I69" s="47"/>
      <c r="J69" s="47"/>
      <c r="K69" s="12" t="s">
        <v>288</v>
      </c>
      <c r="L69" s="16" t="s">
        <v>3</v>
      </c>
      <c r="M69" s="16"/>
      <c r="N69" s="16"/>
      <c r="O69" s="16"/>
      <c r="P69" s="16"/>
      <c r="Q69" s="16"/>
    </row>
    <row r="70" spans="1:18" s="11" customFormat="1" ht="25.5" hidden="1" x14ac:dyDescent="0.2">
      <c r="A70" s="1689"/>
      <c r="B70" s="28" t="s">
        <v>0</v>
      </c>
      <c r="C70" s="28" t="s">
        <v>4</v>
      </c>
      <c r="D70" s="28"/>
      <c r="E70" s="12" t="s">
        <v>239</v>
      </c>
      <c r="F70" s="47"/>
      <c r="G70" s="47"/>
      <c r="H70" s="47"/>
      <c r="I70" s="47"/>
      <c r="J70" s="47"/>
      <c r="K70" s="12" t="s">
        <v>289</v>
      </c>
      <c r="L70" s="16" t="s">
        <v>3</v>
      </c>
      <c r="M70" s="16"/>
      <c r="N70" s="16"/>
      <c r="O70" s="16"/>
      <c r="P70" s="16"/>
      <c r="Q70" s="16"/>
    </row>
    <row r="71" spans="1:18" s="11" customFormat="1" ht="25.5" hidden="1" x14ac:dyDescent="0.2">
      <c r="A71" s="1689"/>
      <c r="B71" s="28" t="s">
        <v>0</v>
      </c>
      <c r="C71" s="28" t="s">
        <v>7</v>
      </c>
      <c r="D71" s="28"/>
      <c r="E71" s="12" t="s">
        <v>240</v>
      </c>
      <c r="F71" s="47"/>
      <c r="G71" s="47"/>
      <c r="H71" s="47"/>
      <c r="I71" s="47"/>
      <c r="J71" s="47"/>
      <c r="K71" s="12" t="s">
        <v>290</v>
      </c>
      <c r="L71" s="16" t="s">
        <v>1008</v>
      </c>
      <c r="M71" s="16"/>
      <c r="N71" s="16"/>
      <c r="O71" s="16"/>
      <c r="P71" s="16"/>
      <c r="Q71" s="16"/>
    </row>
    <row r="72" spans="1:18" s="11" customFormat="1" ht="102.75" x14ac:dyDescent="0.2">
      <c r="A72" s="1689"/>
      <c r="B72" s="45" t="s">
        <v>1808</v>
      </c>
      <c r="C72" s="45"/>
      <c r="D72" s="45"/>
      <c r="E72" s="163" t="s">
        <v>1483</v>
      </c>
      <c r="F72" s="161">
        <v>8076.3</v>
      </c>
      <c r="G72" s="161">
        <v>8439.7000000000007</v>
      </c>
      <c r="H72" s="161">
        <f>H73</f>
        <v>16879.400000000001</v>
      </c>
      <c r="I72" s="161">
        <f t="shared" ref="I72:J72" si="10">I73</f>
        <v>16445.8</v>
      </c>
      <c r="J72" s="161">
        <f t="shared" si="10"/>
        <v>15279.4</v>
      </c>
      <c r="K72" s="170" t="s">
        <v>291</v>
      </c>
      <c r="L72" s="16" t="s">
        <v>106</v>
      </c>
      <c r="M72" s="16">
        <v>2300</v>
      </c>
      <c r="N72" s="16">
        <v>2500</v>
      </c>
      <c r="O72" s="16">
        <v>2600</v>
      </c>
      <c r="P72" s="16">
        <v>2600</v>
      </c>
      <c r="Q72" s="16">
        <v>2600</v>
      </c>
    </row>
    <row r="73" spans="1:18" s="11" customFormat="1" ht="30" x14ac:dyDescent="0.25">
      <c r="A73" s="1689"/>
      <c r="B73" s="51"/>
      <c r="C73" s="46" t="s">
        <v>5</v>
      </c>
      <c r="D73" s="51"/>
      <c r="E73" s="163" t="s">
        <v>241</v>
      </c>
      <c r="F73" s="47">
        <v>8076.3</v>
      </c>
      <c r="G73" s="47">
        <v>8439.7000000000007</v>
      </c>
      <c r="H73" s="47">
        <v>16879.400000000001</v>
      </c>
      <c r="I73" s="47">
        <v>16445.8</v>
      </c>
      <c r="J73" s="47">
        <v>15279.4</v>
      </c>
      <c r="K73" s="163" t="s">
        <v>292</v>
      </c>
      <c r="L73" s="16" t="s">
        <v>106</v>
      </c>
      <c r="M73" s="27">
        <v>2300</v>
      </c>
      <c r="N73" s="27">
        <v>2500</v>
      </c>
      <c r="O73" s="27">
        <v>2600</v>
      </c>
      <c r="P73" s="27">
        <v>2600</v>
      </c>
      <c r="Q73" s="27">
        <v>2600</v>
      </c>
    </row>
    <row r="74" spans="1:18" s="11" customFormat="1" ht="25.5" hidden="1" x14ac:dyDescent="0.25">
      <c r="A74" s="1689"/>
      <c r="B74" s="51" t="s">
        <v>12</v>
      </c>
      <c r="C74" s="51" t="s">
        <v>6</v>
      </c>
      <c r="D74" s="51" t="s">
        <v>21</v>
      </c>
      <c r="E74" s="12" t="s">
        <v>242</v>
      </c>
      <c r="F74" s="47"/>
      <c r="G74" s="47"/>
      <c r="H74" s="47"/>
      <c r="I74" s="47"/>
      <c r="J74" s="47"/>
      <c r="K74" s="12"/>
      <c r="L74" s="27"/>
      <c r="M74" s="27"/>
      <c r="N74" s="27"/>
      <c r="O74" s="27"/>
      <c r="P74" s="27"/>
      <c r="Q74" s="27"/>
    </row>
    <row r="75" spans="1:18" s="11" customFormat="1" ht="63.75" hidden="1" x14ac:dyDescent="0.25">
      <c r="A75" s="1690"/>
      <c r="B75" s="51" t="s">
        <v>12</v>
      </c>
      <c r="C75" s="51" t="s">
        <v>4</v>
      </c>
      <c r="D75" s="51" t="s">
        <v>21</v>
      </c>
      <c r="E75" s="12" t="s">
        <v>243</v>
      </c>
      <c r="F75" s="47"/>
      <c r="G75" s="47"/>
      <c r="H75" s="47"/>
      <c r="I75" s="47"/>
      <c r="J75" s="47"/>
      <c r="K75" s="12" t="s">
        <v>293</v>
      </c>
      <c r="L75" s="27" t="s">
        <v>190</v>
      </c>
      <c r="M75" s="52"/>
      <c r="N75" s="52"/>
      <c r="O75" s="52"/>
      <c r="P75" s="52"/>
      <c r="Q75" s="52"/>
    </row>
    <row r="76" spans="1:18" s="11" customFormat="1" ht="15" x14ac:dyDescent="0.25">
      <c r="A76" s="1648" t="s">
        <v>35</v>
      </c>
      <c r="B76" s="1649"/>
      <c r="C76" s="1649"/>
      <c r="D76" s="1649"/>
      <c r="E76" s="1650"/>
      <c r="F76" s="96">
        <v>22353.8</v>
      </c>
      <c r="G76" s="96">
        <v>22353.800000000003</v>
      </c>
      <c r="H76" s="96">
        <f>H67+H72</f>
        <v>30793.5</v>
      </c>
      <c r="I76" s="96">
        <f t="shared" ref="I76:J76" si="11">I67+I72</f>
        <v>30359.9</v>
      </c>
      <c r="J76" s="96">
        <f t="shared" si="11"/>
        <v>30370.1</v>
      </c>
      <c r="K76" s="166"/>
      <c r="L76" s="167"/>
      <c r="M76" s="171"/>
      <c r="N76" s="171"/>
      <c r="O76" s="167"/>
      <c r="P76" s="167"/>
      <c r="Q76" s="167"/>
    </row>
    <row r="77" spans="1:18" s="11" customFormat="1" ht="14.25" x14ac:dyDescent="0.2">
      <c r="A77" s="172" t="s">
        <v>244</v>
      </c>
      <c r="B77" s="173"/>
      <c r="C77" s="173"/>
      <c r="D77" s="173"/>
      <c r="E77" s="173"/>
      <c r="F77" s="173"/>
      <c r="G77" s="173"/>
      <c r="H77" s="173"/>
      <c r="I77" s="173"/>
      <c r="J77" s="173"/>
      <c r="K77" s="173"/>
      <c r="L77" s="173"/>
      <c r="M77" s="173"/>
      <c r="N77" s="173"/>
      <c r="O77" s="173"/>
      <c r="P77" s="173"/>
      <c r="Q77" s="174"/>
    </row>
    <row r="78" spans="1:18" s="11" customFormat="1" ht="93" customHeight="1" x14ac:dyDescent="0.2">
      <c r="A78" s="1572">
        <v>16</v>
      </c>
      <c r="B78" s="175" t="s">
        <v>0</v>
      </c>
      <c r="C78" s="175"/>
      <c r="D78" s="175"/>
      <c r="E78" s="103" t="s">
        <v>1484</v>
      </c>
      <c r="F78" s="176">
        <v>113838</v>
      </c>
      <c r="G78" s="176">
        <v>134351.70000000001</v>
      </c>
      <c r="H78" s="176">
        <f>H79+H81</f>
        <v>246005.2</v>
      </c>
      <c r="I78" s="176">
        <f t="shared" ref="I78:J78" si="12">I79+I81</f>
        <v>246635.40000000002</v>
      </c>
      <c r="J78" s="176">
        <f t="shared" si="12"/>
        <v>246905.19999999998</v>
      </c>
      <c r="K78" s="103" t="s">
        <v>294</v>
      </c>
      <c r="L78" s="177" t="s">
        <v>3</v>
      </c>
      <c r="M78" s="177">
        <v>100</v>
      </c>
      <c r="N78" s="177">
        <v>100</v>
      </c>
      <c r="O78" s="177">
        <v>100</v>
      </c>
      <c r="P78" s="177">
        <v>100</v>
      </c>
      <c r="Q78" s="177">
        <v>100</v>
      </c>
    </row>
    <row r="79" spans="1:18" s="11" customFormat="1" ht="73.5" x14ac:dyDescent="0.2">
      <c r="A79" s="1572"/>
      <c r="B79" s="1470"/>
      <c r="C79" s="20" t="s">
        <v>5</v>
      </c>
      <c r="D79" s="20"/>
      <c r="E79" s="178" t="s">
        <v>245</v>
      </c>
      <c r="F79" s="22">
        <v>44197.4</v>
      </c>
      <c r="G79" s="22">
        <v>55487.8</v>
      </c>
      <c r="H79" s="22">
        <v>111570.7</v>
      </c>
      <c r="I79" s="22">
        <v>111956.7</v>
      </c>
      <c r="J79" s="22">
        <v>111615.9</v>
      </c>
      <c r="K79" s="179" t="s">
        <v>1537</v>
      </c>
      <c r="L79" s="23" t="s">
        <v>3</v>
      </c>
      <c r="M79" s="23">
        <v>100</v>
      </c>
      <c r="N79" s="23">
        <v>100</v>
      </c>
      <c r="O79" s="23">
        <v>100</v>
      </c>
      <c r="P79" s="23">
        <v>100</v>
      </c>
      <c r="Q79" s="23">
        <v>100</v>
      </c>
    </row>
    <row r="80" spans="1:18" s="11" customFormat="1" ht="15" x14ac:dyDescent="0.2">
      <c r="A80" s="1572"/>
      <c r="B80" s="1471"/>
      <c r="C80" s="20" t="s">
        <v>11</v>
      </c>
      <c r="D80" s="20"/>
      <c r="E80" s="183" t="s">
        <v>1969</v>
      </c>
      <c r="F80" s="22">
        <v>69640.600000000006</v>
      </c>
      <c r="G80" s="22"/>
      <c r="H80" s="22"/>
      <c r="I80" s="22"/>
      <c r="J80" s="22"/>
      <c r="K80" s="22"/>
      <c r="L80" s="23" t="s">
        <v>3</v>
      </c>
      <c r="M80" s="23">
        <v>100</v>
      </c>
      <c r="N80" s="23">
        <v>100</v>
      </c>
      <c r="O80" s="23"/>
      <c r="P80" s="23"/>
      <c r="Q80" s="23"/>
      <c r="R80" s="23"/>
    </row>
    <row r="81" spans="1:17" s="11" customFormat="1" ht="60" x14ac:dyDescent="0.2">
      <c r="A81" s="1572"/>
      <c r="B81" s="1471"/>
      <c r="C81" s="20" t="s">
        <v>6</v>
      </c>
      <c r="D81" s="20"/>
      <c r="E81" s="178" t="s">
        <v>246</v>
      </c>
      <c r="F81" s="22">
        <v>69640.600000000006</v>
      </c>
      <c r="G81" s="22">
        <v>61811.4</v>
      </c>
      <c r="H81" s="22">
        <v>134434.5</v>
      </c>
      <c r="I81" s="22">
        <v>134678.70000000001</v>
      </c>
      <c r="J81" s="22">
        <v>135289.29999999999</v>
      </c>
      <c r="K81" s="178" t="s">
        <v>295</v>
      </c>
      <c r="L81" s="23" t="s">
        <v>3</v>
      </c>
      <c r="M81" s="23"/>
      <c r="N81" s="23"/>
      <c r="O81" s="23">
        <v>100</v>
      </c>
      <c r="P81" s="23">
        <v>100</v>
      </c>
      <c r="Q81" s="23">
        <v>100</v>
      </c>
    </row>
    <row r="82" spans="1:17" s="11" customFormat="1" ht="15" hidden="1" x14ac:dyDescent="0.2">
      <c r="A82" s="1572"/>
      <c r="B82" s="1471"/>
      <c r="C82" s="20" t="s">
        <v>4</v>
      </c>
      <c r="D82" s="20"/>
      <c r="E82" s="17" t="s">
        <v>247</v>
      </c>
      <c r="F82" s="22"/>
      <c r="G82" s="22"/>
      <c r="H82" s="22"/>
      <c r="I82" s="22"/>
      <c r="J82" s="22"/>
      <c r="K82" s="55" t="s">
        <v>296</v>
      </c>
      <c r="L82" s="23" t="s">
        <v>3</v>
      </c>
      <c r="M82" s="23"/>
      <c r="N82" s="53"/>
      <c r="O82" s="23"/>
      <c r="P82" s="23"/>
      <c r="Q82" s="23"/>
    </row>
    <row r="83" spans="1:17" s="11" customFormat="1" ht="15" hidden="1" x14ac:dyDescent="0.2">
      <c r="A83" s="1572"/>
      <c r="B83" s="1471"/>
      <c r="C83" s="20" t="s">
        <v>7</v>
      </c>
      <c r="D83" s="20"/>
      <c r="E83" s="17" t="s">
        <v>248</v>
      </c>
      <c r="F83" s="22"/>
      <c r="G83" s="22"/>
      <c r="H83" s="22"/>
      <c r="I83" s="22"/>
      <c r="J83" s="22"/>
      <c r="K83" s="55" t="s">
        <v>297</v>
      </c>
      <c r="L83" s="23" t="s">
        <v>1014</v>
      </c>
      <c r="M83" s="23"/>
      <c r="N83" s="23"/>
      <c r="O83" s="23"/>
      <c r="P83" s="23"/>
      <c r="Q83" s="23"/>
    </row>
    <row r="84" spans="1:17" s="11" customFormat="1" ht="25.5" hidden="1" x14ac:dyDescent="0.2">
      <c r="A84" s="1572"/>
      <c r="B84" s="1471"/>
      <c r="C84" s="20" t="s">
        <v>8</v>
      </c>
      <c r="D84" s="20"/>
      <c r="E84" s="17" t="s">
        <v>249</v>
      </c>
      <c r="F84" s="22"/>
      <c r="G84" s="22"/>
      <c r="H84" s="22"/>
      <c r="I84" s="22"/>
      <c r="J84" s="22"/>
      <c r="K84" s="17" t="s">
        <v>298</v>
      </c>
      <c r="L84" s="23" t="s">
        <v>190</v>
      </c>
      <c r="M84" s="23"/>
      <c r="N84" s="23"/>
      <c r="O84" s="23"/>
      <c r="P84" s="23"/>
      <c r="Q84" s="23"/>
    </row>
    <row r="85" spans="1:17" s="11" customFormat="1" ht="38.25" hidden="1" x14ac:dyDescent="0.2">
      <c r="A85" s="1572"/>
      <c r="B85" s="1471"/>
      <c r="C85" s="20" t="s">
        <v>9</v>
      </c>
      <c r="D85" s="20"/>
      <c r="E85" s="55" t="s">
        <v>250</v>
      </c>
      <c r="F85" s="22"/>
      <c r="G85" s="22"/>
      <c r="H85" s="22"/>
      <c r="I85" s="22"/>
      <c r="J85" s="22"/>
      <c r="K85" s="17" t="s">
        <v>299</v>
      </c>
      <c r="L85" s="23" t="s">
        <v>3</v>
      </c>
      <c r="M85" s="23">
        <v>100</v>
      </c>
      <c r="N85" s="23"/>
      <c r="O85" s="23"/>
      <c r="P85" s="23"/>
      <c r="Q85" s="23"/>
    </row>
    <row r="86" spans="1:17" s="11" customFormat="1" ht="38.25" hidden="1" x14ac:dyDescent="0.2">
      <c r="A86" s="1572"/>
      <c r="B86" s="1472"/>
      <c r="C86" s="20" t="s">
        <v>10</v>
      </c>
      <c r="D86" s="20"/>
      <c r="E86" s="56" t="s">
        <v>251</v>
      </c>
      <c r="F86" s="22"/>
      <c r="G86" s="22"/>
      <c r="H86" s="22"/>
      <c r="I86" s="22"/>
      <c r="J86" s="22"/>
      <c r="K86" s="17" t="s">
        <v>300</v>
      </c>
      <c r="L86" s="23" t="s">
        <v>3</v>
      </c>
      <c r="M86" s="23"/>
      <c r="N86" s="23"/>
      <c r="O86" s="23"/>
      <c r="P86" s="23"/>
      <c r="Q86" s="23"/>
    </row>
    <row r="87" spans="1:17" s="11" customFormat="1" ht="99.75" x14ac:dyDescent="0.2">
      <c r="A87" s="1572"/>
      <c r="B87" s="180" t="s">
        <v>1809</v>
      </c>
      <c r="C87" s="180"/>
      <c r="D87" s="180"/>
      <c r="E87" s="103" t="s">
        <v>1485</v>
      </c>
      <c r="F87" s="176">
        <v>962469.9</v>
      </c>
      <c r="G87" s="176">
        <v>1303962</v>
      </c>
      <c r="H87" s="176">
        <f>H88+H92+H94+H95+H96+H97+H98+H99</f>
        <v>1360736.0999999999</v>
      </c>
      <c r="I87" s="176">
        <f t="shared" ref="I87:J87" si="13">I88+I92+I94+I95+I96+I97+I98+I99</f>
        <v>1349023.7</v>
      </c>
      <c r="J87" s="176">
        <f t="shared" si="13"/>
        <v>1369793.5999999999</v>
      </c>
      <c r="K87" s="170" t="s">
        <v>1538</v>
      </c>
      <c r="L87" s="23" t="s">
        <v>577</v>
      </c>
      <c r="M87" s="157">
        <v>4.0999999999999996</v>
      </c>
      <c r="N87" s="157">
        <v>4.2</v>
      </c>
      <c r="O87" s="157">
        <v>4.4000000000000004</v>
      </c>
      <c r="P87" s="157">
        <v>4.4000000000000004</v>
      </c>
      <c r="Q87" s="157">
        <v>4.4000000000000004</v>
      </c>
    </row>
    <row r="88" spans="1:17" s="11" customFormat="1" ht="78.75" customHeight="1" x14ac:dyDescent="0.2">
      <c r="A88" s="1572"/>
      <c r="B88" s="1285"/>
      <c r="C88" s="21" t="s">
        <v>5</v>
      </c>
      <c r="D88" s="21"/>
      <c r="E88" s="163" t="s">
        <v>1539</v>
      </c>
      <c r="F88" s="22">
        <v>4170.3999999999996</v>
      </c>
      <c r="G88" s="22">
        <v>6584.7</v>
      </c>
      <c r="H88" s="24">
        <v>5886.4</v>
      </c>
      <c r="I88" s="24">
        <v>5886.4</v>
      </c>
      <c r="J88" s="24">
        <v>5886.4</v>
      </c>
      <c r="K88" s="163" t="s">
        <v>301</v>
      </c>
      <c r="L88" s="23" t="s">
        <v>3</v>
      </c>
      <c r="M88" s="23">
        <v>100</v>
      </c>
      <c r="N88" s="23">
        <v>100</v>
      </c>
      <c r="O88" s="23">
        <v>100</v>
      </c>
      <c r="P88" s="23">
        <v>100</v>
      </c>
      <c r="Q88" s="23">
        <v>100</v>
      </c>
    </row>
    <row r="89" spans="1:17" s="11" customFormat="1" ht="25.5" hidden="1" customHeight="1" x14ac:dyDescent="0.2">
      <c r="A89" s="1572"/>
      <c r="B89" s="1302"/>
      <c r="C89" s="21" t="s">
        <v>6</v>
      </c>
      <c r="D89" s="21"/>
      <c r="E89" s="12" t="s">
        <v>252</v>
      </c>
      <c r="F89" s="22">
        <v>0</v>
      </c>
      <c r="G89" s="22"/>
      <c r="H89" s="24"/>
      <c r="I89" s="24"/>
      <c r="J89" s="24"/>
      <c r="K89" s="1680" t="s">
        <v>302</v>
      </c>
      <c r="L89" s="23" t="s">
        <v>190</v>
      </c>
      <c r="M89" s="29">
        <v>36</v>
      </c>
      <c r="N89" s="29"/>
      <c r="O89" s="29"/>
      <c r="P89" s="29"/>
      <c r="Q89" s="29"/>
    </row>
    <row r="90" spans="1:17" s="11" customFormat="1" ht="15" hidden="1" customHeight="1" x14ac:dyDescent="0.2">
      <c r="A90" s="1572"/>
      <c r="B90" s="1302"/>
      <c r="C90" s="21" t="s">
        <v>4</v>
      </c>
      <c r="D90" s="21"/>
      <c r="E90" s="12" t="s">
        <v>253</v>
      </c>
      <c r="F90" s="22">
        <v>0</v>
      </c>
      <c r="G90" s="22"/>
      <c r="H90" s="24">
        <v>0</v>
      </c>
      <c r="I90" s="24">
        <v>0</v>
      </c>
      <c r="J90" s="24">
        <v>0</v>
      </c>
      <c r="K90" s="1680"/>
      <c r="L90" s="23" t="s">
        <v>190</v>
      </c>
      <c r="M90" s="29"/>
      <c r="N90" s="29"/>
      <c r="O90" s="29"/>
      <c r="P90" s="29"/>
      <c r="Q90" s="29"/>
    </row>
    <row r="91" spans="1:17" s="11" customFormat="1" ht="15" hidden="1" customHeight="1" x14ac:dyDescent="0.2">
      <c r="A91" s="1572"/>
      <c r="B91" s="1302"/>
      <c r="C91" s="21" t="s">
        <v>7</v>
      </c>
      <c r="D91" s="21"/>
      <c r="E91" s="12" t="s">
        <v>254</v>
      </c>
      <c r="F91" s="22">
        <v>0</v>
      </c>
      <c r="G91" s="22"/>
      <c r="H91" s="24">
        <v>0</v>
      </c>
      <c r="I91" s="24">
        <v>0</v>
      </c>
      <c r="J91" s="24">
        <v>0</v>
      </c>
      <c r="K91" s="1680"/>
      <c r="L91" s="23" t="s">
        <v>190</v>
      </c>
      <c r="M91" s="29">
        <v>18</v>
      </c>
      <c r="N91" s="29"/>
      <c r="O91" s="29"/>
      <c r="P91" s="29"/>
      <c r="Q91" s="29"/>
    </row>
    <row r="92" spans="1:17" s="11" customFormat="1" ht="45" x14ac:dyDescent="0.2">
      <c r="A92" s="1572"/>
      <c r="B92" s="1302"/>
      <c r="C92" s="21" t="s">
        <v>8</v>
      </c>
      <c r="D92" s="21"/>
      <c r="E92" s="163" t="s">
        <v>255</v>
      </c>
      <c r="F92" s="22">
        <v>26933.3</v>
      </c>
      <c r="G92" s="22">
        <v>44447.1</v>
      </c>
      <c r="H92" s="24">
        <v>30393.599999999999</v>
      </c>
      <c r="I92" s="24">
        <v>30393.599999999999</v>
      </c>
      <c r="J92" s="24">
        <v>30393.599999999999</v>
      </c>
      <c r="K92" s="163" t="s">
        <v>303</v>
      </c>
      <c r="L92" s="23" t="s">
        <v>190</v>
      </c>
      <c r="M92" s="23">
        <v>72</v>
      </c>
      <c r="N92" s="23">
        <v>72</v>
      </c>
      <c r="O92" s="23">
        <v>72</v>
      </c>
      <c r="P92" s="23">
        <v>72</v>
      </c>
      <c r="Q92" s="23">
        <v>72</v>
      </c>
    </row>
    <row r="93" spans="1:17" s="11" customFormat="1" ht="75" x14ac:dyDescent="0.25">
      <c r="A93" s="1572"/>
      <c r="B93" s="1302"/>
      <c r="C93" s="21" t="s">
        <v>9</v>
      </c>
      <c r="D93" s="21"/>
      <c r="E93" s="163" t="s">
        <v>1540</v>
      </c>
      <c r="F93" s="22">
        <v>5360.6</v>
      </c>
      <c r="G93" s="22">
        <v>5886.4</v>
      </c>
      <c r="H93" s="24"/>
      <c r="I93" s="24"/>
      <c r="J93" s="24"/>
      <c r="K93" s="163" t="s">
        <v>1542</v>
      </c>
      <c r="L93" s="23" t="s">
        <v>3</v>
      </c>
      <c r="M93" s="26">
        <v>100</v>
      </c>
      <c r="N93" s="26">
        <v>100</v>
      </c>
      <c r="O93" s="26">
        <v>100</v>
      </c>
      <c r="P93" s="26">
        <v>100</v>
      </c>
      <c r="Q93" s="26">
        <v>100</v>
      </c>
    </row>
    <row r="94" spans="1:17" s="11" customFormat="1" ht="60" x14ac:dyDescent="0.25">
      <c r="A94" s="1572"/>
      <c r="B94" s="1302"/>
      <c r="C94" s="21" t="s">
        <v>10</v>
      </c>
      <c r="D94" s="21"/>
      <c r="E94" s="163" t="s">
        <v>256</v>
      </c>
      <c r="F94" s="22">
        <v>0</v>
      </c>
      <c r="G94" s="22">
        <v>0</v>
      </c>
      <c r="H94" s="24">
        <v>0</v>
      </c>
      <c r="I94" s="24">
        <v>0</v>
      </c>
      <c r="J94" s="24">
        <v>0</v>
      </c>
      <c r="K94" s="163" t="s">
        <v>304</v>
      </c>
      <c r="L94" s="23" t="s">
        <v>190</v>
      </c>
      <c r="M94" s="26">
        <v>181</v>
      </c>
      <c r="N94" s="26">
        <v>181</v>
      </c>
      <c r="O94" s="26">
        <v>181</v>
      </c>
      <c r="P94" s="26">
        <v>181</v>
      </c>
      <c r="Q94" s="26">
        <v>181</v>
      </c>
    </row>
    <row r="95" spans="1:17" s="11" customFormat="1" ht="120" x14ac:dyDescent="0.2">
      <c r="A95" s="1572"/>
      <c r="B95" s="1302"/>
      <c r="C95" s="21" t="s">
        <v>11</v>
      </c>
      <c r="D95" s="21"/>
      <c r="E95" s="163" t="s">
        <v>257</v>
      </c>
      <c r="F95" s="22">
        <v>353814.6</v>
      </c>
      <c r="G95" s="22">
        <v>711039.1</v>
      </c>
      <c r="H95" s="24">
        <v>769150.7</v>
      </c>
      <c r="I95" s="24">
        <v>757050</v>
      </c>
      <c r="J95" s="24">
        <v>757050</v>
      </c>
      <c r="K95" s="163" t="s">
        <v>1543</v>
      </c>
      <c r="L95" s="23" t="s">
        <v>190</v>
      </c>
      <c r="M95" s="23">
        <v>46</v>
      </c>
      <c r="N95" s="23">
        <v>54</v>
      </c>
      <c r="O95" s="23">
        <v>62</v>
      </c>
      <c r="P95" s="23">
        <v>65</v>
      </c>
      <c r="Q95" s="23">
        <v>68</v>
      </c>
    </row>
    <row r="96" spans="1:17" s="11" customFormat="1" ht="45" x14ac:dyDescent="0.2">
      <c r="A96" s="1572"/>
      <c r="B96" s="1302"/>
      <c r="C96" s="21" t="s">
        <v>14</v>
      </c>
      <c r="D96" s="21"/>
      <c r="E96" s="163" t="s">
        <v>258</v>
      </c>
      <c r="F96" s="22">
        <v>650</v>
      </c>
      <c r="G96" s="22">
        <v>350</v>
      </c>
      <c r="H96" s="24">
        <v>8958.7999999999993</v>
      </c>
      <c r="I96" s="24">
        <v>9347.1</v>
      </c>
      <c r="J96" s="24">
        <v>30117</v>
      </c>
      <c r="K96" s="163" t="s">
        <v>305</v>
      </c>
      <c r="L96" s="23" t="s">
        <v>190</v>
      </c>
      <c r="M96" s="20" t="s">
        <v>223</v>
      </c>
      <c r="N96" s="20" t="s">
        <v>223</v>
      </c>
      <c r="O96" s="20" t="s">
        <v>223</v>
      </c>
      <c r="P96" s="20" t="s">
        <v>223</v>
      </c>
      <c r="Q96" s="20" t="s">
        <v>223</v>
      </c>
    </row>
    <row r="97" spans="1:17" s="11" customFormat="1" ht="45" x14ac:dyDescent="0.25">
      <c r="A97" s="1572"/>
      <c r="B97" s="1302"/>
      <c r="C97" s="21" t="s">
        <v>15</v>
      </c>
      <c r="D97" s="21"/>
      <c r="E97" s="163" t="s">
        <v>259</v>
      </c>
      <c r="F97" s="22">
        <v>53178.2</v>
      </c>
      <c r="G97" s="22">
        <v>48659.199999999997</v>
      </c>
      <c r="H97" s="24">
        <v>49556.1</v>
      </c>
      <c r="I97" s="24">
        <v>49556.1</v>
      </c>
      <c r="J97" s="24">
        <v>49956.1</v>
      </c>
      <c r="K97" s="163" t="s">
        <v>306</v>
      </c>
      <c r="L97" s="23" t="s">
        <v>3</v>
      </c>
      <c r="M97" s="26">
        <v>30</v>
      </c>
      <c r="N97" s="26">
        <v>80</v>
      </c>
      <c r="O97" s="26">
        <v>80</v>
      </c>
      <c r="P97" s="26">
        <v>100</v>
      </c>
      <c r="Q97" s="26">
        <v>100</v>
      </c>
    </row>
    <row r="98" spans="1:17" s="11" customFormat="1" ht="60" x14ac:dyDescent="0.25">
      <c r="A98" s="1572"/>
      <c r="B98" s="1302"/>
      <c r="C98" s="21" t="s">
        <v>224</v>
      </c>
      <c r="D98" s="21"/>
      <c r="E98" s="163" t="s">
        <v>260</v>
      </c>
      <c r="F98" s="22">
        <v>82279.3</v>
      </c>
      <c r="G98" s="22">
        <v>77606.600000000006</v>
      </c>
      <c r="H98" s="24">
        <v>78944.7</v>
      </c>
      <c r="I98" s="24">
        <v>78944.7</v>
      </c>
      <c r="J98" s="24">
        <v>78544.7</v>
      </c>
      <c r="K98" s="163" t="s">
        <v>307</v>
      </c>
      <c r="L98" s="23" t="s">
        <v>3</v>
      </c>
      <c r="M98" s="26">
        <v>44</v>
      </c>
      <c r="N98" s="26">
        <v>45</v>
      </c>
      <c r="O98" s="26">
        <v>46</v>
      </c>
      <c r="P98" s="26">
        <v>47</v>
      </c>
      <c r="Q98" s="26">
        <v>48</v>
      </c>
    </row>
    <row r="99" spans="1:17" s="11" customFormat="1" ht="60" x14ac:dyDescent="0.2">
      <c r="A99" s="1572"/>
      <c r="B99" s="1302"/>
      <c r="C99" s="21" t="s">
        <v>16</v>
      </c>
      <c r="D99" s="21"/>
      <c r="E99" s="163" t="s">
        <v>261</v>
      </c>
      <c r="F99" s="22">
        <v>436083.5</v>
      </c>
      <c r="G99" s="22">
        <v>409388.9</v>
      </c>
      <c r="H99" s="24">
        <v>417845.8</v>
      </c>
      <c r="I99" s="24">
        <v>417845.8</v>
      </c>
      <c r="J99" s="24">
        <v>417845.8</v>
      </c>
      <c r="K99" s="163" t="s">
        <v>308</v>
      </c>
      <c r="L99" s="23" t="s">
        <v>3</v>
      </c>
      <c r="M99" s="23">
        <v>11</v>
      </c>
      <c r="N99" s="23">
        <v>9</v>
      </c>
      <c r="O99" s="23">
        <v>2</v>
      </c>
      <c r="P99" s="23">
        <v>2</v>
      </c>
      <c r="Q99" s="23">
        <v>2</v>
      </c>
    </row>
    <row r="100" spans="1:17" s="11" customFormat="1" ht="25.5" hidden="1" x14ac:dyDescent="0.2">
      <c r="A100" s="1572"/>
      <c r="B100" s="1302"/>
      <c r="C100" s="21" t="s">
        <v>29</v>
      </c>
      <c r="D100" s="21"/>
      <c r="E100" s="12" t="s">
        <v>262</v>
      </c>
      <c r="F100" s="22">
        <v>0</v>
      </c>
      <c r="G100" s="22">
        <v>0</v>
      </c>
      <c r="H100" s="24">
        <v>0</v>
      </c>
      <c r="I100" s="24">
        <v>0</v>
      </c>
      <c r="J100" s="24">
        <v>0</v>
      </c>
      <c r="K100" s="12" t="s">
        <v>309</v>
      </c>
      <c r="L100" s="23" t="s">
        <v>3</v>
      </c>
      <c r="M100" s="23"/>
      <c r="N100" s="23"/>
      <c r="O100" s="23"/>
      <c r="P100" s="23"/>
      <c r="Q100" s="23"/>
    </row>
    <row r="101" spans="1:17" s="11" customFormat="1" ht="38.25" hidden="1" x14ac:dyDescent="0.2">
      <c r="A101" s="1572"/>
      <c r="B101" s="1302"/>
      <c r="C101" s="21" t="s">
        <v>225</v>
      </c>
      <c r="D101" s="21"/>
      <c r="E101" s="12" t="s">
        <v>263</v>
      </c>
      <c r="F101" s="22">
        <v>0</v>
      </c>
      <c r="G101" s="22">
        <v>0</v>
      </c>
      <c r="H101" s="24">
        <v>0</v>
      </c>
      <c r="I101" s="24">
        <v>0</v>
      </c>
      <c r="J101" s="24">
        <v>0</v>
      </c>
      <c r="K101" s="12" t="s">
        <v>310</v>
      </c>
      <c r="L101" s="23" t="s">
        <v>3</v>
      </c>
      <c r="M101" s="23"/>
      <c r="N101" s="23"/>
      <c r="O101" s="23"/>
      <c r="P101" s="23"/>
      <c r="Q101" s="23"/>
    </row>
    <row r="102" spans="1:17" s="11" customFormat="1" ht="38.25" hidden="1" x14ac:dyDescent="0.25">
      <c r="A102" s="1572"/>
      <c r="B102" s="1302"/>
      <c r="C102" s="21" t="s">
        <v>226</v>
      </c>
      <c r="D102" s="21"/>
      <c r="E102" s="12" t="s">
        <v>264</v>
      </c>
      <c r="F102" s="22">
        <v>0</v>
      </c>
      <c r="G102" s="22">
        <v>0</v>
      </c>
      <c r="H102" s="24">
        <v>0</v>
      </c>
      <c r="I102" s="24">
        <v>0</v>
      </c>
      <c r="J102" s="24">
        <v>0</v>
      </c>
      <c r="K102" s="12" t="s">
        <v>311</v>
      </c>
      <c r="L102" s="23" t="s">
        <v>3</v>
      </c>
      <c r="M102" s="26">
        <v>30</v>
      </c>
      <c r="N102" s="26"/>
      <c r="O102" s="26"/>
      <c r="P102" s="26"/>
      <c r="Q102" s="26"/>
    </row>
    <row r="103" spans="1:17" s="11" customFormat="1" ht="38.25" hidden="1" x14ac:dyDescent="0.25">
      <c r="A103" s="1572"/>
      <c r="B103" s="1286"/>
      <c r="C103" s="21" t="s">
        <v>227</v>
      </c>
      <c r="D103" s="21"/>
      <c r="E103" s="12" t="s">
        <v>265</v>
      </c>
      <c r="F103" s="22">
        <v>0</v>
      </c>
      <c r="G103" s="22">
        <v>0</v>
      </c>
      <c r="H103" s="24"/>
      <c r="I103" s="24">
        <v>0</v>
      </c>
      <c r="J103" s="24">
        <v>0</v>
      </c>
      <c r="K103" s="12" t="s">
        <v>312</v>
      </c>
      <c r="L103" s="23" t="s">
        <v>190</v>
      </c>
      <c r="M103" s="25">
        <v>2</v>
      </c>
      <c r="N103" s="25"/>
      <c r="O103" s="25"/>
      <c r="P103" s="25"/>
      <c r="Q103" s="25"/>
    </row>
    <row r="104" spans="1:17" s="11" customFormat="1" ht="104.25" x14ac:dyDescent="0.2">
      <c r="A104" s="1572"/>
      <c r="B104" s="180" t="s">
        <v>1810</v>
      </c>
      <c r="C104" s="180"/>
      <c r="D104" s="180"/>
      <c r="E104" s="170" t="s">
        <v>1970</v>
      </c>
      <c r="F104" s="383">
        <v>369628.5</v>
      </c>
      <c r="G104" s="383">
        <v>407810.8</v>
      </c>
      <c r="H104" s="383">
        <f>H105+H106+H108</f>
        <v>392531.4</v>
      </c>
      <c r="I104" s="383">
        <f t="shared" ref="I104:J104" si="14">I105+I106+I108</f>
        <v>407175.30000000005</v>
      </c>
      <c r="J104" s="383">
        <f t="shared" si="14"/>
        <v>407175.30000000005</v>
      </c>
      <c r="K104" s="170" t="s">
        <v>313</v>
      </c>
      <c r="L104" s="23" t="s">
        <v>3</v>
      </c>
      <c r="M104" s="157"/>
      <c r="N104" s="157">
        <v>40</v>
      </c>
      <c r="O104" s="157">
        <v>60</v>
      </c>
      <c r="P104" s="157">
        <v>70</v>
      </c>
      <c r="Q104" s="157">
        <v>80</v>
      </c>
    </row>
    <row r="105" spans="1:17" s="11" customFormat="1" ht="30" x14ac:dyDescent="0.25">
      <c r="A105" s="1572"/>
      <c r="B105" s="1676"/>
      <c r="C105" s="21" t="s">
        <v>5</v>
      </c>
      <c r="D105" s="21"/>
      <c r="E105" s="163" t="s">
        <v>266</v>
      </c>
      <c r="F105" s="377">
        <v>245525.7</v>
      </c>
      <c r="G105" s="377">
        <v>346154.8</v>
      </c>
      <c r="H105" s="1248">
        <v>345895.4</v>
      </c>
      <c r="I105" s="1248">
        <v>345895.4</v>
      </c>
      <c r="J105" s="1248">
        <v>345895.4</v>
      </c>
      <c r="K105" s="163" t="s">
        <v>314</v>
      </c>
      <c r="L105" s="23" t="s">
        <v>3</v>
      </c>
      <c r="M105" s="25"/>
      <c r="N105" s="29">
        <v>40</v>
      </c>
      <c r="O105" s="29">
        <v>60</v>
      </c>
      <c r="P105" s="29">
        <v>70</v>
      </c>
      <c r="Q105" s="29">
        <v>80</v>
      </c>
    </row>
    <row r="106" spans="1:17" s="11" customFormat="1" ht="105" x14ac:dyDescent="0.25">
      <c r="A106" s="1572"/>
      <c r="B106" s="1676"/>
      <c r="C106" s="21" t="s">
        <v>6</v>
      </c>
      <c r="D106" s="21"/>
      <c r="E106" s="163" t="s">
        <v>267</v>
      </c>
      <c r="F106" s="377">
        <v>45781.8</v>
      </c>
      <c r="G106" s="377">
        <v>41656</v>
      </c>
      <c r="H106" s="1248">
        <v>41656</v>
      </c>
      <c r="I106" s="1248">
        <v>41656</v>
      </c>
      <c r="J106" s="1248">
        <v>41656</v>
      </c>
      <c r="K106" s="1249" t="s">
        <v>315</v>
      </c>
      <c r="L106" s="23" t="s">
        <v>3</v>
      </c>
      <c r="M106" s="25"/>
      <c r="N106" s="29">
        <v>45</v>
      </c>
      <c r="O106" s="29">
        <v>46</v>
      </c>
      <c r="P106" s="29">
        <v>47</v>
      </c>
      <c r="Q106" s="29">
        <v>48</v>
      </c>
    </row>
    <row r="107" spans="1:17" s="11" customFormat="1" ht="30" hidden="1" x14ac:dyDescent="0.25">
      <c r="A107" s="1572"/>
      <c r="B107" s="1676"/>
      <c r="C107" s="21" t="s">
        <v>4</v>
      </c>
      <c r="D107" s="21"/>
      <c r="E107" s="163" t="s">
        <v>265</v>
      </c>
      <c r="F107" s="377"/>
      <c r="G107" s="377"/>
      <c r="H107" s="1248"/>
      <c r="I107" s="1248"/>
      <c r="J107" s="1248"/>
      <c r="K107" s="1250" t="s">
        <v>316</v>
      </c>
      <c r="L107" s="23" t="s">
        <v>190</v>
      </c>
      <c r="M107" s="25"/>
      <c r="N107" s="29"/>
      <c r="O107" s="29"/>
      <c r="P107" s="29"/>
      <c r="Q107" s="29"/>
    </row>
    <row r="108" spans="1:17" s="11" customFormat="1" ht="60" x14ac:dyDescent="0.25">
      <c r="A108" s="1572"/>
      <c r="B108" s="1676"/>
      <c r="C108" s="21" t="s">
        <v>7</v>
      </c>
      <c r="D108" s="21"/>
      <c r="E108" s="163" t="s">
        <v>1546</v>
      </c>
      <c r="F108" s="377">
        <v>78321</v>
      </c>
      <c r="G108" s="377">
        <v>20000</v>
      </c>
      <c r="H108" s="1248">
        <v>4980</v>
      </c>
      <c r="I108" s="1248">
        <v>19623.900000000001</v>
      </c>
      <c r="J108" s="1248">
        <v>19623.900000000001</v>
      </c>
      <c r="K108" s="1251" t="s">
        <v>317</v>
      </c>
      <c r="L108" s="23" t="s">
        <v>190</v>
      </c>
      <c r="M108" s="25"/>
      <c r="N108" s="29">
        <v>181</v>
      </c>
      <c r="O108" s="29">
        <v>181</v>
      </c>
      <c r="P108" s="29">
        <v>181</v>
      </c>
      <c r="Q108" s="29">
        <v>181</v>
      </c>
    </row>
    <row r="109" spans="1:17" s="11" customFormat="1" ht="42.75" x14ac:dyDescent="0.2">
      <c r="A109" s="1572"/>
      <c r="B109" s="180" t="s">
        <v>1811</v>
      </c>
      <c r="C109" s="21"/>
      <c r="D109" s="21"/>
      <c r="E109" s="170" t="s">
        <v>1547</v>
      </c>
      <c r="F109" s="383">
        <v>90429.3</v>
      </c>
      <c r="G109" s="383">
        <v>44677</v>
      </c>
      <c r="H109" s="383">
        <f>H114+H115</f>
        <v>38088.199999999997</v>
      </c>
      <c r="I109" s="383">
        <f t="shared" ref="I109:J109" si="15">I114+I115</f>
        <v>55992.1</v>
      </c>
      <c r="J109" s="383">
        <f t="shared" si="15"/>
        <v>55992.1</v>
      </c>
      <c r="K109" s="163" t="s">
        <v>318</v>
      </c>
      <c r="L109" s="177" t="s">
        <v>3</v>
      </c>
      <c r="M109" s="184"/>
      <c r="N109" s="185">
        <v>100</v>
      </c>
      <c r="O109" s="185">
        <v>100</v>
      </c>
      <c r="P109" s="185">
        <v>100</v>
      </c>
      <c r="Q109" s="185">
        <v>100</v>
      </c>
    </row>
    <row r="110" spans="1:17" s="11" customFormat="1" ht="25.5" hidden="1" x14ac:dyDescent="0.25">
      <c r="A110" s="1572"/>
      <c r="B110" s="21" t="s">
        <v>228</v>
      </c>
      <c r="C110" s="21" t="s">
        <v>5</v>
      </c>
      <c r="D110" s="21"/>
      <c r="E110" s="1252" t="s">
        <v>1015</v>
      </c>
      <c r="F110" s="377"/>
      <c r="G110" s="377"/>
      <c r="H110" s="1248"/>
      <c r="I110" s="1248"/>
      <c r="J110" s="1248"/>
      <c r="K110" s="12" t="s">
        <v>318</v>
      </c>
      <c r="L110" s="23" t="s">
        <v>3</v>
      </c>
      <c r="M110" s="25"/>
      <c r="N110" s="25"/>
      <c r="O110" s="25"/>
      <c r="P110" s="25"/>
      <c r="Q110" s="25"/>
    </row>
    <row r="111" spans="1:17" s="11" customFormat="1" ht="51" hidden="1" x14ac:dyDescent="0.25">
      <c r="A111" s="1572"/>
      <c r="B111" s="21" t="s">
        <v>228</v>
      </c>
      <c r="C111" s="21" t="s">
        <v>6</v>
      </c>
      <c r="D111" s="21"/>
      <c r="E111" s="12" t="s">
        <v>1016</v>
      </c>
      <c r="F111" s="377"/>
      <c r="G111" s="377"/>
      <c r="H111" s="1248"/>
      <c r="I111" s="1248"/>
      <c r="J111" s="1248"/>
      <c r="K111" s="12" t="s">
        <v>318</v>
      </c>
      <c r="L111" s="23" t="s">
        <v>3</v>
      </c>
      <c r="M111" s="25"/>
      <c r="N111" s="25"/>
      <c r="O111" s="25"/>
      <c r="P111" s="25"/>
      <c r="Q111" s="25"/>
    </row>
    <row r="112" spans="1:17" s="11" customFormat="1" ht="60" hidden="1" x14ac:dyDescent="0.25">
      <c r="A112" s="1572"/>
      <c r="B112" s="21" t="s">
        <v>228</v>
      </c>
      <c r="C112" s="21" t="s">
        <v>4</v>
      </c>
      <c r="D112" s="21"/>
      <c r="E112" s="1249" t="s">
        <v>1545</v>
      </c>
      <c r="F112" s="377">
        <v>12429.3</v>
      </c>
      <c r="G112" s="377"/>
      <c r="H112" s="1248"/>
      <c r="I112" s="1248"/>
      <c r="J112" s="1248"/>
      <c r="K112" s="1251" t="s">
        <v>1544</v>
      </c>
      <c r="L112" s="23" t="s">
        <v>190</v>
      </c>
      <c r="M112" s="25"/>
      <c r="N112" s="29">
        <v>72</v>
      </c>
      <c r="O112" s="29"/>
      <c r="P112" s="25"/>
      <c r="Q112" s="25"/>
    </row>
    <row r="113" spans="1:17" s="11" customFormat="1" ht="51" hidden="1" x14ac:dyDescent="0.25">
      <c r="A113" s="1572"/>
      <c r="B113" s="21" t="s">
        <v>228</v>
      </c>
      <c r="C113" s="21" t="s">
        <v>7</v>
      </c>
      <c r="D113" s="21"/>
      <c r="E113" s="12" t="s">
        <v>268</v>
      </c>
      <c r="F113" s="377"/>
      <c r="G113" s="377"/>
      <c r="H113" s="1248"/>
      <c r="I113" s="1248"/>
      <c r="J113" s="1248"/>
      <c r="K113" s="12" t="s">
        <v>318</v>
      </c>
      <c r="L113" s="23" t="s">
        <v>3</v>
      </c>
      <c r="M113" s="25"/>
      <c r="N113" s="29"/>
      <c r="O113" s="29"/>
      <c r="P113" s="25"/>
      <c r="Q113" s="25"/>
    </row>
    <row r="114" spans="1:17" s="11" customFormat="1" ht="60" x14ac:dyDescent="0.25">
      <c r="A114" s="1572"/>
      <c r="B114" s="1676"/>
      <c r="C114" s="21" t="s">
        <v>8</v>
      </c>
      <c r="D114" s="21"/>
      <c r="E114" s="163" t="s">
        <v>1548</v>
      </c>
      <c r="F114" s="377">
        <v>60000</v>
      </c>
      <c r="G114" s="377">
        <v>44527</v>
      </c>
      <c r="H114" s="1248">
        <v>37938.199999999997</v>
      </c>
      <c r="I114" s="1248">
        <v>25000</v>
      </c>
      <c r="J114" s="1248">
        <v>25000</v>
      </c>
      <c r="K114" s="163" t="s">
        <v>318</v>
      </c>
      <c r="L114" s="142" t="s">
        <v>3</v>
      </c>
      <c r="M114" s="149"/>
      <c r="N114" s="412">
        <v>100</v>
      </c>
      <c r="O114" s="412">
        <v>100</v>
      </c>
      <c r="P114" s="149"/>
      <c r="Q114" s="25"/>
    </row>
    <row r="115" spans="1:17" s="11" customFormat="1" ht="105" x14ac:dyDescent="0.25">
      <c r="A115" s="1572"/>
      <c r="B115" s="1676"/>
      <c r="C115" s="21" t="s">
        <v>9</v>
      </c>
      <c r="D115" s="21"/>
      <c r="E115" s="163" t="s">
        <v>1541</v>
      </c>
      <c r="F115" s="377">
        <v>18000</v>
      </c>
      <c r="G115" s="377">
        <v>150</v>
      </c>
      <c r="H115" s="1248">
        <v>150</v>
      </c>
      <c r="I115" s="1248">
        <v>30992.1</v>
      </c>
      <c r="J115" s="1248">
        <v>30992.1</v>
      </c>
      <c r="K115" s="163" t="s">
        <v>318</v>
      </c>
      <c r="L115" s="142" t="s">
        <v>3</v>
      </c>
      <c r="M115" s="149"/>
      <c r="N115" s="412">
        <v>100</v>
      </c>
      <c r="O115" s="412">
        <v>100</v>
      </c>
      <c r="P115" s="149"/>
      <c r="Q115" s="25"/>
    </row>
    <row r="116" spans="1:17" s="11" customFormat="1" ht="63.75" hidden="1" x14ac:dyDescent="0.25">
      <c r="A116" s="1572"/>
      <c r="B116" s="21" t="s">
        <v>228</v>
      </c>
      <c r="C116" s="21" t="s">
        <v>10</v>
      </c>
      <c r="D116" s="21" t="s">
        <v>21</v>
      </c>
      <c r="E116" s="56" t="s">
        <v>269</v>
      </c>
      <c r="F116" s="22"/>
      <c r="G116" s="22"/>
      <c r="H116" s="24"/>
      <c r="I116" s="24"/>
      <c r="J116" s="24"/>
      <c r="K116" s="56" t="s">
        <v>318</v>
      </c>
      <c r="L116" s="23" t="s">
        <v>3</v>
      </c>
      <c r="M116" s="25"/>
      <c r="N116" s="25"/>
      <c r="O116" s="25"/>
      <c r="P116" s="25"/>
      <c r="Q116" s="25"/>
    </row>
    <row r="117" spans="1:17" s="11" customFormat="1" ht="25.5" hidden="1" x14ac:dyDescent="0.25">
      <c r="A117" s="1572"/>
      <c r="B117" s="21" t="s">
        <v>228</v>
      </c>
      <c r="C117" s="21" t="s">
        <v>11</v>
      </c>
      <c r="D117" s="21" t="s">
        <v>21</v>
      </c>
      <c r="E117" s="56" t="s">
        <v>270</v>
      </c>
      <c r="F117" s="22"/>
      <c r="G117" s="22"/>
      <c r="H117" s="24"/>
      <c r="I117" s="24"/>
      <c r="J117" s="24"/>
      <c r="K117" s="56" t="s">
        <v>318</v>
      </c>
      <c r="L117" s="23" t="s">
        <v>3</v>
      </c>
      <c r="M117" s="25"/>
      <c r="N117" s="25"/>
      <c r="O117" s="25"/>
      <c r="P117" s="25"/>
      <c r="Q117" s="25"/>
    </row>
    <row r="118" spans="1:17" s="11" customFormat="1" ht="51" hidden="1" x14ac:dyDescent="0.25">
      <c r="A118" s="1572"/>
      <c r="B118" s="21" t="s">
        <v>228</v>
      </c>
      <c r="C118" s="21" t="s">
        <v>14</v>
      </c>
      <c r="D118" s="21" t="s">
        <v>21</v>
      </c>
      <c r="E118" s="56" t="s">
        <v>271</v>
      </c>
      <c r="F118" s="22"/>
      <c r="G118" s="22"/>
      <c r="H118" s="24"/>
      <c r="I118" s="24"/>
      <c r="J118" s="24"/>
      <c r="K118" s="56" t="s">
        <v>318</v>
      </c>
      <c r="L118" s="23" t="s">
        <v>3</v>
      </c>
      <c r="M118" s="25"/>
      <c r="N118" s="25"/>
      <c r="O118" s="25"/>
      <c r="P118" s="25"/>
      <c r="Q118" s="25"/>
    </row>
    <row r="119" spans="1:17" s="11" customFormat="1" ht="25.5" hidden="1" x14ac:dyDescent="0.25">
      <c r="A119" s="1572"/>
      <c r="B119" s="21" t="s">
        <v>228</v>
      </c>
      <c r="C119" s="21" t="s">
        <v>15</v>
      </c>
      <c r="D119" s="21" t="s">
        <v>21</v>
      </c>
      <c r="E119" s="17" t="s">
        <v>272</v>
      </c>
      <c r="F119" s="22"/>
      <c r="G119" s="22"/>
      <c r="H119" s="24"/>
      <c r="I119" s="24"/>
      <c r="J119" s="24"/>
      <c r="K119" s="56" t="s">
        <v>318</v>
      </c>
      <c r="L119" s="23" t="s">
        <v>3</v>
      </c>
      <c r="M119" s="25"/>
      <c r="N119" s="25"/>
      <c r="O119" s="25"/>
      <c r="P119" s="25"/>
      <c r="Q119" s="25"/>
    </row>
    <row r="120" spans="1:17" s="11" customFormat="1" ht="25.5" hidden="1" x14ac:dyDescent="0.25">
      <c r="A120" s="1572"/>
      <c r="B120" s="21" t="s">
        <v>228</v>
      </c>
      <c r="C120" s="21" t="s">
        <v>224</v>
      </c>
      <c r="D120" s="21" t="s">
        <v>21</v>
      </c>
      <c r="E120" s="17" t="s">
        <v>273</v>
      </c>
      <c r="F120" s="22"/>
      <c r="G120" s="22"/>
      <c r="H120" s="24"/>
      <c r="I120" s="24"/>
      <c r="J120" s="24"/>
      <c r="K120" s="56" t="s">
        <v>318</v>
      </c>
      <c r="L120" s="23" t="s">
        <v>3</v>
      </c>
      <c r="M120" s="25"/>
      <c r="N120" s="25"/>
      <c r="O120" s="25"/>
      <c r="P120" s="25"/>
      <c r="Q120" s="25"/>
    </row>
    <row r="121" spans="1:17" s="11" customFormat="1" ht="38.25" hidden="1" x14ac:dyDescent="0.25">
      <c r="A121" s="1572"/>
      <c r="B121" s="21" t="s">
        <v>228</v>
      </c>
      <c r="C121" s="21" t="s">
        <v>16</v>
      </c>
      <c r="D121" s="21" t="s">
        <v>21</v>
      </c>
      <c r="E121" s="56" t="s">
        <v>274</v>
      </c>
      <c r="F121" s="22"/>
      <c r="G121" s="22"/>
      <c r="H121" s="24"/>
      <c r="I121" s="24"/>
      <c r="J121" s="24"/>
      <c r="K121" s="56" t="s">
        <v>318</v>
      </c>
      <c r="L121" s="23" t="s">
        <v>3</v>
      </c>
      <c r="M121" s="25"/>
      <c r="N121" s="25"/>
      <c r="O121" s="25"/>
      <c r="P121" s="25"/>
      <c r="Q121" s="25"/>
    </row>
    <row r="122" spans="1:17" s="11" customFormat="1" ht="26.25" hidden="1" x14ac:dyDescent="0.25">
      <c r="A122" s="1572"/>
      <c r="B122" s="21" t="s">
        <v>228</v>
      </c>
      <c r="C122" s="21" t="s">
        <v>29</v>
      </c>
      <c r="D122" s="21" t="s">
        <v>21</v>
      </c>
      <c r="E122" s="57" t="s">
        <v>275</v>
      </c>
      <c r="F122" s="22"/>
      <c r="G122" s="22"/>
      <c r="H122" s="24"/>
      <c r="I122" s="24"/>
      <c r="J122" s="24"/>
      <c r="K122" s="56" t="s">
        <v>318</v>
      </c>
      <c r="L122" s="23" t="s">
        <v>3</v>
      </c>
      <c r="M122" s="25"/>
      <c r="N122" s="25"/>
      <c r="O122" s="25"/>
      <c r="P122" s="25"/>
      <c r="Q122" s="25"/>
    </row>
    <row r="123" spans="1:17" s="11" customFormat="1" ht="14.25" x14ac:dyDescent="0.2">
      <c r="A123" s="1573" t="s">
        <v>236</v>
      </c>
      <c r="B123" s="1573"/>
      <c r="C123" s="1573"/>
      <c r="D123" s="1573"/>
      <c r="E123" s="1573"/>
      <c r="F123" s="96">
        <v>1536365.7</v>
      </c>
      <c r="G123" s="96">
        <v>1890801.5</v>
      </c>
      <c r="H123" s="96">
        <f>H78+H87+H104+H109</f>
        <v>2037360.8999999997</v>
      </c>
      <c r="I123" s="96">
        <f t="shared" ref="I123:J123" si="16">I78+I87+I104+I109</f>
        <v>2058826.5000000002</v>
      </c>
      <c r="J123" s="96">
        <f t="shared" si="16"/>
        <v>2079866.2</v>
      </c>
      <c r="K123" s="97"/>
      <c r="L123" s="187"/>
      <c r="M123" s="187"/>
      <c r="N123" s="187"/>
      <c r="O123" s="187"/>
      <c r="P123" s="187"/>
      <c r="Q123" s="187"/>
    </row>
    <row r="124" spans="1:17" s="11" customFormat="1" ht="14.25" x14ac:dyDescent="0.2">
      <c r="A124" s="1573" t="s">
        <v>276</v>
      </c>
      <c r="B124" s="1573"/>
      <c r="C124" s="1573"/>
      <c r="D124" s="1573"/>
      <c r="E124" s="1573"/>
      <c r="F124" s="96">
        <v>1732865.6</v>
      </c>
      <c r="G124" s="96">
        <v>2114946.7000000002</v>
      </c>
      <c r="H124" s="96">
        <f>H65+H76+H123</f>
        <v>2284715.3999999994</v>
      </c>
      <c r="I124" s="96">
        <f>I65+I76+I123</f>
        <v>2291677.8000000003</v>
      </c>
      <c r="J124" s="96">
        <f t="shared" ref="J124" si="17">J65+J76+J123</f>
        <v>2313127.7000000002</v>
      </c>
      <c r="K124" s="97"/>
      <c r="L124" s="187"/>
      <c r="M124" s="187"/>
      <c r="N124" s="187"/>
      <c r="O124" s="187"/>
      <c r="P124" s="187"/>
      <c r="Q124" s="187"/>
    </row>
    <row r="125" spans="1:17" s="11" customFormat="1" ht="21.75" customHeight="1" x14ac:dyDescent="0.2">
      <c r="A125" s="1579" t="s">
        <v>1977</v>
      </c>
      <c r="B125" s="1646"/>
      <c r="C125" s="1646"/>
      <c r="D125" s="1646"/>
      <c r="E125" s="1646"/>
      <c r="F125" s="1646"/>
      <c r="G125" s="1646"/>
      <c r="H125" s="1646"/>
      <c r="I125" s="1646"/>
      <c r="J125" s="1646"/>
      <c r="K125" s="1646"/>
      <c r="L125" s="1646"/>
      <c r="M125" s="1646"/>
      <c r="N125" s="1646"/>
      <c r="O125" s="1646"/>
      <c r="P125" s="1646"/>
      <c r="Q125" s="1647"/>
    </row>
    <row r="126" spans="1:17" s="11" customFormat="1" ht="74.25" x14ac:dyDescent="0.2">
      <c r="A126" s="1701" t="s">
        <v>219</v>
      </c>
      <c r="B126" s="137" t="s">
        <v>0</v>
      </c>
      <c r="C126" s="1213"/>
      <c r="D126" s="1213"/>
      <c r="E126" s="188" t="s">
        <v>1747</v>
      </c>
      <c r="F126" s="646">
        <v>78234.100000000006</v>
      </c>
      <c r="G126" s="390">
        <v>132735.70000000001</v>
      </c>
      <c r="H126" s="390">
        <f>H127</f>
        <v>82602.399999999994</v>
      </c>
      <c r="I126" s="390">
        <f t="shared" ref="I126:J126" si="18">I127</f>
        <v>83480.2</v>
      </c>
      <c r="J126" s="390">
        <f t="shared" si="18"/>
        <v>93344.5</v>
      </c>
      <c r="K126" s="189" t="s">
        <v>151</v>
      </c>
      <c r="L126" s="23" t="s">
        <v>1</v>
      </c>
      <c r="M126" s="23">
        <v>1</v>
      </c>
      <c r="N126" s="29">
        <v>1</v>
      </c>
      <c r="O126" s="29">
        <v>1</v>
      </c>
      <c r="P126" s="29">
        <v>1</v>
      </c>
      <c r="Q126" s="29">
        <v>1</v>
      </c>
    </row>
    <row r="127" spans="1:17" s="11" customFormat="1" ht="30" x14ac:dyDescent="0.2">
      <c r="A127" s="1702"/>
      <c r="B127" s="1677"/>
      <c r="C127" s="1714" t="s">
        <v>5</v>
      </c>
      <c r="D127" s="1677"/>
      <c r="E127" s="1603" t="s">
        <v>245</v>
      </c>
      <c r="F127" s="1342">
        <v>78234.100000000006</v>
      </c>
      <c r="G127" s="1576">
        <v>132735.70000000001</v>
      </c>
      <c r="H127" s="1576">
        <v>82602.399999999994</v>
      </c>
      <c r="I127" s="1576">
        <v>83480.2</v>
      </c>
      <c r="J127" s="1342">
        <v>93344.5</v>
      </c>
      <c r="K127" s="190" t="s">
        <v>1549</v>
      </c>
      <c r="L127" s="23" t="s">
        <v>3</v>
      </c>
      <c r="M127" s="23">
        <v>100</v>
      </c>
      <c r="N127" s="29">
        <v>100</v>
      </c>
      <c r="O127" s="29">
        <v>100</v>
      </c>
      <c r="P127" s="29">
        <v>100</v>
      </c>
      <c r="Q127" s="29">
        <v>100</v>
      </c>
    </row>
    <row r="128" spans="1:17" s="11" customFormat="1" ht="30" x14ac:dyDescent="0.2">
      <c r="A128" s="1702"/>
      <c r="B128" s="1678"/>
      <c r="C128" s="1715"/>
      <c r="D128" s="1678"/>
      <c r="E128" s="1604"/>
      <c r="F128" s="1564"/>
      <c r="G128" s="1577"/>
      <c r="H128" s="1577"/>
      <c r="I128" s="1577"/>
      <c r="J128" s="1564"/>
      <c r="K128" s="190" t="s">
        <v>1550</v>
      </c>
      <c r="L128" s="23" t="s">
        <v>3</v>
      </c>
      <c r="M128" s="23">
        <v>100</v>
      </c>
      <c r="N128" s="23">
        <v>100</v>
      </c>
      <c r="O128" s="23">
        <v>100</v>
      </c>
      <c r="P128" s="23">
        <v>100</v>
      </c>
      <c r="Q128" s="23">
        <v>100</v>
      </c>
    </row>
    <row r="129" spans="1:17" s="11" customFormat="1" ht="45" x14ac:dyDescent="0.2">
      <c r="A129" s="1702"/>
      <c r="B129" s="1678"/>
      <c r="C129" s="1715"/>
      <c r="D129" s="1678"/>
      <c r="E129" s="1604"/>
      <c r="F129" s="1564"/>
      <c r="G129" s="1577"/>
      <c r="H129" s="1577"/>
      <c r="I129" s="1577"/>
      <c r="J129" s="1564"/>
      <c r="K129" s="190" t="s">
        <v>152</v>
      </c>
      <c r="L129" s="23" t="s">
        <v>3</v>
      </c>
      <c r="M129" s="23">
        <v>90</v>
      </c>
      <c r="N129" s="23" t="s">
        <v>100</v>
      </c>
      <c r="O129" s="23" t="s">
        <v>100</v>
      </c>
      <c r="P129" s="23" t="s">
        <v>100</v>
      </c>
      <c r="Q129" s="23" t="s">
        <v>100</v>
      </c>
    </row>
    <row r="130" spans="1:17" s="11" customFormat="1" ht="45" x14ac:dyDescent="0.2">
      <c r="A130" s="1702"/>
      <c r="B130" s="1678"/>
      <c r="C130" s="1715"/>
      <c r="D130" s="1678"/>
      <c r="E130" s="1604"/>
      <c r="F130" s="1564"/>
      <c r="G130" s="1577"/>
      <c r="H130" s="1577"/>
      <c r="I130" s="1577"/>
      <c r="J130" s="1564"/>
      <c r="K130" s="190" t="s">
        <v>153</v>
      </c>
      <c r="L130" s="23" t="s">
        <v>3</v>
      </c>
      <c r="M130" s="142">
        <v>58</v>
      </c>
      <c r="N130" s="23">
        <v>50</v>
      </c>
      <c r="O130" s="23">
        <v>50</v>
      </c>
      <c r="P130" s="23">
        <v>50</v>
      </c>
      <c r="Q130" s="23">
        <v>50</v>
      </c>
    </row>
    <row r="131" spans="1:17" s="11" customFormat="1" ht="60" x14ac:dyDescent="0.2">
      <c r="A131" s="1702"/>
      <c r="B131" s="1678"/>
      <c r="C131" s="1715"/>
      <c r="D131" s="1678"/>
      <c r="E131" s="1604"/>
      <c r="F131" s="1564"/>
      <c r="G131" s="1577"/>
      <c r="H131" s="1577"/>
      <c r="I131" s="1577"/>
      <c r="J131" s="1564"/>
      <c r="K131" s="191" t="s">
        <v>154</v>
      </c>
      <c r="L131" s="192" t="s">
        <v>1</v>
      </c>
      <c r="M131" s="192">
        <v>25</v>
      </c>
      <c r="N131" s="193">
        <v>8</v>
      </c>
      <c r="O131" s="193">
        <v>8</v>
      </c>
      <c r="P131" s="193">
        <v>8</v>
      </c>
      <c r="Q131" s="193">
        <v>8</v>
      </c>
    </row>
    <row r="132" spans="1:17" s="11" customFormat="1" ht="60" x14ac:dyDescent="0.2">
      <c r="A132" s="1702"/>
      <c r="B132" s="1679"/>
      <c r="C132" s="1716"/>
      <c r="D132" s="1679"/>
      <c r="E132" s="1605"/>
      <c r="F132" s="1343"/>
      <c r="G132" s="1578"/>
      <c r="H132" s="1578"/>
      <c r="I132" s="1578"/>
      <c r="J132" s="1343"/>
      <c r="K132" s="190" t="s">
        <v>155</v>
      </c>
      <c r="L132" s="23" t="s">
        <v>1</v>
      </c>
      <c r="M132" s="29">
        <v>124</v>
      </c>
      <c r="N132" s="29">
        <v>125</v>
      </c>
      <c r="O132" s="29">
        <v>125</v>
      </c>
      <c r="P132" s="29">
        <v>125</v>
      </c>
      <c r="Q132" s="29">
        <v>125</v>
      </c>
    </row>
    <row r="133" spans="1:17" s="11" customFormat="1" ht="44.25" x14ac:dyDescent="0.2">
      <c r="A133" s="1702"/>
      <c r="B133" s="137" t="s">
        <v>1812</v>
      </c>
      <c r="C133" s="194"/>
      <c r="D133" s="194"/>
      <c r="E133" s="195" t="s">
        <v>1748</v>
      </c>
      <c r="F133" s="176">
        <v>174133.9</v>
      </c>
      <c r="G133" s="390">
        <v>295443.90000000002</v>
      </c>
      <c r="H133" s="390">
        <f>H134</f>
        <v>358249.2</v>
      </c>
      <c r="I133" s="390">
        <f t="shared" ref="I133:J133" si="19">I134</f>
        <v>361880.2</v>
      </c>
      <c r="J133" s="390">
        <f t="shared" si="19"/>
        <v>356466.2</v>
      </c>
      <c r="K133" s="196" t="s">
        <v>156</v>
      </c>
      <c r="L133" s="23" t="s">
        <v>1</v>
      </c>
      <c r="M133" s="29">
        <v>109</v>
      </c>
      <c r="N133" s="29">
        <v>110</v>
      </c>
      <c r="O133" s="29">
        <v>110</v>
      </c>
      <c r="P133" s="29">
        <v>110</v>
      </c>
      <c r="Q133" s="197">
        <v>110</v>
      </c>
    </row>
    <row r="134" spans="1:17" s="11" customFormat="1" ht="120" x14ac:dyDescent="0.2">
      <c r="A134" s="1702"/>
      <c r="B134" s="198"/>
      <c r="C134" s="1214" t="s">
        <v>5</v>
      </c>
      <c r="D134" s="194"/>
      <c r="E134" s="199" t="s">
        <v>1552</v>
      </c>
      <c r="F134" s="22">
        <v>174133.9</v>
      </c>
      <c r="G134" s="22">
        <v>295443.90000000002</v>
      </c>
      <c r="H134" s="22">
        <v>358249.2</v>
      </c>
      <c r="I134" s="22">
        <v>361880.2</v>
      </c>
      <c r="J134" s="22">
        <v>356466.2</v>
      </c>
      <c r="K134" s="196" t="s">
        <v>1551</v>
      </c>
      <c r="L134" s="193" t="s">
        <v>3</v>
      </c>
      <c r="M134" s="193">
        <v>99.1</v>
      </c>
      <c r="N134" s="193">
        <v>100</v>
      </c>
      <c r="O134" s="193">
        <v>100</v>
      </c>
      <c r="P134" s="193">
        <v>100</v>
      </c>
      <c r="Q134" s="193">
        <v>100</v>
      </c>
    </row>
    <row r="135" spans="1:17" s="11" customFormat="1" ht="15" x14ac:dyDescent="0.2">
      <c r="A135" s="1648" t="s">
        <v>35</v>
      </c>
      <c r="B135" s="1649"/>
      <c r="C135" s="1649"/>
      <c r="D135" s="1649"/>
      <c r="E135" s="1650"/>
      <c r="F135" s="200">
        <f>F126+F133</f>
        <v>252368</v>
      </c>
      <c r="G135" s="200">
        <f>G126+G133</f>
        <v>428179.60000000003</v>
      </c>
      <c r="H135" s="200">
        <f>H126+H133</f>
        <v>440851.6</v>
      </c>
      <c r="I135" s="200">
        <f>I126+I133</f>
        <v>445360.4</v>
      </c>
      <c r="J135" s="200">
        <f>J126+J133</f>
        <v>449810.7</v>
      </c>
      <c r="K135" s="97"/>
      <c r="L135" s="98"/>
      <c r="M135" s="99"/>
      <c r="N135" s="99"/>
      <c r="O135" s="99"/>
      <c r="P135" s="99"/>
      <c r="Q135" s="99"/>
    </row>
    <row r="136" spans="1:17" s="11" customFormat="1" ht="19.5" customHeight="1" x14ac:dyDescent="0.25">
      <c r="A136" s="1579" t="s">
        <v>1978</v>
      </c>
      <c r="B136" s="1580"/>
      <c r="C136" s="1580"/>
      <c r="D136" s="1580"/>
      <c r="E136" s="1580"/>
      <c r="F136" s="1580"/>
      <c r="G136" s="1580"/>
      <c r="H136" s="1580"/>
      <c r="I136" s="1580"/>
      <c r="J136" s="1580"/>
      <c r="K136" s="1580"/>
      <c r="L136" s="1580"/>
      <c r="M136" s="1580"/>
      <c r="N136" s="1580"/>
      <c r="O136" s="1580"/>
      <c r="P136" s="1580"/>
      <c r="Q136" s="1581"/>
    </row>
    <row r="137" spans="1:17" s="11" customFormat="1" ht="74.25" x14ac:dyDescent="0.2">
      <c r="A137" s="1607">
        <v>18</v>
      </c>
      <c r="B137" s="168" t="s">
        <v>0</v>
      </c>
      <c r="C137" s="28"/>
      <c r="D137" s="28"/>
      <c r="E137" s="201" t="s">
        <v>1553</v>
      </c>
      <c r="F137" s="161">
        <v>100000</v>
      </c>
      <c r="G137" s="161">
        <v>100000</v>
      </c>
      <c r="H137" s="161">
        <f>H138</f>
        <v>93800</v>
      </c>
      <c r="I137" s="161">
        <f t="shared" ref="I137:J137" si="20">I138</f>
        <v>107200</v>
      </c>
      <c r="J137" s="161">
        <f t="shared" si="20"/>
        <v>112354.6</v>
      </c>
      <c r="K137" s="202" t="s">
        <v>36</v>
      </c>
      <c r="L137" s="203" t="s">
        <v>3</v>
      </c>
      <c r="M137" s="204"/>
      <c r="N137" s="16">
        <v>100</v>
      </c>
      <c r="O137" s="16">
        <v>100</v>
      </c>
      <c r="P137" s="16">
        <v>100</v>
      </c>
      <c r="Q137" s="16">
        <v>100</v>
      </c>
    </row>
    <row r="138" spans="1:17" s="11" customFormat="1" ht="30" x14ac:dyDescent="0.2">
      <c r="A138" s="1608"/>
      <c r="B138" s="28"/>
      <c r="C138" s="28" t="s">
        <v>5</v>
      </c>
      <c r="D138" s="28"/>
      <c r="E138" s="205" t="s">
        <v>34</v>
      </c>
      <c r="F138" s="47">
        <v>100000</v>
      </c>
      <c r="G138" s="47">
        <v>100000</v>
      </c>
      <c r="H138" s="47">
        <v>93800</v>
      </c>
      <c r="I138" s="47">
        <v>107200</v>
      </c>
      <c r="J138" s="47">
        <v>112354.6</v>
      </c>
      <c r="K138" s="206" t="s">
        <v>177</v>
      </c>
      <c r="L138" s="203" t="s">
        <v>24</v>
      </c>
      <c r="M138" s="207"/>
      <c r="N138" s="207"/>
      <c r="O138" s="207"/>
      <c r="P138" s="207"/>
      <c r="Q138" s="105"/>
    </row>
    <row r="139" spans="1:17" s="11" customFormat="1" ht="117.75" x14ac:dyDescent="0.2">
      <c r="A139" s="1608"/>
      <c r="B139" s="168" t="s">
        <v>1813</v>
      </c>
      <c r="C139" s="208"/>
      <c r="D139" s="208"/>
      <c r="E139" s="209" t="s">
        <v>1749</v>
      </c>
      <c r="F139" s="161">
        <v>1204168.8</v>
      </c>
      <c r="G139" s="161">
        <v>133589.1</v>
      </c>
      <c r="H139" s="161">
        <f>H140</f>
        <v>89520.5</v>
      </c>
      <c r="I139" s="161">
        <f t="shared" ref="I139:J139" si="21">I140</f>
        <v>27692.6</v>
      </c>
      <c r="J139" s="161">
        <f t="shared" si="21"/>
        <v>22538</v>
      </c>
      <c r="K139" s="207"/>
      <c r="L139" s="203" t="s">
        <v>3</v>
      </c>
      <c r="M139" s="207"/>
      <c r="N139" s="207"/>
      <c r="O139" s="207"/>
      <c r="P139" s="207"/>
      <c r="Q139" s="105"/>
    </row>
    <row r="140" spans="1:17" s="11" customFormat="1" ht="105" x14ac:dyDescent="0.2">
      <c r="A140" s="1609"/>
      <c r="B140" s="210"/>
      <c r="C140" s="28" t="s">
        <v>5</v>
      </c>
      <c r="D140" s="211"/>
      <c r="E140" s="212" t="s">
        <v>1554</v>
      </c>
      <c r="F140" s="47">
        <v>1204168.8</v>
      </c>
      <c r="G140" s="47">
        <v>133589.1</v>
      </c>
      <c r="H140" s="47">
        <v>89520.5</v>
      </c>
      <c r="I140" s="47">
        <v>27692.6</v>
      </c>
      <c r="J140" s="47">
        <v>22538</v>
      </c>
      <c r="K140" s="178" t="s">
        <v>37</v>
      </c>
      <c r="L140" s="203" t="s">
        <v>3</v>
      </c>
      <c r="M140" s="204"/>
      <c r="N140" s="204">
        <v>100</v>
      </c>
      <c r="O140" s="204">
        <v>100</v>
      </c>
      <c r="P140" s="204">
        <v>100</v>
      </c>
      <c r="Q140" s="204">
        <v>100</v>
      </c>
    </row>
    <row r="141" spans="1:17" s="11" customFormat="1" ht="15" x14ac:dyDescent="0.2">
      <c r="A141" s="1610" t="s">
        <v>35</v>
      </c>
      <c r="B141" s="1611"/>
      <c r="C141" s="1611"/>
      <c r="D141" s="1611"/>
      <c r="E141" s="1612"/>
      <c r="F141" s="200">
        <v>1304168.8</v>
      </c>
      <c r="G141" s="200">
        <v>233589.1</v>
      </c>
      <c r="H141" s="200">
        <f>H137+H139</f>
        <v>183320.5</v>
      </c>
      <c r="I141" s="200">
        <f t="shared" ref="I141:J141" si="22">I137+I139</f>
        <v>134892.6</v>
      </c>
      <c r="J141" s="200">
        <f t="shared" si="22"/>
        <v>134892.6</v>
      </c>
      <c r="K141" s="97"/>
      <c r="L141" s="98"/>
      <c r="M141" s="99"/>
      <c r="N141" s="99"/>
      <c r="O141" s="99"/>
      <c r="P141" s="99"/>
      <c r="Q141" s="99"/>
    </row>
    <row r="142" spans="1:17" s="11" customFormat="1" ht="19.5" customHeight="1" x14ac:dyDescent="0.25">
      <c r="A142" s="1579" t="s">
        <v>1979</v>
      </c>
      <c r="B142" s="1580"/>
      <c r="C142" s="1580"/>
      <c r="D142" s="1580"/>
      <c r="E142" s="1580"/>
      <c r="F142" s="1580"/>
      <c r="G142" s="1580"/>
      <c r="H142" s="1580"/>
      <c r="I142" s="1580"/>
      <c r="J142" s="1580"/>
      <c r="K142" s="1580"/>
      <c r="L142" s="1580"/>
      <c r="M142" s="1580"/>
      <c r="N142" s="1580"/>
      <c r="O142" s="1580"/>
      <c r="P142" s="1580"/>
      <c r="Q142" s="1581"/>
    </row>
    <row r="143" spans="1:17" s="11" customFormat="1" ht="74.25" x14ac:dyDescent="0.25">
      <c r="A143" s="1589">
        <v>19</v>
      </c>
      <c r="B143" s="213" t="s">
        <v>0</v>
      </c>
      <c r="C143" s="214"/>
      <c r="D143" s="214"/>
      <c r="E143" s="201" t="s">
        <v>1555</v>
      </c>
      <c r="F143" s="1155">
        <v>299680.5</v>
      </c>
      <c r="G143" s="1155">
        <v>226244.2</v>
      </c>
      <c r="H143" s="1155">
        <f>H144+H145</f>
        <v>528855.69999999995</v>
      </c>
      <c r="I143" s="1155">
        <f t="shared" ref="I143:J143" si="23">I144+I145</f>
        <v>570722.9</v>
      </c>
      <c r="J143" s="1155">
        <f t="shared" si="23"/>
        <v>499681.30000000005</v>
      </c>
      <c r="K143" s="103" t="s">
        <v>36</v>
      </c>
      <c r="L143" s="169" t="s">
        <v>3</v>
      </c>
      <c r="M143" s="215">
        <v>0.26</v>
      </c>
      <c r="N143" s="50">
        <v>0.26</v>
      </c>
      <c r="O143" s="50">
        <v>0.26</v>
      </c>
      <c r="P143" s="50">
        <v>0.26</v>
      </c>
      <c r="Q143" s="216">
        <v>0.26</v>
      </c>
    </row>
    <row r="144" spans="1:17" s="11" customFormat="1" ht="45" x14ac:dyDescent="0.25">
      <c r="A144" s="1590"/>
      <c r="B144" s="1615"/>
      <c r="C144" s="217" t="s">
        <v>5</v>
      </c>
      <c r="D144" s="218"/>
      <c r="E144" s="219" t="s">
        <v>1556</v>
      </c>
      <c r="F144" s="1156">
        <v>21901.200000000001</v>
      </c>
      <c r="G144" s="1156">
        <v>61098.400000000001</v>
      </c>
      <c r="H144" s="1156">
        <v>198600.8</v>
      </c>
      <c r="I144" s="1156">
        <v>200495.1</v>
      </c>
      <c r="J144" s="1156">
        <v>146330.6</v>
      </c>
      <c r="K144" s="206" t="s">
        <v>177</v>
      </c>
      <c r="L144" s="177" t="s">
        <v>185</v>
      </c>
      <c r="M144" s="221"/>
      <c r="N144" s="23">
        <v>0</v>
      </c>
      <c r="O144" s="23">
        <v>0</v>
      </c>
      <c r="P144" s="23">
        <v>0</v>
      </c>
      <c r="Q144" s="222">
        <v>0</v>
      </c>
    </row>
    <row r="145" spans="1:17" s="11" customFormat="1" ht="45" x14ac:dyDescent="0.25">
      <c r="A145" s="1590"/>
      <c r="B145" s="1616"/>
      <c r="C145" s="223" t="s">
        <v>6</v>
      </c>
      <c r="D145" s="224"/>
      <c r="E145" s="227" t="s">
        <v>1581</v>
      </c>
      <c r="F145" s="1156">
        <v>14239</v>
      </c>
      <c r="G145" s="1156">
        <v>165145.79999999999</v>
      </c>
      <c r="H145" s="1156">
        <v>330254.90000000002</v>
      </c>
      <c r="I145" s="1156">
        <v>370227.8</v>
      </c>
      <c r="J145" s="1156">
        <v>353350.7</v>
      </c>
      <c r="K145" s="220"/>
      <c r="L145" s="177" t="s">
        <v>3</v>
      </c>
      <c r="M145" s="225" t="s">
        <v>186</v>
      </c>
      <c r="N145" s="225" t="s">
        <v>186</v>
      </c>
      <c r="O145" s="225"/>
      <c r="P145" s="225"/>
      <c r="Q145" s="226"/>
    </row>
    <row r="146" spans="1:17" s="11" customFormat="1" ht="30" x14ac:dyDescent="0.25">
      <c r="A146" s="1590"/>
      <c r="B146" s="1616"/>
      <c r="C146" s="223" t="s">
        <v>4</v>
      </c>
      <c r="D146" s="224"/>
      <c r="E146" s="227" t="s">
        <v>1558</v>
      </c>
      <c r="F146" s="238">
        <v>8616.1</v>
      </c>
      <c r="G146" s="238"/>
      <c r="H146" s="1216"/>
      <c r="I146" s="1216"/>
      <c r="J146" s="1216"/>
      <c r="K146" s="228" t="s">
        <v>1557</v>
      </c>
      <c r="L146" s="177" t="s">
        <v>3</v>
      </c>
      <c r="M146" s="229"/>
      <c r="N146" s="50">
        <v>0.9</v>
      </c>
      <c r="O146" s="50">
        <v>0.9</v>
      </c>
      <c r="P146" s="50">
        <v>0.9</v>
      </c>
      <c r="Q146" s="216">
        <v>0.9</v>
      </c>
    </row>
    <row r="147" spans="1:17" s="11" customFormat="1" ht="45" x14ac:dyDescent="0.25">
      <c r="A147" s="1590"/>
      <c r="B147" s="1616"/>
      <c r="C147" s="223" t="s">
        <v>8</v>
      </c>
      <c r="D147" s="224"/>
      <c r="E147" s="1157" t="s">
        <v>1559</v>
      </c>
      <c r="F147" s="238">
        <v>5107.7</v>
      </c>
      <c r="G147" s="238"/>
      <c r="H147" s="1216"/>
      <c r="I147" s="1216"/>
      <c r="J147" s="1216"/>
      <c r="K147" s="228" t="s">
        <v>1560</v>
      </c>
      <c r="L147" s="177" t="s">
        <v>3</v>
      </c>
      <c r="M147" s="16">
        <v>741</v>
      </c>
      <c r="N147" s="16">
        <v>741</v>
      </c>
      <c r="O147" s="16">
        <v>741</v>
      </c>
      <c r="P147" s="16">
        <v>741</v>
      </c>
      <c r="Q147" s="1158">
        <v>741</v>
      </c>
    </row>
    <row r="148" spans="1:17" s="11" customFormat="1" ht="60" x14ac:dyDescent="0.25">
      <c r="A148" s="1590"/>
      <c r="B148" s="1616"/>
      <c r="C148" s="230" t="s">
        <v>9</v>
      </c>
      <c r="D148" s="231"/>
      <c r="E148" s="227" t="s">
        <v>1562</v>
      </c>
      <c r="F148" s="238">
        <v>247184.8</v>
      </c>
      <c r="G148" s="238"/>
      <c r="H148" s="1216"/>
      <c r="I148" s="1216"/>
      <c r="J148" s="1216"/>
      <c r="K148" s="228" t="s">
        <v>1561</v>
      </c>
      <c r="L148" s="177" t="s">
        <v>3</v>
      </c>
      <c r="M148" s="16">
        <v>16.100000000000001</v>
      </c>
      <c r="N148" s="16">
        <v>16.100000000000001</v>
      </c>
      <c r="O148" s="16">
        <v>16.100000000000001</v>
      </c>
      <c r="P148" s="16">
        <v>16.100000000000001</v>
      </c>
      <c r="Q148" s="1158">
        <v>16.100000000000001</v>
      </c>
    </row>
    <row r="149" spans="1:17" s="11" customFormat="1" ht="45" x14ac:dyDescent="0.25">
      <c r="A149" s="1590"/>
      <c r="B149" s="1617"/>
      <c r="C149" s="230" t="s">
        <v>16</v>
      </c>
      <c r="D149" s="231"/>
      <c r="E149" s="227" t="s">
        <v>161</v>
      </c>
      <c r="F149" s="1217">
        <v>2631.7</v>
      </c>
      <c r="G149" s="1217"/>
      <c r="H149" s="1218"/>
      <c r="I149" s="1218"/>
      <c r="J149" s="1218"/>
      <c r="K149" s="228" t="s">
        <v>1563</v>
      </c>
      <c r="L149" s="16" t="s">
        <v>106</v>
      </c>
      <c r="M149" s="23" t="s">
        <v>187</v>
      </c>
      <c r="N149" s="23" t="s">
        <v>187</v>
      </c>
      <c r="O149" s="23"/>
      <c r="P149" s="23" t="s">
        <v>188</v>
      </c>
      <c r="Q149" s="222" t="s">
        <v>189</v>
      </c>
    </row>
    <row r="150" spans="1:17" s="11" customFormat="1" ht="114" x14ac:dyDescent="0.25">
      <c r="A150" s="1590"/>
      <c r="B150" s="213" t="s">
        <v>12</v>
      </c>
      <c r="C150" s="217"/>
      <c r="D150" s="218"/>
      <c r="E150" s="232" t="s">
        <v>1564</v>
      </c>
      <c r="F150" s="1219">
        <v>224023.2</v>
      </c>
      <c r="G150" s="1219">
        <v>224015.9</v>
      </c>
      <c r="H150" s="1220">
        <f>H151+H154</f>
        <v>465256.1</v>
      </c>
      <c r="I150" s="1220">
        <f t="shared" ref="I150:J150" si="24">I151+I154</f>
        <v>408858.10000000003</v>
      </c>
      <c r="J150" s="1220">
        <f t="shared" si="24"/>
        <v>543300</v>
      </c>
      <c r="K150" s="233" t="s">
        <v>1565</v>
      </c>
      <c r="L150" s="234" t="s">
        <v>150</v>
      </c>
      <c r="M150" s="169" t="s">
        <v>1462</v>
      </c>
      <c r="N150" s="169" t="s">
        <v>1462</v>
      </c>
      <c r="O150" s="169" t="s">
        <v>1462</v>
      </c>
      <c r="P150" s="169" t="s">
        <v>1462</v>
      </c>
      <c r="Q150" s="235" t="s">
        <v>1462</v>
      </c>
    </row>
    <row r="151" spans="1:17" s="11" customFormat="1" ht="120" x14ac:dyDescent="0.25">
      <c r="A151" s="1590"/>
      <c r="B151" s="231"/>
      <c r="C151" s="217" t="s">
        <v>5</v>
      </c>
      <c r="D151" s="218"/>
      <c r="E151" s="227" t="s">
        <v>162</v>
      </c>
      <c r="F151" s="238">
        <v>211417</v>
      </c>
      <c r="G151" s="238">
        <v>211526.7</v>
      </c>
      <c r="H151" s="238">
        <v>399037.2</v>
      </c>
      <c r="I151" s="238">
        <v>362715.9</v>
      </c>
      <c r="J151" s="238">
        <v>495615.7</v>
      </c>
      <c r="K151" s="236" t="s">
        <v>1566</v>
      </c>
      <c r="L151" s="23" t="s">
        <v>190</v>
      </c>
      <c r="M151" s="23" t="s">
        <v>1463</v>
      </c>
      <c r="N151" s="23" t="s">
        <v>1463</v>
      </c>
      <c r="O151" s="23" t="s">
        <v>1463</v>
      </c>
      <c r="P151" s="23" t="s">
        <v>1463</v>
      </c>
      <c r="Q151" s="222" t="s">
        <v>1463</v>
      </c>
    </row>
    <row r="152" spans="1:17" s="11" customFormat="1" ht="120" x14ac:dyDescent="0.25">
      <c r="A152" s="1590"/>
      <c r="B152" s="231"/>
      <c r="C152" s="217" t="s">
        <v>6</v>
      </c>
      <c r="D152" s="218"/>
      <c r="E152" s="227" t="s">
        <v>1567</v>
      </c>
      <c r="F152" s="238">
        <v>5805</v>
      </c>
      <c r="G152" s="238">
        <v>5688</v>
      </c>
      <c r="H152" s="238"/>
      <c r="I152" s="238"/>
      <c r="J152" s="238"/>
      <c r="K152" s="236" t="s">
        <v>1566</v>
      </c>
      <c r="L152" s="23" t="s">
        <v>190</v>
      </c>
      <c r="M152" s="23" t="s">
        <v>1464</v>
      </c>
      <c r="N152" s="23" t="s">
        <v>1464</v>
      </c>
      <c r="O152" s="23" t="s">
        <v>1465</v>
      </c>
      <c r="P152" s="23" t="s">
        <v>1466</v>
      </c>
      <c r="Q152" s="222" t="s">
        <v>1467</v>
      </c>
    </row>
    <row r="153" spans="1:17" s="11" customFormat="1" ht="120" x14ac:dyDescent="0.25">
      <c r="A153" s="1590"/>
      <c r="B153" s="231"/>
      <c r="C153" s="217" t="s">
        <v>4</v>
      </c>
      <c r="D153" s="218"/>
      <c r="E153" s="1159" t="s">
        <v>163</v>
      </c>
      <c r="F153" s="1221">
        <v>2776.9</v>
      </c>
      <c r="G153" s="1221">
        <v>2776.9</v>
      </c>
      <c r="H153" s="1221"/>
      <c r="I153" s="1221"/>
      <c r="J153" s="1221"/>
      <c r="K153" s="236" t="s">
        <v>1566</v>
      </c>
      <c r="L153" s="23" t="s">
        <v>190</v>
      </c>
      <c r="M153" s="192" t="s">
        <v>1468</v>
      </c>
      <c r="N153" s="192" t="s">
        <v>1469</v>
      </c>
      <c r="O153" s="192" t="s">
        <v>1469</v>
      </c>
      <c r="P153" s="192" t="s">
        <v>1469</v>
      </c>
      <c r="Q153" s="237" t="s">
        <v>1469</v>
      </c>
    </row>
    <row r="154" spans="1:17" s="11" customFormat="1" ht="120" x14ac:dyDescent="0.25">
      <c r="A154" s="1590"/>
      <c r="B154" s="213"/>
      <c r="C154" s="230" t="s">
        <v>7</v>
      </c>
      <c r="D154" s="231"/>
      <c r="E154" s="227" t="s">
        <v>1568</v>
      </c>
      <c r="F154" s="238">
        <v>4024.3</v>
      </c>
      <c r="G154" s="238">
        <v>4024.3</v>
      </c>
      <c r="H154" s="238">
        <v>66218.899999999994</v>
      </c>
      <c r="I154" s="238">
        <v>46142.2</v>
      </c>
      <c r="J154" s="238">
        <v>47684.3</v>
      </c>
      <c r="K154" s="236" t="s">
        <v>1566</v>
      </c>
      <c r="L154" s="23" t="s">
        <v>190</v>
      </c>
      <c r="M154" s="239"/>
      <c r="N154" s="23" t="s">
        <v>1470</v>
      </c>
      <c r="O154" s="23" t="s">
        <v>1470</v>
      </c>
      <c r="P154" s="23" t="s">
        <v>1470</v>
      </c>
      <c r="Q154" s="23" t="s">
        <v>1470</v>
      </c>
    </row>
    <row r="155" spans="1:17" s="11" customFormat="1" ht="195" x14ac:dyDescent="0.25">
      <c r="A155" s="1590"/>
      <c r="B155" s="213" t="s">
        <v>42</v>
      </c>
      <c r="C155" s="230"/>
      <c r="D155" s="231"/>
      <c r="E155" s="240" t="s">
        <v>1569</v>
      </c>
      <c r="F155" s="241">
        <v>49962.1</v>
      </c>
      <c r="G155" s="241">
        <v>49962.1</v>
      </c>
      <c r="H155" s="241">
        <f>H156+H157+H159</f>
        <v>214414.30000000002</v>
      </c>
      <c r="I155" s="241">
        <v>227010.4</v>
      </c>
      <c r="J155" s="241">
        <v>169201</v>
      </c>
      <c r="K155" s="228" t="s">
        <v>1571</v>
      </c>
      <c r="L155" s="23" t="s">
        <v>190</v>
      </c>
      <c r="M155" s="23" t="s">
        <v>1471</v>
      </c>
      <c r="N155" s="23" t="s">
        <v>1471</v>
      </c>
      <c r="O155" s="23" t="s">
        <v>1471</v>
      </c>
      <c r="P155" s="23" t="s">
        <v>1471</v>
      </c>
      <c r="Q155" s="23" t="s">
        <v>1471</v>
      </c>
    </row>
    <row r="156" spans="1:17" s="11" customFormat="1" ht="195" x14ac:dyDescent="0.25">
      <c r="A156" s="1590"/>
      <c r="B156" s="231"/>
      <c r="C156" s="230" t="s">
        <v>5</v>
      </c>
      <c r="D156" s="231"/>
      <c r="E156" s="227" t="s">
        <v>164</v>
      </c>
      <c r="F156" s="238">
        <v>42787.9</v>
      </c>
      <c r="G156" s="238">
        <v>42787.9</v>
      </c>
      <c r="H156" s="238">
        <v>109813.1</v>
      </c>
      <c r="I156" s="238">
        <v>101718.6</v>
      </c>
      <c r="J156" s="238">
        <v>101608.5</v>
      </c>
      <c r="K156" s="228" t="s">
        <v>1571</v>
      </c>
      <c r="L156" s="23" t="s">
        <v>190</v>
      </c>
      <c r="M156" s="23" t="s">
        <v>1472</v>
      </c>
      <c r="N156" s="23" t="s">
        <v>1472</v>
      </c>
      <c r="O156" s="23" t="s">
        <v>1472</v>
      </c>
      <c r="P156" s="23" t="s">
        <v>1472</v>
      </c>
      <c r="Q156" s="23" t="s">
        <v>1472</v>
      </c>
    </row>
    <row r="157" spans="1:17" s="11" customFormat="1" ht="195" x14ac:dyDescent="0.25">
      <c r="A157" s="1590"/>
      <c r="B157" s="231"/>
      <c r="C157" s="217" t="s">
        <v>6</v>
      </c>
      <c r="D157" s="218"/>
      <c r="E157" s="227" t="s">
        <v>165</v>
      </c>
      <c r="F157" s="238">
        <v>4099.8</v>
      </c>
      <c r="G157" s="238">
        <v>4099.8</v>
      </c>
      <c r="H157" s="238">
        <v>66735.3</v>
      </c>
      <c r="I157" s="238">
        <v>89758.5</v>
      </c>
      <c r="J157" s="238">
        <v>60454.8</v>
      </c>
      <c r="K157" s="228" t="s">
        <v>1571</v>
      </c>
      <c r="L157" s="23" t="s">
        <v>190</v>
      </c>
      <c r="M157" s="23" t="s">
        <v>1473</v>
      </c>
      <c r="N157" s="23" t="s">
        <v>1473</v>
      </c>
      <c r="O157" s="23" t="s">
        <v>1473</v>
      </c>
      <c r="P157" s="23" t="s">
        <v>1473</v>
      </c>
      <c r="Q157" s="23" t="s">
        <v>1473</v>
      </c>
    </row>
    <row r="158" spans="1:17" s="11" customFormat="1" ht="195" x14ac:dyDescent="0.25">
      <c r="A158" s="1590"/>
      <c r="B158" s="231"/>
      <c r="C158" s="217" t="s">
        <v>4</v>
      </c>
      <c r="D158" s="218"/>
      <c r="E158" s="227" t="s">
        <v>166</v>
      </c>
      <c r="F158" s="238">
        <v>3074.4</v>
      </c>
      <c r="G158" s="238">
        <v>3074.4</v>
      </c>
      <c r="H158" s="238"/>
      <c r="I158" s="238"/>
      <c r="J158" s="238"/>
      <c r="K158" s="228" t="s">
        <v>1571</v>
      </c>
      <c r="L158" s="23" t="s">
        <v>190</v>
      </c>
      <c r="M158" s="23" t="s">
        <v>1474</v>
      </c>
      <c r="N158" s="23" t="s">
        <v>1474</v>
      </c>
      <c r="O158" s="23" t="s">
        <v>1474</v>
      </c>
      <c r="P158" s="23" t="s">
        <v>1474</v>
      </c>
      <c r="Q158" s="23" t="s">
        <v>1474</v>
      </c>
    </row>
    <row r="159" spans="1:17" s="11" customFormat="1" ht="30" x14ac:dyDescent="0.25">
      <c r="A159" s="1590"/>
      <c r="B159" s="213"/>
      <c r="C159" s="230" t="s">
        <v>7</v>
      </c>
      <c r="D159" s="231"/>
      <c r="E159" s="227" t="s">
        <v>167</v>
      </c>
      <c r="F159" s="238"/>
      <c r="G159" s="238"/>
      <c r="H159" s="238">
        <v>37865.9</v>
      </c>
      <c r="I159" s="238">
        <v>35533.300000000003</v>
      </c>
      <c r="J159" s="238">
        <v>7137.7</v>
      </c>
      <c r="K159" s="228"/>
      <c r="L159" s="23"/>
      <c r="M159" s="23"/>
      <c r="N159" s="23"/>
      <c r="O159" s="23"/>
      <c r="P159" s="23"/>
      <c r="Q159" s="222"/>
    </row>
    <row r="160" spans="1:17" s="11" customFormat="1" ht="120" x14ac:dyDescent="0.25">
      <c r="A160" s="1590"/>
      <c r="B160" s="213" t="s">
        <v>46</v>
      </c>
      <c r="C160" s="230"/>
      <c r="D160" s="231"/>
      <c r="E160" s="240" t="s">
        <v>168</v>
      </c>
      <c r="F160" s="241">
        <v>23859.200000000001</v>
      </c>
      <c r="G160" s="241">
        <v>42723.6</v>
      </c>
      <c r="H160" s="241"/>
      <c r="I160" s="241"/>
      <c r="J160" s="241"/>
      <c r="K160" s="228" t="s">
        <v>1570</v>
      </c>
      <c r="L160" s="23" t="s">
        <v>190</v>
      </c>
      <c r="M160" s="23" t="s">
        <v>1475</v>
      </c>
      <c r="N160" s="23" t="s">
        <v>1475</v>
      </c>
      <c r="O160" s="23" t="s">
        <v>1475</v>
      </c>
      <c r="P160" s="23" t="s">
        <v>1475</v>
      </c>
      <c r="Q160" s="23" t="s">
        <v>1475</v>
      </c>
    </row>
    <row r="161" spans="1:17" s="11" customFormat="1" ht="105" x14ac:dyDescent="0.25">
      <c r="A161" s="1590"/>
      <c r="B161" s="231"/>
      <c r="C161" s="230" t="s">
        <v>5</v>
      </c>
      <c r="D161" s="231"/>
      <c r="E161" s="227" t="s">
        <v>169</v>
      </c>
      <c r="F161" s="238">
        <v>21977.4</v>
      </c>
      <c r="G161" s="238">
        <v>39751.1</v>
      </c>
      <c r="H161" s="238"/>
      <c r="I161" s="238"/>
      <c r="J161" s="238"/>
      <c r="K161" s="228" t="s">
        <v>1570</v>
      </c>
      <c r="L161" s="23" t="s">
        <v>190</v>
      </c>
      <c r="M161" s="23" t="s">
        <v>1476</v>
      </c>
      <c r="N161" s="23" t="s">
        <v>1476</v>
      </c>
      <c r="O161" s="23" t="s">
        <v>1476</v>
      </c>
      <c r="P161" s="23" t="s">
        <v>1476</v>
      </c>
      <c r="Q161" s="23" t="s">
        <v>1476</v>
      </c>
    </row>
    <row r="162" spans="1:17" s="11" customFormat="1" ht="105" x14ac:dyDescent="0.2">
      <c r="A162" s="1590"/>
      <c r="B162" s="230"/>
      <c r="C162" s="230" t="s">
        <v>6</v>
      </c>
      <c r="D162" s="242"/>
      <c r="E162" s="227" t="s">
        <v>170</v>
      </c>
      <c r="F162" s="238">
        <v>1881.8</v>
      </c>
      <c r="G162" s="238">
        <v>2972.5</v>
      </c>
      <c r="H162" s="238"/>
      <c r="I162" s="238"/>
      <c r="J162" s="238"/>
      <c r="K162" s="236" t="s">
        <v>1570</v>
      </c>
      <c r="L162" s="23" t="s">
        <v>190</v>
      </c>
      <c r="M162" s="23" t="s">
        <v>1477</v>
      </c>
      <c r="N162" s="23" t="s">
        <v>1477</v>
      </c>
      <c r="O162" s="23" t="s">
        <v>1477</v>
      </c>
      <c r="P162" s="23" t="s">
        <v>1477</v>
      </c>
      <c r="Q162" s="23" t="s">
        <v>1477</v>
      </c>
    </row>
    <row r="163" spans="1:17" s="11" customFormat="1" ht="150" x14ac:dyDescent="0.25">
      <c r="A163" s="1590"/>
      <c r="B163" s="243" t="s">
        <v>578</v>
      </c>
      <c r="C163" s="230" t="s">
        <v>5</v>
      </c>
      <c r="D163" s="244"/>
      <c r="E163" s="240" t="s">
        <v>171</v>
      </c>
      <c r="F163" s="241">
        <v>37218.699999999997</v>
      </c>
      <c r="G163" s="241">
        <v>37203.800000000003</v>
      </c>
      <c r="H163" s="241">
        <f>H164</f>
        <v>88608.4</v>
      </c>
      <c r="I163" s="241">
        <f t="shared" ref="I163:J163" si="25">I164</f>
        <v>84708.6</v>
      </c>
      <c r="J163" s="241">
        <f t="shared" si="25"/>
        <v>86000.9</v>
      </c>
      <c r="K163" s="228" t="s">
        <v>1572</v>
      </c>
      <c r="L163" s="23" t="s">
        <v>190</v>
      </c>
      <c r="M163" s="23" t="s">
        <v>1478</v>
      </c>
      <c r="N163" s="23" t="s">
        <v>1478</v>
      </c>
      <c r="O163" s="23" t="s">
        <v>1478</v>
      </c>
      <c r="P163" s="23" t="s">
        <v>1478</v>
      </c>
      <c r="Q163" s="23" t="s">
        <v>1478</v>
      </c>
    </row>
    <row r="164" spans="1:17" s="11" customFormat="1" ht="300" x14ac:dyDescent="0.25">
      <c r="A164" s="1590"/>
      <c r="B164" s="231"/>
      <c r="C164" s="230" t="s">
        <v>6</v>
      </c>
      <c r="D164" s="231"/>
      <c r="E164" s="227" t="s">
        <v>1017</v>
      </c>
      <c r="F164" s="238">
        <v>37218.699999999997</v>
      </c>
      <c r="G164" s="238">
        <v>37203.800000000003</v>
      </c>
      <c r="H164" s="238">
        <v>88608.4</v>
      </c>
      <c r="I164" s="238">
        <v>84708.6</v>
      </c>
      <c r="J164" s="238">
        <v>86000.9</v>
      </c>
      <c r="K164" s="236" t="s">
        <v>1573</v>
      </c>
      <c r="L164" s="23" t="s">
        <v>190</v>
      </c>
      <c r="M164" s="23" t="s">
        <v>1478</v>
      </c>
      <c r="N164" s="23" t="s">
        <v>1478</v>
      </c>
      <c r="O164" s="23" t="s">
        <v>1478</v>
      </c>
      <c r="P164" s="23" t="s">
        <v>1478</v>
      </c>
      <c r="Q164" s="23" t="s">
        <v>1478</v>
      </c>
    </row>
    <row r="165" spans="1:17" s="11" customFormat="1" ht="150" x14ac:dyDescent="0.25">
      <c r="A165" s="1590"/>
      <c r="B165" s="245" t="s">
        <v>579</v>
      </c>
      <c r="C165" s="246"/>
      <c r="D165" s="247"/>
      <c r="E165" s="240" t="s">
        <v>172</v>
      </c>
      <c r="F165" s="241">
        <v>13041.4</v>
      </c>
      <c r="G165" s="241">
        <v>14222.2</v>
      </c>
      <c r="H165" s="241">
        <f>H166</f>
        <v>13635.4</v>
      </c>
      <c r="I165" s="241">
        <f t="shared" ref="I165:J165" si="26">I166</f>
        <v>21100.5</v>
      </c>
      <c r="J165" s="241">
        <f t="shared" si="26"/>
        <v>5585.5</v>
      </c>
      <c r="K165" s="236" t="s">
        <v>1572</v>
      </c>
      <c r="L165" s="23" t="s">
        <v>190</v>
      </c>
      <c r="M165" s="225" t="s">
        <v>1479</v>
      </c>
      <c r="N165" s="225" t="s">
        <v>1479</v>
      </c>
      <c r="O165" s="225" t="s">
        <v>1479</v>
      </c>
      <c r="P165" s="225" t="s">
        <v>1479</v>
      </c>
      <c r="Q165" s="225" t="s">
        <v>1479</v>
      </c>
    </row>
    <row r="166" spans="1:17" s="11" customFormat="1" ht="150" x14ac:dyDescent="0.25">
      <c r="A166" s="1590"/>
      <c r="B166" s="247"/>
      <c r="C166" s="223" t="s">
        <v>5</v>
      </c>
      <c r="D166" s="231"/>
      <c r="E166" s="227" t="s">
        <v>173</v>
      </c>
      <c r="F166" s="238">
        <v>10719.6</v>
      </c>
      <c r="G166" s="238">
        <v>7410.2</v>
      </c>
      <c r="H166" s="238">
        <v>13635.4</v>
      </c>
      <c r="I166" s="238">
        <v>21100.5</v>
      </c>
      <c r="J166" s="238">
        <v>5585.5</v>
      </c>
      <c r="K166" s="228" t="s">
        <v>1572</v>
      </c>
      <c r="L166" s="23" t="s">
        <v>190</v>
      </c>
      <c r="M166" s="225" t="s">
        <v>1479</v>
      </c>
      <c r="N166" s="225" t="s">
        <v>1479</v>
      </c>
      <c r="O166" s="225" t="s">
        <v>1480</v>
      </c>
      <c r="P166" s="225" t="s">
        <v>1480</v>
      </c>
      <c r="Q166" s="225" t="s">
        <v>1480</v>
      </c>
    </row>
    <row r="167" spans="1:17" s="11" customFormat="1" ht="30" x14ac:dyDescent="0.2">
      <c r="A167" s="1590"/>
      <c r="B167" s="248"/>
      <c r="C167" s="230" t="s">
        <v>6</v>
      </c>
      <c r="D167" s="242"/>
      <c r="E167" s="227" t="s">
        <v>1018</v>
      </c>
      <c r="F167" s="238">
        <v>2321.8000000000002</v>
      </c>
      <c r="G167" s="238">
        <v>6812</v>
      </c>
      <c r="H167" s="238"/>
      <c r="I167" s="238"/>
      <c r="J167" s="238"/>
      <c r="K167" s="236" t="s">
        <v>1574</v>
      </c>
      <c r="L167" s="23" t="s">
        <v>190</v>
      </c>
      <c r="M167" s="225" t="s">
        <v>1481</v>
      </c>
      <c r="N167" s="225" t="s">
        <v>1481</v>
      </c>
      <c r="O167" s="225" t="s">
        <v>1481</v>
      </c>
      <c r="P167" s="225" t="s">
        <v>1481</v>
      </c>
      <c r="Q167" s="225" t="s">
        <v>1481</v>
      </c>
    </row>
    <row r="168" spans="1:17" s="11" customFormat="1" ht="45" x14ac:dyDescent="0.25">
      <c r="A168" s="1590"/>
      <c r="B168" s="213" t="s">
        <v>580</v>
      </c>
      <c r="C168" s="230"/>
      <c r="D168" s="231"/>
      <c r="E168" s="240" t="s">
        <v>1576</v>
      </c>
      <c r="F168" s="1222">
        <v>11662.02</v>
      </c>
      <c r="G168" s="241">
        <v>74593.899999999994</v>
      </c>
      <c r="H168" s="241">
        <f>H169+H170+H171</f>
        <v>89052.700000000012</v>
      </c>
      <c r="I168" s="241">
        <f t="shared" ref="I168:J168" si="27">I169+I170+I171</f>
        <v>101694.00000000001</v>
      </c>
      <c r="J168" s="241">
        <f t="shared" si="27"/>
        <v>124411.9</v>
      </c>
      <c r="K168" s="228" t="s">
        <v>1575</v>
      </c>
      <c r="L168" s="23"/>
      <c r="M168" s="225"/>
      <c r="N168" s="225"/>
      <c r="O168" s="225"/>
      <c r="P168" s="225"/>
      <c r="Q168" s="226"/>
    </row>
    <row r="169" spans="1:17" s="11" customFormat="1" ht="45" x14ac:dyDescent="0.25">
      <c r="A169" s="1590"/>
      <c r="B169" s="231"/>
      <c r="C169" s="230" t="s">
        <v>5</v>
      </c>
      <c r="D169" s="231"/>
      <c r="E169" s="227" t="s">
        <v>1577</v>
      </c>
      <c r="F169" s="1223">
        <v>9945.5</v>
      </c>
      <c r="G169" s="238">
        <v>62318.9</v>
      </c>
      <c r="H169" s="238">
        <v>61788.5</v>
      </c>
      <c r="I169" s="238">
        <v>74253.100000000006</v>
      </c>
      <c r="J169" s="238">
        <v>96579.199999999997</v>
      </c>
      <c r="K169" s="228" t="s">
        <v>1575</v>
      </c>
      <c r="L169" s="23"/>
      <c r="M169" s="225"/>
      <c r="N169" s="225"/>
      <c r="O169" s="225"/>
      <c r="P169" s="225"/>
      <c r="Q169" s="226"/>
    </row>
    <row r="170" spans="1:17" s="11" customFormat="1" ht="45" x14ac:dyDescent="0.25">
      <c r="A170" s="1591"/>
      <c r="B170" s="231"/>
      <c r="C170" s="230" t="s">
        <v>6</v>
      </c>
      <c r="D170" s="231"/>
      <c r="E170" s="227" t="s">
        <v>1578</v>
      </c>
      <c r="F170" s="1223">
        <v>836.2</v>
      </c>
      <c r="G170" s="238">
        <v>5866.9</v>
      </c>
      <c r="H170" s="238">
        <v>13077.6</v>
      </c>
      <c r="I170" s="238">
        <v>13168.6</v>
      </c>
      <c r="J170" s="238">
        <v>13374.2</v>
      </c>
      <c r="K170" s="228" t="s">
        <v>1575</v>
      </c>
      <c r="L170" s="239"/>
      <c r="M170" s="249"/>
      <c r="N170" s="250"/>
      <c r="O170" s="250"/>
      <c r="P170" s="250"/>
      <c r="Q170" s="251"/>
    </row>
    <row r="171" spans="1:17" s="11" customFormat="1" ht="45" x14ac:dyDescent="0.2">
      <c r="A171" s="252"/>
      <c r="B171" s="253"/>
      <c r="C171" s="254" t="s">
        <v>4</v>
      </c>
      <c r="D171" s="255"/>
      <c r="E171" s="227" t="s">
        <v>1579</v>
      </c>
      <c r="F171" s="1223">
        <v>880.32</v>
      </c>
      <c r="G171" s="238">
        <v>6408.1</v>
      </c>
      <c r="H171" s="238">
        <v>14186.6</v>
      </c>
      <c r="I171" s="238">
        <v>14272.3</v>
      </c>
      <c r="J171" s="238">
        <v>14458.5</v>
      </c>
      <c r="K171" s="228" t="s">
        <v>1575</v>
      </c>
      <c r="L171" s="239"/>
      <c r="M171" s="249"/>
      <c r="N171" s="250"/>
      <c r="O171" s="250"/>
      <c r="P171" s="250"/>
      <c r="Q171" s="251"/>
    </row>
    <row r="172" spans="1:17" s="11" customFormat="1" ht="15" x14ac:dyDescent="0.2">
      <c r="A172" s="1529" t="s">
        <v>35</v>
      </c>
      <c r="B172" s="1530"/>
      <c r="C172" s="1530"/>
      <c r="D172" s="1530"/>
      <c r="E172" s="1531"/>
      <c r="F172" s="256">
        <v>659447.1</v>
      </c>
      <c r="G172" s="257">
        <v>668965.69999999995</v>
      </c>
      <c r="H172" s="1215">
        <f>H143+H150+H155+H163+H165+H168</f>
        <v>1399822.5999999996</v>
      </c>
      <c r="I172" s="1215">
        <f>I143+I150+I155+I163+I165+I168-0.1</f>
        <v>1414094.4</v>
      </c>
      <c r="J172" s="1215">
        <f t="shared" ref="J172" si="28">J143+J150+J155+J163+J165+J168</f>
        <v>1428180.5999999999</v>
      </c>
      <c r="K172" s="258"/>
      <c r="L172" s="259"/>
      <c r="M172" s="260"/>
      <c r="N172" s="261"/>
      <c r="O172" s="261"/>
      <c r="P172" s="261"/>
      <c r="Q172" s="262"/>
    </row>
    <row r="173" spans="1:17" s="11" customFormat="1" ht="14.25" x14ac:dyDescent="0.2">
      <c r="A173" s="1630" t="s">
        <v>1980</v>
      </c>
      <c r="B173" s="1630"/>
      <c r="C173" s="1630"/>
      <c r="D173" s="1630"/>
      <c r="E173" s="1630"/>
      <c r="F173" s="1630"/>
      <c r="G173" s="1630"/>
      <c r="H173" s="1630"/>
      <c r="I173" s="1630"/>
      <c r="J173" s="1630"/>
      <c r="K173" s="1630"/>
      <c r="L173" s="1630"/>
      <c r="M173" s="1630"/>
      <c r="N173" s="1630"/>
      <c r="O173" s="1630"/>
      <c r="P173" s="1630"/>
      <c r="Q173" s="1630"/>
    </row>
    <row r="174" spans="1:17" s="11" customFormat="1" ht="57" x14ac:dyDescent="0.25">
      <c r="A174" s="1607">
        <v>20</v>
      </c>
      <c r="B174" s="263">
        <v>1</v>
      </c>
      <c r="C174" s="264"/>
      <c r="D174" s="265"/>
      <c r="E174" s="266" t="s">
        <v>481</v>
      </c>
      <c r="F174" s="91">
        <v>20403.3</v>
      </c>
      <c r="G174" s="91">
        <v>22509</v>
      </c>
      <c r="H174" s="91">
        <f>H175+H176</f>
        <v>41623.1</v>
      </c>
      <c r="I174" s="91">
        <f t="shared" ref="I174:J174" si="29">I175+I176</f>
        <v>42550.6</v>
      </c>
      <c r="J174" s="91">
        <f t="shared" si="29"/>
        <v>43466.1</v>
      </c>
      <c r="K174" s="267" t="s">
        <v>50</v>
      </c>
      <c r="L174" s="268" t="s">
        <v>3</v>
      </c>
      <c r="M174" s="269"/>
      <c r="N174" s="269"/>
      <c r="O174" s="269"/>
      <c r="P174" s="269"/>
      <c r="Q174" s="269"/>
    </row>
    <row r="175" spans="1:17" s="11" customFormat="1" ht="75" x14ac:dyDescent="0.2">
      <c r="A175" s="1608"/>
      <c r="B175" s="270"/>
      <c r="C175" s="271">
        <v>1</v>
      </c>
      <c r="D175" s="264"/>
      <c r="E175" s="272" t="s">
        <v>25</v>
      </c>
      <c r="F175" s="47">
        <v>7800</v>
      </c>
      <c r="G175" s="47">
        <v>8679</v>
      </c>
      <c r="H175" s="47">
        <v>15992</v>
      </c>
      <c r="I175" s="47">
        <v>16392</v>
      </c>
      <c r="J175" s="47">
        <v>16792</v>
      </c>
      <c r="K175" s="134" t="s">
        <v>1583</v>
      </c>
      <c r="L175" s="16" t="s">
        <v>3</v>
      </c>
      <c r="M175" s="273">
        <v>100</v>
      </c>
      <c r="N175" s="273">
        <v>100</v>
      </c>
      <c r="O175" s="273">
        <v>100</v>
      </c>
      <c r="P175" s="273">
        <v>100</v>
      </c>
      <c r="Q175" s="273">
        <v>100</v>
      </c>
    </row>
    <row r="176" spans="1:17" s="11" customFormat="1" ht="75" x14ac:dyDescent="0.2">
      <c r="A176" s="1608"/>
      <c r="B176" s="270"/>
      <c r="C176" s="274">
        <v>2</v>
      </c>
      <c r="D176" s="264"/>
      <c r="E176" s="272" t="s">
        <v>1580</v>
      </c>
      <c r="F176" s="47">
        <v>12603.3</v>
      </c>
      <c r="G176" s="47">
        <v>13830</v>
      </c>
      <c r="H176" s="47">
        <v>25631.1</v>
      </c>
      <c r="I176" s="47">
        <v>26158.6</v>
      </c>
      <c r="J176" s="47">
        <v>26674.1</v>
      </c>
      <c r="K176" s="134" t="s">
        <v>1584</v>
      </c>
      <c r="L176" s="16" t="s">
        <v>3</v>
      </c>
      <c r="M176" s="273">
        <v>100</v>
      </c>
      <c r="N176" s="273">
        <v>100</v>
      </c>
      <c r="O176" s="273">
        <v>100</v>
      </c>
      <c r="P176" s="273">
        <v>100</v>
      </c>
      <c r="Q176" s="273">
        <v>100</v>
      </c>
    </row>
    <row r="177" spans="1:17" s="11" customFormat="1" ht="30" x14ac:dyDescent="0.2">
      <c r="A177" s="1608"/>
      <c r="B177" s="275">
        <v>202</v>
      </c>
      <c r="C177" s="276"/>
      <c r="D177" s="264"/>
      <c r="E177" s="277" t="s">
        <v>1582</v>
      </c>
      <c r="F177" s="161">
        <v>7676.3</v>
      </c>
      <c r="G177" s="161">
        <v>9268</v>
      </c>
      <c r="H177" s="161">
        <f>H178+H179+H180</f>
        <v>16832</v>
      </c>
      <c r="I177" s="161">
        <f t="shared" ref="I177:J177" si="30">I178+I179+I180</f>
        <v>16832</v>
      </c>
      <c r="J177" s="161">
        <f t="shared" si="30"/>
        <v>16832</v>
      </c>
      <c r="K177" s="134" t="s">
        <v>51</v>
      </c>
      <c r="L177" s="134"/>
      <c r="M177" s="278"/>
      <c r="N177" s="278"/>
      <c r="O177" s="278"/>
      <c r="P177" s="278"/>
      <c r="Q177" s="278"/>
    </row>
    <row r="178" spans="1:17" s="11" customFormat="1" ht="30" x14ac:dyDescent="0.2">
      <c r="A178" s="1608"/>
      <c r="B178" s="279"/>
      <c r="C178" s="276">
        <v>1</v>
      </c>
      <c r="D178" s="264"/>
      <c r="E178" s="280" t="s">
        <v>39</v>
      </c>
      <c r="F178" s="47">
        <v>3291.2</v>
      </c>
      <c r="G178" s="47">
        <v>3972</v>
      </c>
      <c r="H178" s="47">
        <v>7125</v>
      </c>
      <c r="I178" s="47">
        <v>7125</v>
      </c>
      <c r="J178" s="47">
        <v>7125</v>
      </c>
      <c r="K178" s="134" t="s">
        <v>52</v>
      </c>
      <c r="L178" s="16" t="s">
        <v>53</v>
      </c>
      <c r="M178" s="281" t="s">
        <v>54</v>
      </c>
      <c r="N178" s="281" t="s">
        <v>55</v>
      </c>
      <c r="O178" s="281" t="s">
        <v>56</v>
      </c>
      <c r="P178" s="281" t="s">
        <v>57</v>
      </c>
      <c r="Q178" s="281" t="s">
        <v>58</v>
      </c>
    </row>
    <row r="179" spans="1:17" s="11" customFormat="1" ht="45" x14ac:dyDescent="0.2">
      <c r="A179" s="1608"/>
      <c r="B179" s="279"/>
      <c r="C179" s="276">
        <v>2</v>
      </c>
      <c r="D179" s="264"/>
      <c r="E179" s="280" t="s">
        <v>40</v>
      </c>
      <c r="F179" s="47">
        <v>2213.6</v>
      </c>
      <c r="G179" s="47">
        <v>2648</v>
      </c>
      <c r="H179" s="47">
        <v>5003</v>
      </c>
      <c r="I179" s="47">
        <v>5003</v>
      </c>
      <c r="J179" s="47">
        <v>5003</v>
      </c>
      <c r="K179" s="134" t="s">
        <v>59</v>
      </c>
      <c r="L179" s="16" t="s">
        <v>60</v>
      </c>
      <c r="M179" s="281">
        <v>55</v>
      </c>
      <c r="N179" s="281">
        <v>60</v>
      </c>
      <c r="O179" s="281">
        <v>65</v>
      </c>
      <c r="P179" s="281">
        <v>70</v>
      </c>
      <c r="Q179" s="281">
        <v>75</v>
      </c>
    </row>
    <row r="180" spans="1:17" s="11" customFormat="1" ht="60" x14ac:dyDescent="0.2">
      <c r="A180" s="1608"/>
      <c r="B180" s="279"/>
      <c r="C180" s="282" t="s">
        <v>4</v>
      </c>
      <c r="D180" s="264"/>
      <c r="E180" s="280" t="s">
        <v>41</v>
      </c>
      <c r="F180" s="47">
        <v>2171.5</v>
      </c>
      <c r="G180" s="47">
        <v>2648</v>
      </c>
      <c r="H180" s="47">
        <v>4704</v>
      </c>
      <c r="I180" s="47">
        <v>4704</v>
      </c>
      <c r="J180" s="47">
        <v>4704</v>
      </c>
      <c r="K180" s="134" t="s">
        <v>61</v>
      </c>
      <c r="L180" s="16" t="s">
        <v>53</v>
      </c>
      <c r="M180" s="281">
        <v>15</v>
      </c>
      <c r="N180" s="281">
        <v>20</v>
      </c>
      <c r="O180" s="281">
        <v>25</v>
      </c>
      <c r="P180" s="281">
        <v>30</v>
      </c>
      <c r="Q180" s="281">
        <v>35</v>
      </c>
    </row>
    <row r="181" spans="1:17" s="11" customFormat="1" ht="45" x14ac:dyDescent="0.2">
      <c r="A181" s="1608"/>
      <c r="B181" s="283" t="s">
        <v>1814</v>
      </c>
      <c r="C181" s="282"/>
      <c r="D181" s="264"/>
      <c r="E181" s="284" t="s">
        <v>43</v>
      </c>
      <c r="F181" s="161">
        <v>7059.4</v>
      </c>
      <c r="G181" s="161">
        <v>11255</v>
      </c>
      <c r="H181" s="161">
        <f>H182+H183</f>
        <v>20256</v>
      </c>
      <c r="I181" s="161">
        <f t="shared" ref="I181:J181" si="31">I182+I183</f>
        <v>20256</v>
      </c>
      <c r="J181" s="161">
        <f t="shared" si="31"/>
        <v>20256</v>
      </c>
      <c r="K181" s="134" t="s">
        <v>62</v>
      </c>
      <c r="L181" s="16"/>
      <c r="M181" s="281"/>
      <c r="N181" s="285"/>
      <c r="O181" s="285"/>
      <c r="P181" s="285"/>
      <c r="Q181" s="285"/>
    </row>
    <row r="182" spans="1:17" s="11" customFormat="1" ht="30" x14ac:dyDescent="0.2">
      <c r="A182" s="1608"/>
      <c r="B182" s="286"/>
      <c r="C182" s="282" t="s">
        <v>5</v>
      </c>
      <c r="D182" s="264"/>
      <c r="E182" s="287" t="s">
        <v>44</v>
      </c>
      <c r="F182" s="47">
        <v>3816.7</v>
      </c>
      <c r="G182" s="47">
        <v>5958</v>
      </c>
      <c r="H182" s="47">
        <v>10732</v>
      </c>
      <c r="I182" s="47">
        <v>10732</v>
      </c>
      <c r="J182" s="47">
        <v>10732</v>
      </c>
      <c r="K182" s="134" t="s">
        <v>63</v>
      </c>
      <c r="L182" s="16" t="s">
        <v>64</v>
      </c>
      <c r="M182" s="281" t="s">
        <v>65</v>
      </c>
      <c r="N182" s="281" t="s">
        <v>66</v>
      </c>
      <c r="O182" s="281" t="s">
        <v>67</v>
      </c>
      <c r="P182" s="281" t="s">
        <v>68</v>
      </c>
      <c r="Q182" s="281" t="s">
        <v>69</v>
      </c>
    </row>
    <row r="183" spans="1:17" s="10" customFormat="1" ht="75" x14ac:dyDescent="0.2">
      <c r="A183" s="1608"/>
      <c r="B183" s="286"/>
      <c r="C183" s="282" t="s">
        <v>6</v>
      </c>
      <c r="D183" s="264"/>
      <c r="E183" s="280" t="s">
        <v>45</v>
      </c>
      <c r="F183" s="22">
        <v>3242.7</v>
      </c>
      <c r="G183" s="22">
        <v>5297</v>
      </c>
      <c r="H183" s="22">
        <v>9524</v>
      </c>
      <c r="I183" s="22">
        <v>9524</v>
      </c>
      <c r="J183" s="22">
        <v>9524</v>
      </c>
      <c r="K183" s="225" t="s">
        <v>1585</v>
      </c>
      <c r="L183" s="53" t="s">
        <v>3</v>
      </c>
      <c r="M183" s="281">
        <v>100</v>
      </c>
      <c r="N183" s="281">
        <v>100</v>
      </c>
      <c r="O183" s="281">
        <v>100</v>
      </c>
      <c r="P183" s="281">
        <v>100</v>
      </c>
      <c r="Q183" s="281">
        <v>100</v>
      </c>
    </row>
    <row r="184" spans="1:17" s="10" customFormat="1" ht="42.75" x14ac:dyDescent="0.2">
      <c r="A184" s="1608"/>
      <c r="B184" s="283" t="s">
        <v>1815</v>
      </c>
      <c r="C184" s="282"/>
      <c r="D184" s="264"/>
      <c r="E184" s="284" t="s">
        <v>47</v>
      </c>
      <c r="F184" s="176">
        <v>5803.2</v>
      </c>
      <c r="G184" s="176">
        <v>6621.9</v>
      </c>
      <c r="H184" s="176">
        <f>H185+H186</f>
        <v>11979.3</v>
      </c>
      <c r="I184" s="176">
        <f t="shared" ref="I184:J184" si="32">I185+I186</f>
        <v>11979.3</v>
      </c>
      <c r="J184" s="176">
        <f t="shared" si="32"/>
        <v>11979.3</v>
      </c>
      <c r="K184" s="221" t="s">
        <v>70</v>
      </c>
      <c r="L184" s="53"/>
      <c r="M184" s="289"/>
      <c r="N184" s="290"/>
      <c r="O184" s="290"/>
      <c r="P184" s="290"/>
      <c r="Q184" s="290"/>
    </row>
    <row r="185" spans="1:17" s="10" customFormat="1" ht="30" x14ac:dyDescent="0.2">
      <c r="A185" s="1608"/>
      <c r="B185" s="1641"/>
      <c r="C185" s="282" t="s">
        <v>5</v>
      </c>
      <c r="D185" s="264"/>
      <c r="E185" s="287" t="s">
        <v>48</v>
      </c>
      <c r="F185" s="22">
        <v>2865.1</v>
      </c>
      <c r="G185" s="22">
        <v>3310</v>
      </c>
      <c r="H185" s="22">
        <v>6098</v>
      </c>
      <c r="I185" s="22">
        <v>6098</v>
      </c>
      <c r="J185" s="22">
        <v>6098</v>
      </c>
      <c r="K185" s="225" t="s">
        <v>71</v>
      </c>
      <c r="L185" s="53" t="s">
        <v>64</v>
      </c>
      <c r="M185" s="281" t="s">
        <v>72</v>
      </c>
      <c r="N185" s="281" t="s">
        <v>73</v>
      </c>
      <c r="O185" s="281" t="s">
        <v>74</v>
      </c>
      <c r="P185" s="281" t="s">
        <v>75</v>
      </c>
      <c r="Q185" s="281" t="s">
        <v>76</v>
      </c>
    </row>
    <row r="186" spans="1:17" s="10" customFormat="1" ht="45" x14ac:dyDescent="0.2">
      <c r="A186" s="1609"/>
      <c r="B186" s="1642"/>
      <c r="C186" s="282" t="s">
        <v>6</v>
      </c>
      <c r="D186" s="291"/>
      <c r="E186" s="287" t="s">
        <v>49</v>
      </c>
      <c r="F186" s="22">
        <v>2938.1</v>
      </c>
      <c r="G186" s="22">
        <v>3311.9</v>
      </c>
      <c r="H186" s="22">
        <v>5881.3</v>
      </c>
      <c r="I186" s="22">
        <v>5881.3</v>
      </c>
      <c r="J186" s="22">
        <v>5881.3</v>
      </c>
      <c r="K186" s="225" t="s">
        <v>1586</v>
      </c>
      <c r="L186" s="53" t="s">
        <v>53</v>
      </c>
      <c r="M186" s="281">
        <v>150</v>
      </c>
      <c r="N186" s="281">
        <v>150</v>
      </c>
      <c r="O186" s="281">
        <v>160</v>
      </c>
      <c r="P186" s="281">
        <v>170</v>
      </c>
      <c r="Q186" s="281">
        <v>180</v>
      </c>
    </row>
    <row r="187" spans="1:17" s="10" customFormat="1" ht="15" x14ac:dyDescent="0.2">
      <c r="A187" s="1529" t="s">
        <v>35</v>
      </c>
      <c r="B187" s="1530"/>
      <c r="C187" s="1530"/>
      <c r="D187" s="1530"/>
      <c r="E187" s="1531"/>
      <c r="F187" s="292">
        <v>40942.199999999997</v>
      </c>
      <c r="G187" s="293">
        <v>49653.9</v>
      </c>
      <c r="H187" s="293">
        <f>H174+H177+H181+H184</f>
        <v>90690.400000000009</v>
      </c>
      <c r="I187" s="293">
        <f t="shared" ref="I187:J187" si="33">I174+I177+I181+I184</f>
        <v>91617.900000000009</v>
      </c>
      <c r="J187" s="293">
        <f t="shared" si="33"/>
        <v>92533.400000000009</v>
      </c>
      <c r="K187" s="97"/>
      <c r="L187" s="98"/>
      <c r="M187" s="99"/>
      <c r="N187" s="99"/>
      <c r="O187" s="99"/>
      <c r="P187" s="99"/>
      <c r="Q187" s="99"/>
    </row>
    <row r="188" spans="1:17" s="10" customFormat="1" ht="14.25" x14ac:dyDescent="0.2">
      <c r="A188" s="1518" t="s">
        <v>1981</v>
      </c>
      <c r="B188" s="1519"/>
      <c r="C188" s="1519"/>
      <c r="D188" s="1519"/>
      <c r="E188" s="1519"/>
      <c r="F188" s="1519"/>
      <c r="G188" s="1519"/>
      <c r="H188" s="1519"/>
      <c r="I188" s="1519"/>
      <c r="J188" s="1519"/>
      <c r="K188" s="1519"/>
      <c r="L188" s="1519"/>
      <c r="M188" s="1519"/>
      <c r="N188" s="1519"/>
      <c r="O188" s="1519"/>
      <c r="P188" s="1519"/>
      <c r="Q188" s="1520"/>
    </row>
    <row r="189" spans="1:17" s="10" customFormat="1" ht="25.5" customHeight="1" x14ac:dyDescent="0.2">
      <c r="A189" s="1316">
        <v>21</v>
      </c>
      <c r="B189" s="294">
        <v>1</v>
      </c>
      <c r="C189" s="295"/>
      <c r="D189" s="295"/>
      <c r="E189" s="296" t="s">
        <v>481</v>
      </c>
      <c r="F189" s="133">
        <f>F190+F191</f>
        <v>39774.6</v>
      </c>
      <c r="G189" s="133">
        <f t="shared" ref="G189" si="34">G190+G191</f>
        <v>51444.6</v>
      </c>
      <c r="H189" s="133">
        <f>H190+H191</f>
        <v>52500.4</v>
      </c>
      <c r="I189" s="133">
        <f t="shared" ref="I189:J189" si="35">I190+I191</f>
        <v>52944</v>
      </c>
      <c r="J189" s="133">
        <f t="shared" si="35"/>
        <v>53563</v>
      </c>
      <c r="K189" s="295"/>
      <c r="L189" s="295"/>
      <c r="M189" s="295"/>
      <c r="N189" s="295"/>
      <c r="O189" s="295"/>
      <c r="P189" s="295"/>
      <c r="Q189" s="295"/>
    </row>
    <row r="190" spans="1:17" s="10" customFormat="1" ht="30" x14ac:dyDescent="0.2">
      <c r="A190" s="1317"/>
      <c r="B190" s="294"/>
      <c r="C190" s="82" t="s">
        <v>5</v>
      </c>
      <c r="D190" s="297"/>
      <c r="E190" s="272" t="s">
        <v>25</v>
      </c>
      <c r="F190" s="299">
        <v>39774.6</v>
      </c>
      <c r="G190" s="299">
        <v>36608.699999999997</v>
      </c>
      <c r="H190" s="299">
        <v>37331</v>
      </c>
      <c r="I190" s="299">
        <v>37549</v>
      </c>
      <c r="J190" s="299">
        <v>37899</v>
      </c>
      <c r="K190" s="300" t="s">
        <v>177</v>
      </c>
      <c r="L190" s="301" t="s">
        <v>3</v>
      </c>
      <c r="M190" s="302">
        <v>100</v>
      </c>
      <c r="N190" s="302">
        <v>100</v>
      </c>
      <c r="O190" s="302">
        <v>100</v>
      </c>
      <c r="P190" s="302">
        <v>100</v>
      </c>
      <c r="Q190" s="302">
        <v>100</v>
      </c>
    </row>
    <row r="191" spans="1:17" s="10" customFormat="1" ht="30" x14ac:dyDescent="0.2">
      <c r="A191" s="1317"/>
      <c r="B191" s="303"/>
      <c r="C191" s="21" t="s">
        <v>6</v>
      </c>
      <c r="D191" s="304"/>
      <c r="E191" s="272" t="s">
        <v>1580</v>
      </c>
      <c r="F191" s="288">
        <v>0</v>
      </c>
      <c r="G191" s="288">
        <v>14835.9</v>
      </c>
      <c r="H191" s="288">
        <v>15169.4</v>
      </c>
      <c r="I191" s="288">
        <v>15395</v>
      </c>
      <c r="J191" s="288">
        <v>15664</v>
      </c>
      <c r="K191" s="225" t="s">
        <v>158</v>
      </c>
      <c r="L191" s="53" t="s">
        <v>3</v>
      </c>
      <c r="M191" s="302">
        <v>24</v>
      </c>
      <c r="N191" s="302">
        <v>24</v>
      </c>
      <c r="O191" s="302">
        <v>24</v>
      </c>
      <c r="P191" s="302">
        <v>24</v>
      </c>
      <c r="Q191" s="302">
        <v>24</v>
      </c>
    </row>
    <row r="192" spans="1:17" s="10" customFormat="1" ht="30" x14ac:dyDescent="0.2">
      <c r="A192" s="1318"/>
      <c r="B192" s="303">
        <v>212</v>
      </c>
      <c r="C192" s="305"/>
      <c r="D192" s="304"/>
      <c r="E192" s="181" t="s">
        <v>157</v>
      </c>
      <c r="F192" s="306">
        <v>15078.8</v>
      </c>
      <c r="G192" s="306">
        <v>8702</v>
      </c>
      <c r="H192" s="306">
        <v>8812.2999999999993</v>
      </c>
      <c r="I192" s="306">
        <v>8995.7000000000007</v>
      </c>
      <c r="J192" s="306">
        <v>8995.7000000000007</v>
      </c>
      <c r="K192" s="225" t="s">
        <v>159</v>
      </c>
      <c r="L192" s="53" t="s">
        <v>87</v>
      </c>
      <c r="M192" s="307">
        <v>330</v>
      </c>
      <c r="N192" s="307">
        <v>340</v>
      </c>
      <c r="O192" s="307">
        <v>360</v>
      </c>
      <c r="P192" s="307">
        <v>380</v>
      </c>
      <c r="Q192" s="307">
        <v>400</v>
      </c>
    </row>
    <row r="193" spans="1:18" s="10" customFormat="1" ht="15" x14ac:dyDescent="0.2">
      <c r="A193" s="1529" t="s">
        <v>35</v>
      </c>
      <c r="B193" s="1530"/>
      <c r="C193" s="1530"/>
      <c r="D193" s="1530"/>
      <c r="E193" s="1531"/>
      <c r="F193" s="293">
        <f>F189+F192</f>
        <v>54853.399999999994</v>
      </c>
      <c r="G193" s="293">
        <f t="shared" ref="G193" si="36">G189+G192</f>
        <v>60146.6</v>
      </c>
      <c r="H193" s="293">
        <f>H189+H192</f>
        <v>61312.7</v>
      </c>
      <c r="I193" s="293">
        <f t="shared" ref="I193:J193" si="37">I189+I192</f>
        <v>61939.7</v>
      </c>
      <c r="J193" s="293">
        <f t="shared" si="37"/>
        <v>62558.7</v>
      </c>
      <c r="K193" s="97"/>
      <c r="L193" s="98"/>
      <c r="M193" s="99"/>
      <c r="N193" s="99"/>
      <c r="O193" s="99"/>
      <c r="P193" s="99"/>
      <c r="Q193" s="99"/>
    </row>
    <row r="194" spans="1:18" s="11" customFormat="1" ht="14.25" x14ac:dyDescent="0.2">
      <c r="A194" s="1518" t="s">
        <v>1982</v>
      </c>
      <c r="B194" s="1519"/>
      <c r="C194" s="1519"/>
      <c r="D194" s="1519"/>
      <c r="E194" s="1519"/>
      <c r="F194" s="1519"/>
      <c r="G194" s="1519"/>
      <c r="H194" s="1519"/>
      <c r="I194" s="1519"/>
      <c r="J194" s="1519"/>
      <c r="K194" s="1519"/>
      <c r="L194" s="1519"/>
      <c r="M194" s="1519"/>
      <c r="N194" s="1519"/>
      <c r="O194" s="1519"/>
      <c r="P194" s="1519"/>
      <c r="Q194" s="1520"/>
    </row>
    <row r="195" spans="1:18" s="11" customFormat="1" ht="12.75" customHeight="1" x14ac:dyDescent="0.2">
      <c r="A195" s="1324" t="s">
        <v>17</v>
      </c>
      <c r="B195" s="1315" t="s">
        <v>0</v>
      </c>
      <c r="C195" s="1574"/>
      <c r="D195" s="1574"/>
      <c r="E195" s="1586" t="s">
        <v>481</v>
      </c>
      <c r="F195" s="1348">
        <v>72333</v>
      </c>
      <c r="G195" s="1348">
        <v>70797.100000000006</v>
      </c>
      <c r="H195" s="1348">
        <f>H197</f>
        <v>188922.3</v>
      </c>
      <c r="I195" s="1348">
        <f t="shared" ref="I195:J195" si="38">I197</f>
        <v>194888.7</v>
      </c>
      <c r="J195" s="1348">
        <f t="shared" si="38"/>
        <v>196357.8</v>
      </c>
      <c r="K195" s="1613" t="s">
        <v>177</v>
      </c>
      <c r="L195" s="1606" t="s">
        <v>191</v>
      </c>
      <c r="M195" s="1606">
        <v>100</v>
      </c>
      <c r="N195" s="1606">
        <v>100</v>
      </c>
      <c r="O195" s="1606">
        <v>100</v>
      </c>
      <c r="P195" s="1606">
        <v>100</v>
      </c>
      <c r="Q195" s="1606">
        <v>100</v>
      </c>
      <c r="R195" s="72"/>
    </row>
    <row r="196" spans="1:18" s="11" customFormat="1" ht="12.75" customHeight="1" x14ac:dyDescent="0.2">
      <c r="A196" s="1325"/>
      <c r="B196" s="1315"/>
      <c r="C196" s="1574"/>
      <c r="D196" s="1574"/>
      <c r="E196" s="1586"/>
      <c r="F196" s="1349"/>
      <c r="G196" s="1349"/>
      <c r="H196" s="1349"/>
      <c r="I196" s="1349"/>
      <c r="J196" s="1349"/>
      <c r="K196" s="1613"/>
      <c r="L196" s="1606"/>
      <c r="M196" s="1606"/>
      <c r="N196" s="1606"/>
      <c r="O196" s="1606"/>
      <c r="P196" s="1606"/>
      <c r="Q196" s="1606"/>
    </row>
    <row r="197" spans="1:18" s="11" customFormat="1" ht="30" x14ac:dyDescent="0.25">
      <c r="A197" s="1325"/>
      <c r="B197" s="1"/>
      <c r="C197" s="21" t="s">
        <v>5</v>
      </c>
      <c r="D197" s="308"/>
      <c r="E197" s="272" t="s">
        <v>25</v>
      </c>
      <c r="F197" s="22">
        <f>64755.7+7577.3</f>
        <v>72333</v>
      </c>
      <c r="G197" s="22">
        <f>64297.1+6500</f>
        <v>70797.100000000006</v>
      </c>
      <c r="H197" s="22">
        <v>188922.3</v>
      </c>
      <c r="I197" s="22">
        <f>64954.7+129934</f>
        <v>194888.7</v>
      </c>
      <c r="J197" s="22">
        <f>65603.8+130754</f>
        <v>196357.8</v>
      </c>
      <c r="K197" s="134"/>
      <c r="L197" s="134"/>
      <c r="M197" s="134"/>
      <c r="N197" s="134"/>
      <c r="O197" s="134"/>
      <c r="P197" s="134"/>
      <c r="Q197" s="134"/>
    </row>
    <row r="198" spans="1:18" s="11" customFormat="1" ht="45" hidden="1" customHeight="1" x14ac:dyDescent="0.2">
      <c r="A198" s="1575"/>
      <c r="B198" s="15"/>
      <c r="C198" s="74" t="s">
        <v>5</v>
      </c>
      <c r="D198" s="78"/>
      <c r="E198" s="17" t="s">
        <v>482</v>
      </c>
      <c r="F198" s="79">
        <v>7577.3</v>
      </c>
      <c r="G198" s="79">
        <v>6500</v>
      </c>
      <c r="H198" s="79">
        <v>129114</v>
      </c>
      <c r="I198" s="79">
        <v>129934</v>
      </c>
      <c r="J198" s="79">
        <v>130754</v>
      </c>
      <c r="K198" s="61"/>
      <c r="L198" s="61"/>
      <c r="M198" s="61"/>
      <c r="N198" s="61"/>
      <c r="O198" s="61"/>
      <c r="P198" s="61"/>
      <c r="Q198" s="61"/>
    </row>
    <row r="199" spans="1:18" s="11" customFormat="1" ht="12.75" customHeight="1" x14ac:dyDescent="0.2">
      <c r="A199" s="1325"/>
      <c r="B199" s="1315" t="s">
        <v>1816</v>
      </c>
      <c r="C199" s="1487"/>
      <c r="D199" s="1574"/>
      <c r="E199" s="1592" t="s">
        <v>1588</v>
      </c>
      <c r="F199" s="1348">
        <v>84589</v>
      </c>
      <c r="G199" s="1348">
        <v>85171.9</v>
      </c>
      <c r="H199" s="1348">
        <f>H201+H205</f>
        <v>86681.2</v>
      </c>
      <c r="I199" s="1348">
        <f t="shared" ref="I199:J199" si="39">I201+I205</f>
        <v>87554.2</v>
      </c>
      <c r="J199" s="1348">
        <f t="shared" si="39"/>
        <v>88417.2</v>
      </c>
      <c r="K199" s="1346" t="s">
        <v>1986</v>
      </c>
      <c r="L199" s="1305"/>
      <c r="M199" s="1587">
        <f>M201+M202+M203+M204</f>
        <v>458800</v>
      </c>
      <c r="N199" s="1587">
        <f t="shared" ref="N199:Q199" si="40">N201+N202+N203+N204</f>
        <v>458900</v>
      </c>
      <c r="O199" s="1587">
        <f t="shared" si="40"/>
        <v>463489</v>
      </c>
      <c r="P199" s="1582">
        <f t="shared" si="40"/>
        <v>472758.78</v>
      </c>
      <c r="Q199" s="1582">
        <f t="shared" si="40"/>
        <v>486894.26752199989</v>
      </c>
    </row>
    <row r="200" spans="1:18" s="11" customFormat="1" ht="35.25" customHeight="1" x14ac:dyDescent="0.2">
      <c r="A200" s="1325"/>
      <c r="B200" s="1315"/>
      <c r="C200" s="1489"/>
      <c r="D200" s="1574"/>
      <c r="E200" s="1592"/>
      <c r="F200" s="1349"/>
      <c r="G200" s="1349"/>
      <c r="H200" s="1349"/>
      <c r="I200" s="1349"/>
      <c r="J200" s="1349"/>
      <c r="K200" s="1347"/>
      <c r="L200" s="1306"/>
      <c r="M200" s="1588"/>
      <c r="N200" s="1588"/>
      <c r="O200" s="1588"/>
      <c r="P200" s="1583"/>
      <c r="Q200" s="1583"/>
    </row>
    <row r="201" spans="1:18" s="11" customFormat="1" ht="15" x14ac:dyDescent="0.2">
      <c r="A201" s="1325"/>
      <c r="B201" s="1324"/>
      <c r="C201" s="1285" t="s">
        <v>5</v>
      </c>
      <c r="D201" s="1285"/>
      <c r="E201" s="1340" t="s">
        <v>1587</v>
      </c>
      <c r="F201" s="1342">
        <v>84589</v>
      </c>
      <c r="G201" s="1342">
        <v>85171.9</v>
      </c>
      <c r="H201" s="1342">
        <v>86579.3</v>
      </c>
      <c r="I201" s="1342">
        <v>87554.2</v>
      </c>
      <c r="J201" s="1342">
        <v>88417.2</v>
      </c>
      <c r="K201" s="309" t="s">
        <v>483</v>
      </c>
      <c r="L201" s="16" t="s">
        <v>190</v>
      </c>
      <c r="M201" s="16">
        <v>6300</v>
      </c>
      <c r="N201" s="16">
        <v>6300</v>
      </c>
      <c r="O201" s="16">
        <f>N201*101/100</f>
        <v>6363</v>
      </c>
      <c r="P201" s="310">
        <f>O201*102/100</f>
        <v>6490.26</v>
      </c>
      <c r="Q201" s="310">
        <f>P201*102.99/100</f>
        <v>6684.3187740000003</v>
      </c>
    </row>
    <row r="202" spans="1:18" s="11" customFormat="1" ht="30" x14ac:dyDescent="0.2">
      <c r="A202" s="1325"/>
      <c r="B202" s="1325"/>
      <c r="C202" s="1302"/>
      <c r="D202" s="1302"/>
      <c r="E202" s="1490"/>
      <c r="F202" s="1564"/>
      <c r="G202" s="1564"/>
      <c r="H202" s="1564"/>
      <c r="I202" s="1564"/>
      <c r="J202" s="1564"/>
      <c r="K202" s="309" t="s">
        <v>1983</v>
      </c>
      <c r="L202" s="16" t="s">
        <v>190</v>
      </c>
      <c r="M202" s="16">
        <v>6000</v>
      </c>
      <c r="N202" s="16">
        <v>6000</v>
      </c>
      <c r="O202" s="16">
        <f t="shared" ref="O202:O204" si="41">N202*101/100</f>
        <v>6060</v>
      </c>
      <c r="P202" s="310">
        <f t="shared" ref="P202:P204" si="42">O202*102/100</f>
        <v>6181.2</v>
      </c>
      <c r="Q202" s="310">
        <f t="shared" ref="Q202:Q204" si="43">P202*102.99/100</f>
        <v>6366.0178799999994</v>
      </c>
    </row>
    <row r="203" spans="1:18" s="11" customFormat="1" ht="30" x14ac:dyDescent="0.2">
      <c r="A203" s="1325"/>
      <c r="B203" s="1325"/>
      <c r="C203" s="1302"/>
      <c r="D203" s="1302"/>
      <c r="E203" s="1490"/>
      <c r="F203" s="1564"/>
      <c r="G203" s="1564"/>
      <c r="H203" s="1564"/>
      <c r="I203" s="1564"/>
      <c r="J203" s="1564"/>
      <c r="K203" s="178" t="s">
        <v>1984</v>
      </c>
      <c r="L203" s="23" t="s">
        <v>190</v>
      </c>
      <c r="M203" s="23">
        <v>441100</v>
      </c>
      <c r="N203" s="23">
        <v>441200</v>
      </c>
      <c r="O203" s="16">
        <f t="shared" si="41"/>
        <v>445612</v>
      </c>
      <c r="P203" s="310">
        <f t="shared" si="42"/>
        <v>454524.24</v>
      </c>
      <c r="Q203" s="310">
        <f t="shared" si="43"/>
        <v>468114.51477599994</v>
      </c>
    </row>
    <row r="204" spans="1:18" s="11" customFormat="1" ht="30" x14ac:dyDescent="0.2">
      <c r="A204" s="1325"/>
      <c r="B204" s="1326"/>
      <c r="C204" s="1286"/>
      <c r="D204" s="1286"/>
      <c r="E204" s="1341"/>
      <c r="F204" s="1343"/>
      <c r="G204" s="1343"/>
      <c r="H204" s="1343"/>
      <c r="I204" s="1343"/>
      <c r="J204" s="1343"/>
      <c r="K204" s="178" t="s">
        <v>1985</v>
      </c>
      <c r="L204" s="23" t="s">
        <v>190</v>
      </c>
      <c r="M204" s="23">
        <v>5400</v>
      </c>
      <c r="N204" s="23">
        <v>5400</v>
      </c>
      <c r="O204" s="16">
        <f t="shared" si="41"/>
        <v>5454</v>
      </c>
      <c r="P204" s="310">
        <f t="shared" si="42"/>
        <v>5563.08</v>
      </c>
      <c r="Q204" s="310">
        <f t="shared" si="43"/>
        <v>5729.4160919999995</v>
      </c>
    </row>
    <row r="205" spans="1:18" s="11" customFormat="1" ht="60" x14ac:dyDescent="0.2">
      <c r="A205" s="1325"/>
      <c r="B205" s="356"/>
      <c r="C205" s="82" t="s">
        <v>6</v>
      </c>
      <c r="D205" s="82"/>
      <c r="E205" s="298" t="s">
        <v>1818</v>
      </c>
      <c r="F205" s="319"/>
      <c r="G205" s="319"/>
      <c r="H205" s="319">
        <v>101.9</v>
      </c>
      <c r="I205" s="319"/>
      <c r="J205" s="319"/>
      <c r="K205" s="178"/>
      <c r="L205" s="23"/>
      <c r="M205" s="23"/>
      <c r="N205" s="23"/>
      <c r="O205" s="16"/>
      <c r="P205" s="310"/>
      <c r="Q205" s="310"/>
    </row>
    <row r="206" spans="1:18" s="11" customFormat="1" ht="42.75" x14ac:dyDescent="0.2">
      <c r="A206" s="1325"/>
      <c r="B206" s="180" t="s">
        <v>1817</v>
      </c>
      <c r="C206" s="308"/>
      <c r="D206" s="308"/>
      <c r="E206" s="181" t="s">
        <v>484</v>
      </c>
      <c r="F206" s="176">
        <v>48715.199999999997</v>
      </c>
      <c r="G206" s="176">
        <v>84756</v>
      </c>
      <c r="H206" s="176">
        <f>H207</f>
        <v>86366.400000000009</v>
      </c>
      <c r="I206" s="176">
        <f t="shared" ref="I206:J206" si="44">I207</f>
        <v>87249.7</v>
      </c>
      <c r="J206" s="176">
        <f t="shared" si="44"/>
        <v>88121.5</v>
      </c>
      <c r="K206" s="162" t="s">
        <v>1589</v>
      </c>
      <c r="L206" s="23" t="s">
        <v>3</v>
      </c>
      <c r="M206" s="169">
        <v>40</v>
      </c>
      <c r="N206" s="169">
        <v>50</v>
      </c>
      <c r="O206" s="169">
        <v>55</v>
      </c>
      <c r="P206" s="169">
        <v>60</v>
      </c>
      <c r="Q206" s="169">
        <v>70</v>
      </c>
    </row>
    <row r="207" spans="1:18" s="11" customFormat="1" hidden="1" x14ac:dyDescent="0.2">
      <c r="A207" s="1325"/>
      <c r="B207" s="1324"/>
      <c r="C207" s="1285" t="s">
        <v>5</v>
      </c>
      <c r="D207" s="1285"/>
      <c r="E207" s="1340" t="s">
        <v>484</v>
      </c>
      <c r="F207" s="1342">
        <v>48715.199999999997</v>
      </c>
      <c r="G207" s="1342">
        <v>84756</v>
      </c>
      <c r="H207" s="1342">
        <v>86366.400000000009</v>
      </c>
      <c r="I207" s="1342">
        <v>87249.7</v>
      </c>
      <c r="J207" s="1342">
        <v>88121.5</v>
      </c>
      <c r="K207" s="1482" t="s">
        <v>485</v>
      </c>
      <c r="L207" s="1305" t="s">
        <v>190</v>
      </c>
      <c r="M207" s="1336">
        <v>6900</v>
      </c>
      <c r="N207" s="1584">
        <v>6900</v>
      </c>
      <c r="O207" s="1584">
        <v>6969</v>
      </c>
      <c r="P207" s="1584">
        <v>7108</v>
      </c>
      <c r="Q207" s="1584">
        <v>7321</v>
      </c>
    </row>
    <row r="208" spans="1:18" s="11" customFormat="1" ht="31.5" customHeight="1" x14ac:dyDescent="0.2">
      <c r="A208" s="1325"/>
      <c r="B208" s="1326"/>
      <c r="C208" s="1286"/>
      <c r="D208" s="1286"/>
      <c r="E208" s="1341"/>
      <c r="F208" s="1343"/>
      <c r="G208" s="1343"/>
      <c r="H208" s="1343"/>
      <c r="I208" s="1343"/>
      <c r="J208" s="1343"/>
      <c r="K208" s="1483"/>
      <c r="L208" s="1306"/>
      <c r="M208" s="1337"/>
      <c r="N208" s="1585"/>
      <c r="O208" s="1585"/>
      <c r="P208" s="1585"/>
      <c r="Q208" s="1585"/>
    </row>
    <row r="209" spans="1:17" s="11" customFormat="1" ht="57" x14ac:dyDescent="0.2">
      <c r="A209" s="1325"/>
      <c r="B209" s="180" t="s">
        <v>421</v>
      </c>
      <c r="C209" s="311"/>
      <c r="D209" s="308"/>
      <c r="E209" s="162" t="s">
        <v>1590</v>
      </c>
      <c r="F209" s="312">
        <v>105284.8</v>
      </c>
      <c r="G209" s="312">
        <v>122071.8</v>
      </c>
      <c r="H209" s="312">
        <f>H210</f>
        <v>124682.4</v>
      </c>
      <c r="I209" s="312">
        <f t="shared" ref="I209:J209" si="45">I210</f>
        <v>126053.2</v>
      </c>
      <c r="J209" s="312">
        <f t="shared" si="45"/>
        <v>127307.8</v>
      </c>
      <c r="K209" s="313" t="s">
        <v>1591</v>
      </c>
      <c r="L209" s="192"/>
      <c r="M209" s="314">
        <f>M210</f>
        <v>1000</v>
      </c>
      <c r="N209" s="314">
        <f t="shared" ref="N209:Q209" si="46">N210</f>
        <v>12000</v>
      </c>
      <c r="O209" s="314">
        <f t="shared" si="46"/>
        <v>1212</v>
      </c>
      <c r="P209" s="314">
        <f t="shared" si="46"/>
        <v>1236</v>
      </c>
      <c r="Q209" s="314">
        <f t="shared" si="46"/>
        <v>1273</v>
      </c>
    </row>
    <row r="210" spans="1:17" s="11" customFormat="1" ht="21" customHeight="1" x14ac:dyDescent="0.2">
      <c r="A210" s="1325"/>
      <c r="B210" s="1285"/>
      <c r="C210" s="1285" t="s">
        <v>5</v>
      </c>
      <c r="D210" s="1487"/>
      <c r="E210" s="1482" t="s">
        <v>1590</v>
      </c>
      <c r="F210" s="1342">
        <v>105284.8</v>
      </c>
      <c r="G210" s="1342">
        <v>122071.8</v>
      </c>
      <c r="H210" s="1614">
        <f>124282.4+400</f>
        <v>124682.4</v>
      </c>
      <c r="I210" s="1614">
        <f>125553.2+500</f>
        <v>126053.2</v>
      </c>
      <c r="J210" s="1614">
        <f>126807.8+500</f>
        <v>127307.8</v>
      </c>
      <c r="K210" s="1340" t="s">
        <v>1591</v>
      </c>
      <c r="L210" s="1305" t="s">
        <v>190</v>
      </c>
      <c r="M210" s="1305">
        <v>1000</v>
      </c>
      <c r="N210" s="1338">
        <v>12000</v>
      </c>
      <c r="O210" s="1338">
        <v>1212</v>
      </c>
      <c r="P210" s="1338">
        <v>1236</v>
      </c>
      <c r="Q210" s="1338">
        <v>1273</v>
      </c>
    </row>
    <row r="211" spans="1:17" s="11" customFormat="1" ht="30.75" customHeight="1" x14ac:dyDescent="0.2">
      <c r="A211" s="1325"/>
      <c r="B211" s="1286"/>
      <c r="C211" s="1286"/>
      <c r="D211" s="1489"/>
      <c r="E211" s="1483"/>
      <c r="F211" s="1343"/>
      <c r="G211" s="1343"/>
      <c r="H211" s="1614"/>
      <c r="I211" s="1614"/>
      <c r="J211" s="1614"/>
      <c r="K211" s="1341"/>
      <c r="L211" s="1306"/>
      <c r="M211" s="1306"/>
      <c r="N211" s="1339"/>
      <c r="O211" s="1339"/>
      <c r="P211" s="1339"/>
      <c r="Q211" s="1339"/>
    </row>
    <row r="212" spans="1:17" s="11" customFormat="1" ht="15" hidden="1" customHeight="1" x14ac:dyDescent="0.2">
      <c r="A212" s="1575"/>
      <c r="B212" s="59" t="s">
        <v>421</v>
      </c>
      <c r="C212" s="77" t="s">
        <v>5</v>
      </c>
      <c r="D212" s="78"/>
      <c r="E212" s="60"/>
      <c r="F212" s="80">
        <v>0</v>
      </c>
      <c r="G212" s="80">
        <v>0</v>
      </c>
      <c r="H212" s="80">
        <v>400</v>
      </c>
      <c r="I212" s="80">
        <v>500</v>
      </c>
      <c r="J212" s="80">
        <v>500</v>
      </c>
      <c r="K212" s="31"/>
      <c r="L212" s="76"/>
      <c r="M212" s="76"/>
      <c r="N212" s="75"/>
      <c r="O212" s="75"/>
      <c r="P212" s="75"/>
      <c r="Q212" s="75"/>
    </row>
    <row r="213" spans="1:17" s="11" customFormat="1" ht="28.5" x14ac:dyDescent="0.2">
      <c r="A213" s="1325"/>
      <c r="B213" s="180" t="s">
        <v>1819</v>
      </c>
      <c r="C213" s="21"/>
      <c r="D213" s="308"/>
      <c r="E213" s="315" t="s">
        <v>555</v>
      </c>
      <c r="F213" s="316">
        <v>0</v>
      </c>
      <c r="G213" s="316">
        <v>5809.9</v>
      </c>
      <c r="H213" s="316">
        <f>H214</f>
        <v>5809.5</v>
      </c>
      <c r="I213" s="316">
        <f t="shared" ref="I213:J213" si="47">I214</f>
        <v>5869.2</v>
      </c>
      <c r="J213" s="316">
        <f t="shared" si="47"/>
        <v>5927.8</v>
      </c>
      <c r="K213" s="298" t="s">
        <v>556</v>
      </c>
      <c r="L213" s="1305" t="s">
        <v>190</v>
      </c>
      <c r="M213" s="317">
        <v>22</v>
      </c>
      <c r="N213" s="317">
        <v>22</v>
      </c>
      <c r="O213" s="317">
        <v>45</v>
      </c>
      <c r="P213" s="317">
        <v>61</v>
      </c>
      <c r="Q213" s="317">
        <v>84</v>
      </c>
    </row>
    <row r="214" spans="1:17" s="11" customFormat="1" ht="30" x14ac:dyDescent="0.2">
      <c r="A214" s="1326"/>
      <c r="B214" s="21"/>
      <c r="C214" s="21" t="s">
        <v>5</v>
      </c>
      <c r="D214" s="308"/>
      <c r="E214" s="318" t="s">
        <v>555</v>
      </c>
      <c r="F214" s="319">
        <v>0</v>
      </c>
      <c r="G214" s="319">
        <v>5809.9</v>
      </c>
      <c r="H214" s="319">
        <v>5809.5</v>
      </c>
      <c r="I214" s="319">
        <v>5869.2</v>
      </c>
      <c r="J214" s="319">
        <v>5927.8</v>
      </c>
      <c r="K214" s="298" t="s">
        <v>556</v>
      </c>
      <c r="L214" s="1306"/>
      <c r="M214" s="317">
        <v>22</v>
      </c>
      <c r="N214" s="317">
        <v>22</v>
      </c>
      <c r="O214" s="317">
        <v>45</v>
      </c>
      <c r="P214" s="317">
        <v>61</v>
      </c>
      <c r="Q214" s="317">
        <v>84</v>
      </c>
    </row>
    <row r="215" spans="1:17" s="11" customFormat="1" ht="15" x14ac:dyDescent="0.2">
      <c r="A215" s="1529" t="s">
        <v>35</v>
      </c>
      <c r="B215" s="1530"/>
      <c r="C215" s="1530"/>
      <c r="D215" s="1530"/>
      <c r="E215" s="1531"/>
      <c r="F215" s="320">
        <v>310922</v>
      </c>
      <c r="G215" s="320">
        <v>368606.7</v>
      </c>
      <c r="H215" s="320">
        <f>H195+H199+H206+H209+H213</f>
        <v>492461.80000000005</v>
      </c>
      <c r="I215" s="320">
        <f>I195+I199+I206+I209+I213</f>
        <v>501615.00000000006</v>
      </c>
      <c r="J215" s="320">
        <f>J195+J199+J206+J209+J213</f>
        <v>506132.1</v>
      </c>
      <c r="K215" s="321"/>
      <c r="L215" s="322"/>
      <c r="M215" s="322"/>
      <c r="N215" s="323"/>
      <c r="O215" s="323"/>
      <c r="P215" s="323"/>
      <c r="Q215" s="323"/>
    </row>
    <row r="216" spans="1:17" s="11" customFormat="1" ht="14.25" x14ac:dyDescent="0.2">
      <c r="A216" s="1595" t="s">
        <v>516</v>
      </c>
      <c r="B216" s="1596"/>
      <c r="C216" s="1596"/>
      <c r="D216" s="1596"/>
      <c r="E216" s="1596"/>
      <c r="F216" s="1596"/>
      <c r="G216" s="1596"/>
      <c r="H216" s="1596"/>
      <c r="I216" s="1596"/>
      <c r="J216" s="1596"/>
      <c r="K216" s="1596"/>
      <c r="L216" s="1596"/>
      <c r="M216" s="1596"/>
      <c r="N216" s="1596"/>
      <c r="O216" s="1596"/>
      <c r="P216" s="1596"/>
      <c r="Q216" s="1597"/>
    </row>
    <row r="217" spans="1:17" s="11" customFormat="1" ht="55.5" customHeight="1" x14ac:dyDescent="0.25">
      <c r="A217" s="1316">
        <v>22</v>
      </c>
      <c r="B217" s="180" t="s">
        <v>0</v>
      </c>
      <c r="C217" s="25"/>
      <c r="D217" s="25"/>
      <c r="E217" s="1160" t="s">
        <v>1592</v>
      </c>
      <c r="F217" s="176">
        <v>3931</v>
      </c>
      <c r="G217" s="324">
        <v>3589.9</v>
      </c>
      <c r="H217" s="324">
        <f>H218</f>
        <v>4488.8999999999996</v>
      </c>
      <c r="I217" s="324">
        <f t="shared" ref="I217:J217" si="48">I218</f>
        <v>4888.8999999999996</v>
      </c>
      <c r="J217" s="324">
        <f t="shared" si="48"/>
        <v>5288.9</v>
      </c>
      <c r="K217" s="325" t="s">
        <v>177</v>
      </c>
      <c r="L217" s="326" t="s">
        <v>24</v>
      </c>
      <c r="M217" s="326">
        <v>1</v>
      </c>
      <c r="N217" s="326">
        <v>1</v>
      </c>
      <c r="O217" s="326">
        <v>1</v>
      </c>
      <c r="P217" s="326">
        <v>1</v>
      </c>
      <c r="Q217" s="326">
        <v>1</v>
      </c>
    </row>
    <row r="218" spans="1:17" s="11" customFormat="1" ht="29.25" customHeight="1" x14ac:dyDescent="0.25">
      <c r="A218" s="1317"/>
      <c r="B218" s="327"/>
      <c r="C218" s="21" t="s">
        <v>5</v>
      </c>
      <c r="D218" s="25"/>
      <c r="E218" s="272" t="s">
        <v>25</v>
      </c>
      <c r="F218" s="319">
        <v>2174.3000000000002</v>
      </c>
      <c r="G218" s="329">
        <v>2489.9</v>
      </c>
      <c r="H218" s="329">
        <v>4488.8999999999996</v>
      </c>
      <c r="I218" s="329">
        <f>2488.9+2400</f>
        <v>4888.8999999999996</v>
      </c>
      <c r="J218" s="329">
        <f>2488.9+2800</f>
        <v>5288.9</v>
      </c>
      <c r="K218" s="330"/>
      <c r="L218" s="331"/>
      <c r="M218" s="326"/>
      <c r="N218" s="326"/>
      <c r="O218" s="326"/>
      <c r="P218" s="326"/>
      <c r="Q218" s="326"/>
    </row>
    <row r="219" spans="1:17" s="11" customFormat="1" ht="28.5" x14ac:dyDescent="0.25">
      <c r="A219" s="1317"/>
      <c r="B219" s="180" t="s">
        <v>1820</v>
      </c>
      <c r="C219" s="21"/>
      <c r="D219" s="25"/>
      <c r="E219" s="333" t="s">
        <v>1594</v>
      </c>
      <c r="F219" s="176">
        <v>55912.6</v>
      </c>
      <c r="G219" s="334">
        <v>89092.4</v>
      </c>
      <c r="H219" s="334">
        <f>H220</f>
        <v>95185.4</v>
      </c>
      <c r="I219" s="334">
        <f t="shared" ref="I219:J219" si="49">I220</f>
        <v>91649.600000000006</v>
      </c>
      <c r="J219" s="334">
        <f t="shared" si="49"/>
        <v>92590.3</v>
      </c>
      <c r="K219" s="330"/>
      <c r="L219" s="331"/>
      <c r="M219" s="331"/>
      <c r="N219" s="331"/>
      <c r="O219" s="331"/>
      <c r="P219" s="331"/>
      <c r="Q219" s="331"/>
    </row>
    <row r="220" spans="1:17" s="11" customFormat="1" ht="30" x14ac:dyDescent="0.25">
      <c r="A220" s="1318"/>
      <c r="B220" s="25"/>
      <c r="C220" s="21" t="s">
        <v>5</v>
      </c>
      <c r="D220" s="25"/>
      <c r="E220" s="335" t="s">
        <v>1593</v>
      </c>
      <c r="F220" s="336">
        <v>55912.6</v>
      </c>
      <c r="G220" s="337">
        <v>89092.4</v>
      </c>
      <c r="H220" s="337">
        <v>95185.4</v>
      </c>
      <c r="I220" s="337">
        <v>91649.600000000006</v>
      </c>
      <c r="J220" s="337">
        <v>92590.3</v>
      </c>
      <c r="K220" s="330" t="s">
        <v>486</v>
      </c>
      <c r="L220" s="331" t="s">
        <v>190</v>
      </c>
      <c r="M220" s="338">
        <v>5988</v>
      </c>
      <c r="N220" s="338">
        <v>6000</v>
      </c>
      <c r="O220" s="338">
        <v>6050</v>
      </c>
      <c r="P220" s="338">
        <v>6100</v>
      </c>
      <c r="Q220" s="338">
        <v>6150</v>
      </c>
    </row>
    <row r="221" spans="1:17" s="11" customFormat="1" ht="15" x14ac:dyDescent="0.25">
      <c r="A221" s="1529" t="s">
        <v>35</v>
      </c>
      <c r="B221" s="1530"/>
      <c r="C221" s="1530"/>
      <c r="D221" s="1530"/>
      <c r="E221" s="1531"/>
      <c r="F221" s="96">
        <v>59843.6</v>
      </c>
      <c r="G221" s="96">
        <v>92682.299999999988</v>
      </c>
      <c r="H221" s="96">
        <f>H217+H219</f>
        <v>99674.299999999988</v>
      </c>
      <c r="I221" s="96">
        <f>I217+I219</f>
        <v>96538.5</v>
      </c>
      <c r="J221" s="96">
        <f>J217+J219</f>
        <v>97879.2</v>
      </c>
      <c r="K221" s="339"/>
      <c r="L221" s="339"/>
      <c r="M221" s="339"/>
      <c r="N221" s="339"/>
      <c r="O221" s="339"/>
      <c r="P221" s="339"/>
      <c r="Q221" s="339"/>
    </row>
    <row r="222" spans="1:17" s="11" customFormat="1" ht="14.25" x14ac:dyDescent="0.2">
      <c r="A222" s="1595" t="s">
        <v>517</v>
      </c>
      <c r="B222" s="1596"/>
      <c r="C222" s="1596"/>
      <c r="D222" s="1596"/>
      <c r="E222" s="1596"/>
      <c r="F222" s="1596"/>
      <c r="G222" s="1596"/>
      <c r="H222" s="1596"/>
      <c r="I222" s="1596"/>
      <c r="J222" s="1596"/>
      <c r="K222" s="1596"/>
      <c r="L222" s="1596"/>
      <c r="M222" s="1596"/>
      <c r="N222" s="1596"/>
      <c r="O222" s="1596"/>
      <c r="P222" s="1596"/>
      <c r="Q222" s="1597"/>
    </row>
    <row r="223" spans="1:17" s="11" customFormat="1" ht="88.5" x14ac:dyDescent="0.25">
      <c r="A223" s="1316">
        <v>22</v>
      </c>
      <c r="B223" s="340">
        <v>1</v>
      </c>
      <c r="C223" s="341"/>
      <c r="D223" s="342"/>
      <c r="E223" s="343" t="s">
        <v>1486</v>
      </c>
      <c r="F223" s="324">
        <v>8799.2999999999993</v>
      </c>
      <c r="G223" s="324">
        <v>9225.6</v>
      </c>
      <c r="H223" s="324">
        <f>H224</f>
        <v>10012.799999999999</v>
      </c>
      <c r="I223" s="324">
        <f t="shared" ref="I223:J223" si="50">I224</f>
        <v>10115.200000000001</v>
      </c>
      <c r="J223" s="324">
        <f t="shared" si="50"/>
        <v>10216.299999999999</v>
      </c>
      <c r="K223" s="325" t="s">
        <v>36</v>
      </c>
      <c r="L223" s="326"/>
      <c r="M223" s="344"/>
      <c r="N223" s="344"/>
      <c r="O223" s="25"/>
      <c r="P223" s="25"/>
      <c r="Q223" s="25"/>
    </row>
    <row r="224" spans="1:17" s="11" customFormat="1" ht="30" x14ac:dyDescent="0.25">
      <c r="A224" s="1317"/>
      <c r="B224" s="345"/>
      <c r="C224" s="346">
        <v>1</v>
      </c>
      <c r="D224" s="341"/>
      <c r="E224" s="328" t="s">
        <v>25</v>
      </c>
      <c r="F224" s="329">
        <v>8799.2999999999993</v>
      </c>
      <c r="G224" s="329">
        <v>9225.6</v>
      </c>
      <c r="H224" s="347">
        <v>10012.799999999999</v>
      </c>
      <c r="I224" s="347">
        <v>10115.200000000001</v>
      </c>
      <c r="J224" s="347">
        <v>10216.299999999999</v>
      </c>
      <c r="K224" s="330"/>
      <c r="L224" s="326"/>
      <c r="M224" s="331"/>
      <c r="N224" s="331"/>
      <c r="O224" s="25"/>
      <c r="P224" s="25"/>
      <c r="Q224" s="25"/>
    </row>
    <row r="225" spans="1:17" s="11" customFormat="1" ht="75.75" customHeight="1" x14ac:dyDescent="0.2">
      <c r="A225" s="1317"/>
      <c r="B225" s="345"/>
      <c r="C225" s="348"/>
      <c r="D225" s="341"/>
      <c r="E225" s="1253" t="s">
        <v>487</v>
      </c>
      <c r="F225" s="334">
        <v>309493.5</v>
      </c>
      <c r="G225" s="334">
        <v>240000</v>
      </c>
      <c r="H225" s="334">
        <f>H226</f>
        <v>160000</v>
      </c>
      <c r="I225" s="334">
        <f t="shared" ref="I225:J225" si="51">I226</f>
        <v>161636.4</v>
      </c>
      <c r="J225" s="334">
        <f t="shared" si="51"/>
        <v>163251.6</v>
      </c>
      <c r="K225" s="350" t="s">
        <v>488</v>
      </c>
      <c r="L225" s="326" t="s">
        <v>3</v>
      </c>
      <c r="M225" s="331" t="s">
        <v>489</v>
      </c>
      <c r="N225" s="331" t="s">
        <v>489</v>
      </c>
      <c r="O225" s="331" t="s">
        <v>489</v>
      </c>
      <c r="P225" s="331" t="s">
        <v>489</v>
      </c>
      <c r="Q225" s="331" t="s">
        <v>489</v>
      </c>
    </row>
    <row r="226" spans="1:17" s="11" customFormat="1" ht="49.5" customHeight="1" x14ac:dyDescent="0.2">
      <c r="A226" s="1318"/>
      <c r="B226" s="345"/>
      <c r="C226" s="348">
        <v>1</v>
      </c>
      <c r="D226" s="341"/>
      <c r="E226" s="351" t="s">
        <v>490</v>
      </c>
      <c r="F226" s="329">
        <v>309493.5</v>
      </c>
      <c r="G226" s="329">
        <v>240000</v>
      </c>
      <c r="H226" s="347">
        <v>160000</v>
      </c>
      <c r="I226" s="347">
        <v>161636.4</v>
      </c>
      <c r="J226" s="347">
        <v>163251.6</v>
      </c>
      <c r="K226" s="330" t="s">
        <v>491</v>
      </c>
      <c r="L226" s="326" t="s">
        <v>3</v>
      </c>
      <c r="M226" s="331" t="s">
        <v>489</v>
      </c>
      <c r="N226" s="331" t="s">
        <v>489</v>
      </c>
      <c r="O226" s="331" t="s">
        <v>489</v>
      </c>
      <c r="P226" s="331" t="s">
        <v>489</v>
      </c>
      <c r="Q226" s="331" t="s">
        <v>489</v>
      </c>
    </row>
    <row r="227" spans="1:17" s="11" customFormat="1" ht="15" x14ac:dyDescent="0.25">
      <c r="A227" s="1529" t="s">
        <v>35</v>
      </c>
      <c r="B227" s="1530"/>
      <c r="C227" s="1530"/>
      <c r="D227" s="1530"/>
      <c r="E227" s="1531"/>
      <c r="F227" s="352">
        <v>318292.8</v>
      </c>
      <c r="G227" s="352">
        <v>249225.60000000001</v>
      </c>
      <c r="H227" s="352">
        <f>H223+H225</f>
        <v>170012.79999999999</v>
      </c>
      <c r="I227" s="352">
        <f t="shared" ref="I227:J227" si="52">I223+I225</f>
        <v>171751.6</v>
      </c>
      <c r="J227" s="352">
        <f t="shared" si="52"/>
        <v>173467.9</v>
      </c>
      <c r="K227" s="353"/>
      <c r="L227" s="354"/>
      <c r="M227" s="355"/>
      <c r="N227" s="355"/>
      <c r="O227" s="339"/>
      <c r="P227" s="339"/>
      <c r="Q227" s="339"/>
    </row>
    <row r="228" spans="1:17" s="11" customFormat="1" ht="14.25" x14ac:dyDescent="0.2">
      <c r="A228" s="1595" t="s">
        <v>518</v>
      </c>
      <c r="B228" s="1596"/>
      <c r="C228" s="1596"/>
      <c r="D228" s="1596"/>
      <c r="E228" s="1596"/>
      <c r="F228" s="1596"/>
      <c r="G228" s="1596"/>
      <c r="H228" s="1596"/>
      <c r="I228" s="1596"/>
      <c r="J228" s="1596"/>
      <c r="K228" s="1596"/>
      <c r="L228" s="1596"/>
      <c r="M228" s="1596"/>
      <c r="N228" s="1596"/>
      <c r="O228" s="1596"/>
      <c r="P228" s="1596"/>
      <c r="Q228" s="1597"/>
    </row>
    <row r="229" spans="1:17" s="11" customFormat="1" ht="78.75" customHeight="1" x14ac:dyDescent="0.2">
      <c r="A229" s="1324" t="s">
        <v>17</v>
      </c>
      <c r="B229" s="356" t="s">
        <v>1821</v>
      </c>
      <c r="C229" s="82"/>
      <c r="D229" s="357"/>
      <c r="E229" s="358" t="s">
        <v>1500</v>
      </c>
      <c r="F229" s="324">
        <v>484427.1</v>
      </c>
      <c r="G229" s="324">
        <v>1369953.4</v>
      </c>
      <c r="H229" s="324">
        <f>H230+H231+H232+H233</f>
        <v>1340869.5</v>
      </c>
      <c r="I229" s="324">
        <f t="shared" ref="I229:J229" si="53">I230+I231+I232+I233</f>
        <v>1514983.8</v>
      </c>
      <c r="J229" s="324">
        <f t="shared" si="53"/>
        <v>1532045.2</v>
      </c>
      <c r="K229" s="359" t="s">
        <v>36</v>
      </c>
      <c r="L229" s="326" t="s">
        <v>3</v>
      </c>
      <c r="M229" s="360">
        <v>100</v>
      </c>
      <c r="N229" s="360">
        <v>100</v>
      </c>
      <c r="O229" s="360">
        <v>100</v>
      </c>
      <c r="P229" s="360">
        <v>100</v>
      </c>
      <c r="Q229" s="360">
        <v>100</v>
      </c>
    </row>
    <row r="230" spans="1:17" s="11" customFormat="1" ht="30" x14ac:dyDescent="0.2">
      <c r="A230" s="1325"/>
      <c r="B230" s="1285"/>
      <c r="C230" s="346">
        <v>1</v>
      </c>
      <c r="D230" s="308"/>
      <c r="E230" s="328" t="s">
        <v>492</v>
      </c>
      <c r="F230" s="22">
        <v>36604.199999999997</v>
      </c>
      <c r="G230" s="329">
        <v>124162.7</v>
      </c>
      <c r="H230" s="329">
        <v>150793.4</v>
      </c>
      <c r="I230" s="329">
        <v>156703.79999999999</v>
      </c>
      <c r="J230" s="329">
        <v>156703.79999999999</v>
      </c>
      <c r="K230" s="330" t="s">
        <v>493</v>
      </c>
      <c r="L230" s="331" t="s">
        <v>3</v>
      </c>
      <c r="M230" s="16">
        <v>100</v>
      </c>
      <c r="N230" s="16">
        <v>100</v>
      </c>
      <c r="O230" s="331">
        <v>100</v>
      </c>
      <c r="P230" s="326">
        <v>100</v>
      </c>
      <c r="Q230" s="331">
        <v>100</v>
      </c>
    </row>
    <row r="231" spans="1:17" s="11" customFormat="1" ht="45" x14ac:dyDescent="0.2">
      <c r="A231" s="1325"/>
      <c r="B231" s="1302"/>
      <c r="C231" s="348">
        <v>2</v>
      </c>
      <c r="D231" s="308"/>
      <c r="E231" s="351" t="s">
        <v>494</v>
      </c>
      <c r="F231" s="22">
        <v>397118.3</v>
      </c>
      <c r="G231" s="329">
        <v>1143514.5</v>
      </c>
      <c r="H231" s="329">
        <v>1075198.3</v>
      </c>
      <c r="I231" s="329">
        <v>1242153.7</v>
      </c>
      <c r="J231" s="329">
        <v>1257977</v>
      </c>
      <c r="K231" s="330" t="s">
        <v>495</v>
      </c>
      <c r="L231" s="331" t="s">
        <v>3</v>
      </c>
      <c r="M231" s="16">
        <v>100</v>
      </c>
      <c r="N231" s="16">
        <v>100</v>
      </c>
      <c r="O231" s="331">
        <v>100</v>
      </c>
      <c r="P231" s="331">
        <v>100</v>
      </c>
      <c r="Q231" s="331">
        <v>100</v>
      </c>
    </row>
    <row r="232" spans="1:17" s="11" customFormat="1" ht="30" x14ac:dyDescent="0.2">
      <c r="A232" s="1325"/>
      <c r="B232" s="1302"/>
      <c r="C232" s="361">
        <v>3</v>
      </c>
      <c r="D232" s="308"/>
      <c r="E232" s="362" t="s">
        <v>496</v>
      </c>
      <c r="F232" s="336">
        <v>46409.8</v>
      </c>
      <c r="G232" s="329">
        <v>94776.5</v>
      </c>
      <c r="H232" s="329">
        <v>101697.3</v>
      </c>
      <c r="I232" s="329">
        <v>102755.5</v>
      </c>
      <c r="J232" s="329">
        <v>103801.4</v>
      </c>
      <c r="K232" s="335" t="s">
        <v>497</v>
      </c>
      <c r="L232" s="331" t="s">
        <v>3</v>
      </c>
      <c r="M232" s="16">
        <v>100</v>
      </c>
      <c r="N232" s="16">
        <v>100</v>
      </c>
      <c r="O232" s="338">
        <v>100</v>
      </c>
      <c r="P232" s="331">
        <v>100</v>
      </c>
      <c r="Q232" s="338">
        <v>100</v>
      </c>
    </row>
    <row r="233" spans="1:17" s="11" customFormat="1" ht="30" x14ac:dyDescent="0.2">
      <c r="A233" s="1325"/>
      <c r="B233" s="1286"/>
      <c r="C233" s="361">
        <v>4</v>
      </c>
      <c r="D233" s="308"/>
      <c r="E233" s="362" t="s">
        <v>498</v>
      </c>
      <c r="F233" s="336">
        <v>4294.8</v>
      </c>
      <c r="G233" s="329">
        <v>7499.7</v>
      </c>
      <c r="H233" s="329">
        <v>13180.5</v>
      </c>
      <c r="I233" s="329">
        <v>13370.8</v>
      </c>
      <c r="J233" s="329">
        <v>13563</v>
      </c>
      <c r="K233" s="335" t="s">
        <v>499</v>
      </c>
      <c r="L233" s="331" t="s">
        <v>3</v>
      </c>
      <c r="M233" s="16">
        <v>100</v>
      </c>
      <c r="N233" s="16">
        <v>100</v>
      </c>
      <c r="O233" s="338">
        <v>100</v>
      </c>
      <c r="P233" s="338">
        <v>100</v>
      </c>
      <c r="Q233" s="338">
        <v>100</v>
      </c>
    </row>
    <row r="234" spans="1:17" s="11" customFormat="1" ht="15" x14ac:dyDescent="0.2">
      <c r="A234" s="1325"/>
      <c r="B234" s="345">
        <v>227</v>
      </c>
      <c r="C234" s="346"/>
      <c r="D234" s="363"/>
      <c r="E234" s="349" t="s">
        <v>1987</v>
      </c>
      <c r="F234" s="334">
        <v>10129</v>
      </c>
      <c r="G234" s="334">
        <v>170041.10000000003</v>
      </c>
      <c r="H234" s="334">
        <f>H235+H236+H237+H238+H239+H240+H241</f>
        <v>165908.20000000001</v>
      </c>
      <c r="I234" s="334">
        <f t="shared" ref="I234:J234" si="54">I235+I236+I237+I238+I239+I240+I241</f>
        <v>8941</v>
      </c>
      <c r="J234" s="334">
        <f t="shared" si="54"/>
        <v>8941</v>
      </c>
      <c r="K234" s="364"/>
      <c r="L234" s="23"/>
      <c r="M234" s="23"/>
      <c r="N234" s="23"/>
      <c r="O234" s="23"/>
      <c r="P234" s="338"/>
      <c r="Q234" s="144"/>
    </row>
    <row r="235" spans="1:17" s="11" customFormat="1" ht="45" x14ac:dyDescent="0.25">
      <c r="A235" s="1325"/>
      <c r="B235" s="365"/>
      <c r="C235" s="346">
        <v>1</v>
      </c>
      <c r="D235" s="363"/>
      <c r="E235" s="351" t="s">
        <v>500</v>
      </c>
      <c r="F235" s="22"/>
      <c r="G235" s="22">
        <v>17280.5</v>
      </c>
      <c r="H235" s="329">
        <v>17280.5</v>
      </c>
      <c r="I235" s="329"/>
      <c r="J235" s="329"/>
      <c r="K235" s="330" t="s">
        <v>501</v>
      </c>
      <c r="L235" s="331" t="s">
        <v>3</v>
      </c>
      <c r="M235" s="23"/>
      <c r="N235" s="26"/>
      <c r="O235" s="331">
        <v>80</v>
      </c>
      <c r="P235" s="366"/>
      <c r="Q235" s="331"/>
    </row>
    <row r="236" spans="1:17" s="11" customFormat="1" ht="30" x14ac:dyDescent="0.25">
      <c r="A236" s="1325"/>
      <c r="B236" s="365"/>
      <c r="C236" s="346">
        <v>2</v>
      </c>
      <c r="D236" s="363"/>
      <c r="E236" s="351" t="s">
        <v>502</v>
      </c>
      <c r="F236" s="22"/>
      <c r="G236" s="22">
        <v>19274.8</v>
      </c>
      <c r="H236" s="329">
        <v>3958.1</v>
      </c>
      <c r="I236" s="329"/>
      <c r="J236" s="329"/>
      <c r="K236" s="330" t="s">
        <v>501</v>
      </c>
      <c r="L236" s="331" t="s">
        <v>3</v>
      </c>
      <c r="M236" s="23"/>
      <c r="N236" s="26"/>
      <c r="O236" s="331">
        <v>80</v>
      </c>
      <c r="P236" s="331">
        <v>100</v>
      </c>
      <c r="Q236" s="331"/>
    </row>
    <row r="237" spans="1:17" s="11" customFormat="1" ht="105" x14ac:dyDescent="0.25">
      <c r="A237" s="1325"/>
      <c r="B237" s="365"/>
      <c r="C237" s="346">
        <v>3</v>
      </c>
      <c r="D237" s="363"/>
      <c r="E237" s="351" t="s">
        <v>503</v>
      </c>
      <c r="F237" s="22">
        <v>1060</v>
      </c>
      <c r="G237" s="329">
        <v>109398.1</v>
      </c>
      <c r="H237" s="329">
        <v>123421.4</v>
      </c>
      <c r="I237" s="329"/>
      <c r="J237" s="329"/>
      <c r="K237" s="330" t="s">
        <v>501</v>
      </c>
      <c r="L237" s="331" t="s">
        <v>3</v>
      </c>
      <c r="M237" s="23"/>
      <c r="N237" s="26"/>
      <c r="O237" s="331">
        <v>80</v>
      </c>
      <c r="P237" s="331">
        <v>100</v>
      </c>
      <c r="Q237" s="331"/>
    </row>
    <row r="238" spans="1:17" s="11" customFormat="1" ht="30" x14ac:dyDescent="0.25">
      <c r="A238" s="1325"/>
      <c r="B238" s="365"/>
      <c r="C238" s="346">
        <v>4</v>
      </c>
      <c r="D238" s="363"/>
      <c r="E238" s="351" t="s">
        <v>504</v>
      </c>
      <c r="F238" s="22">
        <v>74.5</v>
      </c>
      <c r="G238" s="329">
        <v>74.5</v>
      </c>
      <c r="H238" s="329">
        <v>74.5</v>
      </c>
      <c r="I238" s="329"/>
      <c r="J238" s="329"/>
      <c r="K238" s="367" t="s">
        <v>505</v>
      </c>
      <c r="L238" s="331" t="s">
        <v>3</v>
      </c>
      <c r="M238" s="23"/>
      <c r="N238" s="26"/>
      <c r="O238" s="331">
        <v>100</v>
      </c>
      <c r="P238" s="331">
        <v>100</v>
      </c>
      <c r="Q238" s="331"/>
    </row>
    <row r="239" spans="1:17" s="11" customFormat="1" ht="60" x14ac:dyDescent="0.25">
      <c r="A239" s="1325"/>
      <c r="B239" s="365"/>
      <c r="C239" s="346">
        <v>5</v>
      </c>
      <c r="D239" s="368"/>
      <c r="E239" s="351" t="s">
        <v>506</v>
      </c>
      <c r="F239" s="22">
        <v>7194.5</v>
      </c>
      <c r="G239" s="329">
        <v>8667.2000000000007</v>
      </c>
      <c r="H239" s="329">
        <v>5832.7</v>
      </c>
      <c r="I239" s="329"/>
      <c r="J239" s="329"/>
      <c r="K239" s="367" t="s">
        <v>507</v>
      </c>
      <c r="L239" s="331" t="s">
        <v>3</v>
      </c>
      <c r="M239" s="225"/>
      <c r="N239" s="25"/>
      <c r="O239" s="331">
        <v>80</v>
      </c>
      <c r="P239" s="331">
        <v>100</v>
      </c>
      <c r="Q239" s="331"/>
    </row>
    <row r="240" spans="1:17" s="11" customFormat="1" ht="45" x14ac:dyDescent="0.25">
      <c r="A240" s="1325"/>
      <c r="B240" s="365"/>
      <c r="C240" s="346">
        <v>6</v>
      </c>
      <c r="D240" s="368"/>
      <c r="E240" s="351" t="s">
        <v>508</v>
      </c>
      <c r="F240" s="22"/>
      <c r="G240" s="329">
        <v>6400</v>
      </c>
      <c r="H240" s="329">
        <v>6400</v>
      </c>
      <c r="I240" s="329"/>
      <c r="J240" s="329"/>
      <c r="K240" s="330" t="s">
        <v>501</v>
      </c>
      <c r="L240" s="331" t="s">
        <v>3</v>
      </c>
      <c r="M240" s="225"/>
      <c r="N240" s="25"/>
      <c r="O240" s="331">
        <v>80</v>
      </c>
      <c r="P240" s="331">
        <v>100</v>
      </c>
      <c r="Q240" s="331"/>
    </row>
    <row r="241" spans="1:18" s="11" customFormat="1" ht="75" x14ac:dyDescent="0.25">
      <c r="A241" s="1326"/>
      <c r="B241" s="365"/>
      <c r="C241" s="369">
        <v>7</v>
      </c>
      <c r="D241" s="363"/>
      <c r="E241" s="370" t="s">
        <v>509</v>
      </c>
      <c r="F241" s="22">
        <v>1800</v>
      </c>
      <c r="G241" s="329">
        <v>8946</v>
      </c>
      <c r="H241" s="329">
        <v>8941</v>
      </c>
      <c r="I241" s="329">
        <v>8941</v>
      </c>
      <c r="J241" s="329">
        <v>8941</v>
      </c>
      <c r="K241" s="367" t="s">
        <v>1595</v>
      </c>
      <c r="L241" s="331" t="s">
        <v>3</v>
      </c>
      <c r="M241" s="225"/>
      <c r="N241" s="25"/>
      <c r="O241" s="331">
        <v>100</v>
      </c>
      <c r="P241" s="331">
        <v>100</v>
      </c>
      <c r="Q241" s="331">
        <v>100</v>
      </c>
    </row>
    <row r="242" spans="1:18" s="11" customFormat="1" ht="15" x14ac:dyDescent="0.2">
      <c r="A242" s="1529" t="s">
        <v>35</v>
      </c>
      <c r="B242" s="1530"/>
      <c r="C242" s="1530"/>
      <c r="D242" s="1530"/>
      <c r="E242" s="1531"/>
      <c r="F242" s="371">
        <v>494556.1</v>
      </c>
      <c r="G242" s="371">
        <v>1539994.5</v>
      </c>
      <c r="H242" s="371">
        <f>H229+H234</f>
        <v>1506777.7</v>
      </c>
      <c r="I242" s="371">
        <f t="shared" ref="I242:J242" si="55">I229+I234</f>
        <v>1523924.8</v>
      </c>
      <c r="J242" s="371">
        <f t="shared" si="55"/>
        <v>1540986.2</v>
      </c>
      <c r="K242" s="372"/>
      <c r="L242" s="373"/>
      <c r="M242" s="373"/>
      <c r="N242" s="373"/>
      <c r="O242" s="373"/>
      <c r="P242" s="355"/>
      <c r="Q242" s="374"/>
    </row>
    <row r="243" spans="1:18" s="11" customFormat="1" ht="14.25" x14ac:dyDescent="0.2">
      <c r="A243" s="1595" t="s">
        <v>520</v>
      </c>
      <c r="B243" s="1596"/>
      <c r="C243" s="1596"/>
      <c r="D243" s="1596"/>
      <c r="E243" s="1596"/>
      <c r="F243" s="1596"/>
      <c r="G243" s="1596"/>
      <c r="H243" s="1596"/>
      <c r="I243" s="1596"/>
      <c r="J243" s="1596"/>
      <c r="K243" s="1596"/>
      <c r="L243" s="1596"/>
      <c r="M243" s="1596"/>
      <c r="N243" s="1596"/>
      <c r="O243" s="1596"/>
      <c r="P243" s="1596"/>
      <c r="Q243" s="1597"/>
    </row>
    <row r="244" spans="1:18" s="11" customFormat="1" ht="12.75" customHeight="1" x14ac:dyDescent="0.2">
      <c r="A244" s="1324" t="s">
        <v>17</v>
      </c>
      <c r="B244" s="1324" t="s">
        <v>1822</v>
      </c>
      <c r="C244" s="1487"/>
      <c r="D244" s="1487"/>
      <c r="E244" s="1550" t="s">
        <v>1989</v>
      </c>
      <c r="F244" s="1593">
        <v>242807.36000000002</v>
      </c>
      <c r="G244" s="1348">
        <v>354719.8</v>
      </c>
      <c r="H244" s="1348">
        <f>H246+H248+H249</f>
        <v>315604.40000000002</v>
      </c>
      <c r="I244" s="1348">
        <f t="shared" ref="I244:J244" si="56">I246+I248+I249</f>
        <v>318832.40000000002</v>
      </c>
      <c r="J244" s="1348">
        <f t="shared" si="56"/>
        <v>322018.3</v>
      </c>
      <c r="K244" s="1352" t="s">
        <v>510</v>
      </c>
      <c r="L244" s="1305" t="s">
        <v>190</v>
      </c>
      <c r="M244" s="1305">
        <v>2</v>
      </c>
      <c r="N244" s="1338">
        <v>2</v>
      </c>
      <c r="O244" s="1338">
        <v>0</v>
      </c>
      <c r="P244" s="1338">
        <v>0</v>
      </c>
      <c r="Q244" s="1338">
        <v>0</v>
      </c>
    </row>
    <row r="245" spans="1:18" s="11" customFormat="1" ht="25.5" customHeight="1" x14ac:dyDescent="0.2">
      <c r="A245" s="1325"/>
      <c r="B245" s="1326"/>
      <c r="C245" s="1489"/>
      <c r="D245" s="1489"/>
      <c r="E245" s="1551"/>
      <c r="F245" s="1594"/>
      <c r="G245" s="1349"/>
      <c r="H245" s="1349"/>
      <c r="I245" s="1349"/>
      <c r="J245" s="1349"/>
      <c r="K245" s="1353"/>
      <c r="L245" s="1306"/>
      <c r="M245" s="1306"/>
      <c r="N245" s="1339"/>
      <c r="O245" s="1339"/>
      <c r="P245" s="1339"/>
      <c r="Q245" s="1339"/>
    </row>
    <row r="246" spans="1:18" s="11" customFormat="1" ht="30" x14ac:dyDescent="0.2">
      <c r="A246" s="1325"/>
      <c r="B246" s="1285"/>
      <c r="C246" s="1285" t="s">
        <v>5</v>
      </c>
      <c r="D246" s="1285"/>
      <c r="E246" s="1482" t="s">
        <v>511</v>
      </c>
      <c r="F246" s="1576">
        <v>101251.23</v>
      </c>
      <c r="G246" s="1576">
        <v>159859.9</v>
      </c>
      <c r="H246" s="1576">
        <v>157802.20000000001</v>
      </c>
      <c r="I246" s="1576">
        <v>159416.20000000001</v>
      </c>
      <c r="J246" s="1576">
        <v>161009.15</v>
      </c>
      <c r="K246" s="375" t="s">
        <v>512</v>
      </c>
      <c r="L246" s="16" t="s">
        <v>190</v>
      </c>
      <c r="M246" s="16">
        <v>5</v>
      </c>
      <c r="N246" s="16">
        <v>3</v>
      </c>
      <c r="O246" s="16">
        <v>0</v>
      </c>
      <c r="P246" s="29">
        <v>0</v>
      </c>
      <c r="Q246" s="16">
        <v>0</v>
      </c>
    </row>
    <row r="247" spans="1:18" s="11" customFormat="1" ht="30" x14ac:dyDescent="0.2">
      <c r="A247" s="1325"/>
      <c r="B247" s="1286"/>
      <c r="C247" s="1286"/>
      <c r="D247" s="1286"/>
      <c r="E247" s="1483"/>
      <c r="F247" s="1578"/>
      <c r="G247" s="1578"/>
      <c r="H247" s="1578"/>
      <c r="I247" s="1578"/>
      <c r="J247" s="1578"/>
      <c r="K247" s="134" t="s">
        <v>1988</v>
      </c>
      <c r="L247" s="16" t="s">
        <v>190</v>
      </c>
      <c r="M247" s="16">
        <v>1</v>
      </c>
      <c r="N247" s="16">
        <v>1</v>
      </c>
      <c r="O247" s="16">
        <v>0</v>
      </c>
      <c r="P247" s="16">
        <v>0</v>
      </c>
      <c r="Q247" s="16">
        <v>0</v>
      </c>
    </row>
    <row r="248" spans="1:18" s="11" customFormat="1" ht="30" x14ac:dyDescent="0.2">
      <c r="A248" s="1325"/>
      <c r="B248" s="304"/>
      <c r="C248" s="21" t="s">
        <v>6</v>
      </c>
      <c r="D248" s="308"/>
      <c r="E248" s="376" t="s">
        <v>513</v>
      </c>
      <c r="F248" s="377">
        <v>96633.35</v>
      </c>
      <c r="G248" s="377">
        <v>194859.9</v>
      </c>
      <c r="H248" s="377">
        <v>157802.20000000001</v>
      </c>
      <c r="I248" s="377">
        <v>159416.20000000001</v>
      </c>
      <c r="J248" s="377">
        <v>161009.15</v>
      </c>
      <c r="K248" s="376" t="s">
        <v>514</v>
      </c>
      <c r="L248" s="16" t="s">
        <v>515</v>
      </c>
      <c r="M248" s="16">
        <v>17475</v>
      </c>
      <c r="N248" s="16">
        <v>12916</v>
      </c>
      <c r="O248" s="16">
        <v>12000</v>
      </c>
      <c r="P248" s="16">
        <v>0</v>
      </c>
      <c r="Q248" s="16">
        <v>12000</v>
      </c>
    </row>
    <row r="249" spans="1:18" s="11" customFormat="1" ht="60" x14ac:dyDescent="0.2">
      <c r="A249" s="1326"/>
      <c r="B249" s="304"/>
      <c r="C249" s="21" t="s">
        <v>4</v>
      </c>
      <c r="D249" s="308"/>
      <c r="E249" s="376" t="s">
        <v>1596</v>
      </c>
      <c r="F249" s="378">
        <v>44922.78</v>
      </c>
      <c r="G249" s="378"/>
      <c r="H249" s="379"/>
      <c r="I249" s="379"/>
      <c r="J249" s="379"/>
      <c r="K249" s="376" t="s">
        <v>1597</v>
      </c>
      <c r="L249" s="16" t="s">
        <v>190</v>
      </c>
      <c r="M249" s="16">
        <v>17908</v>
      </c>
      <c r="N249" s="16">
        <v>13454</v>
      </c>
      <c r="O249" s="16">
        <v>0</v>
      </c>
      <c r="P249" s="16">
        <v>12000</v>
      </c>
      <c r="Q249" s="16">
        <v>0</v>
      </c>
    </row>
    <row r="250" spans="1:18" s="11" customFormat="1" ht="15" x14ac:dyDescent="0.25">
      <c r="A250" s="1529" t="s">
        <v>35</v>
      </c>
      <c r="B250" s="1530"/>
      <c r="C250" s="1530"/>
      <c r="D250" s="1530"/>
      <c r="E250" s="1531"/>
      <c r="F250" s="380">
        <v>242807.36000000002</v>
      </c>
      <c r="G250" s="380">
        <v>354719.8</v>
      </c>
      <c r="H250" s="380">
        <f>H244</f>
        <v>315604.40000000002</v>
      </c>
      <c r="I250" s="380">
        <v>318832.40000000002</v>
      </c>
      <c r="J250" s="380">
        <v>322018.3</v>
      </c>
      <c r="K250" s="339"/>
      <c r="L250" s="339"/>
      <c r="M250" s="339"/>
      <c r="N250" s="339"/>
      <c r="O250" s="339"/>
      <c r="P250" s="381">
        <v>0</v>
      </c>
      <c r="Q250" s="339"/>
    </row>
    <row r="251" spans="1:18" s="11" customFormat="1" ht="15" x14ac:dyDescent="0.25">
      <c r="A251" s="1600" t="s">
        <v>519</v>
      </c>
      <c r="B251" s="1601"/>
      <c r="C251" s="1601"/>
      <c r="D251" s="1601"/>
      <c r="E251" s="1602"/>
      <c r="F251" s="382">
        <v>1426421.87</v>
      </c>
      <c r="G251" s="382">
        <v>2605228</v>
      </c>
      <c r="H251" s="382">
        <f>H215+H221+H227+H242+H250</f>
        <v>2584531</v>
      </c>
      <c r="I251" s="382">
        <f>I215+I221+I227+I242+I250</f>
        <v>2612662.2999999998</v>
      </c>
      <c r="J251" s="382">
        <f>J215+J221+J227+J242+J250</f>
        <v>2640483.6999999997</v>
      </c>
      <c r="K251" s="339"/>
      <c r="L251" s="339"/>
      <c r="M251" s="339"/>
      <c r="N251" s="339"/>
      <c r="O251" s="339"/>
      <c r="P251" s="339"/>
      <c r="Q251" s="339"/>
      <c r="R251" s="71"/>
    </row>
    <row r="252" spans="1:18" s="10" customFormat="1" ht="18" customHeight="1" x14ac:dyDescent="0.2">
      <c r="A252" s="1518" t="s">
        <v>479</v>
      </c>
      <c r="B252" s="1519"/>
      <c r="C252" s="1519"/>
      <c r="D252" s="1519"/>
      <c r="E252" s="1519"/>
      <c r="F252" s="1519"/>
      <c r="G252" s="1519"/>
      <c r="H252" s="1519"/>
      <c r="I252" s="1519"/>
      <c r="J252" s="1519"/>
      <c r="K252" s="1519"/>
      <c r="L252" s="1519"/>
      <c r="M252" s="1519"/>
      <c r="N252" s="1519"/>
      <c r="O252" s="1519"/>
      <c r="P252" s="1519"/>
      <c r="Q252" s="1520"/>
    </row>
    <row r="253" spans="1:18" s="10" customFormat="1" ht="74.25" x14ac:dyDescent="0.2">
      <c r="A253" s="1324" t="s">
        <v>480</v>
      </c>
      <c r="B253" s="180" t="s">
        <v>0</v>
      </c>
      <c r="C253" s="308"/>
      <c r="D253" s="308"/>
      <c r="E253" s="170" t="s">
        <v>1750</v>
      </c>
      <c r="F253" s="383">
        <f>F254+F255</f>
        <v>489755.10000000003</v>
      </c>
      <c r="G253" s="383">
        <f>G254+G255</f>
        <v>508067.19999999995</v>
      </c>
      <c r="H253" s="383">
        <f>H254+H255</f>
        <v>496450.5</v>
      </c>
      <c r="I253" s="383">
        <f t="shared" ref="I253" si="57">I254+I255</f>
        <v>501894.2</v>
      </c>
      <c r="J253" s="383">
        <f>J254+J255</f>
        <v>505324</v>
      </c>
      <c r="K253" s="413" t="s">
        <v>177</v>
      </c>
      <c r="L253" s="142" t="s">
        <v>160</v>
      </c>
      <c r="M253" s="1161">
        <v>34</v>
      </c>
      <c r="N253" s="1162">
        <v>30</v>
      </c>
      <c r="O253" s="1162">
        <v>30</v>
      </c>
      <c r="P253" s="1162">
        <v>30</v>
      </c>
      <c r="Q253" s="1162">
        <v>30</v>
      </c>
    </row>
    <row r="254" spans="1:18" s="10" customFormat="1" ht="30" x14ac:dyDescent="0.2">
      <c r="A254" s="1325"/>
      <c r="B254" s="21"/>
      <c r="C254" s="21" t="s">
        <v>5</v>
      </c>
      <c r="D254" s="308"/>
      <c r="E254" s="1163" t="s">
        <v>25</v>
      </c>
      <c r="F254" s="1152">
        <f>171859.4+300000</f>
        <v>471859.4</v>
      </c>
      <c r="G254" s="1152">
        <f>170911.6+300000</f>
        <v>470911.6</v>
      </c>
      <c r="H254" s="377">
        <f>174158.8+300000</f>
        <v>474158.8</v>
      </c>
      <c r="I254" s="377">
        <f>179383.7+300000</f>
        <v>479383.7</v>
      </c>
      <c r="J254" s="377">
        <f>182645.6+300000</f>
        <v>482645.6</v>
      </c>
      <c r="K254" s="457"/>
      <c r="L254" s="457"/>
      <c r="M254" s="458"/>
      <c r="N254" s="458"/>
      <c r="O254" s="458"/>
      <c r="P254" s="458"/>
      <c r="Q254" s="458"/>
    </row>
    <row r="255" spans="1:18" s="10" customFormat="1" ht="30" x14ac:dyDescent="0.2">
      <c r="A255" s="1325"/>
      <c r="B255" s="21"/>
      <c r="C255" s="21" t="s">
        <v>6</v>
      </c>
      <c r="D255" s="308"/>
      <c r="E255" s="1163" t="s">
        <v>1580</v>
      </c>
      <c r="F255" s="377">
        <f>7155.6+42740.1-32000</f>
        <v>17895.699999999997</v>
      </c>
      <c r="G255" s="377">
        <f>7155.6+30000</f>
        <v>37155.599999999999</v>
      </c>
      <c r="H255" s="377">
        <f>7291.7+15000</f>
        <v>22291.7</v>
      </c>
      <c r="I255" s="377">
        <f>7510.5+15000</f>
        <v>22510.5</v>
      </c>
      <c r="J255" s="377">
        <f>7678.4+15000</f>
        <v>22678.400000000001</v>
      </c>
      <c r="K255" s="457"/>
      <c r="L255" s="457"/>
      <c r="M255" s="458"/>
      <c r="N255" s="458"/>
      <c r="O255" s="458"/>
      <c r="P255" s="458"/>
      <c r="Q255" s="458"/>
    </row>
    <row r="256" spans="1:18" s="10" customFormat="1" ht="114" customHeight="1" x14ac:dyDescent="0.2">
      <c r="A256" s="1325"/>
      <c r="B256" s="180" t="s">
        <v>1823</v>
      </c>
      <c r="C256" s="82"/>
      <c r="D256" s="308"/>
      <c r="E256" s="170" t="s">
        <v>1751</v>
      </c>
      <c r="F256" s="383">
        <f>F257</f>
        <v>1294402.8999999999</v>
      </c>
      <c r="G256" s="383">
        <f>G257</f>
        <v>1909740.5</v>
      </c>
      <c r="H256" s="383">
        <f>H257</f>
        <v>2026672.4</v>
      </c>
      <c r="I256" s="383">
        <f>I257</f>
        <v>2046839</v>
      </c>
      <c r="J256" s="383">
        <f>J257</f>
        <v>2064138.0999999999</v>
      </c>
      <c r="K256" s="413" t="s">
        <v>178</v>
      </c>
      <c r="L256" s="142" t="s">
        <v>106</v>
      </c>
      <c r="M256" s="1164">
        <v>26</v>
      </c>
      <c r="N256" s="1165">
        <v>28</v>
      </c>
      <c r="O256" s="1165">
        <v>28</v>
      </c>
      <c r="P256" s="1165">
        <v>28</v>
      </c>
      <c r="Q256" s="1165">
        <v>28</v>
      </c>
    </row>
    <row r="257" spans="1:17" s="10" customFormat="1" ht="60" x14ac:dyDescent="0.2">
      <c r="A257" s="1325"/>
      <c r="B257" s="311"/>
      <c r="C257" s="311" t="s">
        <v>5</v>
      </c>
      <c r="D257" s="387"/>
      <c r="E257" s="1166" t="s">
        <v>1599</v>
      </c>
      <c r="F257" s="378">
        <f>1176292.9+148285-30175</f>
        <v>1294402.8999999999</v>
      </c>
      <c r="G257" s="378">
        <f>1729656.5+180084</f>
        <v>1909740.5</v>
      </c>
      <c r="H257" s="378">
        <f>1808370.2+241646.9-23344.7</f>
        <v>2026672.4</v>
      </c>
      <c r="I257" s="378">
        <f>1823277.7+247144.8-23583.5</f>
        <v>2046839</v>
      </c>
      <c r="J257" s="378">
        <f>1839934.2+248023-23819.1</f>
        <v>2064138.0999999999</v>
      </c>
      <c r="K257" s="413" t="s">
        <v>179</v>
      </c>
      <c r="L257" s="142" t="s">
        <v>180</v>
      </c>
      <c r="M257" s="142">
        <v>1029</v>
      </c>
      <c r="N257" s="412">
        <v>1140</v>
      </c>
      <c r="O257" s="412">
        <v>1134</v>
      </c>
      <c r="P257" s="412">
        <v>1140</v>
      </c>
      <c r="Q257" s="412">
        <v>1140</v>
      </c>
    </row>
    <row r="258" spans="1:17" s="10" customFormat="1" ht="118.5" x14ac:dyDescent="0.2">
      <c r="A258" s="1325"/>
      <c r="B258" s="388" t="s">
        <v>1824</v>
      </c>
      <c r="C258" s="311"/>
      <c r="D258" s="387"/>
      <c r="E258" s="1167" t="s">
        <v>1752</v>
      </c>
      <c r="F258" s="389">
        <f>F259</f>
        <v>28893.599999999999</v>
      </c>
      <c r="G258" s="389">
        <f>G259</f>
        <v>29763</v>
      </c>
      <c r="H258" s="390">
        <f>H259</f>
        <v>36542.300000000003</v>
      </c>
      <c r="I258" s="390">
        <f t="shared" ref="I258:J258" si="58">I259</f>
        <v>41549.9</v>
      </c>
      <c r="J258" s="390">
        <f t="shared" si="58"/>
        <v>44876.3</v>
      </c>
      <c r="K258" s="413" t="s">
        <v>181</v>
      </c>
      <c r="L258" s="142" t="s">
        <v>3</v>
      </c>
      <c r="M258" s="142">
        <v>90</v>
      </c>
      <c r="N258" s="412">
        <v>90</v>
      </c>
      <c r="O258" s="412">
        <v>90</v>
      </c>
      <c r="P258" s="412">
        <v>90</v>
      </c>
      <c r="Q258" s="412">
        <v>90</v>
      </c>
    </row>
    <row r="259" spans="1:17" s="10" customFormat="1" ht="60" x14ac:dyDescent="0.2">
      <c r="A259" s="1325"/>
      <c r="B259" s="311"/>
      <c r="C259" s="311" t="s">
        <v>5</v>
      </c>
      <c r="D259" s="387"/>
      <c r="E259" s="1166" t="s">
        <v>174</v>
      </c>
      <c r="F259" s="378">
        <f>3193.6+25700</f>
        <v>28893.599999999999</v>
      </c>
      <c r="G259" s="378">
        <f>4248+25515</f>
        <v>29763</v>
      </c>
      <c r="H259" s="378">
        <f>6599.3+29943</f>
        <v>36542.300000000003</v>
      </c>
      <c r="I259" s="378">
        <f>6666.8+34883.1</f>
        <v>41549.9</v>
      </c>
      <c r="J259" s="378">
        <f>6733.4+38142.9</f>
        <v>44876.3</v>
      </c>
      <c r="K259" s="1168" t="s">
        <v>1600</v>
      </c>
      <c r="L259" s="142" t="s">
        <v>3</v>
      </c>
      <c r="M259" s="142">
        <v>7.7</v>
      </c>
      <c r="N259" s="412">
        <v>7.7</v>
      </c>
      <c r="O259" s="412">
        <v>7.7</v>
      </c>
      <c r="P259" s="412">
        <v>7.7</v>
      </c>
      <c r="Q259" s="412">
        <v>7.7</v>
      </c>
    </row>
    <row r="260" spans="1:17" s="10" customFormat="1" ht="12.75" hidden="1" customHeight="1" x14ac:dyDescent="0.2">
      <c r="A260" s="1598"/>
      <c r="B260" s="1557"/>
      <c r="C260" s="1557" t="s">
        <v>5</v>
      </c>
      <c r="D260" s="1557"/>
      <c r="E260" s="1565" t="s">
        <v>175</v>
      </c>
      <c r="F260" s="1567"/>
      <c r="G260" s="1567"/>
      <c r="H260" s="1567"/>
      <c r="I260" s="1567"/>
      <c r="J260" s="1567"/>
      <c r="K260" s="30" t="s">
        <v>183</v>
      </c>
      <c r="L260" s="33" t="s">
        <v>1008</v>
      </c>
      <c r="M260" s="33"/>
      <c r="N260" s="33"/>
      <c r="O260" s="33"/>
      <c r="P260" s="33"/>
      <c r="Q260" s="33"/>
    </row>
    <row r="261" spans="1:17" s="10" customFormat="1" hidden="1" x14ac:dyDescent="0.2">
      <c r="A261" s="1598"/>
      <c r="B261" s="1558"/>
      <c r="C261" s="1558"/>
      <c r="D261" s="1558"/>
      <c r="E261" s="1566"/>
      <c r="F261" s="1568"/>
      <c r="G261" s="1568"/>
      <c r="H261" s="1568"/>
      <c r="I261" s="1568"/>
      <c r="J261" s="1568"/>
      <c r="K261" s="30" t="s">
        <v>184</v>
      </c>
      <c r="L261" s="33" t="s">
        <v>1008</v>
      </c>
      <c r="M261" s="33"/>
      <c r="N261" s="33"/>
      <c r="O261" s="33"/>
      <c r="P261" s="33"/>
      <c r="Q261" s="33"/>
    </row>
    <row r="262" spans="1:17" s="10" customFormat="1" ht="63.75" hidden="1" x14ac:dyDescent="0.2">
      <c r="A262" s="1599"/>
      <c r="B262" s="63"/>
      <c r="C262" s="40" t="s">
        <v>6</v>
      </c>
      <c r="D262" s="40"/>
      <c r="E262" s="31" t="s">
        <v>176</v>
      </c>
      <c r="F262" s="44"/>
      <c r="G262" s="44"/>
      <c r="H262" s="44"/>
      <c r="I262" s="44"/>
      <c r="J262" s="44"/>
      <c r="K262" s="30" t="s">
        <v>182</v>
      </c>
      <c r="L262" s="33" t="s">
        <v>1008</v>
      </c>
      <c r="M262" s="43"/>
      <c r="N262" s="32"/>
      <c r="O262" s="32"/>
      <c r="P262" s="32"/>
      <c r="Q262" s="32"/>
    </row>
    <row r="263" spans="1:17" s="10" customFormat="1" ht="14.25" x14ac:dyDescent="0.2">
      <c r="A263" s="1529" t="s">
        <v>35</v>
      </c>
      <c r="B263" s="1530"/>
      <c r="C263" s="1530"/>
      <c r="D263" s="1530"/>
      <c r="E263" s="1531"/>
      <c r="F263" s="391">
        <f>F253+F256+F258</f>
        <v>1813051.6</v>
      </c>
      <c r="G263" s="391">
        <f t="shared" ref="G263:J263" si="59">G253+G256+G258</f>
        <v>2447570.7000000002</v>
      </c>
      <c r="H263" s="391">
        <f t="shared" si="59"/>
        <v>2559665.1999999997</v>
      </c>
      <c r="I263" s="391">
        <f t="shared" si="59"/>
        <v>2590283.1</v>
      </c>
      <c r="J263" s="391">
        <f t="shared" si="59"/>
        <v>2614338.3999999994</v>
      </c>
      <c r="K263" s="392"/>
      <c r="L263" s="392"/>
      <c r="M263" s="392"/>
      <c r="N263" s="392"/>
      <c r="O263" s="392"/>
      <c r="P263" s="392"/>
      <c r="Q263" s="393"/>
    </row>
    <row r="264" spans="1:17" s="10" customFormat="1" ht="14.25" x14ac:dyDescent="0.2">
      <c r="A264" s="1552" t="s">
        <v>331</v>
      </c>
      <c r="B264" s="1553"/>
      <c r="C264" s="1553"/>
      <c r="D264" s="1553"/>
      <c r="E264" s="1553"/>
      <c r="F264" s="1553"/>
      <c r="G264" s="1553"/>
      <c r="H264" s="1553"/>
      <c r="I264" s="1553"/>
      <c r="J264" s="1553"/>
      <c r="K264" s="1553"/>
      <c r="L264" s="1553"/>
      <c r="M264" s="1553"/>
      <c r="N264" s="1553"/>
      <c r="O264" s="1553"/>
      <c r="P264" s="1553"/>
      <c r="Q264" s="1554"/>
    </row>
    <row r="265" spans="1:17" s="10" customFormat="1" ht="28.5" x14ac:dyDescent="0.2">
      <c r="A265" s="1559">
        <v>24</v>
      </c>
      <c r="B265" s="394">
        <v>242</v>
      </c>
      <c r="C265" s="395"/>
      <c r="D265" s="395"/>
      <c r="E265" s="395" t="s">
        <v>320</v>
      </c>
      <c r="F265" s="396">
        <v>2105464.693</v>
      </c>
      <c r="G265" s="397">
        <f t="shared" ref="G265:J265" si="60">G272</f>
        <v>2910267.2</v>
      </c>
      <c r="H265" s="397">
        <f t="shared" si="60"/>
        <v>3797267.1999999997</v>
      </c>
      <c r="I265" s="397">
        <f t="shared" si="60"/>
        <v>3827684.9999999995</v>
      </c>
      <c r="J265" s="397">
        <f t="shared" si="60"/>
        <v>3858922.1</v>
      </c>
      <c r="K265" s="398"/>
      <c r="L265" s="399"/>
      <c r="M265" s="400"/>
      <c r="N265" s="400"/>
      <c r="O265" s="400"/>
      <c r="P265" s="400"/>
      <c r="Q265" s="400"/>
    </row>
    <row r="266" spans="1:17" s="10" customFormat="1" ht="30" x14ac:dyDescent="0.2">
      <c r="A266" s="1560"/>
      <c r="B266" s="394"/>
      <c r="C266" s="401" t="s">
        <v>5</v>
      </c>
      <c r="D266" s="402"/>
      <c r="E266" s="402" t="s">
        <v>321</v>
      </c>
      <c r="F266" s="403">
        <v>1021050.344</v>
      </c>
      <c r="G266" s="404">
        <v>500000</v>
      </c>
      <c r="H266" s="404">
        <v>750000</v>
      </c>
      <c r="I266" s="404">
        <v>750000</v>
      </c>
      <c r="J266" s="404">
        <v>750000</v>
      </c>
      <c r="K266" s="405" t="s">
        <v>322</v>
      </c>
      <c r="L266" s="406" t="s">
        <v>3</v>
      </c>
      <c r="M266" s="406">
        <v>90</v>
      </c>
      <c r="N266" s="406">
        <v>92</v>
      </c>
      <c r="O266" s="406">
        <v>100</v>
      </c>
      <c r="P266" s="406">
        <v>100</v>
      </c>
      <c r="Q266" s="406">
        <v>100</v>
      </c>
    </row>
    <row r="267" spans="1:17" s="10" customFormat="1" ht="30" x14ac:dyDescent="0.2">
      <c r="A267" s="1560"/>
      <c r="B267" s="394"/>
      <c r="C267" s="401" t="s">
        <v>6</v>
      </c>
      <c r="D267" s="402"/>
      <c r="E267" s="402" t="s">
        <v>323</v>
      </c>
      <c r="F267" s="403">
        <v>694907.81200000003</v>
      </c>
      <c r="G267" s="404">
        <v>1594486.8</v>
      </c>
      <c r="H267" s="404">
        <v>1594486.8</v>
      </c>
      <c r="I267" s="404">
        <v>1594486.8</v>
      </c>
      <c r="J267" s="404">
        <v>1594486.8</v>
      </c>
      <c r="K267" s="405" t="s">
        <v>324</v>
      </c>
      <c r="L267" s="406" t="s">
        <v>3</v>
      </c>
      <c r="M267" s="406">
        <v>85</v>
      </c>
      <c r="N267" s="406">
        <v>90</v>
      </c>
      <c r="O267" s="406">
        <v>95</v>
      </c>
      <c r="P267" s="406">
        <v>95</v>
      </c>
      <c r="Q267" s="406">
        <v>95</v>
      </c>
    </row>
    <row r="268" spans="1:17" s="10" customFormat="1" ht="30" x14ac:dyDescent="0.2">
      <c r="A268" s="1560"/>
      <c r="B268" s="394"/>
      <c r="C268" s="401" t="s">
        <v>4</v>
      </c>
      <c r="D268" s="402"/>
      <c r="E268" s="402" t="s">
        <v>325</v>
      </c>
      <c r="F268" s="403">
        <v>328002.44500000001</v>
      </c>
      <c r="G268" s="404">
        <v>519380.4</v>
      </c>
      <c r="H268" s="404">
        <v>1156380.3999999999</v>
      </c>
      <c r="I268" s="404">
        <v>1184380.3999999999</v>
      </c>
      <c r="J268" s="404">
        <v>1213231.1000000001</v>
      </c>
      <c r="K268" s="405" t="s">
        <v>326</v>
      </c>
      <c r="L268" s="406" t="s">
        <v>3</v>
      </c>
      <c r="M268" s="406">
        <v>85</v>
      </c>
      <c r="N268" s="406">
        <v>90</v>
      </c>
      <c r="O268" s="406">
        <v>95</v>
      </c>
      <c r="P268" s="406">
        <v>95</v>
      </c>
      <c r="Q268" s="406">
        <v>95</v>
      </c>
    </row>
    <row r="269" spans="1:17" s="10" customFormat="1" ht="45" x14ac:dyDescent="0.2">
      <c r="A269" s="1560"/>
      <c r="B269" s="394"/>
      <c r="C269" s="401" t="s">
        <v>7</v>
      </c>
      <c r="D269" s="402"/>
      <c r="E269" s="402" t="s">
        <v>327</v>
      </c>
      <c r="F269" s="403">
        <v>32064.988000000001</v>
      </c>
      <c r="G269" s="404">
        <v>30000</v>
      </c>
      <c r="H269" s="404">
        <v>30000</v>
      </c>
      <c r="I269" s="404">
        <v>30000</v>
      </c>
      <c r="J269" s="404">
        <v>30000</v>
      </c>
      <c r="K269" s="405" t="s">
        <v>328</v>
      </c>
      <c r="L269" s="406" t="s">
        <v>3</v>
      </c>
      <c r="M269" s="406">
        <v>85</v>
      </c>
      <c r="N269" s="406">
        <v>90</v>
      </c>
      <c r="O269" s="406">
        <v>95</v>
      </c>
      <c r="P269" s="406">
        <v>95</v>
      </c>
      <c r="Q269" s="406">
        <v>95</v>
      </c>
    </row>
    <row r="270" spans="1:17" s="10" customFormat="1" ht="30" x14ac:dyDescent="0.2">
      <c r="A270" s="1560"/>
      <c r="B270" s="395"/>
      <c r="C270" s="401" t="s">
        <v>8</v>
      </c>
      <c r="D270" s="402"/>
      <c r="E270" s="402" t="s">
        <v>329</v>
      </c>
      <c r="F270" s="403">
        <v>29439.103999999999</v>
      </c>
      <c r="G270" s="404">
        <v>30000</v>
      </c>
      <c r="H270" s="404">
        <v>30000</v>
      </c>
      <c r="I270" s="404">
        <v>30000</v>
      </c>
      <c r="J270" s="404">
        <v>30000</v>
      </c>
      <c r="K270" s="405" t="s">
        <v>324</v>
      </c>
      <c r="L270" s="406" t="s">
        <v>3</v>
      </c>
      <c r="M270" s="406">
        <v>90</v>
      </c>
      <c r="N270" s="406">
        <v>90</v>
      </c>
      <c r="O270" s="406">
        <v>90</v>
      </c>
      <c r="P270" s="406">
        <v>90</v>
      </c>
      <c r="Q270" s="406">
        <v>90</v>
      </c>
    </row>
    <row r="271" spans="1:17" s="10" customFormat="1" ht="30" x14ac:dyDescent="0.2">
      <c r="A271" s="1561"/>
      <c r="B271" s="395"/>
      <c r="C271" s="401" t="s">
        <v>9</v>
      </c>
      <c r="D271" s="402"/>
      <c r="E271" s="402" t="s">
        <v>330</v>
      </c>
      <c r="F271" s="403">
        <v>0</v>
      </c>
      <c r="G271" s="403">
        <v>236400</v>
      </c>
      <c r="H271" s="404">
        <v>236400</v>
      </c>
      <c r="I271" s="404">
        <v>238817.8</v>
      </c>
      <c r="J271" s="404">
        <v>241204.2</v>
      </c>
      <c r="K271" s="398"/>
      <c r="L271" s="399"/>
      <c r="M271" s="400"/>
      <c r="N271" s="400"/>
      <c r="O271" s="400"/>
      <c r="P271" s="400"/>
      <c r="Q271" s="400"/>
    </row>
    <row r="272" spans="1:17" s="10" customFormat="1" ht="14.25" x14ac:dyDescent="0.2">
      <c r="A272" s="1529" t="s">
        <v>35</v>
      </c>
      <c r="B272" s="1530"/>
      <c r="C272" s="1530"/>
      <c r="D272" s="1530"/>
      <c r="E272" s="1531"/>
      <c r="F272" s="391">
        <v>2105464.693</v>
      </c>
      <c r="G272" s="391">
        <v>2910267.2</v>
      </c>
      <c r="H272" s="391">
        <f>SUM(H266:H271)</f>
        <v>3797267.1999999997</v>
      </c>
      <c r="I272" s="391">
        <f t="shared" ref="I272:J272" si="61">SUM(I266:I271)</f>
        <v>3827684.9999999995</v>
      </c>
      <c r="J272" s="391">
        <f t="shared" si="61"/>
        <v>3858922.1</v>
      </c>
      <c r="K272" s="392"/>
      <c r="L272" s="392"/>
      <c r="M272" s="392"/>
      <c r="N272" s="392"/>
      <c r="O272" s="392"/>
      <c r="P272" s="392"/>
      <c r="Q272" s="393"/>
    </row>
    <row r="273" spans="1:18" s="10" customFormat="1" ht="14.25" x14ac:dyDescent="0.2">
      <c r="A273" s="1518" t="s">
        <v>1512</v>
      </c>
      <c r="B273" s="1519"/>
      <c r="C273" s="1519"/>
      <c r="D273" s="1519"/>
      <c r="E273" s="1519"/>
      <c r="F273" s="1519"/>
      <c r="G273" s="1519"/>
      <c r="H273" s="1519"/>
      <c r="I273" s="1519"/>
      <c r="J273" s="1519"/>
      <c r="K273" s="1519"/>
      <c r="L273" s="1519"/>
      <c r="M273" s="1519"/>
      <c r="N273" s="1519"/>
      <c r="O273" s="1519"/>
      <c r="P273" s="1519"/>
      <c r="Q273" s="1520"/>
    </row>
    <row r="274" spans="1:18" s="11" customFormat="1" ht="14.25" x14ac:dyDescent="0.2">
      <c r="A274" s="1630" t="s">
        <v>1602</v>
      </c>
      <c r="B274" s="1630"/>
      <c r="C274" s="1630"/>
      <c r="D274" s="1630"/>
      <c r="E274" s="1630"/>
      <c r="F274" s="1630"/>
      <c r="G274" s="1630"/>
      <c r="H274" s="1630"/>
      <c r="I274" s="1630"/>
      <c r="J274" s="1630"/>
      <c r="K274" s="1630"/>
      <c r="L274" s="1630"/>
      <c r="M274" s="1630"/>
      <c r="N274" s="1630"/>
      <c r="O274" s="1630"/>
      <c r="P274" s="1630"/>
      <c r="Q274" s="1630"/>
    </row>
    <row r="275" spans="1:18" s="11" customFormat="1" ht="48.75" customHeight="1" x14ac:dyDescent="0.2">
      <c r="A275" s="1608">
        <v>26</v>
      </c>
      <c r="B275" s="1643" t="s">
        <v>1826</v>
      </c>
      <c r="C275" s="1381"/>
      <c r="D275" s="1771"/>
      <c r="E275" s="1569" t="s">
        <v>1990</v>
      </c>
      <c r="F275" s="1555">
        <f>F279</f>
        <v>19747104.600000001</v>
      </c>
      <c r="G275" s="1555">
        <f t="shared" ref="G275:J275" si="62">G279</f>
        <v>15614747.800000001</v>
      </c>
      <c r="H275" s="1555">
        <f t="shared" si="62"/>
        <v>23252094.199999999</v>
      </c>
      <c r="I275" s="1555">
        <f t="shared" si="62"/>
        <v>22306399.800000001</v>
      </c>
      <c r="J275" s="1555">
        <f t="shared" si="62"/>
        <v>22360423</v>
      </c>
      <c r="K275" s="408" t="s">
        <v>418</v>
      </c>
      <c r="L275" s="409" t="s">
        <v>3</v>
      </c>
      <c r="M275" s="410">
        <v>0.41499999999999998</v>
      </c>
      <c r="N275" s="410">
        <v>0.41499999999999998</v>
      </c>
      <c r="O275" s="410">
        <v>0.42</v>
      </c>
      <c r="P275" s="410">
        <v>0.435</v>
      </c>
      <c r="Q275" s="410">
        <v>0.45</v>
      </c>
    </row>
    <row r="276" spans="1:18" s="11" customFormat="1" ht="28.5" customHeight="1" x14ac:dyDescent="0.2">
      <c r="A276" s="1608"/>
      <c r="B276" s="1644"/>
      <c r="C276" s="1382"/>
      <c r="D276" s="1772"/>
      <c r="E276" s="1570"/>
      <c r="F276" s="1556"/>
      <c r="G276" s="1556"/>
      <c r="H276" s="1556"/>
      <c r="I276" s="1556"/>
      <c r="J276" s="1556"/>
      <c r="K276" s="1803" t="s">
        <v>419</v>
      </c>
      <c r="L276" s="1632" t="s">
        <v>106</v>
      </c>
      <c r="M276" s="1634">
        <v>2.5</v>
      </c>
      <c r="N276" s="1634">
        <v>2.5</v>
      </c>
      <c r="O276" s="1634">
        <v>2.5</v>
      </c>
      <c r="P276" s="1634">
        <v>2.5</v>
      </c>
      <c r="Q276" s="1634">
        <v>2.5</v>
      </c>
    </row>
    <row r="277" spans="1:18" s="11" customFormat="1" ht="31.5" customHeight="1" x14ac:dyDescent="0.2">
      <c r="A277" s="1608"/>
      <c r="B277" s="1644"/>
      <c r="C277" s="1382"/>
      <c r="D277" s="1772"/>
      <c r="E277" s="1570"/>
      <c r="F277" s="1556"/>
      <c r="G277" s="1556"/>
      <c r="H277" s="1556"/>
      <c r="I277" s="1556"/>
      <c r="J277" s="1556"/>
      <c r="K277" s="1804"/>
      <c r="L277" s="1633"/>
      <c r="M277" s="1635"/>
      <c r="N277" s="1635"/>
      <c r="O277" s="1635"/>
      <c r="P277" s="1635"/>
      <c r="Q277" s="1635"/>
    </row>
    <row r="278" spans="1:18" s="11" customFormat="1" ht="30" x14ac:dyDescent="0.2">
      <c r="A278" s="1608"/>
      <c r="B278" s="1645"/>
      <c r="C278" s="1383"/>
      <c r="D278" s="1773"/>
      <c r="E278" s="1571"/>
      <c r="F278" s="1556"/>
      <c r="G278" s="1556"/>
      <c r="H278" s="1556"/>
      <c r="I278" s="1556"/>
      <c r="J278" s="1556"/>
      <c r="K278" s="408" t="s">
        <v>420</v>
      </c>
      <c r="L278" s="409" t="s">
        <v>3</v>
      </c>
      <c r="M278" s="410">
        <v>0.81</v>
      </c>
      <c r="N278" s="410">
        <v>0.81</v>
      </c>
      <c r="O278" s="410">
        <v>0.82</v>
      </c>
      <c r="P278" s="410">
        <v>0.83</v>
      </c>
      <c r="Q278" s="410">
        <v>0.84</v>
      </c>
    </row>
    <row r="279" spans="1:18" s="11" customFormat="1" ht="50.45" customHeight="1" x14ac:dyDescent="0.25">
      <c r="A279" s="1608"/>
      <c r="B279" s="1184"/>
      <c r="C279" s="1184" t="s">
        <v>5</v>
      </c>
      <c r="D279" s="1224"/>
      <c r="E279" s="1187" t="s">
        <v>1825</v>
      </c>
      <c r="F279" s="1188">
        <v>19747104.600000001</v>
      </c>
      <c r="G279" s="1185">
        <v>15614747.800000001</v>
      </c>
      <c r="H279" s="1185">
        <v>23252094.199999999</v>
      </c>
      <c r="I279" s="1185">
        <v>22306399.800000001</v>
      </c>
      <c r="J279" s="1185">
        <v>22360423</v>
      </c>
      <c r="K279" s="1187" t="s">
        <v>1501</v>
      </c>
      <c r="L279" s="1186" t="s">
        <v>3</v>
      </c>
      <c r="M279" s="1189">
        <v>0.9</v>
      </c>
      <c r="N279" s="1189">
        <v>0.9</v>
      </c>
      <c r="O279" s="1189">
        <v>1</v>
      </c>
      <c r="P279" s="1189">
        <v>1</v>
      </c>
      <c r="Q279" s="1189">
        <v>1</v>
      </c>
    </row>
    <row r="280" spans="1:18" s="11" customFormat="1" ht="14.25" x14ac:dyDescent="0.2">
      <c r="A280" s="1529" t="s">
        <v>35</v>
      </c>
      <c r="B280" s="1530"/>
      <c r="C280" s="1530"/>
      <c r="D280" s="1530"/>
      <c r="E280" s="1531"/>
      <c r="F280" s="415">
        <f>F275</f>
        <v>19747104.600000001</v>
      </c>
      <c r="G280" s="415">
        <f t="shared" ref="G280:J280" si="63">G275</f>
        <v>15614747.800000001</v>
      </c>
      <c r="H280" s="415">
        <f t="shared" si="63"/>
        <v>23252094.199999999</v>
      </c>
      <c r="I280" s="415">
        <f t="shared" si="63"/>
        <v>22306399.800000001</v>
      </c>
      <c r="J280" s="415">
        <f t="shared" si="63"/>
        <v>22360423</v>
      </c>
      <c r="K280" s="1800"/>
      <c r="L280" s="1800"/>
      <c r="M280" s="1800"/>
      <c r="N280" s="1800"/>
      <c r="O280" s="1800"/>
      <c r="P280" s="1800"/>
      <c r="Q280" s="1800"/>
      <c r="R280" s="73"/>
    </row>
    <row r="281" spans="1:18" s="11" customFormat="1" ht="14.25" x14ac:dyDescent="0.2">
      <c r="A281" s="1631" t="s">
        <v>1601</v>
      </c>
      <c r="B281" s="1631"/>
      <c r="C281" s="1631"/>
      <c r="D281" s="1631"/>
      <c r="E281" s="1631"/>
      <c r="F281" s="1631"/>
      <c r="G281" s="1631"/>
      <c r="H281" s="1631"/>
      <c r="I281" s="1631"/>
      <c r="J281" s="1631"/>
      <c r="K281" s="1631"/>
      <c r="L281" s="1631"/>
      <c r="M281" s="1631"/>
      <c r="N281" s="1631"/>
      <c r="O281" s="1631"/>
      <c r="P281" s="1631"/>
      <c r="Q281" s="1631"/>
    </row>
    <row r="282" spans="1:18" s="11" customFormat="1" ht="60" x14ac:dyDescent="0.2">
      <c r="A282" s="1764">
        <v>26</v>
      </c>
      <c r="B282" s="416" t="s">
        <v>1827</v>
      </c>
      <c r="C282" s="417"/>
      <c r="D282" s="417"/>
      <c r="E282" s="1225" t="s">
        <v>1502</v>
      </c>
      <c r="F282" s="133">
        <v>23827349.600000001</v>
      </c>
      <c r="G282" s="133">
        <v>26675588.5</v>
      </c>
      <c r="H282" s="133">
        <f>H283+H284+H285+H286+H287</f>
        <v>41356789.399999999</v>
      </c>
      <c r="I282" s="133">
        <f t="shared" ref="I282:J282" si="64">I283+I284+I285+I286+I287</f>
        <v>43445220</v>
      </c>
      <c r="J282" s="133">
        <f t="shared" si="64"/>
        <v>45756753.000000007</v>
      </c>
      <c r="K282" s="418" t="s">
        <v>1991</v>
      </c>
      <c r="L282" s="119" t="s">
        <v>180</v>
      </c>
      <c r="M282" s="119">
        <v>0</v>
      </c>
      <c r="N282" s="119">
        <v>0</v>
      </c>
      <c r="O282" s="119">
        <v>0</v>
      </c>
      <c r="P282" s="119">
        <v>0</v>
      </c>
      <c r="Q282" s="119">
        <v>0</v>
      </c>
    </row>
    <row r="283" spans="1:18" s="11" customFormat="1" ht="60" x14ac:dyDescent="0.2">
      <c r="A283" s="1765"/>
      <c r="B283" s="416"/>
      <c r="C283" s="417" t="s">
        <v>5</v>
      </c>
      <c r="D283" s="417"/>
      <c r="E283" s="419" t="s">
        <v>332</v>
      </c>
      <c r="F283" s="48">
        <v>14255838.9</v>
      </c>
      <c r="G283" s="48">
        <v>16557653.9</v>
      </c>
      <c r="H283" s="48">
        <v>29399557.699999999</v>
      </c>
      <c r="I283" s="48">
        <v>30956290.199999999</v>
      </c>
      <c r="J283" s="48">
        <v>32629907.600000001</v>
      </c>
      <c r="K283" s="418" t="s">
        <v>1992</v>
      </c>
      <c r="L283" s="119" t="s">
        <v>180</v>
      </c>
      <c r="M283" s="119">
        <v>0</v>
      </c>
      <c r="N283" s="119">
        <v>0</v>
      </c>
      <c r="O283" s="119">
        <v>0</v>
      </c>
      <c r="P283" s="119">
        <v>0</v>
      </c>
      <c r="Q283" s="119">
        <v>0</v>
      </c>
    </row>
    <row r="284" spans="1:18" s="11" customFormat="1" ht="60" x14ac:dyDescent="0.2">
      <c r="A284" s="1765"/>
      <c r="B284" s="416"/>
      <c r="C284" s="417" t="s">
        <v>6</v>
      </c>
      <c r="D284" s="417"/>
      <c r="E284" s="419" t="s">
        <v>333</v>
      </c>
      <c r="F284" s="48">
        <v>1938691.8</v>
      </c>
      <c r="G284" s="48">
        <v>1986225.4</v>
      </c>
      <c r="H284" s="48">
        <v>2062946.7</v>
      </c>
      <c r="I284" s="48">
        <v>2114911.5</v>
      </c>
      <c r="J284" s="48">
        <v>2167003</v>
      </c>
      <c r="K284" s="418" t="s">
        <v>1992</v>
      </c>
      <c r="L284" s="119" t="s">
        <v>180</v>
      </c>
      <c r="M284" s="119">
        <v>0</v>
      </c>
      <c r="N284" s="119">
        <v>0</v>
      </c>
      <c r="O284" s="119">
        <v>0</v>
      </c>
      <c r="P284" s="119">
        <v>0</v>
      </c>
      <c r="Q284" s="119">
        <v>0</v>
      </c>
    </row>
    <row r="285" spans="1:18" s="11" customFormat="1" ht="60" x14ac:dyDescent="0.2">
      <c r="A285" s="1765"/>
      <c r="B285" s="416"/>
      <c r="C285" s="417" t="s">
        <v>4</v>
      </c>
      <c r="D285" s="417"/>
      <c r="E285" s="419" t="s">
        <v>334</v>
      </c>
      <c r="F285" s="48">
        <v>3730312.1</v>
      </c>
      <c r="G285" s="48">
        <v>4198630</v>
      </c>
      <c r="H285" s="48">
        <v>4644747.4000000004</v>
      </c>
      <c r="I285" s="48">
        <v>4875604.8</v>
      </c>
      <c r="J285" s="48">
        <v>5192447.2</v>
      </c>
      <c r="K285" s="418" t="s">
        <v>1992</v>
      </c>
      <c r="L285" s="119" t="s">
        <v>180</v>
      </c>
      <c r="M285" s="119">
        <v>0</v>
      </c>
      <c r="N285" s="119">
        <v>0</v>
      </c>
      <c r="O285" s="119">
        <v>0</v>
      </c>
      <c r="P285" s="119">
        <v>0</v>
      </c>
      <c r="Q285" s="119">
        <v>0</v>
      </c>
    </row>
    <row r="286" spans="1:18" s="11" customFormat="1" ht="60" x14ac:dyDescent="0.2">
      <c r="A286" s="1765"/>
      <c r="B286" s="416"/>
      <c r="C286" s="417" t="s">
        <v>7</v>
      </c>
      <c r="D286" s="417"/>
      <c r="E286" s="419" t="s">
        <v>1798</v>
      </c>
      <c r="F286" s="48">
        <v>3727619.9</v>
      </c>
      <c r="G286" s="48">
        <v>3933079.2</v>
      </c>
      <c r="H286" s="48">
        <v>4829142.5</v>
      </c>
      <c r="I286" s="48">
        <v>5043243</v>
      </c>
      <c r="J286" s="48">
        <v>5277433</v>
      </c>
      <c r="K286" s="418" t="s">
        <v>1992</v>
      </c>
      <c r="L286" s="119" t="s">
        <v>180</v>
      </c>
      <c r="M286" s="119">
        <v>0</v>
      </c>
      <c r="N286" s="119">
        <v>0</v>
      </c>
      <c r="O286" s="119">
        <v>0</v>
      </c>
      <c r="P286" s="119">
        <v>0</v>
      </c>
      <c r="Q286" s="119">
        <v>0</v>
      </c>
    </row>
    <row r="287" spans="1:18" s="11" customFormat="1" ht="75" x14ac:dyDescent="0.2">
      <c r="A287" s="1766"/>
      <c r="B287" s="416"/>
      <c r="C287" s="417" t="s">
        <v>8</v>
      </c>
      <c r="D287" s="417"/>
      <c r="E287" s="419" t="s">
        <v>335</v>
      </c>
      <c r="F287" s="48">
        <v>174886.9</v>
      </c>
      <c r="G287" s="48"/>
      <c r="H287" s="48">
        <v>420395.1</v>
      </c>
      <c r="I287" s="48">
        <v>455170.5</v>
      </c>
      <c r="J287" s="48">
        <v>489962.2</v>
      </c>
      <c r="K287" s="418" t="s">
        <v>1992</v>
      </c>
      <c r="L287" s="119" t="s">
        <v>180</v>
      </c>
      <c r="M287" s="119">
        <v>0</v>
      </c>
      <c r="N287" s="119">
        <v>0</v>
      </c>
      <c r="O287" s="119">
        <v>0</v>
      </c>
      <c r="P287" s="119">
        <v>0</v>
      </c>
      <c r="Q287" s="119">
        <v>0</v>
      </c>
    </row>
    <row r="288" spans="1:18" s="11" customFormat="1" ht="14.25" x14ac:dyDescent="0.2">
      <c r="A288" s="1529" t="s">
        <v>35</v>
      </c>
      <c r="B288" s="1530"/>
      <c r="C288" s="1530"/>
      <c r="D288" s="1530"/>
      <c r="E288" s="1531"/>
      <c r="F288" s="420">
        <v>23827349.600000001</v>
      </c>
      <c r="G288" s="420">
        <v>26675588.5</v>
      </c>
      <c r="H288" s="391">
        <f>H282</f>
        <v>41356789.399999999</v>
      </c>
      <c r="I288" s="391">
        <f t="shared" ref="I288:J288" si="65">I282</f>
        <v>43445220</v>
      </c>
      <c r="J288" s="391">
        <f t="shared" si="65"/>
        <v>45756753.000000007</v>
      </c>
      <c r="K288" s="392"/>
      <c r="L288" s="392"/>
      <c r="M288" s="392"/>
      <c r="N288" s="392"/>
      <c r="O288" s="392"/>
      <c r="P288" s="392"/>
      <c r="Q288" s="393"/>
    </row>
    <row r="289" spans="1:17" s="11" customFormat="1" ht="14.25" x14ac:dyDescent="0.2">
      <c r="A289" s="1532" t="s">
        <v>341</v>
      </c>
      <c r="B289" s="1533"/>
      <c r="C289" s="1533"/>
      <c r="D289" s="1533"/>
      <c r="E289" s="1533"/>
      <c r="F289" s="1533"/>
      <c r="G289" s="1533"/>
      <c r="H289" s="1533"/>
      <c r="I289" s="1533"/>
      <c r="J289" s="1533"/>
      <c r="K289" s="1533"/>
      <c r="L289" s="1533"/>
      <c r="M289" s="1533"/>
      <c r="N289" s="1533"/>
      <c r="O289" s="1533"/>
      <c r="P289" s="1533"/>
      <c r="Q289" s="1534"/>
    </row>
    <row r="290" spans="1:17" s="11" customFormat="1" ht="42.75" x14ac:dyDescent="0.2">
      <c r="A290" s="1535">
        <v>26</v>
      </c>
      <c r="B290" s="421">
        <v>263</v>
      </c>
      <c r="C290" s="422"/>
      <c r="D290" s="422"/>
      <c r="E290" s="422" t="s">
        <v>341</v>
      </c>
      <c r="F290" s="104">
        <f>SUM(F291:F309)</f>
        <v>40942730.011829995</v>
      </c>
      <c r="G290" s="104">
        <v>97520377</v>
      </c>
      <c r="H290" s="104">
        <f>SUM(H291:H324)</f>
        <v>67364740.599999994</v>
      </c>
      <c r="I290" s="104">
        <f t="shared" ref="I290:J290" si="66">SUM(I291:I324)</f>
        <v>134243073.75800002</v>
      </c>
      <c r="J290" s="104">
        <f t="shared" si="66"/>
        <v>181339610.574</v>
      </c>
      <c r="K290" s="423" t="s">
        <v>342</v>
      </c>
      <c r="L290" s="424" t="s">
        <v>3</v>
      </c>
      <c r="M290" s="424">
        <v>100</v>
      </c>
      <c r="N290" s="424">
        <v>100</v>
      </c>
      <c r="O290" s="424">
        <v>100</v>
      </c>
      <c r="P290" s="424">
        <v>100</v>
      </c>
      <c r="Q290" s="424">
        <v>100</v>
      </c>
    </row>
    <row r="291" spans="1:17" s="11" customFormat="1" ht="60" x14ac:dyDescent="0.25">
      <c r="A291" s="1536"/>
      <c r="B291" s="1226"/>
      <c r="C291" s="425" t="s">
        <v>4</v>
      </c>
      <c r="D291" s="426"/>
      <c r="E291" s="427" t="s">
        <v>343</v>
      </c>
      <c r="F291" s="49">
        <v>0</v>
      </c>
      <c r="G291" s="49">
        <v>87650</v>
      </c>
      <c r="H291" s="49">
        <v>71425</v>
      </c>
      <c r="I291" s="49">
        <v>41025</v>
      </c>
      <c r="J291" s="49">
        <v>38525</v>
      </c>
      <c r="K291" s="428" t="s">
        <v>344</v>
      </c>
      <c r="L291" s="429" t="s">
        <v>3</v>
      </c>
      <c r="M291" s="429">
        <v>100</v>
      </c>
      <c r="N291" s="429">
        <v>100</v>
      </c>
      <c r="O291" s="429">
        <v>100</v>
      </c>
      <c r="P291" s="429">
        <v>100</v>
      </c>
      <c r="Q291" s="429">
        <v>100</v>
      </c>
    </row>
    <row r="292" spans="1:17" s="11" customFormat="1" ht="45" x14ac:dyDescent="0.25">
      <c r="A292" s="1536"/>
      <c r="B292" s="1226"/>
      <c r="C292" s="425" t="s">
        <v>7</v>
      </c>
      <c r="D292" s="426"/>
      <c r="E292" s="427" t="s">
        <v>345</v>
      </c>
      <c r="F292" s="49">
        <v>0</v>
      </c>
      <c r="G292" s="49">
        <v>500000</v>
      </c>
      <c r="H292" s="49">
        <v>500000</v>
      </c>
      <c r="I292" s="49">
        <v>500000</v>
      </c>
      <c r="J292" s="49">
        <v>500000</v>
      </c>
      <c r="K292" s="428" t="s">
        <v>346</v>
      </c>
      <c r="L292" s="429" t="s">
        <v>3</v>
      </c>
      <c r="M292" s="429">
        <v>20</v>
      </c>
      <c r="N292" s="429">
        <v>40</v>
      </c>
      <c r="O292" s="429">
        <v>50</v>
      </c>
      <c r="P292" s="429">
        <v>75</v>
      </c>
      <c r="Q292" s="429">
        <v>100</v>
      </c>
    </row>
    <row r="293" spans="1:17" s="11" customFormat="1" ht="75" x14ac:dyDescent="0.25">
      <c r="A293" s="1536"/>
      <c r="B293" s="1226"/>
      <c r="C293" s="425" t="s">
        <v>9</v>
      </c>
      <c r="D293" s="426"/>
      <c r="E293" s="427" t="s">
        <v>1791</v>
      </c>
      <c r="F293" s="49">
        <v>0</v>
      </c>
      <c r="G293" s="49">
        <v>600000</v>
      </c>
      <c r="H293" s="49">
        <v>900000</v>
      </c>
      <c r="I293" s="49">
        <v>900000</v>
      </c>
      <c r="J293" s="49">
        <v>900000</v>
      </c>
      <c r="K293" s="428" t="s">
        <v>347</v>
      </c>
      <c r="L293" s="429" t="s">
        <v>3</v>
      </c>
      <c r="M293" s="429">
        <v>40</v>
      </c>
      <c r="N293" s="429">
        <v>50</v>
      </c>
      <c r="O293" s="429">
        <v>60</v>
      </c>
      <c r="P293" s="429">
        <v>70</v>
      </c>
      <c r="Q293" s="429">
        <v>90</v>
      </c>
    </row>
    <row r="294" spans="1:17" s="11" customFormat="1" ht="30" x14ac:dyDescent="0.25">
      <c r="A294" s="1536"/>
      <c r="B294" s="1226"/>
      <c r="C294" s="425" t="s">
        <v>10</v>
      </c>
      <c r="D294" s="426"/>
      <c r="E294" s="427" t="s">
        <v>348</v>
      </c>
      <c r="F294" s="49">
        <v>529791.03437999997</v>
      </c>
      <c r="G294" s="49">
        <v>700000</v>
      </c>
      <c r="H294" s="49">
        <v>1350200</v>
      </c>
      <c r="I294" s="49">
        <v>2646038.628</v>
      </c>
      <c r="J294" s="49">
        <v>3286895.304</v>
      </c>
      <c r="K294" s="428" t="s">
        <v>349</v>
      </c>
      <c r="L294" s="429" t="s">
        <v>3</v>
      </c>
      <c r="M294" s="429">
        <v>100</v>
      </c>
      <c r="N294" s="429">
        <v>100</v>
      </c>
      <c r="O294" s="429">
        <v>100</v>
      </c>
      <c r="P294" s="429">
        <v>100</v>
      </c>
      <c r="Q294" s="429">
        <v>100</v>
      </c>
    </row>
    <row r="295" spans="1:17" s="11" customFormat="1" ht="45" x14ac:dyDescent="0.25">
      <c r="A295" s="1536"/>
      <c r="B295" s="1226"/>
      <c r="C295" s="425" t="s">
        <v>11</v>
      </c>
      <c r="D295" s="426"/>
      <c r="E295" s="430" t="s">
        <v>350</v>
      </c>
      <c r="F295" s="49">
        <v>29532815.395599999</v>
      </c>
      <c r="G295" s="49">
        <v>11463447</v>
      </c>
      <c r="H295" s="49">
        <v>14239380.4</v>
      </c>
      <c r="I295" s="49">
        <v>15694068.23</v>
      </c>
      <c r="J295" s="49">
        <v>16100898.869999999</v>
      </c>
      <c r="K295" s="428" t="s">
        <v>351</v>
      </c>
      <c r="L295" s="429" t="s">
        <v>3</v>
      </c>
      <c r="M295" s="429">
        <v>100</v>
      </c>
      <c r="N295" s="429">
        <v>100</v>
      </c>
      <c r="O295" s="429">
        <v>100</v>
      </c>
      <c r="P295" s="429">
        <v>100</v>
      </c>
      <c r="Q295" s="429">
        <v>100</v>
      </c>
    </row>
    <row r="296" spans="1:17" s="11" customFormat="1" ht="30" x14ac:dyDescent="0.25">
      <c r="A296" s="1536"/>
      <c r="B296" s="1226"/>
      <c r="C296" s="425" t="s">
        <v>14</v>
      </c>
      <c r="D296" s="426"/>
      <c r="E296" s="430" t="s">
        <v>352</v>
      </c>
      <c r="F296" s="49">
        <v>529999.99985999998</v>
      </c>
      <c r="G296" s="49">
        <v>500000</v>
      </c>
      <c r="H296" s="49">
        <v>500000</v>
      </c>
      <c r="I296" s="49">
        <v>505111.8</v>
      </c>
      <c r="J296" s="49">
        <v>510161.1</v>
      </c>
      <c r="K296" s="428" t="s">
        <v>353</v>
      </c>
      <c r="L296" s="429" t="s">
        <v>3</v>
      </c>
      <c r="M296" s="429">
        <v>100</v>
      </c>
      <c r="N296" s="429">
        <v>100</v>
      </c>
      <c r="O296" s="429">
        <v>100</v>
      </c>
      <c r="P296" s="429">
        <v>100</v>
      </c>
      <c r="Q296" s="429">
        <v>100</v>
      </c>
    </row>
    <row r="297" spans="1:17" s="11" customFormat="1" ht="30" x14ac:dyDescent="0.25">
      <c r="A297" s="1536"/>
      <c r="B297" s="1226"/>
      <c r="C297" s="425" t="s">
        <v>15</v>
      </c>
      <c r="D297" s="426"/>
      <c r="E297" s="430" t="s">
        <v>1603</v>
      </c>
      <c r="F297" s="49">
        <v>13097.16872</v>
      </c>
      <c r="G297" s="49">
        <v>30300.799999999999</v>
      </c>
      <c r="H297" s="49">
        <v>30300</v>
      </c>
      <c r="I297" s="49">
        <v>30300</v>
      </c>
      <c r="J297" s="49">
        <v>30300</v>
      </c>
      <c r="K297" s="428" t="s">
        <v>354</v>
      </c>
      <c r="L297" s="429" t="s">
        <v>3</v>
      </c>
      <c r="M297" s="429">
        <v>100</v>
      </c>
      <c r="N297" s="429">
        <v>100</v>
      </c>
      <c r="O297" s="429">
        <v>100</v>
      </c>
      <c r="P297" s="429">
        <v>100</v>
      </c>
      <c r="Q297" s="429">
        <v>100</v>
      </c>
    </row>
    <row r="298" spans="1:17" s="11" customFormat="1" ht="45" x14ac:dyDescent="0.25">
      <c r="A298" s="1536"/>
      <c r="B298" s="1226"/>
      <c r="C298" s="425" t="s">
        <v>224</v>
      </c>
      <c r="D298" s="426"/>
      <c r="E298" s="430" t="s">
        <v>355</v>
      </c>
      <c r="F298" s="49">
        <v>25115.883969999999</v>
      </c>
      <c r="G298" s="49">
        <v>45000</v>
      </c>
      <c r="H298" s="49">
        <v>45000</v>
      </c>
      <c r="I298" s="49">
        <v>45000</v>
      </c>
      <c r="J298" s="49">
        <v>45000</v>
      </c>
      <c r="K298" s="428" t="s">
        <v>356</v>
      </c>
      <c r="L298" s="429" t="s">
        <v>3</v>
      </c>
      <c r="M298" s="429">
        <v>100</v>
      </c>
      <c r="N298" s="429">
        <v>100</v>
      </c>
      <c r="O298" s="429">
        <v>100</v>
      </c>
      <c r="P298" s="429">
        <v>100</v>
      </c>
      <c r="Q298" s="429">
        <v>100</v>
      </c>
    </row>
    <row r="299" spans="1:17" s="11" customFormat="1" ht="30" x14ac:dyDescent="0.25">
      <c r="A299" s="1536"/>
      <c r="B299" s="1226"/>
      <c r="C299" s="425" t="s">
        <v>29</v>
      </c>
      <c r="D299" s="426"/>
      <c r="E299" s="430" t="s">
        <v>357</v>
      </c>
      <c r="F299" s="49">
        <v>1829690.8792999999</v>
      </c>
      <c r="G299" s="49">
        <v>1112000</v>
      </c>
      <c r="H299" s="49">
        <v>633265.1</v>
      </c>
      <c r="I299" s="49">
        <v>544079.69999999995</v>
      </c>
      <c r="J299" s="49">
        <v>528497</v>
      </c>
      <c r="K299" s="428" t="s">
        <v>358</v>
      </c>
      <c r="L299" s="429" t="s">
        <v>3</v>
      </c>
      <c r="M299" s="429">
        <v>100</v>
      </c>
      <c r="N299" s="429">
        <v>100</v>
      </c>
      <c r="O299" s="429">
        <v>100</v>
      </c>
      <c r="P299" s="429">
        <v>100</v>
      </c>
      <c r="Q299" s="429">
        <v>100</v>
      </c>
    </row>
    <row r="300" spans="1:17" s="11" customFormat="1" ht="30" x14ac:dyDescent="0.25">
      <c r="A300" s="1536"/>
      <c r="B300" s="1226"/>
      <c r="C300" s="425" t="s">
        <v>225</v>
      </c>
      <c r="D300" s="426"/>
      <c r="E300" s="430" t="s">
        <v>359</v>
      </c>
      <c r="F300" s="49">
        <v>100000</v>
      </c>
      <c r="G300" s="49">
        <v>150000</v>
      </c>
      <c r="H300" s="49">
        <v>200000</v>
      </c>
      <c r="I300" s="49">
        <v>250000</v>
      </c>
      <c r="J300" s="49">
        <v>250000</v>
      </c>
      <c r="K300" s="428" t="s">
        <v>360</v>
      </c>
      <c r="L300" s="429" t="s">
        <v>3</v>
      </c>
      <c r="M300" s="429">
        <v>40</v>
      </c>
      <c r="N300" s="429">
        <v>50</v>
      </c>
      <c r="O300" s="429">
        <v>60</v>
      </c>
      <c r="P300" s="429">
        <v>70</v>
      </c>
      <c r="Q300" s="429">
        <v>90</v>
      </c>
    </row>
    <row r="301" spans="1:17" s="11" customFormat="1" ht="30" x14ac:dyDescent="0.25">
      <c r="A301" s="1536"/>
      <c r="B301" s="1226"/>
      <c r="C301" s="425" t="s">
        <v>226</v>
      </c>
      <c r="D301" s="426"/>
      <c r="E301" s="430" t="s">
        <v>361</v>
      </c>
      <c r="F301" s="49">
        <v>5330076.6500000004</v>
      </c>
      <c r="G301" s="49">
        <v>500000</v>
      </c>
      <c r="H301" s="49">
        <v>1000000</v>
      </c>
      <c r="I301" s="49">
        <v>1000000</v>
      </c>
      <c r="J301" s="49">
        <v>1000000</v>
      </c>
      <c r="K301" s="428" t="s">
        <v>358</v>
      </c>
      <c r="L301" s="429" t="s">
        <v>3</v>
      </c>
      <c r="M301" s="429">
        <v>100</v>
      </c>
      <c r="N301" s="429">
        <v>100</v>
      </c>
      <c r="O301" s="429">
        <v>100</v>
      </c>
      <c r="P301" s="429">
        <v>100</v>
      </c>
      <c r="Q301" s="429">
        <v>100</v>
      </c>
    </row>
    <row r="302" spans="1:17" s="11" customFormat="1" ht="30" x14ac:dyDescent="0.25">
      <c r="A302" s="1536"/>
      <c r="B302" s="1226"/>
      <c r="C302" s="425" t="s">
        <v>219</v>
      </c>
      <c r="D302" s="426"/>
      <c r="E302" s="430" t="s">
        <v>362</v>
      </c>
      <c r="F302" s="49">
        <v>0</v>
      </c>
      <c r="G302" s="49">
        <v>801377.3</v>
      </c>
      <c r="H302" s="49">
        <v>952800.9</v>
      </c>
      <c r="I302" s="49">
        <v>1818000</v>
      </c>
      <c r="J302" s="49">
        <v>1836180</v>
      </c>
      <c r="K302" s="428" t="s">
        <v>363</v>
      </c>
      <c r="L302" s="429" t="s">
        <v>3</v>
      </c>
      <c r="M302" s="429">
        <v>100</v>
      </c>
      <c r="N302" s="429">
        <v>100</v>
      </c>
      <c r="O302" s="429">
        <v>100</v>
      </c>
      <c r="P302" s="429">
        <v>100</v>
      </c>
      <c r="Q302" s="429">
        <v>100</v>
      </c>
    </row>
    <row r="303" spans="1:17" s="11" customFormat="1" ht="15" x14ac:dyDescent="0.25">
      <c r="A303" s="1536"/>
      <c r="B303" s="1226"/>
      <c r="C303" s="425" t="s">
        <v>337</v>
      </c>
      <c r="D303" s="426"/>
      <c r="E303" s="408" t="s">
        <v>364</v>
      </c>
      <c r="F303" s="49">
        <v>2950000</v>
      </c>
      <c r="G303" s="49">
        <v>4339018.8</v>
      </c>
      <c r="H303" s="49"/>
      <c r="I303" s="49"/>
      <c r="J303" s="49"/>
      <c r="K303" s="428" t="s">
        <v>365</v>
      </c>
      <c r="L303" s="429" t="s">
        <v>3</v>
      </c>
      <c r="M303" s="429" t="s">
        <v>336</v>
      </c>
      <c r="N303" s="429" t="s">
        <v>336</v>
      </c>
      <c r="O303" s="429">
        <v>100</v>
      </c>
      <c r="P303" s="429" t="s">
        <v>336</v>
      </c>
      <c r="Q303" s="429" t="s">
        <v>336</v>
      </c>
    </row>
    <row r="304" spans="1:17" s="11" customFormat="1" ht="45" x14ac:dyDescent="0.25">
      <c r="A304" s="1536"/>
      <c r="B304" s="1226"/>
      <c r="C304" s="425" t="s">
        <v>220</v>
      </c>
      <c r="D304" s="426"/>
      <c r="E304" s="430" t="s">
        <v>1461</v>
      </c>
      <c r="F304" s="49"/>
      <c r="G304" s="49">
        <v>72994638.5</v>
      </c>
      <c r="H304" s="49">
        <v>7279069.9000000004</v>
      </c>
      <c r="I304" s="49">
        <v>47750800.200000003</v>
      </c>
      <c r="J304" s="49">
        <v>95697371.900000006</v>
      </c>
      <c r="K304" s="428" t="s">
        <v>366</v>
      </c>
      <c r="L304" s="429" t="s">
        <v>3</v>
      </c>
      <c r="M304" s="429"/>
      <c r="N304" s="429"/>
      <c r="O304" s="429">
        <v>100</v>
      </c>
      <c r="P304" s="429">
        <v>100</v>
      </c>
      <c r="Q304" s="429">
        <v>100</v>
      </c>
    </row>
    <row r="305" spans="1:17" s="11" customFormat="1" ht="45" x14ac:dyDescent="0.25">
      <c r="A305" s="1536"/>
      <c r="B305" s="1226"/>
      <c r="C305" s="425" t="s">
        <v>338</v>
      </c>
      <c r="D305" s="426"/>
      <c r="E305" s="430" t="s">
        <v>1604</v>
      </c>
      <c r="F305" s="49"/>
      <c r="G305" s="49">
        <v>1996944.6</v>
      </c>
      <c r="H305" s="49">
        <v>500000</v>
      </c>
      <c r="I305" s="49">
        <v>500000</v>
      </c>
      <c r="J305" s="49">
        <v>500000</v>
      </c>
      <c r="K305" s="428" t="s">
        <v>367</v>
      </c>
      <c r="L305" s="429" t="s">
        <v>3</v>
      </c>
      <c r="M305" s="429"/>
      <c r="N305" s="429"/>
      <c r="O305" s="429">
        <v>100</v>
      </c>
      <c r="P305" s="429">
        <v>100</v>
      </c>
      <c r="Q305" s="429">
        <v>100</v>
      </c>
    </row>
    <row r="306" spans="1:17" s="11" customFormat="1" ht="30" x14ac:dyDescent="0.25">
      <c r="A306" s="1536"/>
      <c r="B306" s="1226"/>
      <c r="C306" s="425" t="s">
        <v>17</v>
      </c>
      <c r="D306" s="426"/>
      <c r="E306" s="430" t="s">
        <v>368</v>
      </c>
      <c r="F306" s="49">
        <v>102143</v>
      </c>
      <c r="G306" s="49">
        <v>300000</v>
      </c>
      <c r="H306" s="49"/>
      <c r="I306" s="49"/>
      <c r="J306" s="49"/>
      <c r="K306" s="428" t="s">
        <v>369</v>
      </c>
      <c r="L306" s="429" t="s">
        <v>3</v>
      </c>
      <c r="M306" s="429"/>
      <c r="N306" s="429"/>
      <c r="O306" s="429">
        <v>100</v>
      </c>
      <c r="P306" s="429"/>
      <c r="Q306" s="429"/>
    </row>
    <row r="307" spans="1:17" s="11" customFormat="1" ht="15" x14ac:dyDescent="0.25">
      <c r="A307" s="1536"/>
      <c r="B307" s="1226"/>
      <c r="C307" s="425" t="s">
        <v>560</v>
      </c>
      <c r="D307" s="426"/>
      <c r="E307" s="430" t="s">
        <v>565</v>
      </c>
      <c r="F307" s="49"/>
      <c r="G307" s="49"/>
      <c r="H307" s="49">
        <v>1500000</v>
      </c>
      <c r="I307" s="49">
        <v>1900000</v>
      </c>
      <c r="J307" s="49">
        <v>300000</v>
      </c>
      <c r="K307" s="428" t="s">
        <v>365</v>
      </c>
      <c r="L307" s="429"/>
      <c r="M307" s="429"/>
      <c r="N307" s="429"/>
      <c r="O307" s="429">
        <v>100</v>
      </c>
      <c r="P307" s="429">
        <v>100</v>
      </c>
      <c r="Q307" s="429">
        <v>100</v>
      </c>
    </row>
    <row r="308" spans="1:17" s="11" customFormat="1" ht="30" x14ac:dyDescent="0.25">
      <c r="A308" s="1536"/>
      <c r="B308" s="1226"/>
      <c r="C308" s="407" t="s">
        <v>339</v>
      </c>
      <c r="D308" s="149"/>
      <c r="E308" s="408" t="s">
        <v>370</v>
      </c>
      <c r="F308" s="49">
        <v>0</v>
      </c>
      <c r="G308" s="49">
        <v>900000</v>
      </c>
      <c r="H308" s="49"/>
      <c r="I308" s="49"/>
      <c r="J308" s="49"/>
      <c r="K308" s="428" t="s">
        <v>365</v>
      </c>
      <c r="L308" s="429" t="s">
        <v>3</v>
      </c>
      <c r="M308" s="429"/>
      <c r="N308" s="429"/>
      <c r="O308" s="429">
        <v>100</v>
      </c>
      <c r="P308" s="429"/>
      <c r="Q308" s="429"/>
    </row>
    <row r="309" spans="1:17" s="11" customFormat="1" ht="45" x14ac:dyDescent="0.25">
      <c r="A309" s="1536"/>
      <c r="B309" s="1226"/>
      <c r="C309" s="407" t="s">
        <v>340</v>
      </c>
      <c r="D309" s="149"/>
      <c r="E309" s="408" t="s">
        <v>371</v>
      </c>
      <c r="F309" s="49"/>
      <c r="G309" s="49">
        <v>500000</v>
      </c>
      <c r="H309" s="49">
        <v>500000</v>
      </c>
      <c r="I309" s="49">
        <v>500000</v>
      </c>
      <c r="J309" s="49">
        <v>500000</v>
      </c>
      <c r="K309" s="428" t="s">
        <v>372</v>
      </c>
      <c r="L309" s="429" t="s">
        <v>3</v>
      </c>
      <c r="M309" s="429"/>
      <c r="N309" s="429"/>
      <c r="O309" s="429">
        <v>100</v>
      </c>
      <c r="P309" s="429">
        <v>100</v>
      </c>
      <c r="Q309" s="429">
        <v>100</v>
      </c>
    </row>
    <row r="310" spans="1:17" s="11" customFormat="1" ht="30" x14ac:dyDescent="0.25">
      <c r="A310" s="1536"/>
      <c r="B310" s="1226"/>
      <c r="C310" s="407" t="s">
        <v>561</v>
      </c>
      <c r="D310" s="149"/>
      <c r="E310" s="431" t="s">
        <v>566</v>
      </c>
      <c r="F310" s="49"/>
      <c r="G310" s="49"/>
      <c r="H310" s="49">
        <v>1000000</v>
      </c>
      <c r="I310" s="49">
        <v>1000000</v>
      </c>
      <c r="J310" s="49">
        <v>1000000</v>
      </c>
      <c r="K310" s="428" t="s">
        <v>365</v>
      </c>
      <c r="L310" s="429" t="s">
        <v>3</v>
      </c>
      <c r="M310" s="429"/>
      <c r="N310" s="429"/>
      <c r="O310" s="429">
        <v>100</v>
      </c>
      <c r="P310" s="429">
        <v>100</v>
      </c>
      <c r="Q310" s="429">
        <v>100</v>
      </c>
    </row>
    <row r="311" spans="1:17" s="11" customFormat="1" ht="15" x14ac:dyDescent="0.25">
      <c r="A311" s="1536"/>
      <c r="B311" s="1226"/>
      <c r="C311" s="407" t="s">
        <v>562</v>
      </c>
      <c r="D311" s="149"/>
      <c r="E311" s="431" t="s">
        <v>567</v>
      </c>
      <c r="F311" s="49"/>
      <c r="G311" s="49"/>
      <c r="H311" s="49">
        <v>1500000</v>
      </c>
      <c r="I311" s="49">
        <v>1100000</v>
      </c>
      <c r="J311" s="49">
        <v>200000</v>
      </c>
      <c r="K311" s="428" t="s">
        <v>365</v>
      </c>
      <c r="L311" s="429" t="s">
        <v>3</v>
      </c>
      <c r="M311" s="429"/>
      <c r="N311" s="429"/>
      <c r="O311" s="429">
        <v>100</v>
      </c>
      <c r="P311" s="429">
        <v>100</v>
      </c>
      <c r="Q311" s="429">
        <v>100</v>
      </c>
    </row>
    <row r="312" spans="1:17" s="11" customFormat="1" ht="15" x14ac:dyDescent="0.25">
      <c r="A312" s="1536"/>
      <c r="B312" s="1226"/>
      <c r="C312" s="407" t="s">
        <v>23</v>
      </c>
      <c r="D312" s="149"/>
      <c r="E312" s="431" t="s">
        <v>568</v>
      </c>
      <c r="F312" s="49"/>
      <c r="G312" s="49"/>
      <c r="H312" s="49">
        <v>400000</v>
      </c>
      <c r="I312" s="49"/>
      <c r="J312" s="49"/>
      <c r="K312" s="428" t="s">
        <v>365</v>
      </c>
      <c r="L312" s="429" t="s">
        <v>3</v>
      </c>
      <c r="M312" s="429"/>
      <c r="N312" s="429"/>
      <c r="O312" s="429">
        <v>100</v>
      </c>
      <c r="P312" s="429"/>
      <c r="Q312" s="429"/>
    </row>
    <row r="313" spans="1:17" s="11" customFormat="1" ht="15" x14ac:dyDescent="0.25">
      <c r="A313" s="1536"/>
      <c r="B313" s="1226"/>
      <c r="C313" s="407" t="s">
        <v>1828</v>
      </c>
      <c r="D313" s="149"/>
      <c r="E313" s="431" t="s">
        <v>1829</v>
      </c>
      <c r="F313" s="49"/>
      <c r="G313" s="49"/>
      <c r="H313" s="49">
        <v>550000</v>
      </c>
      <c r="I313" s="49"/>
      <c r="J313" s="49"/>
      <c r="K313" s="428"/>
      <c r="L313" s="429"/>
      <c r="M313" s="429"/>
      <c r="N313" s="429"/>
      <c r="O313" s="429"/>
      <c r="P313" s="429"/>
      <c r="Q313" s="429"/>
    </row>
    <row r="314" spans="1:17" s="11" customFormat="1" ht="15" x14ac:dyDescent="0.25">
      <c r="A314" s="1536"/>
      <c r="B314" s="1226"/>
      <c r="C314" s="407" t="s">
        <v>564</v>
      </c>
      <c r="D314" s="149"/>
      <c r="E314" s="431" t="s">
        <v>569</v>
      </c>
      <c r="F314" s="49"/>
      <c r="G314" s="49"/>
      <c r="H314" s="49">
        <v>1000000</v>
      </c>
      <c r="I314" s="49">
        <v>1000000</v>
      </c>
      <c r="J314" s="49">
        <v>1000000</v>
      </c>
      <c r="K314" s="428" t="s">
        <v>572</v>
      </c>
      <c r="L314" s="429" t="s">
        <v>3</v>
      </c>
      <c r="M314" s="429"/>
      <c r="N314" s="429"/>
      <c r="O314" s="429">
        <v>100</v>
      </c>
      <c r="P314" s="429">
        <v>100</v>
      </c>
      <c r="Q314" s="429">
        <v>100</v>
      </c>
    </row>
    <row r="315" spans="1:17" s="11" customFormat="1" ht="30" x14ac:dyDescent="0.25">
      <c r="A315" s="1536"/>
      <c r="B315" s="1226"/>
      <c r="C315" s="407" t="s">
        <v>559</v>
      </c>
      <c r="D315" s="149"/>
      <c r="E315" s="431" t="s">
        <v>558</v>
      </c>
      <c r="F315" s="432"/>
      <c r="G315" s="432"/>
      <c r="H315" s="49">
        <v>17800000</v>
      </c>
      <c r="I315" s="49"/>
      <c r="J315" s="49"/>
      <c r="K315" s="428" t="s">
        <v>365</v>
      </c>
      <c r="L315" s="429" t="s">
        <v>3</v>
      </c>
      <c r="M315" s="429"/>
      <c r="N315" s="429"/>
      <c r="O315" s="429">
        <v>100</v>
      </c>
      <c r="P315" s="429"/>
      <c r="Q315" s="429"/>
    </row>
    <row r="316" spans="1:17" s="11" customFormat="1" ht="30" x14ac:dyDescent="0.25">
      <c r="A316" s="1536"/>
      <c r="B316" s="433"/>
      <c r="C316" s="407" t="s">
        <v>22</v>
      </c>
      <c r="D316" s="149"/>
      <c r="E316" s="431" t="s">
        <v>570</v>
      </c>
      <c r="F316" s="432"/>
      <c r="G316" s="432"/>
      <c r="H316" s="49">
        <v>10800299.300000001</v>
      </c>
      <c r="I316" s="49">
        <v>55847250.200000003</v>
      </c>
      <c r="J316" s="49">
        <v>57065781.399999999</v>
      </c>
      <c r="K316" s="428" t="s">
        <v>365</v>
      </c>
      <c r="L316" s="429" t="s">
        <v>3</v>
      </c>
      <c r="M316" s="429"/>
      <c r="N316" s="429"/>
      <c r="O316" s="429">
        <v>100</v>
      </c>
      <c r="P316" s="429">
        <v>100</v>
      </c>
      <c r="Q316" s="429">
        <v>100</v>
      </c>
    </row>
    <row r="317" spans="1:17" s="11" customFormat="1" ht="15" x14ac:dyDescent="0.25">
      <c r="A317" s="1536"/>
      <c r="B317" s="433"/>
      <c r="C317" s="407" t="s">
        <v>573</v>
      </c>
      <c r="D317" s="149"/>
      <c r="E317" s="431" t="s">
        <v>575</v>
      </c>
      <c r="F317" s="432"/>
      <c r="G317" s="432"/>
      <c r="H317" s="49">
        <v>280000</v>
      </c>
      <c r="I317" s="49"/>
      <c r="J317" s="49"/>
      <c r="K317" s="428" t="s">
        <v>365</v>
      </c>
      <c r="L317" s="429" t="s">
        <v>3</v>
      </c>
      <c r="M317" s="429"/>
      <c r="N317" s="429"/>
      <c r="O317" s="429">
        <v>100</v>
      </c>
      <c r="P317" s="429"/>
      <c r="Q317" s="429"/>
    </row>
    <row r="318" spans="1:17" s="11" customFormat="1" ht="15" x14ac:dyDescent="0.25">
      <c r="A318" s="1536"/>
      <c r="B318" s="433"/>
      <c r="C318" s="407" t="s">
        <v>563</v>
      </c>
      <c r="D318" s="149"/>
      <c r="E318" s="431" t="s">
        <v>571</v>
      </c>
      <c r="F318" s="432"/>
      <c r="G318" s="432"/>
      <c r="H318" s="49">
        <v>816700</v>
      </c>
      <c r="I318" s="49">
        <v>621400</v>
      </c>
      <c r="J318" s="49"/>
      <c r="K318" s="428" t="s">
        <v>365</v>
      </c>
      <c r="L318" s="429" t="s">
        <v>3</v>
      </c>
      <c r="M318" s="429"/>
      <c r="N318" s="429"/>
      <c r="O318" s="429">
        <v>100</v>
      </c>
      <c r="P318" s="429">
        <v>100</v>
      </c>
      <c r="Q318" s="429"/>
    </row>
    <row r="319" spans="1:17" s="11" customFormat="1" ht="15" x14ac:dyDescent="0.25">
      <c r="A319" s="1536"/>
      <c r="B319" s="433"/>
      <c r="C319" s="407" t="s">
        <v>574</v>
      </c>
      <c r="D319" s="149"/>
      <c r="E319" s="431" t="s">
        <v>576</v>
      </c>
      <c r="F319" s="432"/>
      <c r="G319" s="432"/>
      <c r="H319" s="49">
        <v>50000</v>
      </c>
      <c r="I319" s="49">
        <v>50000</v>
      </c>
      <c r="J319" s="49">
        <v>50000</v>
      </c>
      <c r="K319" s="428" t="s">
        <v>572</v>
      </c>
      <c r="L319" s="429" t="s">
        <v>3</v>
      </c>
      <c r="M319" s="429"/>
      <c r="N319" s="429"/>
      <c r="O319" s="429">
        <v>100</v>
      </c>
      <c r="P319" s="429">
        <v>100</v>
      </c>
      <c r="Q319" s="429">
        <v>100</v>
      </c>
    </row>
    <row r="320" spans="1:17" s="11" customFormat="1" ht="15" x14ac:dyDescent="0.25">
      <c r="A320" s="1536"/>
      <c r="B320" s="433"/>
      <c r="C320" s="407" t="s">
        <v>1830</v>
      </c>
      <c r="D320" s="149"/>
      <c r="E320" s="431" t="s">
        <v>1831</v>
      </c>
      <c r="F320" s="432"/>
      <c r="G320" s="432"/>
      <c r="H320" s="49">
        <v>350000</v>
      </c>
      <c r="I320" s="49"/>
      <c r="J320" s="49"/>
      <c r="K320" s="428"/>
      <c r="L320" s="429"/>
      <c r="M320" s="429"/>
      <c r="N320" s="429"/>
      <c r="O320" s="429"/>
      <c r="P320" s="429"/>
      <c r="Q320" s="429"/>
    </row>
    <row r="321" spans="1:17" s="11" customFormat="1" ht="45.75" customHeight="1" x14ac:dyDescent="0.25">
      <c r="A321" s="1536"/>
      <c r="B321" s="433"/>
      <c r="C321" s="407" t="s">
        <v>1832</v>
      </c>
      <c r="D321" s="149"/>
      <c r="E321" s="431" t="s">
        <v>1834</v>
      </c>
      <c r="F321" s="432"/>
      <c r="G321" s="432"/>
      <c r="H321" s="49">
        <v>176000</v>
      </c>
      <c r="I321" s="49"/>
      <c r="J321" s="49"/>
      <c r="K321" s="428"/>
      <c r="L321" s="429"/>
      <c r="M321" s="429"/>
      <c r="N321" s="429"/>
      <c r="O321" s="429"/>
      <c r="P321" s="429"/>
      <c r="Q321" s="429"/>
    </row>
    <row r="322" spans="1:17" s="11" customFormat="1" ht="30" x14ac:dyDescent="0.25">
      <c r="A322" s="1536"/>
      <c r="B322" s="433"/>
      <c r="C322" s="407" t="s">
        <v>1222</v>
      </c>
      <c r="D322" s="149"/>
      <c r="E322" s="431" t="s">
        <v>1835</v>
      </c>
      <c r="F322" s="432"/>
      <c r="G322" s="432"/>
      <c r="H322" s="49">
        <v>350000</v>
      </c>
      <c r="I322" s="49"/>
      <c r="J322" s="49"/>
      <c r="K322" s="428"/>
      <c r="L322" s="429"/>
      <c r="M322" s="429"/>
      <c r="N322" s="429"/>
      <c r="O322" s="429"/>
      <c r="P322" s="429"/>
      <c r="Q322" s="429"/>
    </row>
    <row r="323" spans="1:17" s="11" customFormat="1" ht="36.75" customHeight="1" x14ac:dyDescent="0.25">
      <c r="A323" s="1536"/>
      <c r="B323" s="433"/>
      <c r="C323" s="407" t="s">
        <v>1833</v>
      </c>
      <c r="D323" s="149"/>
      <c r="E323" s="431" t="s">
        <v>1836</v>
      </c>
      <c r="F323" s="432"/>
      <c r="G323" s="432"/>
      <c r="H323" s="49">
        <v>2000000</v>
      </c>
      <c r="I323" s="49"/>
      <c r="J323" s="49"/>
      <c r="K323" s="428"/>
      <c r="L323" s="429"/>
      <c r="M323" s="429"/>
      <c r="N323" s="429"/>
      <c r="O323" s="429"/>
      <c r="P323" s="429"/>
      <c r="Q323" s="429"/>
    </row>
    <row r="324" spans="1:17" s="11" customFormat="1" ht="30" x14ac:dyDescent="0.25">
      <c r="A324" s="1536"/>
      <c r="B324" s="433"/>
      <c r="C324" s="407" t="s">
        <v>747</v>
      </c>
      <c r="D324" s="149"/>
      <c r="E324" s="431" t="s">
        <v>1837</v>
      </c>
      <c r="F324" s="432"/>
      <c r="G324" s="432"/>
      <c r="H324" s="49">
        <v>90300</v>
      </c>
      <c r="I324" s="49"/>
      <c r="J324" s="49"/>
      <c r="K324" s="428"/>
      <c r="L324" s="429"/>
      <c r="M324" s="429"/>
      <c r="N324" s="429"/>
      <c r="O324" s="429"/>
      <c r="P324" s="429"/>
      <c r="Q324" s="429"/>
    </row>
    <row r="325" spans="1:17" s="11" customFormat="1" ht="42.75" x14ac:dyDescent="0.25">
      <c r="A325" s="1536"/>
      <c r="B325" s="434">
        <v>264</v>
      </c>
      <c r="C325" s="425"/>
      <c r="D325" s="426"/>
      <c r="E325" s="435" t="s">
        <v>373</v>
      </c>
      <c r="F325" s="104">
        <f>SUM(F326:F335)</f>
        <v>7054224.4349100003</v>
      </c>
      <c r="G325" s="104">
        <f>SUM(G326:G335)</f>
        <v>15756409.500000002</v>
      </c>
      <c r="H325" s="104">
        <f>SUM(H326:H335)</f>
        <v>45195914.599999994</v>
      </c>
      <c r="I325" s="104">
        <f>SUM(I326:I335)</f>
        <v>48591345.807999998</v>
      </c>
      <c r="J325" s="104">
        <f>SUM(J326:J335)</f>
        <v>50860850.907999992</v>
      </c>
      <c r="K325" s="423" t="s">
        <v>374</v>
      </c>
      <c r="L325" s="424" t="s">
        <v>3</v>
      </c>
      <c r="M325" s="424">
        <v>100</v>
      </c>
      <c r="N325" s="424">
        <v>100</v>
      </c>
      <c r="O325" s="424">
        <v>100</v>
      </c>
      <c r="P325" s="424">
        <v>100</v>
      </c>
      <c r="Q325" s="424">
        <v>100</v>
      </c>
    </row>
    <row r="326" spans="1:17" s="11" customFormat="1" ht="30" x14ac:dyDescent="0.25">
      <c r="A326" s="1536"/>
      <c r="B326" s="1226"/>
      <c r="C326" s="425" t="s">
        <v>5</v>
      </c>
      <c r="D326" s="426"/>
      <c r="E326" s="430" t="s">
        <v>375</v>
      </c>
      <c r="F326" s="49">
        <v>5856825.83256</v>
      </c>
      <c r="G326" s="49">
        <v>3000000</v>
      </c>
      <c r="H326" s="49">
        <v>5000000</v>
      </c>
      <c r="I326" s="49">
        <v>5000000</v>
      </c>
      <c r="J326" s="49">
        <v>7000000</v>
      </c>
      <c r="K326" s="428" t="s">
        <v>376</v>
      </c>
      <c r="L326" s="429" t="s">
        <v>3</v>
      </c>
      <c r="M326" s="429">
        <v>100</v>
      </c>
      <c r="N326" s="429">
        <v>100</v>
      </c>
      <c r="O326" s="429">
        <v>100</v>
      </c>
      <c r="P326" s="429">
        <v>100</v>
      </c>
      <c r="Q326" s="429">
        <v>100</v>
      </c>
    </row>
    <row r="327" spans="1:17" s="11" customFormat="1" ht="30" x14ac:dyDescent="0.25">
      <c r="A327" s="1536"/>
      <c r="B327" s="1226"/>
      <c r="C327" s="425" t="s">
        <v>6</v>
      </c>
      <c r="D327" s="426"/>
      <c r="E327" s="430" t="s">
        <v>377</v>
      </c>
      <c r="F327" s="49">
        <v>12420</v>
      </c>
      <c r="G327" s="49">
        <v>150000</v>
      </c>
      <c r="H327" s="49">
        <v>100000</v>
      </c>
      <c r="I327" s="49">
        <v>100000</v>
      </c>
      <c r="J327" s="49">
        <v>100000</v>
      </c>
      <c r="K327" s="428" t="s">
        <v>378</v>
      </c>
      <c r="L327" s="429" t="s">
        <v>3</v>
      </c>
      <c r="M327" s="429">
        <v>100</v>
      </c>
      <c r="N327" s="429">
        <v>100</v>
      </c>
      <c r="O327" s="429">
        <v>100</v>
      </c>
      <c r="P327" s="429">
        <v>100</v>
      </c>
      <c r="Q327" s="429">
        <v>100</v>
      </c>
    </row>
    <row r="328" spans="1:17" s="11" customFormat="1" ht="30" x14ac:dyDescent="0.25">
      <c r="A328" s="1536"/>
      <c r="B328" s="1226"/>
      <c r="C328" s="425" t="s">
        <v>4</v>
      </c>
      <c r="D328" s="426"/>
      <c r="E328" s="430" t="s">
        <v>379</v>
      </c>
      <c r="F328" s="49">
        <v>0</v>
      </c>
      <c r="G328" s="49">
        <v>5893253</v>
      </c>
      <c r="H328" s="49">
        <v>27456120.600000001</v>
      </c>
      <c r="I328" s="49">
        <v>29263639.408</v>
      </c>
      <c r="J328" s="49">
        <v>29443195.008000001</v>
      </c>
      <c r="K328" s="428" t="s">
        <v>380</v>
      </c>
      <c r="L328" s="429" t="s">
        <v>3</v>
      </c>
      <c r="M328" s="429">
        <v>100</v>
      </c>
      <c r="N328" s="429">
        <v>100</v>
      </c>
      <c r="O328" s="429">
        <v>100</v>
      </c>
      <c r="P328" s="429">
        <v>100</v>
      </c>
      <c r="Q328" s="429">
        <v>100</v>
      </c>
    </row>
    <row r="329" spans="1:17" s="11" customFormat="1" ht="30" x14ac:dyDescent="0.25">
      <c r="A329" s="1536"/>
      <c r="B329" s="1226"/>
      <c r="C329" s="425" t="s">
        <v>7</v>
      </c>
      <c r="D329" s="426"/>
      <c r="E329" s="430" t="s">
        <v>381</v>
      </c>
      <c r="F329" s="49">
        <v>0</v>
      </c>
      <c r="G329" s="49">
        <v>1423225.3</v>
      </c>
      <c r="H329" s="49">
        <v>3098626.3</v>
      </c>
      <c r="I329" s="49">
        <v>3098626.3</v>
      </c>
      <c r="J329" s="49">
        <v>3098626.3</v>
      </c>
      <c r="K329" s="428" t="s">
        <v>382</v>
      </c>
      <c r="L329" s="429" t="s">
        <v>3</v>
      </c>
      <c r="M329" s="429">
        <v>100</v>
      </c>
      <c r="N329" s="429">
        <v>100</v>
      </c>
      <c r="O329" s="429">
        <v>100</v>
      </c>
      <c r="P329" s="429">
        <v>100</v>
      </c>
      <c r="Q329" s="429">
        <v>100</v>
      </c>
    </row>
    <row r="330" spans="1:17" s="11" customFormat="1" ht="30" x14ac:dyDescent="0.25">
      <c r="A330" s="1536"/>
      <c r="B330" s="1226"/>
      <c r="C330" s="425" t="s">
        <v>8</v>
      </c>
      <c r="D330" s="426"/>
      <c r="E330" s="430" t="s">
        <v>383</v>
      </c>
      <c r="F330" s="49">
        <v>0</v>
      </c>
      <c r="G330" s="49">
        <v>874400</v>
      </c>
      <c r="H330" s="49">
        <v>3430400</v>
      </c>
      <c r="I330" s="49">
        <v>1130400</v>
      </c>
      <c r="J330" s="49">
        <v>1130400</v>
      </c>
      <c r="K330" s="428" t="s">
        <v>384</v>
      </c>
      <c r="L330" s="429" t="s">
        <v>3</v>
      </c>
      <c r="M330" s="429">
        <v>100</v>
      </c>
      <c r="N330" s="429">
        <v>100</v>
      </c>
      <c r="O330" s="429">
        <v>100</v>
      </c>
      <c r="P330" s="429">
        <v>100</v>
      </c>
      <c r="Q330" s="429">
        <v>100</v>
      </c>
    </row>
    <row r="331" spans="1:17" s="11" customFormat="1" ht="30" x14ac:dyDescent="0.25">
      <c r="A331" s="1536"/>
      <c r="B331" s="1226"/>
      <c r="C331" s="425" t="s">
        <v>9</v>
      </c>
      <c r="D331" s="426"/>
      <c r="E331" s="430" t="s">
        <v>385</v>
      </c>
      <c r="F331" s="49">
        <v>513997.95179999998</v>
      </c>
      <c r="G331" s="49">
        <v>600000</v>
      </c>
      <c r="H331" s="49">
        <v>800000</v>
      </c>
      <c r="I331" s="49">
        <v>1000000</v>
      </c>
      <c r="J331" s="49">
        <v>1000000</v>
      </c>
      <c r="K331" s="428" t="s">
        <v>386</v>
      </c>
      <c r="L331" s="429" t="s">
        <v>3</v>
      </c>
      <c r="M331" s="429">
        <v>100</v>
      </c>
      <c r="N331" s="429">
        <v>100</v>
      </c>
      <c r="O331" s="429">
        <v>100</v>
      </c>
      <c r="P331" s="429">
        <v>100</v>
      </c>
      <c r="Q331" s="429">
        <v>100</v>
      </c>
    </row>
    <row r="332" spans="1:17" s="11" customFormat="1" ht="45" x14ac:dyDescent="0.25">
      <c r="A332" s="1536"/>
      <c r="B332" s="1226"/>
      <c r="C332" s="425" t="s">
        <v>10</v>
      </c>
      <c r="D332" s="426"/>
      <c r="E332" s="408" t="s">
        <v>387</v>
      </c>
      <c r="F332" s="49">
        <v>279050.62114</v>
      </c>
      <c r="G332" s="49">
        <v>216540.79999999999</v>
      </c>
      <c r="H332" s="49">
        <v>244920.8</v>
      </c>
      <c r="I332" s="49">
        <v>218752.4</v>
      </c>
      <c r="J332" s="49">
        <v>220935.3</v>
      </c>
      <c r="K332" s="428" t="s">
        <v>1799</v>
      </c>
      <c r="L332" s="429" t="s">
        <v>3</v>
      </c>
      <c r="M332" s="429">
        <v>100</v>
      </c>
      <c r="N332" s="429">
        <v>100</v>
      </c>
      <c r="O332" s="429">
        <v>100</v>
      </c>
      <c r="P332" s="429">
        <v>100</v>
      </c>
      <c r="Q332" s="429">
        <v>100</v>
      </c>
    </row>
    <row r="333" spans="1:17" s="11" customFormat="1" ht="45" x14ac:dyDescent="0.25">
      <c r="A333" s="1536"/>
      <c r="B333" s="1226"/>
      <c r="C333" s="425" t="s">
        <v>11</v>
      </c>
      <c r="D333" s="426"/>
      <c r="E333" s="408" t="s">
        <v>388</v>
      </c>
      <c r="F333" s="49">
        <v>391930.02941000002</v>
      </c>
      <c r="G333" s="49">
        <v>1208990.3999999999</v>
      </c>
      <c r="H333" s="49">
        <v>1885830.4</v>
      </c>
      <c r="I333" s="49">
        <v>1905107.7</v>
      </c>
      <c r="J333" s="49">
        <v>1924134.3</v>
      </c>
      <c r="K333" s="428" t="s">
        <v>1799</v>
      </c>
      <c r="L333" s="429" t="s">
        <v>3</v>
      </c>
      <c r="M333" s="429">
        <v>100</v>
      </c>
      <c r="N333" s="429">
        <v>100</v>
      </c>
      <c r="O333" s="429">
        <v>100</v>
      </c>
      <c r="P333" s="429">
        <v>100</v>
      </c>
      <c r="Q333" s="429">
        <v>100</v>
      </c>
    </row>
    <row r="334" spans="1:17" s="11" customFormat="1" ht="45" x14ac:dyDescent="0.25">
      <c r="A334" s="1536"/>
      <c r="B334" s="1226"/>
      <c r="C334" s="425" t="s">
        <v>14</v>
      </c>
      <c r="D334" s="426"/>
      <c r="E334" s="408" t="s">
        <v>389</v>
      </c>
      <c r="F334" s="49">
        <v>0</v>
      </c>
      <c r="G334" s="49">
        <v>2290000</v>
      </c>
      <c r="H334" s="49">
        <v>3080016.5</v>
      </c>
      <c r="I334" s="49">
        <v>6773820</v>
      </c>
      <c r="J334" s="49">
        <v>6841560</v>
      </c>
      <c r="K334" s="428" t="s">
        <v>390</v>
      </c>
      <c r="L334" s="429" t="s">
        <v>3</v>
      </c>
      <c r="M334" s="429"/>
      <c r="N334" s="429">
        <v>100</v>
      </c>
      <c r="O334" s="429">
        <v>100</v>
      </c>
      <c r="P334" s="429">
        <v>100</v>
      </c>
      <c r="Q334" s="429">
        <v>100</v>
      </c>
    </row>
    <row r="335" spans="1:17" s="11" customFormat="1" ht="30" x14ac:dyDescent="0.25">
      <c r="A335" s="1536"/>
      <c r="B335" s="1226"/>
      <c r="C335" s="425" t="s">
        <v>16</v>
      </c>
      <c r="D335" s="426"/>
      <c r="E335" s="408" t="s">
        <v>391</v>
      </c>
      <c r="F335" s="49">
        <v>0</v>
      </c>
      <c r="G335" s="49">
        <v>100000</v>
      </c>
      <c r="H335" s="49">
        <v>100000</v>
      </c>
      <c r="I335" s="49">
        <v>101000</v>
      </c>
      <c r="J335" s="49">
        <v>102000</v>
      </c>
      <c r="K335" s="428" t="s">
        <v>392</v>
      </c>
      <c r="L335" s="429" t="s">
        <v>3</v>
      </c>
      <c r="M335" s="429"/>
      <c r="N335" s="429"/>
      <c r="O335" s="429">
        <v>100</v>
      </c>
      <c r="P335" s="429">
        <v>100</v>
      </c>
      <c r="Q335" s="429">
        <v>100</v>
      </c>
    </row>
    <row r="336" spans="1:17" s="11" customFormat="1" ht="15" x14ac:dyDescent="0.2">
      <c r="A336" s="1529" t="s">
        <v>35</v>
      </c>
      <c r="B336" s="1530"/>
      <c r="C336" s="1530"/>
      <c r="D336" s="1530"/>
      <c r="E336" s="1531"/>
      <c r="F336" s="436">
        <v>47996954.446739994</v>
      </c>
      <c r="G336" s="436">
        <v>113276786.5</v>
      </c>
      <c r="H336" s="436">
        <f>H325+H290</f>
        <v>112560655.19999999</v>
      </c>
      <c r="I336" s="436">
        <f>I325+I290</f>
        <v>182834419.56600001</v>
      </c>
      <c r="J336" s="436">
        <f>J325+J290</f>
        <v>232200461.48199999</v>
      </c>
      <c r="K336" s="437"/>
      <c r="L336" s="438"/>
      <c r="M336" s="438"/>
      <c r="N336" s="438"/>
      <c r="O336" s="438"/>
      <c r="P336" s="438"/>
      <c r="Q336" s="439"/>
    </row>
    <row r="337" spans="1:17" s="11" customFormat="1" ht="14.25" x14ac:dyDescent="0.2">
      <c r="A337" s="1814" t="s">
        <v>393</v>
      </c>
      <c r="B337" s="1815"/>
      <c r="C337" s="1815"/>
      <c r="D337" s="1815"/>
      <c r="E337" s="1816"/>
      <c r="F337" s="440">
        <f>F280+F288+F336</f>
        <v>91571408.64673999</v>
      </c>
      <c r="G337" s="440">
        <f>G280+G288+G336</f>
        <v>155567122.80000001</v>
      </c>
      <c r="H337" s="440">
        <f>H280+H288+H336</f>
        <v>177169538.79999998</v>
      </c>
      <c r="I337" s="440">
        <f>I280+I288+I336</f>
        <v>248586039.366</v>
      </c>
      <c r="J337" s="440">
        <f>J280+J288+J336</f>
        <v>300317637.48199999</v>
      </c>
      <c r="K337" s="441"/>
      <c r="L337" s="441"/>
      <c r="M337" s="442"/>
      <c r="N337" s="442"/>
      <c r="O337" s="442"/>
      <c r="P337" s="442"/>
      <c r="Q337" s="442"/>
    </row>
    <row r="338" spans="1:17" s="10" customFormat="1" ht="14.25" x14ac:dyDescent="0.2">
      <c r="A338" s="1518" t="s">
        <v>78</v>
      </c>
      <c r="B338" s="1519"/>
      <c r="C338" s="1519"/>
      <c r="D338" s="1519"/>
      <c r="E338" s="1519"/>
      <c r="F338" s="1519"/>
      <c r="G338" s="1519"/>
      <c r="H338" s="1519"/>
      <c r="I338" s="1519"/>
      <c r="J338" s="1519"/>
      <c r="K338" s="1519"/>
      <c r="L338" s="1519"/>
      <c r="M338" s="1519"/>
      <c r="N338" s="1519"/>
      <c r="O338" s="1519"/>
      <c r="P338" s="1519"/>
      <c r="Q338" s="1520"/>
    </row>
    <row r="339" spans="1:17" s="10" customFormat="1" ht="75" x14ac:dyDescent="0.2">
      <c r="A339" s="1517">
        <v>27</v>
      </c>
      <c r="B339" s="175" t="s">
        <v>0</v>
      </c>
      <c r="C339" s="175"/>
      <c r="D339" s="175"/>
      <c r="E339" s="178" t="s">
        <v>1503</v>
      </c>
      <c r="F339" s="176">
        <f>SUM(F340:F340)</f>
        <v>12284.4</v>
      </c>
      <c r="G339" s="176">
        <f>SUM(G340:G340)</f>
        <v>12284.4</v>
      </c>
      <c r="H339" s="176">
        <f>SUM(H340:H340)</f>
        <v>12365.5</v>
      </c>
      <c r="I339" s="176">
        <f>SUM(I340:I340)</f>
        <v>12999.8</v>
      </c>
      <c r="J339" s="176">
        <f>SUM(J340:J340)</f>
        <v>12999.8</v>
      </c>
      <c r="K339" s="163" t="s">
        <v>85</v>
      </c>
      <c r="L339" s="177" t="s">
        <v>3</v>
      </c>
      <c r="M339" s="177">
        <v>27.3</v>
      </c>
      <c r="N339" s="177">
        <v>27.3</v>
      </c>
      <c r="O339" s="177">
        <v>27.3</v>
      </c>
      <c r="P339" s="177">
        <v>27.3</v>
      </c>
      <c r="Q339" s="177">
        <v>27.3</v>
      </c>
    </row>
    <row r="340" spans="1:17" s="10" customFormat="1" ht="75" x14ac:dyDescent="0.2">
      <c r="A340" s="1517"/>
      <c r="B340" s="443"/>
      <c r="C340" s="20" t="s">
        <v>5</v>
      </c>
      <c r="D340" s="20"/>
      <c r="E340" s="163" t="s">
        <v>25</v>
      </c>
      <c r="F340" s="22">
        <v>12284.4</v>
      </c>
      <c r="G340" s="22">
        <v>12284.4</v>
      </c>
      <c r="H340" s="22">
        <v>12365.5</v>
      </c>
      <c r="I340" s="22">
        <v>12999.8</v>
      </c>
      <c r="J340" s="22">
        <v>12999.8</v>
      </c>
      <c r="K340" s="163" t="s">
        <v>85</v>
      </c>
      <c r="L340" s="23" t="s">
        <v>24</v>
      </c>
      <c r="M340" s="23">
        <v>27.3</v>
      </c>
      <c r="N340" s="23">
        <v>27.3</v>
      </c>
      <c r="O340" s="23">
        <v>27.3</v>
      </c>
      <c r="P340" s="23">
        <v>27.3</v>
      </c>
      <c r="Q340" s="23">
        <v>27.3</v>
      </c>
    </row>
    <row r="341" spans="1:17" s="10" customFormat="1" ht="118.5" x14ac:dyDescent="0.2">
      <c r="A341" s="1517"/>
      <c r="B341" s="180" t="s">
        <v>1838</v>
      </c>
      <c r="C341" s="180"/>
      <c r="D341" s="180"/>
      <c r="E341" s="163" t="s">
        <v>1487</v>
      </c>
      <c r="F341" s="176">
        <f>SUM(F342:F348)</f>
        <v>38208.199999999997</v>
      </c>
      <c r="G341" s="176">
        <f>SUM(G342:G348)</f>
        <v>48548.7</v>
      </c>
      <c r="H341" s="176">
        <f>SUM(H342:H348)</f>
        <v>48332.2</v>
      </c>
      <c r="I341" s="176">
        <f>SUM(I342:I348)</f>
        <v>48332.4</v>
      </c>
      <c r="J341" s="176">
        <f>SUM(J342:J348)</f>
        <v>48958.7</v>
      </c>
      <c r="K341" s="181" t="s">
        <v>86</v>
      </c>
      <c r="L341" s="23" t="s">
        <v>106</v>
      </c>
      <c r="M341" s="23">
        <v>23</v>
      </c>
      <c r="N341" s="23">
        <v>23</v>
      </c>
      <c r="O341" s="23">
        <v>23</v>
      </c>
      <c r="P341" s="23">
        <v>23</v>
      </c>
      <c r="Q341" s="23">
        <v>23</v>
      </c>
    </row>
    <row r="342" spans="1:17" s="10" customFormat="1" ht="30" x14ac:dyDescent="0.2">
      <c r="A342" s="1517"/>
      <c r="B342" s="305"/>
      <c r="C342" s="21" t="s">
        <v>5</v>
      </c>
      <c r="D342" s="21"/>
      <c r="E342" s="178" t="s">
        <v>1605</v>
      </c>
      <c r="F342" s="22">
        <v>18479.400000000001</v>
      </c>
      <c r="G342" s="24">
        <v>28819.9</v>
      </c>
      <c r="H342" s="24">
        <v>28250.799999999999</v>
      </c>
      <c r="I342" s="24">
        <v>28251</v>
      </c>
      <c r="J342" s="24">
        <v>28386.799999999999</v>
      </c>
      <c r="K342" s="178" t="s">
        <v>88</v>
      </c>
      <c r="L342" s="23" t="s">
        <v>106</v>
      </c>
      <c r="M342" s="23">
        <v>73</v>
      </c>
      <c r="N342" s="23">
        <v>73</v>
      </c>
      <c r="O342" s="23">
        <v>73</v>
      </c>
      <c r="P342" s="23">
        <v>73</v>
      </c>
      <c r="Q342" s="23">
        <v>73</v>
      </c>
    </row>
    <row r="343" spans="1:17" s="10" customFormat="1" ht="30" x14ac:dyDescent="0.2">
      <c r="A343" s="1517"/>
      <c r="B343" s="305"/>
      <c r="C343" s="21" t="s">
        <v>6</v>
      </c>
      <c r="D343" s="21"/>
      <c r="E343" s="178" t="s">
        <v>79</v>
      </c>
      <c r="F343" s="22">
        <v>17252.400000000001</v>
      </c>
      <c r="G343" s="22">
        <v>17252.400000000001</v>
      </c>
      <c r="H343" s="22">
        <v>16761.900000000001</v>
      </c>
      <c r="I343" s="22">
        <v>16761.900000000001</v>
      </c>
      <c r="J343" s="22">
        <v>17252.400000000001</v>
      </c>
      <c r="K343" s="178" t="s">
        <v>88</v>
      </c>
      <c r="L343" s="23" t="s">
        <v>106</v>
      </c>
      <c r="M343" s="23">
        <v>73</v>
      </c>
      <c r="N343" s="23">
        <v>73</v>
      </c>
      <c r="O343" s="23">
        <v>73</v>
      </c>
      <c r="P343" s="23">
        <v>73</v>
      </c>
      <c r="Q343" s="23">
        <v>73</v>
      </c>
    </row>
    <row r="344" spans="1:17" s="10" customFormat="1" ht="30" x14ac:dyDescent="0.25">
      <c r="A344" s="1517"/>
      <c r="B344" s="305"/>
      <c r="C344" s="21" t="s">
        <v>4</v>
      </c>
      <c r="D344" s="21"/>
      <c r="E344" s="178" t="s">
        <v>80</v>
      </c>
      <c r="F344" s="22">
        <v>796.2</v>
      </c>
      <c r="G344" s="22">
        <v>796.2</v>
      </c>
      <c r="H344" s="22">
        <v>787.9</v>
      </c>
      <c r="I344" s="22">
        <v>787.9</v>
      </c>
      <c r="J344" s="22">
        <v>787.9</v>
      </c>
      <c r="K344" s="178" t="s">
        <v>89</v>
      </c>
      <c r="L344" s="23" t="s">
        <v>106</v>
      </c>
      <c r="M344" s="26">
        <v>18</v>
      </c>
      <c r="N344" s="26">
        <v>18</v>
      </c>
      <c r="O344" s="26">
        <v>18</v>
      </c>
      <c r="P344" s="26">
        <v>18</v>
      </c>
      <c r="Q344" s="26">
        <v>18</v>
      </c>
    </row>
    <row r="345" spans="1:17" s="10" customFormat="1" ht="195" x14ac:dyDescent="0.25">
      <c r="A345" s="1517"/>
      <c r="B345" s="305"/>
      <c r="C345" s="21" t="s">
        <v>7</v>
      </c>
      <c r="D345" s="21"/>
      <c r="E345" s="178" t="s">
        <v>1606</v>
      </c>
      <c r="F345" s="22">
        <v>216.6</v>
      </c>
      <c r="G345" s="22">
        <v>216.6</v>
      </c>
      <c r="H345" s="22">
        <v>218</v>
      </c>
      <c r="I345" s="22">
        <v>218</v>
      </c>
      <c r="J345" s="22">
        <v>218</v>
      </c>
      <c r="K345" s="178" t="s">
        <v>1800</v>
      </c>
      <c r="L345" s="23" t="s">
        <v>106</v>
      </c>
      <c r="M345" s="26">
        <v>4</v>
      </c>
      <c r="N345" s="26">
        <v>4</v>
      </c>
      <c r="O345" s="26">
        <v>4</v>
      </c>
      <c r="P345" s="26">
        <v>4</v>
      </c>
      <c r="Q345" s="26">
        <v>4</v>
      </c>
    </row>
    <row r="346" spans="1:17" s="10" customFormat="1" ht="45" x14ac:dyDescent="0.25">
      <c r="A346" s="1517"/>
      <c r="B346" s="305"/>
      <c r="C346" s="21" t="s">
        <v>8</v>
      </c>
      <c r="D346" s="21"/>
      <c r="E346" s="178" t="s">
        <v>81</v>
      </c>
      <c r="F346" s="22">
        <v>1363.6</v>
      </c>
      <c r="G346" s="22">
        <v>1363.6</v>
      </c>
      <c r="H346" s="22">
        <v>2213.6</v>
      </c>
      <c r="I346" s="22">
        <v>2213.6</v>
      </c>
      <c r="J346" s="22">
        <v>2213.6</v>
      </c>
      <c r="K346" s="178" t="s">
        <v>90</v>
      </c>
      <c r="L346" s="23" t="s">
        <v>106</v>
      </c>
      <c r="M346" s="25">
        <v>1</v>
      </c>
      <c r="N346" s="25">
        <v>0</v>
      </c>
      <c r="O346" s="25">
        <v>1</v>
      </c>
      <c r="P346" s="25">
        <v>0</v>
      </c>
      <c r="Q346" s="25">
        <v>1</v>
      </c>
    </row>
    <row r="347" spans="1:17" s="10" customFormat="1" ht="60" x14ac:dyDescent="0.25">
      <c r="A347" s="1517"/>
      <c r="B347" s="305"/>
      <c r="C347" s="21" t="s">
        <v>9</v>
      </c>
      <c r="D347" s="21"/>
      <c r="E347" s="178" t="s">
        <v>82</v>
      </c>
      <c r="F347" s="24">
        <v>0</v>
      </c>
      <c r="G347" s="22">
        <v>0</v>
      </c>
      <c r="H347" s="22">
        <v>0</v>
      </c>
      <c r="I347" s="22">
        <v>0</v>
      </c>
      <c r="J347" s="22">
        <v>0</v>
      </c>
      <c r="K347" s="178" t="s">
        <v>91</v>
      </c>
      <c r="L347" s="23" t="s">
        <v>106</v>
      </c>
      <c r="M347" s="25">
        <v>0</v>
      </c>
      <c r="N347" s="25">
        <v>1</v>
      </c>
      <c r="O347" s="25">
        <v>0</v>
      </c>
      <c r="P347" s="25">
        <v>1</v>
      </c>
      <c r="Q347" s="25">
        <v>0</v>
      </c>
    </row>
    <row r="348" spans="1:17" s="10" customFormat="1" ht="45" x14ac:dyDescent="0.25">
      <c r="A348" s="1517"/>
      <c r="B348" s="305"/>
      <c r="C348" s="21" t="s">
        <v>10</v>
      </c>
      <c r="D348" s="21"/>
      <c r="E348" s="178" t="s">
        <v>1607</v>
      </c>
      <c r="F348" s="24">
        <v>100</v>
      </c>
      <c r="G348" s="24">
        <v>100</v>
      </c>
      <c r="H348" s="22">
        <v>100</v>
      </c>
      <c r="I348" s="22">
        <v>100</v>
      </c>
      <c r="J348" s="22">
        <f>I348</f>
        <v>100</v>
      </c>
      <c r="K348" s="178" t="s">
        <v>1608</v>
      </c>
      <c r="L348" s="23" t="s">
        <v>106</v>
      </c>
      <c r="M348" s="25">
        <v>2</v>
      </c>
      <c r="N348" s="25">
        <v>2</v>
      </c>
      <c r="O348" s="25">
        <v>2</v>
      </c>
      <c r="P348" s="25">
        <v>2</v>
      </c>
      <c r="Q348" s="25">
        <v>2</v>
      </c>
    </row>
    <row r="349" spans="1:17" s="10" customFormat="1" ht="72.75" x14ac:dyDescent="0.2">
      <c r="A349" s="1517"/>
      <c r="B349" s="180" t="s">
        <v>1839</v>
      </c>
      <c r="C349" s="180"/>
      <c r="D349" s="180"/>
      <c r="E349" s="444" t="s">
        <v>1753</v>
      </c>
      <c r="F349" s="176">
        <f>+F352+F350+F351</f>
        <v>50</v>
      </c>
      <c r="G349" s="176">
        <f t="shared" ref="G349:J349" si="67">+G352+G350+G351</f>
        <v>50</v>
      </c>
      <c r="H349" s="176">
        <f t="shared" si="67"/>
        <v>1342.2</v>
      </c>
      <c r="I349" s="176">
        <f t="shared" si="67"/>
        <v>1342.2</v>
      </c>
      <c r="J349" s="176">
        <f t="shared" si="67"/>
        <v>1342.2</v>
      </c>
      <c r="K349" s="445" t="s">
        <v>92</v>
      </c>
      <c r="L349" s="23" t="s">
        <v>106</v>
      </c>
      <c r="M349" s="23">
        <v>0</v>
      </c>
      <c r="N349" s="23">
        <v>0</v>
      </c>
      <c r="O349" s="23">
        <v>0</v>
      </c>
      <c r="P349" s="23">
        <v>0</v>
      </c>
      <c r="Q349" s="23">
        <v>0</v>
      </c>
    </row>
    <row r="350" spans="1:17" s="10" customFormat="1" ht="60" x14ac:dyDescent="0.25">
      <c r="A350" s="1517"/>
      <c r="B350" s="304"/>
      <c r="C350" s="21" t="s">
        <v>5</v>
      </c>
      <c r="D350" s="21"/>
      <c r="E350" s="446" t="s">
        <v>83</v>
      </c>
      <c r="F350" s="22">
        <v>0</v>
      </c>
      <c r="G350" s="22">
        <v>0</v>
      </c>
      <c r="H350" s="22">
        <v>0</v>
      </c>
      <c r="I350" s="22">
        <v>0</v>
      </c>
      <c r="J350" s="22">
        <v>0</v>
      </c>
      <c r="K350" s="446" t="s">
        <v>93</v>
      </c>
      <c r="L350" s="23" t="s">
        <v>106</v>
      </c>
      <c r="M350" s="25">
        <v>100</v>
      </c>
      <c r="N350" s="447">
        <v>100</v>
      </c>
      <c r="O350" s="447">
        <v>100</v>
      </c>
      <c r="P350" s="447">
        <v>100</v>
      </c>
      <c r="Q350" s="447">
        <v>100</v>
      </c>
    </row>
    <row r="351" spans="1:17" s="10" customFormat="1" ht="45" x14ac:dyDescent="0.25">
      <c r="A351" s="1517"/>
      <c r="B351" s="304"/>
      <c r="C351" s="21" t="s">
        <v>6</v>
      </c>
      <c r="D351" s="21"/>
      <c r="E351" s="446" t="s">
        <v>1993</v>
      </c>
      <c r="F351" s="22">
        <v>0</v>
      </c>
      <c r="G351" s="22">
        <v>0</v>
      </c>
      <c r="H351" s="22">
        <v>1292.2</v>
      </c>
      <c r="I351" s="22">
        <v>1292.2</v>
      </c>
      <c r="J351" s="22">
        <v>1292.2</v>
      </c>
      <c r="K351" s="446" t="s">
        <v>94</v>
      </c>
      <c r="L351" s="23" t="s">
        <v>106</v>
      </c>
      <c r="M351" s="25">
        <v>560</v>
      </c>
      <c r="N351" s="447">
        <v>560</v>
      </c>
      <c r="O351" s="447">
        <v>560</v>
      </c>
      <c r="P351" s="447">
        <v>560</v>
      </c>
      <c r="Q351" s="447">
        <v>560</v>
      </c>
    </row>
    <row r="352" spans="1:17" s="10" customFormat="1" ht="45" x14ac:dyDescent="0.25">
      <c r="A352" s="1517"/>
      <c r="B352" s="304"/>
      <c r="C352" s="21" t="s">
        <v>4</v>
      </c>
      <c r="D352" s="21"/>
      <c r="E352" s="446" t="s">
        <v>84</v>
      </c>
      <c r="F352" s="22">
        <v>50</v>
      </c>
      <c r="G352" s="22">
        <v>50</v>
      </c>
      <c r="H352" s="22">
        <v>50</v>
      </c>
      <c r="I352" s="22">
        <v>50</v>
      </c>
      <c r="J352" s="22">
        <v>50</v>
      </c>
      <c r="K352" s="178" t="s">
        <v>95</v>
      </c>
      <c r="L352" s="25" t="s">
        <v>96</v>
      </c>
      <c r="M352" s="26" t="s">
        <v>97</v>
      </c>
      <c r="N352" s="26" t="s">
        <v>97</v>
      </c>
      <c r="O352" s="26" t="s">
        <v>97</v>
      </c>
      <c r="P352" s="26" t="s">
        <v>97</v>
      </c>
      <c r="Q352" s="26" t="s">
        <v>97</v>
      </c>
    </row>
    <row r="353" spans="1:17" s="10" customFormat="1" ht="15" x14ac:dyDescent="0.25">
      <c r="A353" s="1529" t="s">
        <v>35</v>
      </c>
      <c r="B353" s="1530"/>
      <c r="C353" s="1530"/>
      <c r="D353" s="1530"/>
      <c r="E353" s="1531"/>
      <c r="F353" s="96">
        <f>F339+F341+F349</f>
        <v>50542.6</v>
      </c>
      <c r="G353" s="96">
        <f>G339+G341+G349</f>
        <v>60883.1</v>
      </c>
      <c r="H353" s="96">
        <f>H339+H341+H349</f>
        <v>62039.899999999994</v>
      </c>
      <c r="I353" s="96">
        <f>I339+I341+I349</f>
        <v>62674.399999999994</v>
      </c>
      <c r="J353" s="96">
        <f>J339+J341+J349</f>
        <v>63300.7</v>
      </c>
      <c r="K353" s="448"/>
      <c r="L353" s="448"/>
      <c r="M353" s="448"/>
      <c r="N353" s="448"/>
      <c r="O353" s="448"/>
      <c r="P353" s="448"/>
      <c r="Q353" s="448"/>
    </row>
    <row r="354" spans="1:17" s="10" customFormat="1" ht="14.25" x14ac:dyDescent="0.2">
      <c r="A354" s="1518" t="s">
        <v>477</v>
      </c>
      <c r="B354" s="1519"/>
      <c r="C354" s="1519"/>
      <c r="D354" s="1519"/>
      <c r="E354" s="1519"/>
      <c r="F354" s="1519"/>
      <c r="G354" s="1519"/>
      <c r="H354" s="1519"/>
      <c r="I354" s="1519"/>
      <c r="J354" s="1519"/>
      <c r="K354" s="1519"/>
      <c r="L354" s="1519"/>
      <c r="M354" s="1519"/>
      <c r="N354" s="1519"/>
      <c r="O354" s="1519"/>
      <c r="P354" s="1519"/>
      <c r="Q354" s="1520"/>
    </row>
    <row r="355" spans="1:17" s="10" customFormat="1" ht="147.75" x14ac:dyDescent="0.2">
      <c r="A355" s="1783">
        <v>28</v>
      </c>
      <c r="B355" s="449" t="s">
        <v>422</v>
      </c>
      <c r="C355" s="450"/>
      <c r="D355" s="450"/>
      <c r="E355" s="451" t="s">
        <v>1754</v>
      </c>
      <c r="F355" s="452">
        <v>63068.1</v>
      </c>
      <c r="G355" s="453">
        <v>148385.70000000001</v>
      </c>
      <c r="H355" s="453">
        <f>H356+H363</f>
        <v>150320.6</v>
      </c>
      <c r="I355" s="453">
        <f t="shared" ref="I355:J355" si="68">I356+I363</f>
        <v>151453.79999999999</v>
      </c>
      <c r="J355" s="453">
        <f t="shared" si="68"/>
        <v>152572.1</v>
      </c>
      <c r="K355" s="454"/>
      <c r="L355" s="455"/>
      <c r="M355" s="455"/>
      <c r="N355" s="456"/>
      <c r="O355" s="1821"/>
      <c r="P355" s="1822"/>
      <c r="Q355" s="1823"/>
    </row>
    <row r="356" spans="1:17" s="10" customFormat="1" ht="30" x14ac:dyDescent="0.2">
      <c r="A356" s="1784"/>
      <c r="B356" s="1824"/>
      <c r="C356" s="1468" t="s">
        <v>5</v>
      </c>
      <c r="D356" s="1468"/>
      <c r="E356" s="1482" t="s">
        <v>1994</v>
      </c>
      <c r="F356" s="1719">
        <v>0</v>
      </c>
      <c r="G356" s="1521">
        <v>87947.8</v>
      </c>
      <c r="H356" s="1521">
        <v>88867.5</v>
      </c>
      <c r="I356" s="1521">
        <v>89372</v>
      </c>
      <c r="J356" s="1521">
        <v>89870</v>
      </c>
      <c r="K356" s="457" t="s">
        <v>428</v>
      </c>
      <c r="L356" s="458" t="s">
        <v>3</v>
      </c>
      <c r="M356" s="458"/>
      <c r="N356" s="458">
        <v>100</v>
      </c>
      <c r="O356" s="458">
        <v>100</v>
      </c>
      <c r="P356" s="458">
        <v>100</v>
      </c>
      <c r="Q356" s="458">
        <v>100</v>
      </c>
    </row>
    <row r="357" spans="1:17" s="10" customFormat="1" ht="30" x14ac:dyDescent="0.2">
      <c r="A357" s="1784"/>
      <c r="B357" s="1825"/>
      <c r="C357" s="1501"/>
      <c r="D357" s="1501"/>
      <c r="E357" s="1618"/>
      <c r="F357" s="1549"/>
      <c r="G357" s="1728"/>
      <c r="H357" s="1728"/>
      <c r="I357" s="1728"/>
      <c r="J357" s="1728"/>
      <c r="K357" s="457" t="s">
        <v>429</v>
      </c>
      <c r="L357" s="458" t="s">
        <v>3</v>
      </c>
      <c r="M357" s="459"/>
      <c r="N357" s="459">
        <v>100</v>
      </c>
      <c r="O357" s="459">
        <v>100</v>
      </c>
      <c r="P357" s="459">
        <v>100</v>
      </c>
      <c r="Q357" s="458">
        <v>100</v>
      </c>
    </row>
    <row r="358" spans="1:17" s="10" customFormat="1" ht="45" x14ac:dyDescent="0.2">
      <c r="A358" s="1784"/>
      <c r="B358" s="1825"/>
      <c r="C358" s="1501"/>
      <c r="D358" s="1501"/>
      <c r="E358" s="1618"/>
      <c r="F358" s="1549"/>
      <c r="G358" s="1728"/>
      <c r="H358" s="1728"/>
      <c r="I358" s="1728"/>
      <c r="J358" s="1728"/>
      <c r="K358" s="457" t="s">
        <v>430</v>
      </c>
      <c r="L358" s="458"/>
      <c r="M358" s="459"/>
      <c r="N358" s="459">
        <v>100</v>
      </c>
      <c r="O358" s="459">
        <v>100</v>
      </c>
      <c r="P358" s="459">
        <v>100</v>
      </c>
      <c r="Q358" s="458">
        <v>100</v>
      </c>
    </row>
    <row r="359" spans="1:17" s="10" customFormat="1" ht="75" x14ac:dyDescent="0.2">
      <c r="A359" s="1784"/>
      <c r="B359" s="1825"/>
      <c r="C359" s="1501"/>
      <c r="D359" s="1501"/>
      <c r="E359" s="1618"/>
      <c r="F359" s="1549"/>
      <c r="G359" s="1728"/>
      <c r="H359" s="1728"/>
      <c r="I359" s="1728"/>
      <c r="J359" s="1728"/>
      <c r="K359" s="457" t="s">
        <v>431</v>
      </c>
      <c r="L359" s="458" t="s">
        <v>3</v>
      </c>
      <c r="M359" s="459"/>
      <c r="N359" s="459">
        <v>100</v>
      </c>
      <c r="O359" s="459">
        <v>100</v>
      </c>
      <c r="P359" s="459">
        <v>100</v>
      </c>
      <c r="Q359" s="458">
        <v>100</v>
      </c>
    </row>
    <row r="360" spans="1:17" s="10" customFormat="1" ht="45" x14ac:dyDescent="0.2">
      <c r="A360" s="1784"/>
      <c r="B360" s="1825"/>
      <c r="C360" s="1501"/>
      <c r="D360" s="1501"/>
      <c r="E360" s="1618"/>
      <c r="F360" s="1549"/>
      <c r="G360" s="1728"/>
      <c r="H360" s="1728"/>
      <c r="I360" s="1728"/>
      <c r="J360" s="1728"/>
      <c r="K360" s="457" t="s">
        <v>432</v>
      </c>
      <c r="L360" s="458" t="s">
        <v>3</v>
      </c>
      <c r="M360" s="459"/>
      <c r="N360" s="459">
        <v>100</v>
      </c>
      <c r="O360" s="459">
        <v>100</v>
      </c>
      <c r="P360" s="459">
        <v>100</v>
      </c>
      <c r="Q360" s="458">
        <v>100</v>
      </c>
    </row>
    <row r="361" spans="1:17" s="10" customFormat="1" ht="41.45" customHeight="1" x14ac:dyDescent="0.2">
      <c r="A361" s="1784"/>
      <c r="B361" s="1825"/>
      <c r="C361" s="1501"/>
      <c r="D361" s="1501"/>
      <c r="E361" s="1618"/>
      <c r="F361" s="1549"/>
      <c r="G361" s="1728"/>
      <c r="H361" s="1728"/>
      <c r="I361" s="1728"/>
      <c r="J361" s="1728"/>
      <c r="K361" s="1802" t="s">
        <v>433</v>
      </c>
      <c r="L361" s="1722" t="s">
        <v>3</v>
      </c>
      <c r="M361" s="459"/>
      <c r="N361" s="1722">
        <v>100</v>
      </c>
      <c r="O361" s="1722">
        <v>100</v>
      </c>
      <c r="P361" s="1722">
        <v>100</v>
      </c>
      <c r="Q361" s="1722">
        <v>100</v>
      </c>
    </row>
    <row r="362" spans="1:17" s="10" customFormat="1" ht="15" x14ac:dyDescent="0.2">
      <c r="A362" s="1784"/>
      <c r="B362" s="1752"/>
      <c r="C362" s="1469"/>
      <c r="D362" s="1469"/>
      <c r="E362" s="1483"/>
      <c r="F362" s="1522"/>
      <c r="G362" s="1524"/>
      <c r="H362" s="1524"/>
      <c r="I362" s="1524"/>
      <c r="J362" s="1524"/>
      <c r="K362" s="1799"/>
      <c r="L362" s="1724"/>
      <c r="M362" s="460"/>
      <c r="N362" s="1724"/>
      <c r="O362" s="1724"/>
      <c r="P362" s="1724"/>
      <c r="Q362" s="1724"/>
    </row>
    <row r="363" spans="1:17" s="10" customFormat="1" ht="60" x14ac:dyDescent="0.2">
      <c r="A363" s="1784"/>
      <c r="B363" s="1752"/>
      <c r="C363" s="1393" t="s">
        <v>6</v>
      </c>
      <c r="D363" s="461"/>
      <c r="E363" s="1482" t="s">
        <v>1609</v>
      </c>
      <c r="F363" s="1788">
        <v>63068.1</v>
      </c>
      <c r="G363" s="1521">
        <v>60437.9</v>
      </c>
      <c r="H363" s="1521">
        <v>61453.1</v>
      </c>
      <c r="I363" s="1521">
        <v>62081.8</v>
      </c>
      <c r="J363" s="1521">
        <v>62702.1</v>
      </c>
      <c r="K363" s="462" t="s">
        <v>434</v>
      </c>
      <c r="L363" s="1808" t="s">
        <v>3</v>
      </c>
      <c r="M363" s="463">
        <v>100</v>
      </c>
      <c r="N363" s="463">
        <v>100</v>
      </c>
      <c r="O363" s="458">
        <v>100</v>
      </c>
      <c r="P363" s="458">
        <v>100</v>
      </c>
      <c r="Q363" s="458">
        <v>100</v>
      </c>
    </row>
    <row r="364" spans="1:17" s="10" customFormat="1" ht="45" x14ac:dyDescent="0.2">
      <c r="A364" s="1784"/>
      <c r="B364" s="464"/>
      <c r="C364" s="1801"/>
      <c r="D364" s="461"/>
      <c r="E364" s="1618"/>
      <c r="F364" s="1789"/>
      <c r="G364" s="1728"/>
      <c r="H364" s="1728"/>
      <c r="I364" s="1728"/>
      <c r="J364" s="1728"/>
      <c r="K364" s="465" t="s">
        <v>1995</v>
      </c>
      <c r="L364" s="1827"/>
      <c r="M364" s="463">
        <v>30</v>
      </c>
      <c r="N364" s="463">
        <v>30</v>
      </c>
      <c r="O364" s="458">
        <v>30</v>
      </c>
      <c r="P364" s="458">
        <v>30</v>
      </c>
      <c r="Q364" s="458">
        <v>30</v>
      </c>
    </row>
    <row r="365" spans="1:17" s="10" customFormat="1" ht="30" hidden="1" x14ac:dyDescent="0.2">
      <c r="A365" s="1784"/>
      <c r="B365" s="466"/>
      <c r="C365" s="1724"/>
      <c r="D365" s="467"/>
      <c r="E365" s="1516"/>
      <c r="F365" s="1790"/>
      <c r="G365" s="1522"/>
      <c r="H365" s="1522"/>
      <c r="I365" s="1522"/>
      <c r="J365" s="1522"/>
      <c r="K365" s="468" t="s">
        <v>1996</v>
      </c>
      <c r="L365" s="412" t="s">
        <v>3</v>
      </c>
      <c r="M365" s="412">
        <v>44</v>
      </c>
      <c r="N365" s="412">
        <v>44</v>
      </c>
      <c r="O365" s="412">
        <v>50</v>
      </c>
      <c r="P365" s="412">
        <v>50</v>
      </c>
      <c r="Q365" s="412">
        <v>50</v>
      </c>
    </row>
    <row r="366" spans="1:17" s="10" customFormat="1" ht="118.5" x14ac:dyDescent="0.2">
      <c r="A366" s="1784"/>
      <c r="B366" s="449" t="s">
        <v>423</v>
      </c>
      <c r="C366" s="469"/>
      <c r="D366" s="469"/>
      <c r="E366" s="451" t="s">
        <v>1792</v>
      </c>
      <c r="F366" s="470">
        <v>76072.999999999985</v>
      </c>
      <c r="G366" s="453">
        <v>98923.4</v>
      </c>
      <c r="H366" s="453">
        <f>H367+H368+H369+H371+H373+H374+H375+H377+H378+H379+H380+H381+H382+H383+H384+H385+H386+H387+H388</f>
        <v>94950</v>
      </c>
      <c r="I366" s="453">
        <f t="shared" ref="I366:J366" si="69">I367+I368+I369+I371+I373+I374+I375+I377+I378+I379+I380+I381+I382+I383+I384+I385+I386+I387+I388</f>
        <v>96325.4</v>
      </c>
      <c r="J366" s="453">
        <f t="shared" si="69"/>
        <v>97683.15</v>
      </c>
      <c r="K366" s="471"/>
      <c r="L366" s="471"/>
      <c r="M366" s="471"/>
      <c r="N366" s="456"/>
      <c r="O366" s="472"/>
      <c r="P366" s="472"/>
      <c r="Q366" s="472"/>
    </row>
    <row r="367" spans="1:17" s="10" customFormat="1" ht="120" x14ac:dyDescent="0.2">
      <c r="A367" s="1784"/>
      <c r="B367" s="1746"/>
      <c r="C367" s="473" t="s">
        <v>5</v>
      </c>
      <c r="D367" s="469"/>
      <c r="E367" s="474" t="s">
        <v>1019</v>
      </c>
      <c r="F367" s="475">
        <v>30129.200000000001</v>
      </c>
      <c r="G367" s="476">
        <v>3241.45</v>
      </c>
      <c r="H367" s="476">
        <v>3241.5</v>
      </c>
      <c r="I367" s="476">
        <v>3241.45</v>
      </c>
      <c r="J367" s="476">
        <v>3241.45</v>
      </c>
      <c r="K367" s="477" t="s">
        <v>435</v>
      </c>
      <c r="L367" s="458" t="s">
        <v>1</v>
      </c>
      <c r="M367" s="458"/>
      <c r="N367" s="478" t="s">
        <v>424</v>
      </c>
      <c r="O367" s="479" t="s">
        <v>424</v>
      </c>
      <c r="P367" s="479" t="s">
        <v>424</v>
      </c>
      <c r="Q367" s="479" t="s">
        <v>424</v>
      </c>
    </row>
    <row r="368" spans="1:17" s="10" customFormat="1" ht="45" x14ac:dyDescent="0.2">
      <c r="A368" s="1784"/>
      <c r="B368" s="1747"/>
      <c r="C368" s="473" t="s">
        <v>6</v>
      </c>
      <c r="D368" s="469"/>
      <c r="E368" s="480" t="s">
        <v>1793</v>
      </c>
      <c r="F368" s="49">
        <v>0</v>
      </c>
      <c r="G368" s="476">
        <v>3241.5</v>
      </c>
      <c r="H368" s="476">
        <v>3241.5</v>
      </c>
      <c r="I368" s="476">
        <v>3241.45</v>
      </c>
      <c r="J368" s="481">
        <v>3241.4</v>
      </c>
      <c r="K368" s="1254" t="s">
        <v>436</v>
      </c>
      <c r="L368" s="483" t="s">
        <v>106</v>
      </c>
      <c r="M368" s="483"/>
      <c r="N368" s="484">
        <v>2</v>
      </c>
      <c r="O368" s="484">
        <v>2</v>
      </c>
      <c r="P368" s="485">
        <v>2</v>
      </c>
      <c r="Q368" s="485">
        <v>2</v>
      </c>
    </row>
    <row r="369" spans="1:17" s="10" customFormat="1" ht="15" x14ac:dyDescent="0.2">
      <c r="A369" s="1784"/>
      <c r="B369" s="1747"/>
      <c r="C369" s="1468" t="s">
        <v>4</v>
      </c>
      <c r="D369" s="1731"/>
      <c r="E369" s="1482" t="s">
        <v>581</v>
      </c>
      <c r="F369" s="1455">
        <v>15800.5</v>
      </c>
      <c r="G369" s="1521">
        <v>10237.5</v>
      </c>
      <c r="H369" s="1521">
        <v>8250.5</v>
      </c>
      <c r="I369" s="1521">
        <v>8938.5</v>
      </c>
      <c r="J369" s="1793">
        <v>8997.2000000000007</v>
      </c>
      <c r="K369" s="1720" t="s">
        <v>1997</v>
      </c>
      <c r="L369" s="1725" t="s">
        <v>3</v>
      </c>
      <c r="M369" s="486"/>
      <c r="N369" s="1455">
        <v>103.1</v>
      </c>
      <c r="O369" s="1455">
        <v>106.3</v>
      </c>
      <c r="P369" s="1455">
        <v>105.9</v>
      </c>
      <c r="Q369" s="1455">
        <v>111.1</v>
      </c>
    </row>
    <row r="370" spans="1:17" s="10" customFormat="1" ht="15" x14ac:dyDescent="0.2">
      <c r="A370" s="1784"/>
      <c r="B370" s="1747"/>
      <c r="C370" s="1469"/>
      <c r="D370" s="1732"/>
      <c r="E370" s="1483"/>
      <c r="F370" s="1522"/>
      <c r="G370" s="1524"/>
      <c r="H370" s="1524"/>
      <c r="I370" s="1524"/>
      <c r="J370" s="1794"/>
      <c r="K370" s="1721"/>
      <c r="L370" s="1724"/>
      <c r="M370" s="460"/>
      <c r="N370" s="1522"/>
      <c r="O370" s="1522"/>
      <c r="P370" s="1522"/>
      <c r="Q370" s="1522"/>
    </row>
    <row r="371" spans="1:17" s="10" customFormat="1" ht="15" x14ac:dyDescent="0.2">
      <c r="A371" s="1784"/>
      <c r="B371" s="1747"/>
      <c r="C371" s="1468" t="s">
        <v>7</v>
      </c>
      <c r="D371" s="1731"/>
      <c r="E371" s="1795" t="s">
        <v>582</v>
      </c>
      <c r="F371" s="487"/>
      <c r="G371" s="1521">
        <v>2579.25</v>
      </c>
      <c r="H371" s="1521">
        <v>2579.3000000000002</v>
      </c>
      <c r="I371" s="1521">
        <v>2579.1999999999998</v>
      </c>
      <c r="J371" s="1793">
        <v>2579.3000000000002</v>
      </c>
      <c r="K371" s="488" t="s">
        <v>437</v>
      </c>
      <c r="L371" s="483" t="s">
        <v>106</v>
      </c>
      <c r="M371" s="459"/>
      <c r="N371" s="458">
        <v>1</v>
      </c>
      <c r="O371" s="458">
        <v>1</v>
      </c>
      <c r="P371" s="458">
        <v>1</v>
      </c>
      <c r="Q371" s="458">
        <v>1</v>
      </c>
    </row>
    <row r="372" spans="1:17" s="10" customFormat="1" ht="15" x14ac:dyDescent="0.2">
      <c r="A372" s="1784"/>
      <c r="B372" s="1747"/>
      <c r="C372" s="1469"/>
      <c r="D372" s="1732"/>
      <c r="E372" s="1796"/>
      <c r="F372" s="489">
        <v>0</v>
      </c>
      <c r="G372" s="1524"/>
      <c r="H372" s="1524"/>
      <c r="I372" s="1524"/>
      <c r="J372" s="1794"/>
      <c r="K372" s="488" t="s">
        <v>438</v>
      </c>
      <c r="L372" s="483" t="s">
        <v>106</v>
      </c>
      <c r="M372" s="459"/>
      <c r="N372" s="490">
        <v>5</v>
      </c>
      <c r="O372" s="490">
        <v>5</v>
      </c>
      <c r="P372" s="490">
        <v>5</v>
      </c>
      <c r="Q372" s="490">
        <v>5</v>
      </c>
    </row>
    <row r="373" spans="1:17" s="10" customFormat="1" ht="60" x14ac:dyDescent="0.2">
      <c r="A373" s="1784"/>
      <c r="B373" s="1747"/>
      <c r="C373" s="491" t="s">
        <v>8</v>
      </c>
      <c r="D373" s="492"/>
      <c r="E373" s="480" t="s">
        <v>583</v>
      </c>
      <c r="F373" s="489">
        <v>0</v>
      </c>
      <c r="G373" s="476">
        <v>2579.1999999999998</v>
      </c>
      <c r="H373" s="476">
        <v>2579.3000000000002</v>
      </c>
      <c r="I373" s="476">
        <v>2579.1999999999998</v>
      </c>
      <c r="J373" s="481">
        <v>2579.3000000000002</v>
      </c>
      <c r="K373" s="477" t="s">
        <v>439</v>
      </c>
      <c r="L373" s="483" t="s">
        <v>106</v>
      </c>
      <c r="M373" s="458"/>
      <c r="N373" s="478">
        <v>1</v>
      </c>
      <c r="O373" s="478">
        <v>1</v>
      </c>
      <c r="P373" s="478">
        <v>1</v>
      </c>
      <c r="Q373" s="197">
        <v>1</v>
      </c>
    </row>
    <row r="374" spans="1:17" s="10" customFormat="1" ht="45" x14ac:dyDescent="0.2">
      <c r="A374" s="1784"/>
      <c r="B374" s="1747"/>
      <c r="C374" s="491" t="s">
        <v>9</v>
      </c>
      <c r="D374" s="492"/>
      <c r="E374" s="480" t="s">
        <v>584</v>
      </c>
      <c r="F374" s="49">
        <v>0</v>
      </c>
      <c r="G374" s="476">
        <v>5247.9</v>
      </c>
      <c r="H374" s="476">
        <v>5247.9</v>
      </c>
      <c r="I374" s="476">
        <v>5247.9</v>
      </c>
      <c r="J374" s="476">
        <v>5247.9</v>
      </c>
      <c r="K374" s="477" t="s">
        <v>440</v>
      </c>
      <c r="L374" s="458" t="s">
        <v>3</v>
      </c>
      <c r="M374" s="458"/>
      <c r="N374" s="493" t="s">
        <v>425</v>
      </c>
      <c r="O374" s="493" t="s">
        <v>425</v>
      </c>
      <c r="P374" s="491" t="s">
        <v>425</v>
      </c>
      <c r="Q374" s="491" t="s">
        <v>425</v>
      </c>
    </row>
    <row r="375" spans="1:17" s="10" customFormat="1" ht="136.15" customHeight="1" x14ac:dyDescent="0.2">
      <c r="A375" s="1784"/>
      <c r="B375" s="1747"/>
      <c r="C375" s="1393" t="s">
        <v>10</v>
      </c>
      <c r="D375" s="1562"/>
      <c r="E375" s="1795" t="s">
        <v>585</v>
      </c>
      <c r="F375" s="487">
        <v>0</v>
      </c>
      <c r="G375" s="1521">
        <v>4054.1</v>
      </c>
      <c r="H375" s="1726">
        <v>4054.1</v>
      </c>
      <c r="I375" s="1726">
        <v>4054.1</v>
      </c>
      <c r="J375" s="1797">
        <v>4054.1</v>
      </c>
      <c r="K375" s="1352" t="s">
        <v>441</v>
      </c>
      <c r="L375" s="1305" t="s">
        <v>106</v>
      </c>
      <c r="M375" s="192"/>
      <c r="N375" s="1305">
        <v>5</v>
      </c>
      <c r="O375" s="1305">
        <v>5</v>
      </c>
      <c r="P375" s="1305">
        <v>5</v>
      </c>
      <c r="Q375" s="1305">
        <v>5</v>
      </c>
    </row>
    <row r="376" spans="1:17" s="10" customFormat="1" ht="8.25" customHeight="1" x14ac:dyDescent="0.2">
      <c r="A376" s="1784"/>
      <c r="B376" s="1747"/>
      <c r="C376" s="1395"/>
      <c r="D376" s="1809"/>
      <c r="E376" s="1796"/>
      <c r="F376" s="489"/>
      <c r="G376" s="1524"/>
      <c r="H376" s="1727"/>
      <c r="I376" s="1727"/>
      <c r="J376" s="1798"/>
      <c r="K376" s="1799"/>
      <c r="L376" s="1733"/>
      <c r="M376" s="494"/>
      <c r="N376" s="1523"/>
      <c r="O376" s="1523"/>
      <c r="P376" s="1523"/>
      <c r="Q376" s="1523"/>
    </row>
    <row r="377" spans="1:17" s="10" customFormat="1" ht="60" x14ac:dyDescent="0.2">
      <c r="A377" s="1784"/>
      <c r="B377" s="1747"/>
      <c r="C377" s="495" t="s">
        <v>11</v>
      </c>
      <c r="D377" s="496"/>
      <c r="E377" s="497" t="s">
        <v>586</v>
      </c>
      <c r="F377" s="498">
        <v>0</v>
      </c>
      <c r="G377" s="499">
        <v>5646.4</v>
      </c>
      <c r="H377" s="499">
        <v>5646.4</v>
      </c>
      <c r="I377" s="499">
        <v>5646.4</v>
      </c>
      <c r="J377" s="500">
        <v>5646.4</v>
      </c>
      <c r="K377" s="1255" t="s">
        <v>442</v>
      </c>
      <c r="L377" s="483" t="s">
        <v>106</v>
      </c>
      <c r="M377" s="502"/>
      <c r="N377" s="503">
        <v>1</v>
      </c>
      <c r="O377" s="503">
        <v>1</v>
      </c>
      <c r="P377" s="504">
        <v>1</v>
      </c>
      <c r="Q377" s="504">
        <v>1</v>
      </c>
    </row>
    <row r="378" spans="1:17" s="10" customFormat="1" ht="75" x14ac:dyDescent="0.2">
      <c r="A378" s="1784"/>
      <c r="B378" s="1747"/>
      <c r="C378" s="473" t="s">
        <v>14</v>
      </c>
      <c r="D378" s="469"/>
      <c r="E378" s="505" t="s">
        <v>587</v>
      </c>
      <c r="F378" s="487">
        <v>0</v>
      </c>
      <c r="G378" s="506">
        <v>5119.6000000000004</v>
      </c>
      <c r="H378" s="506">
        <v>5119.6000000000004</v>
      </c>
      <c r="I378" s="506">
        <v>5119.6000000000004</v>
      </c>
      <c r="J378" s="506">
        <v>5119.6000000000004</v>
      </c>
      <c r="K378" s="488" t="s">
        <v>443</v>
      </c>
      <c r="L378" s="508" t="s">
        <v>3</v>
      </c>
      <c r="M378" s="508"/>
      <c r="N378" s="197">
        <v>40</v>
      </c>
      <c r="O378" s="197">
        <v>40</v>
      </c>
      <c r="P378" s="197">
        <v>40</v>
      </c>
      <c r="Q378" s="509">
        <v>40</v>
      </c>
    </row>
    <row r="379" spans="1:17" s="10" customFormat="1" ht="60" x14ac:dyDescent="0.2">
      <c r="A379" s="1784"/>
      <c r="B379" s="1747"/>
      <c r="C379" s="491" t="s">
        <v>15</v>
      </c>
      <c r="D379" s="492"/>
      <c r="E379" s="480" t="s">
        <v>588</v>
      </c>
      <c r="F379" s="49">
        <v>0</v>
      </c>
      <c r="G379" s="476">
        <v>4054.2</v>
      </c>
      <c r="H379" s="476">
        <v>4054.2</v>
      </c>
      <c r="I379" s="476">
        <v>4054.2</v>
      </c>
      <c r="J379" s="476">
        <v>4054.2</v>
      </c>
      <c r="K379" s="477" t="s">
        <v>436</v>
      </c>
      <c r="L379" s="483" t="s">
        <v>106</v>
      </c>
      <c r="M379" s="510"/>
      <c r="N379" s="485">
        <v>6</v>
      </c>
      <c r="O379" s="485">
        <v>6</v>
      </c>
      <c r="P379" s="485">
        <v>6</v>
      </c>
      <c r="Q379" s="509">
        <v>6</v>
      </c>
    </row>
    <row r="380" spans="1:17" s="10" customFormat="1" ht="165" x14ac:dyDescent="0.2">
      <c r="A380" s="1784"/>
      <c r="B380" s="1747"/>
      <c r="C380" s="491" t="s">
        <v>224</v>
      </c>
      <c r="D380" s="492"/>
      <c r="E380" s="480" t="s">
        <v>589</v>
      </c>
      <c r="F380" s="49">
        <v>0</v>
      </c>
      <c r="G380" s="476">
        <v>8385.7999999999993</v>
      </c>
      <c r="H380" s="476">
        <v>6399.1</v>
      </c>
      <c r="I380" s="476">
        <v>7086.8</v>
      </c>
      <c r="J380" s="476">
        <v>8385.7999999999993</v>
      </c>
      <c r="K380" s="477" t="s">
        <v>441</v>
      </c>
      <c r="L380" s="483" t="s">
        <v>106</v>
      </c>
      <c r="M380" s="510"/>
      <c r="N380" s="485">
        <v>7</v>
      </c>
      <c r="O380" s="485">
        <v>7</v>
      </c>
      <c r="P380" s="485">
        <v>7</v>
      </c>
      <c r="Q380" s="509">
        <v>7</v>
      </c>
    </row>
    <row r="381" spans="1:17" s="10" customFormat="1" ht="45" x14ac:dyDescent="0.2">
      <c r="A381" s="1784"/>
      <c r="B381" s="1747"/>
      <c r="C381" s="491" t="s">
        <v>16</v>
      </c>
      <c r="D381" s="492"/>
      <c r="E381" s="480" t="s">
        <v>1998</v>
      </c>
      <c r="F381" s="49">
        <v>0</v>
      </c>
      <c r="G381" s="476">
        <v>3748.5</v>
      </c>
      <c r="H381" s="476">
        <v>3748.5</v>
      </c>
      <c r="I381" s="476">
        <v>3748.5</v>
      </c>
      <c r="J381" s="476">
        <v>3748.5</v>
      </c>
      <c r="K381" s="477" t="s">
        <v>444</v>
      </c>
      <c r="L381" s="483" t="s">
        <v>106</v>
      </c>
      <c r="M381" s="510"/>
      <c r="N381" s="485">
        <v>6</v>
      </c>
      <c r="O381" s="485">
        <v>6</v>
      </c>
      <c r="P381" s="485">
        <v>6</v>
      </c>
      <c r="Q381" s="509">
        <v>6</v>
      </c>
    </row>
    <row r="382" spans="1:17" s="10" customFormat="1" ht="75" x14ac:dyDescent="0.2">
      <c r="A382" s="1784"/>
      <c r="B382" s="1747"/>
      <c r="C382" s="491" t="s">
        <v>29</v>
      </c>
      <c r="D382" s="492"/>
      <c r="E382" s="480" t="s">
        <v>590</v>
      </c>
      <c r="F382" s="49">
        <v>0</v>
      </c>
      <c r="G382" s="476">
        <v>3748.5</v>
      </c>
      <c r="H382" s="476">
        <v>3748.5</v>
      </c>
      <c r="I382" s="476">
        <v>3748.5</v>
      </c>
      <c r="J382" s="476">
        <v>3748.5</v>
      </c>
      <c r="K382" s="457" t="s">
        <v>445</v>
      </c>
      <c r="L382" s="483" t="s">
        <v>106</v>
      </c>
      <c r="M382" s="197"/>
      <c r="N382" s="197">
        <v>3</v>
      </c>
      <c r="O382" s="197">
        <v>3</v>
      </c>
      <c r="P382" s="197">
        <v>3</v>
      </c>
      <c r="Q382" s="509">
        <v>3</v>
      </c>
    </row>
    <row r="383" spans="1:17" s="10" customFormat="1" ht="45" x14ac:dyDescent="0.2">
      <c r="A383" s="1784"/>
      <c r="B383" s="1747"/>
      <c r="C383" s="491" t="s">
        <v>225</v>
      </c>
      <c r="D383" s="492"/>
      <c r="E383" s="480" t="s">
        <v>1999</v>
      </c>
      <c r="F383" s="49">
        <v>4231.6000000000004</v>
      </c>
      <c r="G383" s="476">
        <v>5444.8</v>
      </c>
      <c r="H383" s="476">
        <v>5444.8</v>
      </c>
      <c r="I383" s="476">
        <v>5444.8</v>
      </c>
      <c r="J383" s="476">
        <v>5444.8</v>
      </c>
      <c r="K383" s="477" t="s">
        <v>2000</v>
      </c>
      <c r="L383" s="197" t="s">
        <v>3</v>
      </c>
      <c r="M383" s="197"/>
      <c r="N383" s="197">
        <v>100</v>
      </c>
      <c r="O383" s="197">
        <v>100</v>
      </c>
      <c r="P383" s="197">
        <v>100</v>
      </c>
      <c r="Q383" s="509">
        <v>100</v>
      </c>
    </row>
    <row r="384" spans="1:17" s="10" customFormat="1" ht="75" x14ac:dyDescent="0.2">
      <c r="A384" s="1784"/>
      <c r="B384" s="1747"/>
      <c r="C384" s="491" t="s">
        <v>226</v>
      </c>
      <c r="D384" s="492"/>
      <c r="E384" s="376" t="s">
        <v>1020</v>
      </c>
      <c r="F384" s="49">
        <v>0</v>
      </c>
      <c r="G384" s="476">
        <v>4413.75</v>
      </c>
      <c r="H384" s="476">
        <v>4413.8</v>
      </c>
      <c r="I384" s="476">
        <v>4413.8</v>
      </c>
      <c r="J384" s="476">
        <v>4413.75</v>
      </c>
      <c r="K384" s="477" t="s">
        <v>1021</v>
      </c>
      <c r="L384" s="483" t="s">
        <v>106</v>
      </c>
      <c r="M384" s="197"/>
      <c r="N384" s="197">
        <v>4</v>
      </c>
      <c r="O384" s="197">
        <v>4</v>
      </c>
      <c r="P384" s="197">
        <v>4</v>
      </c>
      <c r="Q384" s="509">
        <v>4</v>
      </c>
    </row>
    <row r="385" spans="1:17" s="10" customFormat="1" ht="150" x14ac:dyDescent="0.2">
      <c r="A385" s="1784"/>
      <c r="B385" s="1747"/>
      <c r="C385" s="491" t="s">
        <v>227</v>
      </c>
      <c r="D385" s="492"/>
      <c r="E385" s="376" t="s">
        <v>591</v>
      </c>
      <c r="F385" s="49">
        <v>0</v>
      </c>
      <c r="G385" s="476">
        <v>4413.75</v>
      </c>
      <c r="H385" s="476">
        <v>4413.8</v>
      </c>
      <c r="I385" s="476">
        <v>4413.8</v>
      </c>
      <c r="J385" s="476">
        <v>4413.75</v>
      </c>
      <c r="K385" s="477" t="s">
        <v>1022</v>
      </c>
      <c r="L385" s="483" t="s">
        <v>106</v>
      </c>
      <c r="M385" s="197"/>
      <c r="N385" s="197">
        <v>2</v>
      </c>
      <c r="O385" s="197">
        <v>2</v>
      </c>
      <c r="P385" s="197">
        <v>2</v>
      </c>
      <c r="Q385" s="509">
        <v>2</v>
      </c>
    </row>
    <row r="386" spans="1:17" s="10" customFormat="1" ht="30" x14ac:dyDescent="0.2">
      <c r="A386" s="1784"/>
      <c r="B386" s="1747"/>
      <c r="C386" s="492" t="s">
        <v>219</v>
      </c>
      <c r="D386" s="492"/>
      <c r="E386" s="480" t="s">
        <v>593</v>
      </c>
      <c r="F386" s="49">
        <v>5657.1</v>
      </c>
      <c r="G386" s="476">
        <v>8590</v>
      </c>
      <c r="H386" s="476">
        <v>8590</v>
      </c>
      <c r="I386" s="476">
        <v>8590</v>
      </c>
      <c r="J386" s="476">
        <v>8590</v>
      </c>
      <c r="K386" s="457" t="s">
        <v>446</v>
      </c>
      <c r="L386" s="458" t="s">
        <v>20</v>
      </c>
      <c r="M386" s="458"/>
      <c r="N386" s="197">
        <v>5000</v>
      </c>
      <c r="O386" s="197">
        <v>7000</v>
      </c>
      <c r="P386" s="197">
        <v>8000</v>
      </c>
      <c r="Q386" s="509">
        <v>8000</v>
      </c>
    </row>
    <row r="387" spans="1:17" s="10" customFormat="1" ht="60" x14ac:dyDescent="0.2">
      <c r="A387" s="1784"/>
      <c r="B387" s="1747"/>
      <c r="C387" s="492" t="s">
        <v>337</v>
      </c>
      <c r="D387" s="492"/>
      <c r="E387" s="376" t="s">
        <v>594</v>
      </c>
      <c r="F387" s="49">
        <v>0</v>
      </c>
      <c r="G387" s="476">
        <v>8630.7999999999993</v>
      </c>
      <c r="H387" s="476">
        <v>8630.7999999999993</v>
      </c>
      <c r="I387" s="476">
        <v>8630.7999999999993</v>
      </c>
      <c r="J387" s="476">
        <v>8630.7999999999993</v>
      </c>
      <c r="K387" s="477" t="s">
        <v>447</v>
      </c>
      <c r="L387" s="197" t="s">
        <v>3</v>
      </c>
      <c r="M387" s="197"/>
      <c r="N387" s="197">
        <v>105.4</v>
      </c>
      <c r="O387" s="197">
        <v>105.4</v>
      </c>
      <c r="P387" s="197">
        <v>106</v>
      </c>
      <c r="Q387" s="509">
        <v>105.5</v>
      </c>
    </row>
    <row r="388" spans="1:17" s="10" customFormat="1" ht="45" x14ac:dyDescent="0.2">
      <c r="A388" s="1784"/>
      <c r="B388" s="1747"/>
      <c r="C388" s="492" t="s">
        <v>220</v>
      </c>
      <c r="D388" s="492"/>
      <c r="E388" s="480" t="s">
        <v>595</v>
      </c>
      <c r="F388" s="49">
        <v>0</v>
      </c>
      <c r="G388" s="476">
        <v>5546.4</v>
      </c>
      <c r="H388" s="476">
        <v>5546.4</v>
      </c>
      <c r="I388" s="476">
        <v>5546.4</v>
      </c>
      <c r="J388" s="476">
        <v>5546.4</v>
      </c>
      <c r="K388" s="457" t="s">
        <v>448</v>
      </c>
      <c r="L388" s="197" t="s">
        <v>1</v>
      </c>
      <c r="M388" s="197"/>
      <c r="N388" s="197">
        <v>1</v>
      </c>
      <c r="O388" s="197">
        <v>1</v>
      </c>
      <c r="P388" s="197">
        <v>1</v>
      </c>
      <c r="Q388" s="509">
        <v>1</v>
      </c>
    </row>
    <row r="389" spans="1:17" s="10" customFormat="1" ht="60" hidden="1" x14ac:dyDescent="0.2">
      <c r="A389" s="1784"/>
      <c r="B389" s="1747"/>
      <c r="C389" s="492" t="s">
        <v>338</v>
      </c>
      <c r="D389" s="492"/>
      <c r="E389" s="480" t="s">
        <v>596</v>
      </c>
      <c r="F389" s="487">
        <v>5337</v>
      </c>
      <c r="G389" s="476">
        <v>0</v>
      </c>
      <c r="H389" s="476">
        <v>0</v>
      </c>
      <c r="I389" s="476">
        <v>0</v>
      </c>
      <c r="J389" s="476">
        <v>0</v>
      </c>
      <c r="K389" s="477" t="s">
        <v>449</v>
      </c>
      <c r="L389" s="197" t="s">
        <v>450</v>
      </c>
      <c r="M389" s="197">
        <v>70</v>
      </c>
      <c r="N389" s="197" t="s">
        <v>100</v>
      </c>
      <c r="O389" s="197" t="s">
        <v>100</v>
      </c>
      <c r="P389" s="197" t="s">
        <v>100</v>
      </c>
      <c r="Q389" s="509" t="s">
        <v>100</v>
      </c>
    </row>
    <row r="390" spans="1:17" s="10" customFormat="1" ht="30" hidden="1" x14ac:dyDescent="0.2">
      <c r="A390" s="1784"/>
      <c r="B390" s="1747"/>
      <c r="C390" s="492" t="s">
        <v>592</v>
      </c>
      <c r="D390" s="492"/>
      <c r="E390" s="474" t="s">
        <v>597</v>
      </c>
      <c r="F390" s="487">
        <v>11309.9</v>
      </c>
      <c r="G390" s="476">
        <v>0</v>
      </c>
      <c r="H390" s="476">
        <v>0</v>
      </c>
      <c r="I390" s="476">
        <v>0</v>
      </c>
      <c r="J390" s="476">
        <v>0</v>
      </c>
      <c r="K390" s="477" t="s">
        <v>451</v>
      </c>
      <c r="L390" s="197" t="s">
        <v>426</v>
      </c>
      <c r="M390" s="197">
        <v>698.4</v>
      </c>
      <c r="N390" s="197" t="s">
        <v>100</v>
      </c>
      <c r="O390" s="197" t="s">
        <v>100</v>
      </c>
      <c r="P390" s="197" t="s">
        <v>100</v>
      </c>
      <c r="Q390" s="509" t="s">
        <v>100</v>
      </c>
    </row>
    <row r="391" spans="1:17" s="10" customFormat="1" ht="75" hidden="1" x14ac:dyDescent="0.2">
      <c r="A391" s="1784"/>
      <c r="B391" s="1748"/>
      <c r="C391" s="491" t="s">
        <v>17</v>
      </c>
      <c r="D391" s="492"/>
      <c r="E391" s="376" t="s">
        <v>1023</v>
      </c>
      <c r="F391" s="487">
        <v>3607.7</v>
      </c>
      <c r="G391" s="476">
        <v>0</v>
      </c>
      <c r="H391" s="476">
        <v>0</v>
      </c>
      <c r="I391" s="476">
        <v>0</v>
      </c>
      <c r="J391" s="476">
        <v>0</v>
      </c>
      <c r="K391" s="477" t="s">
        <v>1024</v>
      </c>
      <c r="L391" s="197" t="s">
        <v>3</v>
      </c>
      <c r="M391" s="197">
        <v>5</v>
      </c>
      <c r="N391" s="197" t="s">
        <v>100</v>
      </c>
      <c r="O391" s="197" t="s">
        <v>100</v>
      </c>
      <c r="P391" s="197" t="s">
        <v>100</v>
      </c>
      <c r="Q391" s="509" t="s">
        <v>100</v>
      </c>
    </row>
    <row r="392" spans="1:17" s="10" customFormat="1" ht="132.75" x14ac:dyDescent="0.2">
      <c r="A392" s="1784"/>
      <c r="B392" s="511" t="s">
        <v>423</v>
      </c>
      <c r="C392" s="492"/>
      <c r="D392" s="492"/>
      <c r="E392" s="512" t="s">
        <v>1755</v>
      </c>
      <c r="F392" s="470">
        <v>120436.59999999998</v>
      </c>
      <c r="G392" s="513">
        <v>282008.8</v>
      </c>
      <c r="H392" s="513">
        <f>H393+H395+H396+H398+H399+H402+H405+H406+H410+H411+H416+H418+H420</f>
        <v>323833.49999999994</v>
      </c>
      <c r="I392" s="513">
        <f t="shared" ref="I392:J392" si="70">I393+I395+I396+I398+I399+I402+I405+I406+I410+I411+I416+I418+I420</f>
        <v>327703.2</v>
      </c>
      <c r="J392" s="513">
        <f t="shared" si="70"/>
        <v>331531.93</v>
      </c>
      <c r="K392" s="471"/>
      <c r="L392" s="471"/>
      <c r="M392" s="471"/>
      <c r="N392" s="456"/>
      <c r="O392" s="472"/>
      <c r="P392" s="472"/>
      <c r="Q392" s="472"/>
    </row>
    <row r="393" spans="1:17" s="10" customFormat="1" ht="34.5" customHeight="1" x14ac:dyDescent="0.2">
      <c r="A393" s="1784"/>
      <c r="B393" s="1746"/>
      <c r="C393" s="1503" t="s">
        <v>5</v>
      </c>
      <c r="D393" s="1757"/>
      <c r="E393" s="1810" t="s">
        <v>598</v>
      </c>
      <c r="F393" s="1455">
        <v>23901.7</v>
      </c>
      <c r="G393" s="1717">
        <v>24050.1</v>
      </c>
      <c r="H393" s="1717">
        <v>26481.8</v>
      </c>
      <c r="I393" s="1717">
        <v>26752.6</v>
      </c>
      <c r="J393" s="1717">
        <v>27020</v>
      </c>
      <c r="K393" s="457" t="s">
        <v>452</v>
      </c>
      <c r="L393" s="483" t="s">
        <v>106</v>
      </c>
      <c r="M393" s="458">
        <v>7186</v>
      </c>
      <c r="N393" s="478">
        <v>7922</v>
      </c>
      <c r="O393" s="479">
        <v>7922</v>
      </c>
      <c r="P393" s="479">
        <v>8318</v>
      </c>
      <c r="Q393" s="479">
        <v>8733</v>
      </c>
    </row>
    <row r="394" spans="1:17" s="10" customFormat="1" ht="36" customHeight="1" x14ac:dyDescent="0.2">
      <c r="A394" s="1784"/>
      <c r="B394" s="1747"/>
      <c r="C394" s="1503"/>
      <c r="D394" s="1757"/>
      <c r="E394" s="1811"/>
      <c r="F394" s="1522"/>
      <c r="G394" s="1717"/>
      <c r="H394" s="1717"/>
      <c r="I394" s="1717"/>
      <c r="J394" s="1717"/>
      <c r="K394" s="477" t="s">
        <v>453</v>
      </c>
      <c r="L394" s="458" t="s">
        <v>180</v>
      </c>
      <c r="M394" s="458">
        <v>99494</v>
      </c>
      <c r="N394" s="478">
        <v>109691</v>
      </c>
      <c r="O394" s="479">
        <v>109691</v>
      </c>
      <c r="P394" s="479">
        <v>115175</v>
      </c>
      <c r="Q394" s="479">
        <v>120933</v>
      </c>
    </row>
    <row r="395" spans="1:17" s="10" customFormat="1" ht="105" x14ac:dyDescent="0.2">
      <c r="A395" s="1784"/>
      <c r="B395" s="1747"/>
      <c r="C395" s="491" t="s">
        <v>6</v>
      </c>
      <c r="D395" s="492"/>
      <c r="E395" s="376" t="s">
        <v>599</v>
      </c>
      <c r="F395" s="49">
        <v>17403.3</v>
      </c>
      <c r="G395" s="476">
        <v>17403</v>
      </c>
      <c r="H395" s="476">
        <v>17724.2</v>
      </c>
      <c r="I395" s="476">
        <v>17905.400000000001</v>
      </c>
      <c r="J395" s="476">
        <v>18084.400000000001</v>
      </c>
      <c r="K395" s="457" t="s">
        <v>454</v>
      </c>
      <c r="L395" s="458" t="s">
        <v>426</v>
      </c>
      <c r="M395" s="458">
        <v>6534.4</v>
      </c>
      <c r="N395" s="478">
        <v>7500</v>
      </c>
      <c r="O395" s="478">
        <v>7500</v>
      </c>
      <c r="P395" s="197">
        <v>7725</v>
      </c>
      <c r="Q395" s="197">
        <v>7596</v>
      </c>
    </row>
    <row r="396" spans="1:17" s="10" customFormat="1" ht="60" x14ac:dyDescent="0.2">
      <c r="A396" s="1784"/>
      <c r="B396" s="1747"/>
      <c r="C396" s="491" t="s">
        <v>4</v>
      </c>
      <c r="D396" s="492"/>
      <c r="E396" s="376" t="s">
        <v>600</v>
      </c>
      <c r="F396" s="49">
        <v>5919.7</v>
      </c>
      <c r="G396" s="476">
        <v>7996.5</v>
      </c>
      <c r="H396" s="476">
        <v>8148.4</v>
      </c>
      <c r="I396" s="476">
        <v>8231.7999999999993</v>
      </c>
      <c r="J396" s="476">
        <v>8314.0300000000007</v>
      </c>
      <c r="K396" s="457" t="s">
        <v>455</v>
      </c>
      <c r="L396" s="483" t="s">
        <v>106</v>
      </c>
      <c r="M396" s="478">
        <v>12</v>
      </c>
      <c r="N396" s="478">
        <v>14</v>
      </c>
      <c r="O396" s="478">
        <v>14</v>
      </c>
      <c r="P396" s="478">
        <v>14</v>
      </c>
      <c r="Q396" s="478">
        <v>14</v>
      </c>
    </row>
    <row r="397" spans="1:17" s="10" customFormat="1" ht="75" hidden="1" x14ac:dyDescent="0.2">
      <c r="A397" s="1784"/>
      <c r="B397" s="1747"/>
      <c r="C397" s="491" t="s">
        <v>7</v>
      </c>
      <c r="D397" s="492"/>
      <c r="E397" s="376" t="s">
        <v>1025</v>
      </c>
      <c r="F397" s="49">
        <v>7468.8</v>
      </c>
      <c r="G397" s="476">
        <v>0</v>
      </c>
      <c r="H397" s="476">
        <v>0</v>
      </c>
      <c r="I397" s="476">
        <v>0</v>
      </c>
      <c r="J397" s="476">
        <v>0</v>
      </c>
      <c r="K397" s="477" t="s">
        <v>1504</v>
      </c>
      <c r="L397" s="478" t="s">
        <v>3</v>
      </c>
      <c r="M397" s="478">
        <v>60</v>
      </c>
      <c r="N397" s="478" t="s">
        <v>100</v>
      </c>
      <c r="O397" s="478" t="s">
        <v>100</v>
      </c>
      <c r="P397" s="478" t="s">
        <v>100</v>
      </c>
      <c r="Q397" s="478" t="s">
        <v>100</v>
      </c>
    </row>
    <row r="398" spans="1:17" s="10" customFormat="1" ht="45" x14ac:dyDescent="0.2">
      <c r="A398" s="1784"/>
      <c r="B398" s="1747"/>
      <c r="C398" s="491" t="s">
        <v>7</v>
      </c>
      <c r="D398" s="492"/>
      <c r="E398" s="376" t="s">
        <v>601</v>
      </c>
      <c r="F398" s="49">
        <v>14416.2</v>
      </c>
      <c r="G398" s="476">
        <v>15417.4</v>
      </c>
      <c r="H398" s="476">
        <v>17023.900000000001</v>
      </c>
      <c r="I398" s="476">
        <v>17421.3</v>
      </c>
      <c r="J398" s="476">
        <v>17717.5</v>
      </c>
      <c r="K398" s="457" t="s">
        <v>456</v>
      </c>
      <c r="L398" s="483" t="s">
        <v>106</v>
      </c>
      <c r="M398" s="458"/>
      <c r="N398" s="458">
        <v>163</v>
      </c>
      <c r="O398" s="458">
        <v>163</v>
      </c>
      <c r="P398" s="458">
        <v>165</v>
      </c>
      <c r="Q398" s="458">
        <v>170</v>
      </c>
    </row>
    <row r="399" spans="1:17" s="10" customFormat="1" ht="60.75" customHeight="1" x14ac:dyDescent="0.2">
      <c r="A399" s="1784"/>
      <c r="B399" s="1747"/>
      <c r="C399" s="1503" t="s">
        <v>8</v>
      </c>
      <c r="D399" s="1757"/>
      <c r="E399" s="1482" t="s">
        <v>1610</v>
      </c>
      <c r="F399" s="1455">
        <v>35494.1</v>
      </c>
      <c r="G399" s="1717">
        <v>26706.2</v>
      </c>
      <c r="H399" s="1717">
        <v>29227.200000000001</v>
      </c>
      <c r="I399" s="1717">
        <v>29860.7</v>
      </c>
      <c r="J399" s="1717">
        <v>30591.200000000001</v>
      </c>
      <c r="K399" s="1720" t="s">
        <v>1026</v>
      </c>
      <c r="L399" s="1722" t="s">
        <v>106</v>
      </c>
      <c r="M399" s="1722">
        <v>17</v>
      </c>
      <c r="N399" s="1725">
        <v>17</v>
      </c>
      <c r="O399" s="1725">
        <v>17</v>
      </c>
      <c r="P399" s="1725">
        <v>17</v>
      </c>
      <c r="Q399" s="1808">
        <v>18</v>
      </c>
    </row>
    <row r="400" spans="1:17" s="10" customFormat="1" ht="76.5" customHeight="1" x14ac:dyDescent="0.2">
      <c r="A400" s="1784"/>
      <c r="B400" s="1747"/>
      <c r="C400" s="1756"/>
      <c r="D400" s="1758"/>
      <c r="E400" s="1515"/>
      <c r="F400" s="1549"/>
      <c r="G400" s="1718"/>
      <c r="H400" s="1718"/>
      <c r="I400" s="1718"/>
      <c r="J400" s="1718"/>
      <c r="K400" s="1721"/>
      <c r="L400" s="1723"/>
      <c r="M400" s="1724"/>
      <c r="N400" s="1724"/>
      <c r="O400" s="1724"/>
      <c r="P400" s="1724"/>
      <c r="Q400" s="1733"/>
    </row>
    <row r="401" spans="1:17" s="10" customFormat="1" ht="75" x14ac:dyDescent="0.2">
      <c r="A401" s="1784"/>
      <c r="B401" s="1747"/>
      <c r="C401" s="1756"/>
      <c r="D401" s="1758"/>
      <c r="E401" s="1516"/>
      <c r="F401" s="1522"/>
      <c r="G401" s="1718"/>
      <c r="H401" s="1718"/>
      <c r="I401" s="1718"/>
      <c r="J401" s="1718"/>
      <c r="K401" s="477" t="s">
        <v>457</v>
      </c>
      <c r="L401" s="483" t="s">
        <v>106</v>
      </c>
      <c r="M401" s="458">
        <v>6</v>
      </c>
      <c r="N401" s="478">
        <v>6</v>
      </c>
      <c r="O401" s="478">
        <v>6</v>
      </c>
      <c r="P401" s="478">
        <v>6</v>
      </c>
      <c r="Q401" s="197">
        <v>5</v>
      </c>
    </row>
    <row r="402" spans="1:17" s="10" customFormat="1" ht="31.9" customHeight="1" x14ac:dyDescent="0.2">
      <c r="A402" s="1784"/>
      <c r="B402" s="1747"/>
      <c r="C402" s="1503" t="s">
        <v>9</v>
      </c>
      <c r="D402" s="1757"/>
      <c r="E402" s="1482" t="s">
        <v>602</v>
      </c>
      <c r="F402" s="1455">
        <v>0</v>
      </c>
      <c r="G402" s="1717">
        <v>41767.300000000003</v>
      </c>
      <c r="H402" s="1717">
        <v>57155.3</v>
      </c>
      <c r="I402" s="1717">
        <v>57739.9</v>
      </c>
      <c r="J402" s="1717">
        <v>58316.800000000003</v>
      </c>
      <c r="K402" s="477" t="s">
        <v>458</v>
      </c>
      <c r="L402" s="483" t="s">
        <v>106</v>
      </c>
      <c r="M402" s="458"/>
      <c r="N402" s="49" t="s">
        <v>459</v>
      </c>
      <c r="O402" s="478" t="s">
        <v>459</v>
      </c>
      <c r="P402" s="458" t="s">
        <v>459</v>
      </c>
      <c r="Q402" s="458" t="s">
        <v>459</v>
      </c>
    </row>
    <row r="403" spans="1:17" s="10" customFormat="1" ht="60" x14ac:dyDescent="0.2">
      <c r="A403" s="1784"/>
      <c r="B403" s="1747"/>
      <c r="C403" s="1756"/>
      <c r="D403" s="1758"/>
      <c r="E403" s="1515"/>
      <c r="F403" s="1549"/>
      <c r="G403" s="1718"/>
      <c r="H403" s="1718"/>
      <c r="I403" s="1718"/>
      <c r="J403" s="1718"/>
      <c r="K403" s="477" t="s">
        <v>460</v>
      </c>
      <c r="L403" s="483" t="s">
        <v>106</v>
      </c>
      <c r="M403" s="458"/>
      <c r="N403" s="49" t="s">
        <v>459</v>
      </c>
      <c r="O403" s="478" t="s">
        <v>459</v>
      </c>
      <c r="P403" s="458" t="s">
        <v>459</v>
      </c>
      <c r="Q403" s="458" t="s">
        <v>459</v>
      </c>
    </row>
    <row r="404" spans="1:17" s="10" customFormat="1" ht="60" x14ac:dyDescent="0.2">
      <c r="A404" s="1784"/>
      <c r="B404" s="1747"/>
      <c r="C404" s="1756"/>
      <c r="D404" s="1758"/>
      <c r="E404" s="1516"/>
      <c r="F404" s="1522"/>
      <c r="G404" s="1718"/>
      <c r="H404" s="1718"/>
      <c r="I404" s="1718"/>
      <c r="J404" s="1718"/>
      <c r="K404" s="477" t="s">
        <v>1027</v>
      </c>
      <c r="L404" s="483" t="s">
        <v>106</v>
      </c>
      <c r="M404" s="458"/>
      <c r="N404" s="49" t="s">
        <v>459</v>
      </c>
      <c r="O404" s="478" t="s">
        <v>459</v>
      </c>
      <c r="P404" s="458" t="s">
        <v>459</v>
      </c>
      <c r="Q404" s="458" t="s">
        <v>459</v>
      </c>
    </row>
    <row r="405" spans="1:17" s="10" customFormat="1" ht="60" x14ac:dyDescent="0.2">
      <c r="A405" s="1784"/>
      <c r="B405" s="1747"/>
      <c r="C405" s="514" t="s">
        <v>10</v>
      </c>
      <c r="D405" s="515"/>
      <c r="E405" s="516" t="s">
        <v>603</v>
      </c>
      <c r="F405" s="487">
        <v>0</v>
      </c>
      <c r="G405" s="506">
        <v>16159</v>
      </c>
      <c r="H405" s="517">
        <v>18335.8</v>
      </c>
      <c r="I405" s="517">
        <v>18523.3</v>
      </c>
      <c r="J405" s="518">
        <v>18708.3</v>
      </c>
      <c r="K405" s="210" t="s">
        <v>461</v>
      </c>
      <c r="L405" s="483" t="s">
        <v>106</v>
      </c>
      <c r="M405" s="23"/>
      <c r="N405" s="23" t="s">
        <v>462</v>
      </c>
      <c r="O405" s="23" t="s">
        <v>462</v>
      </c>
      <c r="P405" s="23" t="s">
        <v>463</v>
      </c>
      <c r="Q405" s="23" t="s">
        <v>463</v>
      </c>
    </row>
    <row r="406" spans="1:17" s="10" customFormat="1" ht="75" x14ac:dyDescent="0.2">
      <c r="A406" s="1784"/>
      <c r="B406" s="1747"/>
      <c r="C406" s="1750" t="s">
        <v>11</v>
      </c>
      <c r="D406" s="1753"/>
      <c r="E406" s="1791" t="s">
        <v>604</v>
      </c>
      <c r="F406" s="1749">
        <v>0</v>
      </c>
      <c r="G406" s="1774">
        <v>78695.100000000006</v>
      </c>
      <c r="H406" s="1774">
        <v>87595.3</v>
      </c>
      <c r="I406" s="1774">
        <v>88491.199999999997</v>
      </c>
      <c r="J406" s="1774">
        <v>89375.4</v>
      </c>
      <c r="K406" s="501" t="s">
        <v>464</v>
      </c>
      <c r="L406" s="502"/>
      <c r="M406" s="502"/>
      <c r="N406" s="519">
        <v>1900</v>
      </c>
      <c r="O406" s="519">
        <v>1900</v>
      </c>
      <c r="P406" s="520">
        <v>2000</v>
      </c>
      <c r="Q406" s="520">
        <v>1900</v>
      </c>
    </row>
    <row r="407" spans="1:17" s="10" customFormat="1" ht="45" x14ac:dyDescent="0.2">
      <c r="A407" s="1784"/>
      <c r="B407" s="1747"/>
      <c r="C407" s="1751"/>
      <c r="D407" s="1754"/>
      <c r="E407" s="1792"/>
      <c r="F407" s="1549"/>
      <c r="G407" s="1775"/>
      <c r="H407" s="1775"/>
      <c r="I407" s="1775"/>
      <c r="J407" s="1775"/>
      <c r="K407" s="501" t="s">
        <v>465</v>
      </c>
      <c r="L407" s="502"/>
      <c r="M407" s="502"/>
      <c r="N407" s="519">
        <v>676</v>
      </c>
      <c r="O407" s="519">
        <v>676</v>
      </c>
      <c r="P407" s="520">
        <v>697.5</v>
      </c>
      <c r="Q407" s="520">
        <v>676</v>
      </c>
    </row>
    <row r="408" spans="1:17" s="10" customFormat="1" ht="45" x14ac:dyDescent="0.2">
      <c r="A408" s="1784"/>
      <c r="B408" s="1747"/>
      <c r="C408" s="1752"/>
      <c r="D408" s="1755"/>
      <c r="E408" s="1515"/>
      <c r="F408" s="1549"/>
      <c r="G408" s="1549"/>
      <c r="H408" s="1549"/>
      <c r="I408" s="1549"/>
      <c r="J408" s="1549"/>
      <c r="K408" s="521" t="s">
        <v>466</v>
      </c>
      <c r="L408" s="522"/>
      <c r="M408" s="522"/>
      <c r="N408" s="519">
        <v>200</v>
      </c>
      <c r="O408" s="519">
        <v>200</v>
      </c>
      <c r="P408" s="520">
        <v>200</v>
      </c>
      <c r="Q408" s="520">
        <v>200</v>
      </c>
    </row>
    <row r="409" spans="1:17" s="10" customFormat="1" ht="30" x14ac:dyDescent="0.2">
      <c r="A409" s="1784"/>
      <c r="B409" s="1748"/>
      <c r="C409" s="1733"/>
      <c r="D409" s="1730"/>
      <c r="E409" s="1516"/>
      <c r="F409" s="1522"/>
      <c r="G409" s="1522"/>
      <c r="H409" s="1522"/>
      <c r="I409" s="1522"/>
      <c r="J409" s="1522"/>
      <c r="K409" s="521" t="s">
        <v>467</v>
      </c>
      <c r="L409" s="522"/>
      <c r="M409" s="522"/>
      <c r="N409" s="519">
        <v>200</v>
      </c>
      <c r="O409" s="519">
        <v>200</v>
      </c>
      <c r="P409" s="520">
        <v>200</v>
      </c>
      <c r="Q409" s="520">
        <v>200</v>
      </c>
    </row>
    <row r="410" spans="1:17" s="10" customFormat="1" ht="45" x14ac:dyDescent="0.2">
      <c r="A410" s="1784"/>
      <c r="B410" s="1562"/>
      <c r="C410" s="523" t="s">
        <v>14</v>
      </c>
      <c r="D410" s="469"/>
      <c r="E410" s="516" t="s">
        <v>605</v>
      </c>
      <c r="F410" s="487">
        <v>0</v>
      </c>
      <c r="G410" s="506">
        <v>7400</v>
      </c>
      <c r="H410" s="506">
        <v>7540.6</v>
      </c>
      <c r="I410" s="506">
        <v>7617.7</v>
      </c>
      <c r="J410" s="524">
        <v>7693.8</v>
      </c>
      <c r="K410" s="507" t="s">
        <v>467</v>
      </c>
      <c r="L410" s="508"/>
      <c r="M410" s="508"/>
      <c r="N410" s="525">
        <v>200</v>
      </c>
      <c r="O410" s="525">
        <v>200</v>
      </c>
      <c r="P410" s="526">
        <v>200</v>
      </c>
      <c r="Q410" s="527">
        <v>200</v>
      </c>
    </row>
    <row r="411" spans="1:17" s="10" customFormat="1" ht="30" x14ac:dyDescent="0.2">
      <c r="A411" s="1784"/>
      <c r="B411" s="1563"/>
      <c r="C411" s="1780" t="s">
        <v>15</v>
      </c>
      <c r="D411" s="1731"/>
      <c r="E411" s="1482" t="s">
        <v>606</v>
      </c>
      <c r="F411" s="1455">
        <v>0</v>
      </c>
      <c r="G411" s="1521">
        <v>21256.9</v>
      </c>
      <c r="H411" s="1521">
        <v>22691.8</v>
      </c>
      <c r="I411" s="1521">
        <v>22923.8</v>
      </c>
      <c r="J411" s="1521">
        <v>23152.9</v>
      </c>
      <c r="K411" s="477" t="s">
        <v>468</v>
      </c>
      <c r="L411" s="197" t="s">
        <v>427</v>
      </c>
      <c r="M411" s="197"/>
      <c r="N411" s="528">
        <v>18.5</v>
      </c>
      <c r="O411" s="528">
        <v>18.5</v>
      </c>
      <c r="P411" s="529">
        <v>19.3</v>
      </c>
      <c r="Q411" s="530">
        <v>19.88</v>
      </c>
    </row>
    <row r="412" spans="1:17" s="10" customFormat="1" ht="15" x14ac:dyDescent="0.2">
      <c r="A412" s="1784"/>
      <c r="B412" s="1563"/>
      <c r="C412" s="1781"/>
      <c r="D412" s="1755"/>
      <c r="E412" s="1515"/>
      <c r="F412" s="1549"/>
      <c r="G412" s="1549"/>
      <c r="H412" s="1549"/>
      <c r="I412" s="1549"/>
      <c r="J412" s="1549"/>
      <c r="K412" s="477" t="s">
        <v>469</v>
      </c>
      <c r="L412" s="197" t="s">
        <v>427</v>
      </c>
      <c r="M412" s="197"/>
      <c r="N412" s="528">
        <v>18.600000000000001</v>
      </c>
      <c r="O412" s="528">
        <v>18.600000000000001</v>
      </c>
      <c r="P412" s="529">
        <v>19.7</v>
      </c>
      <c r="Q412" s="530">
        <v>0</v>
      </c>
    </row>
    <row r="413" spans="1:17" s="10" customFormat="1" ht="60" x14ac:dyDescent="0.2">
      <c r="A413" s="1784"/>
      <c r="B413" s="1563"/>
      <c r="C413" s="1781"/>
      <c r="D413" s="1755"/>
      <c r="E413" s="1515"/>
      <c r="F413" s="1549"/>
      <c r="G413" s="1549"/>
      <c r="H413" s="1549"/>
      <c r="I413" s="1549"/>
      <c r="J413" s="1549"/>
      <c r="K413" s="477" t="s">
        <v>470</v>
      </c>
      <c r="L413" s="197" t="s">
        <v>427</v>
      </c>
      <c r="M413" s="197"/>
      <c r="N413" s="528">
        <v>1.39</v>
      </c>
      <c r="O413" s="528">
        <v>1.39</v>
      </c>
      <c r="P413" s="529">
        <v>1.46</v>
      </c>
      <c r="Q413" s="530">
        <v>1.5</v>
      </c>
    </row>
    <row r="414" spans="1:17" s="10" customFormat="1" ht="30" x14ac:dyDescent="0.2">
      <c r="A414" s="1784"/>
      <c r="B414" s="1563"/>
      <c r="C414" s="1781"/>
      <c r="D414" s="1755"/>
      <c r="E414" s="1515"/>
      <c r="F414" s="1549"/>
      <c r="G414" s="1549"/>
      <c r="H414" s="1549"/>
      <c r="I414" s="1549"/>
      <c r="J414" s="1549"/>
      <c r="K414" s="477" t="s">
        <v>471</v>
      </c>
      <c r="L414" s="197" t="s">
        <v>427</v>
      </c>
      <c r="M414" s="197"/>
      <c r="N414" s="526">
        <v>126</v>
      </c>
      <c r="O414" s="526">
        <v>126</v>
      </c>
      <c r="P414" s="531">
        <v>132</v>
      </c>
      <c r="Q414" s="530">
        <v>135.96</v>
      </c>
    </row>
    <row r="415" spans="1:17" s="10" customFormat="1" ht="30" x14ac:dyDescent="0.2">
      <c r="A415" s="1784"/>
      <c r="B415" s="1563"/>
      <c r="C415" s="1782"/>
      <c r="D415" s="1730"/>
      <c r="E415" s="1516"/>
      <c r="F415" s="1522"/>
      <c r="G415" s="1522"/>
      <c r="H415" s="1522"/>
      <c r="I415" s="1522"/>
      <c r="J415" s="1522"/>
      <c r="K415" s="477" t="s">
        <v>472</v>
      </c>
      <c r="L415" s="197" t="s">
        <v>106</v>
      </c>
      <c r="M415" s="197"/>
      <c r="N415" s="532">
        <v>145</v>
      </c>
      <c r="O415" s="532">
        <v>145</v>
      </c>
      <c r="P415" s="533">
        <v>150</v>
      </c>
      <c r="Q415" s="534">
        <v>155</v>
      </c>
    </row>
    <row r="416" spans="1:17" s="10" customFormat="1" ht="30" x14ac:dyDescent="0.2">
      <c r="A416" s="1784"/>
      <c r="B416" s="1563"/>
      <c r="C416" s="1826" t="s">
        <v>224</v>
      </c>
      <c r="D416" s="1731"/>
      <c r="E416" s="1482" t="s">
        <v>607</v>
      </c>
      <c r="F416" s="1455">
        <v>0</v>
      </c>
      <c r="G416" s="1521">
        <v>2849.6</v>
      </c>
      <c r="H416" s="1521">
        <v>2903.7</v>
      </c>
      <c r="I416" s="1521">
        <v>2933.4</v>
      </c>
      <c r="J416" s="1521">
        <v>2962.8</v>
      </c>
      <c r="K416" s="477" t="s">
        <v>473</v>
      </c>
      <c r="L416" s="197" t="s">
        <v>20</v>
      </c>
      <c r="M416" s="197"/>
      <c r="N416" s="526">
        <v>40.4</v>
      </c>
      <c r="O416" s="526">
        <v>40.4</v>
      </c>
      <c r="P416" s="531">
        <v>42.4</v>
      </c>
      <c r="Q416" s="530">
        <v>43.67</v>
      </c>
    </row>
    <row r="417" spans="1:17" s="10" customFormat="1" ht="30" x14ac:dyDescent="0.2">
      <c r="A417" s="1784"/>
      <c r="B417" s="1563"/>
      <c r="C417" s="1787"/>
      <c r="D417" s="1730"/>
      <c r="E417" s="1516"/>
      <c r="F417" s="1522"/>
      <c r="G417" s="1522"/>
      <c r="H417" s="1522"/>
      <c r="I417" s="1522"/>
      <c r="J417" s="1522"/>
      <c r="K417" s="477" t="s">
        <v>473</v>
      </c>
      <c r="L417" s="197" t="s">
        <v>106</v>
      </c>
      <c r="M417" s="197"/>
      <c r="N417" s="532">
        <v>680</v>
      </c>
      <c r="O417" s="532">
        <v>680</v>
      </c>
      <c r="P417" s="533">
        <v>710</v>
      </c>
      <c r="Q417" s="534">
        <v>731</v>
      </c>
    </row>
    <row r="418" spans="1:17" s="10" customFormat="1" ht="15" x14ac:dyDescent="0.2">
      <c r="A418" s="1784"/>
      <c r="B418" s="1563"/>
      <c r="C418" s="1786"/>
      <c r="D418" s="1729"/>
      <c r="E418" s="1778" t="s">
        <v>608</v>
      </c>
      <c r="F418" s="1342">
        <v>11314.4</v>
      </c>
      <c r="G418" s="1342">
        <v>13307.7</v>
      </c>
      <c r="H418" s="1342">
        <v>17235.400000000001</v>
      </c>
      <c r="I418" s="1342">
        <v>17411.599999999999</v>
      </c>
      <c r="J418" s="1342">
        <v>17585.599999999999</v>
      </c>
      <c r="K418" s="477" t="s">
        <v>474</v>
      </c>
      <c r="L418" s="197" t="s">
        <v>1</v>
      </c>
      <c r="M418" s="197">
        <v>8</v>
      </c>
      <c r="N418" s="532">
        <v>20</v>
      </c>
      <c r="O418" s="532">
        <v>20</v>
      </c>
      <c r="P418" s="533">
        <v>20</v>
      </c>
      <c r="Q418" s="534">
        <v>20</v>
      </c>
    </row>
    <row r="419" spans="1:17" s="10" customFormat="1" ht="45" x14ac:dyDescent="0.2">
      <c r="A419" s="1784"/>
      <c r="B419" s="1563"/>
      <c r="C419" s="1787"/>
      <c r="D419" s="1730"/>
      <c r="E419" s="1779"/>
      <c r="F419" s="1343"/>
      <c r="G419" s="1343"/>
      <c r="H419" s="1343"/>
      <c r="I419" s="1343"/>
      <c r="J419" s="1343"/>
      <c r="K419" s="477" t="s">
        <v>475</v>
      </c>
      <c r="L419" s="197" t="s">
        <v>20</v>
      </c>
      <c r="M419" s="197">
        <v>10</v>
      </c>
      <c r="N419" s="532">
        <v>97</v>
      </c>
      <c r="O419" s="532">
        <v>61</v>
      </c>
      <c r="P419" s="533">
        <v>61</v>
      </c>
      <c r="Q419" s="534">
        <v>61</v>
      </c>
    </row>
    <row r="420" spans="1:17" s="10" customFormat="1" ht="102" customHeight="1" x14ac:dyDescent="0.2">
      <c r="A420" s="1784"/>
      <c r="B420" s="1563"/>
      <c r="C420" s="1183" t="s">
        <v>16</v>
      </c>
      <c r="D420" s="469"/>
      <c r="E420" s="480" t="s">
        <v>609</v>
      </c>
      <c r="F420" s="49">
        <v>4518.3999999999996</v>
      </c>
      <c r="G420" s="476">
        <v>9000</v>
      </c>
      <c r="H420" s="476">
        <v>11770.1</v>
      </c>
      <c r="I420" s="476">
        <v>11890.5</v>
      </c>
      <c r="J420" s="476">
        <v>12009.2</v>
      </c>
      <c r="K420" s="457" t="s">
        <v>476</v>
      </c>
      <c r="L420" s="197" t="s">
        <v>106</v>
      </c>
      <c r="M420" s="197">
        <v>1</v>
      </c>
      <c r="N420" s="532">
        <v>2</v>
      </c>
      <c r="O420" s="532">
        <v>3</v>
      </c>
      <c r="P420" s="533">
        <v>3</v>
      </c>
      <c r="Q420" s="534">
        <v>3</v>
      </c>
    </row>
    <row r="421" spans="1:17" s="10" customFormat="1" ht="30" x14ac:dyDescent="0.2">
      <c r="A421" s="1785"/>
      <c r="B421" s="697" t="s">
        <v>1005</v>
      </c>
      <c r="C421" s="511" t="s">
        <v>682</v>
      </c>
      <c r="D421" s="1227"/>
      <c r="E421" s="535" t="s">
        <v>557</v>
      </c>
      <c r="F421" s="536"/>
      <c r="G421" s="476"/>
      <c r="H421" s="476">
        <v>688860</v>
      </c>
      <c r="I421" s="476">
        <v>1572500</v>
      </c>
      <c r="J421" s="481">
        <v>1615000</v>
      </c>
      <c r="K421" s="482"/>
      <c r="L421" s="485"/>
      <c r="M421" s="485"/>
      <c r="N421" s="533"/>
      <c r="O421" s="533"/>
      <c r="P421" s="533"/>
      <c r="Q421" s="534"/>
    </row>
    <row r="422" spans="1:17" s="10" customFormat="1" ht="14.25" x14ac:dyDescent="0.2">
      <c r="A422" s="1529" t="s">
        <v>35</v>
      </c>
      <c r="B422" s="1530"/>
      <c r="C422" s="1530"/>
      <c r="D422" s="1530"/>
      <c r="E422" s="1531"/>
      <c r="F422" s="537">
        <v>259577.69999999998</v>
      </c>
      <c r="G422" s="538">
        <v>529317.89999999991</v>
      </c>
      <c r="H422" s="538">
        <f>H355+H366+H392+H421</f>
        <v>1257964.1000000001</v>
      </c>
      <c r="I422" s="538">
        <f t="shared" ref="I422:J422" si="71">I355+I366+I392+I421</f>
        <v>2147982.4</v>
      </c>
      <c r="J422" s="538">
        <f t="shared" si="71"/>
        <v>2196787.1799999997</v>
      </c>
      <c r="K422" s="539"/>
      <c r="L422" s="540"/>
      <c r="M422" s="540"/>
      <c r="N422" s="541"/>
      <c r="O422" s="541"/>
      <c r="P422" s="541"/>
      <c r="Q422" s="542"/>
    </row>
    <row r="423" spans="1:17" s="10" customFormat="1" ht="14.25" x14ac:dyDescent="0.2">
      <c r="A423" s="1518" t="s">
        <v>1513</v>
      </c>
      <c r="B423" s="1519"/>
      <c r="C423" s="1519"/>
      <c r="D423" s="1519"/>
      <c r="E423" s="1519"/>
      <c r="F423" s="1519"/>
      <c r="G423" s="1519"/>
      <c r="H423" s="1519"/>
      <c r="I423" s="1519"/>
      <c r="J423" s="1519"/>
      <c r="K423" s="1519"/>
      <c r="L423" s="1519"/>
      <c r="M423" s="1519"/>
      <c r="N423" s="1519"/>
      <c r="O423" s="1519"/>
      <c r="P423" s="1519"/>
      <c r="Q423" s="1520"/>
    </row>
    <row r="424" spans="1:17" s="11" customFormat="1" ht="15" x14ac:dyDescent="0.2">
      <c r="A424" s="1316">
        <v>29</v>
      </c>
      <c r="B424" s="1767">
        <v>1</v>
      </c>
      <c r="C424" s="543"/>
      <c r="D424" s="544"/>
      <c r="E424" s="545" t="s">
        <v>1457</v>
      </c>
      <c r="F424" s="1769"/>
      <c r="G424" s="1769">
        <v>21551.200000000001</v>
      </c>
      <c r="H424" s="1769">
        <v>21960.7</v>
      </c>
      <c r="I424" s="1769">
        <v>22185.3</v>
      </c>
      <c r="J424" s="1769">
        <v>22407</v>
      </c>
      <c r="K424" s="1812" t="s">
        <v>98</v>
      </c>
      <c r="L424" s="1806" t="s">
        <v>106</v>
      </c>
      <c r="M424" s="1807">
        <v>4</v>
      </c>
      <c r="N424" s="1807">
        <v>6</v>
      </c>
      <c r="O424" s="1807">
        <v>15</v>
      </c>
      <c r="P424" s="1807">
        <v>15</v>
      </c>
      <c r="Q424" s="1807">
        <v>15</v>
      </c>
    </row>
    <row r="425" spans="1:17" s="11" customFormat="1" ht="75" x14ac:dyDescent="0.2">
      <c r="A425" s="1317"/>
      <c r="B425" s="1768"/>
      <c r="C425" s="546"/>
      <c r="D425" s="547"/>
      <c r="E425" s="548" t="s">
        <v>1756</v>
      </c>
      <c r="F425" s="1770"/>
      <c r="G425" s="1770"/>
      <c r="H425" s="1770"/>
      <c r="I425" s="1770"/>
      <c r="J425" s="1770"/>
      <c r="K425" s="1813"/>
      <c r="L425" s="1806"/>
      <c r="M425" s="1807"/>
      <c r="N425" s="1807"/>
      <c r="O425" s="1807"/>
      <c r="P425" s="1807"/>
      <c r="Q425" s="1807"/>
    </row>
    <row r="426" spans="1:17" s="11" customFormat="1" ht="45" x14ac:dyDescent="0.2">
      <c r="A426" s="1317"/>
      <c r="B426" s="303"/>
      <c r="C426" s="549" t="s">
        <v>5</v>
      </c>
      <c r="D426" s="550"/>
      <c r="E426" s="551" t="s">
        <v>25</v>
      </c>
      <c r="F426" s="552"/>
      <c r="G426" s="552">
        <v>21551.200000000001</v>
      </c>
      <c r="H426" s="552">
        <v>21960.7</v>
      </c>
      <c r="I426" s="552">
        <v>22185.3</v>
      </c>
      <c r="J426" s="552">
        <v>22407</v>
      </c>
      <c r="K426" s="553" t="s">
        <v>99</v>
      </c>
      <c r="L426" s="554" t="s">
        <v>106</v>
      </c>
      <c r="M426" s="554">
        <v>2</v>
      </c>
      <c r="N426" s="554">
        <v>3</v>
      </c>
      <c r="O426" s="554">
        <v>5</v>
      </c>
      <c r="P426" s="554">
        <v>5</v>
      </c>
      <c r="Q426" s="554">
        <v>5</v>
      </c>
    </row>
    <row r="427" spans="1:17" s="11" customFormat="1" ht="15" x14ac:dyDescent="0.2">
      <c r="A427" s="1529" t="s">
        <v>35</v>
      </c>
      <c r="B427" s="1530"/>
      <c r="C427" s="1530"/>
      <c r="D427" s="1530"/>
      <c r="E427" s="1531"/>
      <c r="F427" s="96">
        <f>F424</f>
        <v>0</v>
      </c>
      <c r="G427" s="96">
        <v>21551.200000000001</v>
      </c>
      <c r="H427" s="96">
        <v>21960.7</v>
      </c>
      <c r="I427" s="96">
        <v>22185.3</v>
      </c>
      <c r="J427" s="96">
        <v>22407</v>
      </c>
      <c r="K427" s="381"/>
      <c r="L427" s="381"/>
      <c r="M427" s="555"/>
      <c r="N427" s="555"/>
      <c r="O427" s="555"/>
      <c r="P427" s="555"/>
      <c r="Q427" s="555"/>
    </row>
    <row r="428" spans="1:17" s="11" customFormat="1" ht="14.25" x14ac:dyDescent="0.2">
      <c r="A428" s="1518" t="s">
        <v>149</v>
      </c>
      <c r="B428" s="1519"/>
      <c r="C428" s="1519"/>
      <c r="D428" s="1519"/>
      <c r="E428" s="1519"/>
      <c r="F428" s="1519"/>
      <c r="G428" s="1519"/>
      <c r="H428" s="1519"/>
      <c r="I428" s="1519"/>
      <c r="J428" s="1519"/>
      <c r="K428" s="1519"/>
      <c r="L428" s="1519"/>
      <c r="M428" s="1519"/>
      <c r="N428" s="1519"/>
      <c r="O428" s="1519"/>
      <c r="P428" s="1519"/>
      <c r="Q428" s="1520"/>
    </row>
    <row r="429" spans="1:17" s="11" customFormat="1" ht="74.25" x14ac:dyDescent="0.25">
      <c r="A429" s="1737">
        <v>35</v>
      </c>
      <c r="B429" s="556">
        <v>1</v>
      </c>
      <c r="C429" s="557"/>
      <c r="D429" s="558"/>
      <c r="E429" s="559" t="s">
        <v>1794</v>
      </c>
      <c r="F429" s="560">
        <f>F430</f>
        <v>77086.7</v>
      </c>
      <c r="G429" s="560">
        <f t="shared" ref="G429:J429" si="72">G430</f>
        <v>65194.8</v>
      </c>
      <c r="H429" s="560">
        <f t="shared" si="72"/>
        <v>84201.4</v>
      </c>
      <c r="I429" s="560">
        <f t="shared" si="72"/>
        <v>84372.5</v>
      </c>
      <c r="J429" s="560">
        <f t="shared" si="72"/>
        <v>84570.6</v>
      </c>
      <c r="K429" s="95" t="s">
        <v>177</v>
      </c>
      <c r="L429" s="561" t="s">
        <v>3</v>
      </c>
      <c r="M429" s="562">
        <v>68.099999999999994</v>
      </c>
      <c r="N429" s="562">
        <v>68.5</v>
      </c>
      <c r="O429" s="562">
        <v>69</v>
      </c>
      <c r="P429" s="562">
        <v>69</v>
      </c>
      <c r="Q429" s="562">
        <v>69</v>
      </c>
    </row>
    <row r="430" spans="1:17" s="11" customFormat="1" ht="15" hidden="1" customHeight="1" x14ac:dyDescent="0.2">
      <c r="A430" s="1738"/>
      <c r="B430" s="1636"/>
      <c r="C430" s="1637" t="s">
        <v>5</v>
      </c>
      <c r="D430" s="1640"/>
      <c r="E430" s="1759" t="s">
        <v>104</v>
      </c>
      <c r="F430" s="1736">
        <f>26829.3+50257.4</f>
        <v>77086.7</v>
      </c>
      <c r="G430" s="1736">
        <f>26829.3+38365.5</f>
        <v>65194.8</v>
      </c>
      <c r="H430" s="1736">
        <v>84201.4</v>
      </c>
      <c r="I430" s="1736">
        <f>28789+55583.5</f>
        <v>84372.5</v>
      </c>
      <c r="J430" s="1736">
        <f>29070.7+55499.9</f>
        <v>84570.6</v>
      </c>
      <c r="K430" s="1762" t="s">
        <v>105</v>
      </c>
      <c r="L430" s="1512" t="s">
        <v>106</v>
      </c>
      <c r="M430" s="1628" t="s">
        <v>100</v>
      </c>
      <c r="N430" s="1628">
        <v>1</v>
      </c>
      <c r="O430" s="1628" t="s">
        <v>100</v>
      </c>
      <c r="P430" s="1628" t="s">
        <v>100</v>
      </c>
      <c r="Q430" s="1776" t="s">
        <v>100</v>
      </c>
    </row>
    <row r="431" spans="1:17" s="11" customFormat="1" ht="12.75" hidden="1" customHeight="1" x14ac:dyDescent="0.2">
      <c r="A431" s="1738"/>
      <c r="B431" s="1622"/>
      <c r="C431" s="1638"/>
      <c r="D431" s="1640"/>
      <c r="E431" s="1760"/>
      <c r="F431" s="1736"/>
      <c r="G431" s="1736"/>
      <c r="H431" s="1736"/>
      <c r="I431" s="1736"/>
      <c r="J431" s="1736"/>
      <c r="K431" s="1763"/>
      <c r="L431" s="1513"/>
      <c r="M431" s="1629"/>
      <c r="N431" s="1629"/>
      <c r="O431" s="1629"/>
      <c r="P431" s="1629"/>
      <c r="Q431" s="1777"/>
    </row>
    <row r="432" spans="1:17" s="11" customFormat="1" ht="30" x14ac:dyDescent="0.2">
      <c r="A432" s="1739"/>
      <c r="B432" s="1621"/>
      <c r="C432" s="1638"/>
      <c r="D432" s="1291"/>
      <c r="E432" s="1760"/>
      <c r="F432" s="1736"/>
      <c r="G432" s="1736"/>
      <c r="H432" s="1736"/>
      <c r="I432" s="1736"/>
      <c r="J432" s="1736"/>
      <c r="K432" s="563" t="s">
        <v>1458</v>
      </c>
      <c r="L432" s="564" t="s">
        <v>1459</v>
      </c>
      <c r="M432" s="565">
        <v>0</v>
      </c>
      <c r="N432" s="565">
        <v>1</v>
      </c>
      <c r="O432" s="565">
        <v>0</v>
      </c>
      <c r="P432" s="565">
        <v>0</v>
      </c>
      <c r="Q432" s="566">
        <v>0</v>
      </c>
    </row>
    <row r="433" spans="1:17" s="11" customFormat="1" ht="60" x14ac:dyDescent="0.2">
      <c r="A433" s="1739"/>
      <c r="B433" s="1621"/>
      <c r="C433" s="1638"/>
      <c r="D433" s="1291"/>
      <c r="E433" s="1760"/>
      <c r="F433" s="1736"/>
      <c r="G433" s="1736"/>
      <c r="H433" s="1736"/>
      <c r="I433" s="1736"/>
      <c r="J433" s="1736"/>
      <c r="K433" s="95" t="s">
        <v>107</v>
      </c>
      <c r="L433" s="561" t="s">
        <v>106</v>
      </c>
      <c r="M433" s="567">
        <v>108</v>
      </c>
      <c r="N433" s="568">
        <v>10</v>
      </c>
      <c r="O433" s="568">
        <v>10</v>
      </c>
      <c r="P433" s="568">
        <v>10</v>
      </c>
      <c r="Q433" s="562">
        <v>10</v>
      </c>
    </row>
    <row r="434" spans="1:17" s="11" customFormat="1" ht="30" x14ac:dyDescent="0.2">
      <c r="A434" s="1739"/>
      <c r="B434" s="1621"/>
      <c r="C434" s="1638"/>
      <c r="D434" s="1291"/>
      <c r="E434" s="1760"/>
      <c r="F434" s="1736"/>
      <c r="G434" s="1736"/>
      <c r="H434" s="1736"/>
      <c r="I434" s="1736"/>
      <c r="J434" s="1736"/>
      <c r="K434" s="569" t="s">
        <v>108</v>
      </c>
      <c r="L434" s="561" t="s">
        <v>106</v>
      </c>
      <c r="M434" s="567">
        <v>0</v>
      </c>
      <c r="N434" s="567">
        <v>12</v>
      </c>
      <c r="O434" s="567">
        <v>12</v>
      </c>
      <c r="P434" s="567">
        <v>0</v>
      </c>
      <c r="Q434" s="562">
        <v>0</v>
      </c>
    </row>
    <row r="435" spans="1:17" s="11" customFormat="1" ht="63.75" hidden="1" x14ac:dyDescent="0.2">
      <c r="A435" s="1738"/>
      <c r="B435" s="1622"/>
      <c r="C435" s="1638"/>
      <c r="D435" s="1640"/>
      <c r="E435" s="1760"/>
      <c r="F435" s="1736"/>
      <c r="G435" s="1736"/>
      <c r="H435" s="1736"/>
      <c r="I435" s="1736"/>
      <c r="J435" s="1736"/>
      <c r="K435" s="13" t="s">
        <v>109</v>
      </c>
      <c r="L435" s="14" t="s">
        <v>106</v>
      </c>
      <c r="M435" s="38" t="s">
        <v>100</v>
      </c>
      <c r="N435" s="42">
        <v>1</v>
      </c>
      <c r="O435" s="42" t="s">
        <v>100</v>
      </c>
      <c r="P435" s="42" t="s">
        <v>100</v>
      </c>
      <c r="Q435" s="41" t="s">
        <v>100</v>
      </c>
    </row>
    <row r="436" spans="1:17" s="11" customFormat="1" ht="75" x14ac:dyDescent="0.2">
      <c r="A436" s="1739"/>
      <c r="B436" s="1621"/>
      <c r="C436" s="1638"/>
      <c r="D436" s="1291"/>
      <c r="E436" s="1760"/>
      <c r="F436" s="1736"/>
      <c r="G436" s="1736"/>
      <c r="H436" s="1736"/>
      <c r="I436" s="1736"/>
      <c r="J436" s="1736"/>
      <c r="K436" s="569" t="s">
        <v>109</v>
      </c>
      <c r="L436" s="561" t="s">
        <v>106</v>
      </c>
      <c r="M436" s="567">
        <v>0</v>
      </c>
      <c r="N436" s="568">
        <v>1</v>
      </c>
      <c r="O436" s="568">
        <v>0</v>
      </c>
      <c r="P436" s="568">
        <v>0</v>
      </c>
      <c r="Q436" s="562">
        <v>0</v>
      </c>
    </row>
    <row r="437" spans="1:17" s="11" customFormat="1" ht="90" x14ac:dyDescent="0.2">
      <c r="A437" s="1739"/>
      <c r="B437" s="1621"/>
      <c r="C437" s="1638"/>
      <c r="D437" s="1291"/>
      <c r="E437" s="1760"/>
      <c r="F437" s="1736"/>
      <c r="G437" s="1736"/>
      <c r="H437" s="1736"/>
      <c r="I437" s="1736"/>
      <c r="J437" s="1736"/>
      <c r="K437" s="95" t="s">
        <v>110</v>
      </c>
      <c r="L437" s="561" t="s">
        <v>106</v>
      </c>
      <c r="M437" s="567">
        <v>1</v>
      </c>
      <c r="N437" s="568">
        <v>1</v>
      </c>
      <c r="O437" s="568">
        <v>0</v>
      </c>
      <c r="P437" s="568">
        <v>0</v>
      </c>
      <c r="Q437" s="562">
        <v>0</v>
      </c>
    </row>
    <row r="438" spans="1:17" s="11" customFormat="1" ht="30" x14ac:dyDescent="0.25">
      <c r="A438" s="1739"/>
      <c r="B438" s="1621"/>
      <c r="C438" s="1638"/>
      <c r="D438" s="1291"/>
      <c r="E438" s="1760"/>
      <c r="F438" s="1736"/>
      <c r="G438" s="1736"/>
      <c r="H438" s="1736"/>
      <c r="I438" s="1736"/>
      <c r="J438" s="1736"/>
      <c r="K438" s="570" t="s">
        <v>2001</v>
      </c>
      <c r="L438" s="562" t="s">
        <v>106</v>
      </c>
      <c r="M438" s="562">
        <v>6</v>
      </c>
      <c r="N438" s="562">
        <v>0</v>
      </c>
      <c r="O438" s="562">
        <v>2</v>
      </c>
      <c r="P438" s="562">
        <v>2</v>
      </c>
      <c r="Q438" s="562">
        <v>2</v>
      </c>
    </row>
    <row r="439" spans="1:17" s="11" customFormat="1" ht="51" hidden="1" x14ac:dyDescent="0.2">
      <c r="A439" s="1738"/>
      <c r="B439" s="1622"/>
      <c r="C439" s="1638"/>
      <c r="D439" s="1640"/>
      <c r="E439" s="1760"/>
      <c r="F439" s="1736"/>
      <c r="G439" s="1736"/>
      <c r="H439" s="1736"/>
      <c r="I439" s="1736"/>
      <c r="J439" s="1736"/>
      <c r="K439" s="13" t="s">
        <v>111</v>
      </c>
      <c r="L439" s="14" t="s">
        <v>106</v>
      </c>
      <c r="M439" s="38" t="s">
        <v>100</v>
      </c>
      <c r="N439" s="38">
        <v>1</v>
      </c>
      <c r="O439" s="38" t="s">
        <v>100</v>
      </c>
      <c r="P439" s="38" t="s">
        <v>100</v>
      </c>
      <c r="Q439" s="41" t="s">
        <v>100</v>
      </c>
    </row>
    <row r="440" spans="1:17" s="11" customFormat="1" ht="45" x14ac:dyDescent="0.2">
      <c r="A440" s="1739"/>
      <c r="B440" s="1621"/>
      <c r="C440" s="1638"/>
      <c r="D440" s="1291"/>
      <c r="E440" s="1760"/>
      <c r="F440" s="1736"/>
      <c r="G440" s="1736"/>
      <c r="H440" s="1736"/>
      <c r="I440" s="1736"/>
      <c r="J440" s="1736"/>
      <c r="K440" s="569" t="s">
        <v>2002</v>
      </c>
      <c r="L440" s="562" t="s">
        <v>106</v>
      </c>
      <c r="M440" s="567">
        <v>0</v>
      </c>
      <c r="N440" s="567">
        <v>1</v>
      </c>
      <c r="O440" s="567">
        <v>0</v>
      </c>
      <c r="P440" s="567">
        <v>0</v>
      </c>
      <c r="Q440" s="562">
        <v>0</v>
      </c>
    </row>
    <row r="441" spans="1:17" s="11" customFormat="1" ht="30" x14ac:dyDescent="0.2">
      <c r="A441" s="1739"/>
      <c r="B441" s="1621"/>
      <c r="C441" s="1638"/>
      <c r="D441" s="1291"/>
      <c r="E441" s="1760"/>
      <c r="F441" s="1736"/>
      <c r="G441" s="1736"/>
      <c r="H441" s="1736"/>
      <c r="I441" s="1736"/>
      <c r="J441" s="1736"/>
      <c r="K441" s="569" t="s">
        <v>112</v>
      </c>
      <c r="L441" s="561" t="s">
        <v>106</v>
      </c>
      <c r="M441" s="567">
        <v>1</v>
      </c>
      <c r="N441" s="567">
        <v>1</v>
      </c>
      <c r="O441" s="567">
        <v>1</v>
      </c>
      <c r="P441" s="567">
        <v>2</v>
      </c>
      <c r="Q441" s="562">
        <v>2</v>
      </c>
    </row>
    <row r="442" spans="1:17" s="11" customFormat="1" ht="45" x14ac:dyDescent="0.2">
      <c r="A442" s="1739"/>
      <c r="B442" s="1621"/>
      <c r="C442" s="1638"/>
      <c r="D442" s="1291"/>
      <c r="E442" s="1760"/>
      <c r="F442" s="1736"/>
      <c r="G442" s="1736"/>
      <c r="H442" s="1736"/>
      <c r="I442" s="1736"/>
      <c r="J442" s="1736"/>
      <c r="K442" s="569" t="s">
        <v>113</v>
      </c>
      <c r="L442" s="561" t="s">
        <v>106</v>
      </c>
      <c r="M442" s="567">
        <v>0</v>
      </c>
      <c r="N442" s="567">
        <v>0</v>
      </c>
      <c r="O442" s="567">
        <v>1</v>
      </c>
      <c r="P442" s="567">
        <v>0</v>
      </c>
      <c r="Q442" s="562">
        <v>0</v>
      </c>
    </row>
    <row r="443" spans="1:17" s="11" customFormat="1" ht="30" x14ac:dyDescent="0.2">
      <c r="A443" s="1739"/>
      <c r="B443" s="1621"/>
      <c r="C443" s="1638"/>
      <c r="D443" s="1291"/>
      <c r="E443" s="1760"/>
      <c r="F443" s="1736"/>
      <c r="G443" s="1736"/>
      <c r="H443" s="1736"/>
      <c r="I443" s="1736"/>
      <c r="J443" s="1736"/>
      <c r="K443" s="569" t="s">
        <v>114</v>
      </c>
      <c r="L443" s="561" t="s">
        <v>106</v>
      </c>
      <c r="M443" s="567">
        <v>1</v>
      </c>
      <c r="N443" s="567">
        <v>1</v>
      </c>
      <c r="O443" s="567">
        <v>1</v>
      </c>
      <c r="P443" s="567">
        <v>1</v>
      </c>
      <c r="Q443" s="562">
        <v>1</v>
      </c>
    </row>
    <row r="444" spans="1:17" s="11" customFormat="1" ht="63.6" customHeight="1" x14ac:dyDescent="0.2">
      <c r="A444" s="1739"/>
      <c r="B444" s="1623"/>
      <c r="C444" s="1639"/>
      <c r="D444" s="1291"/>
      <c r="E444" s="1761"/>
      <c r="F444" s="1736"/>
      <c r="G444" s="1736"/>
      <c r="H444" s="1736"/>
      <c r="I444" s="1736"/>
      <c r="J444" s="1736"/>
      <c r="K444" s="95" t="s">
        <v>115</v>
      </c>
      <c r="L444" s="458" t="s">
        <v>106</v>
      </c>
      <c r="M444" s="562">
        <v>0</v>
      </c>
      <c r="N444" s="562">
        <v>0</v>
      </c>
      <c r="O444" s="562">
        <v>5</v>
      </c>
      <c r="P444" s="562">
        <v>0</v>
      </c>
      <c r="Q444" s="562">
        <v>5</v>
      </c>
    </row>
    <row r="445" spans="1:17" s="11" customFormat="1" ht="71.25" x14ac:dyDescent="0.2">
      <c r="A445" s="1739"/>
      <c r="B445" s="571">
        <v>352</v>
      </c>
      <c r="C445" s="454"/>
      <c r="D445" s="545"/>
      <c r="E445" s="456" t="s">
        <v>1611</v>
      </c>
      <c r="F445" s="572">
        <f>F446+F460+F477</f>
        <v>55667.600000000006</v>
      </c>
      <c r="G445" s="572">
        <f t="shared" ref="G445:J445" si="73">G446+G460+G477</f>
        <v>62669.5</v>
      </c>
      <c r="H445" s="572">
        <f t="shared" si="73"/>
        <v>69223.899999999994</v>
      </c>
      <c r="I445" s="572">
        <f t="shared" si="73"/>
        <v>69496.899999999994</v>
      </c>
      <c r="J445" s="572">
        <f t="shared" si="73"/>
        <v>69737.2</v>
      </c>
      <c r="K445" s="573"/>
      <c r="L445" s="574"/>
      <c r="M445" s="574"/>
      <c r="N445" s="574"/>
      <c r="O445" s="574"/>
      <c r="P445" s="574"/>
      <c r="Q445" s="575"/>
    </row>
    <row r="446" spans="1:17" s="11" customFormat="1" ht="45" x14ac:dyDescent="0.2">
      <c r="A446" s="1739"/>
      <c r="B446" s="1544">
        <v>2</v>
      </c>
      <c r="C446" s="1503" t="s">
        <v>5</v>
      </c>
      <c r="D446" s="1547"/>
      <c r="E446" s="1453" t="s">
        <v>116</v>
      </c>
      <c r="F446" s="1537">
        <f>3522.1+3664.9</f>
        <v>7187</v>
      </c>
      <c r="G446" s="1537">
        <f>3522.1+3728.7</f>
        <v>7250.7999999999993</v>
      </c>
      <c r="H446" s="1537">
        <v>10778.8</v>
      </c>
      <c r="I446" s="1537">
        <f>5386+5490.5</f>
        <v>10876.5</v>
      </c>
      <c r="J446" s="1537">
        <f>5441.8+5490.5</f>
        <v>10932.3</v>
      </c>
      <c r="K446" s="95" t="s">
        <v>117</v>
      </c>
      <c r="L446" s="16" t="s">
        <v>106</v>
      </c>
      <c r="M446" s="16">
        <v>32</v>
      </c>
      <c r="N446" s="16">
        <v>3</v>
      </c>
      <c r="O446" s="16">
        <v>3</v>
      </c>
      <c r="P446" s="16">
        <v>3</v>
      </c>
      <c r="Q446" s="562">
        <v>3</v>
      </c>
    </row>
    <row r="447" spans="1:17" s="11" customFormat="1" ht="89.25" hidden="1" x14ac:dyDescent="0.2">
      <c r="A447" s="1738"/>
      <c r="B447" s="1545"/>
      <c r="C447" s="1546"/>
      <c r="D447" s="1548"/>
      <c r="E447" s="1734"/>
      <c r="F447" s="1539"/>
      <c r="G447" s="1539"/>
      <c r="H447" s="1539"/>
      <c r="I447" s="1539"/>
      <c r="J447" s="1539"/>
      <c r="K447" s="62" t="s">
        <v>118</v>
      </c>
      <c r="L447" s="18" t="s">
        <v>106</v>
      </c>
      <c r="M447" s="18">
        <v>0</v>
      </c>
      <c r="N447" s="18">
        <v>0</v>
      </c>
      <c r="O447" s="18">
        <v>0</v>
      </c>
      <c r="P447" s="18">
        <v>1</v>
      </c>
      <c r="Q447" s="41">
        <v>0</v>
      </c>
    </row>
    <row r="448" spans="1:17" s="11" customFormat="1" ht="120" x14ac:dyDescent="0.2">
      <c r="A448" s="1739"/>
      <c r="B448" s="1544"/>
      <c r="C448" s="1503"/>
      <c r="D448" s="1547"/>
      <c r="E448" s="1735"/>
      <c r="F448" s="1538"/>
      <c r="G448" s="1538"/>
      <c r="H448" s="1538"/>
      <c r="I448" s="1538"/>
      <c r="J448" s="1538"/>
      <c r="K448" s="576" t="s">
        <v>118</v>
      </c>
      <c r="L448" s="16" t="s">
        <v>106</v>
      </c>
      <c r="M448" s="16">
        <v>0</v>
      </c>
      <c r="N448" s="16">
        <v>0</v>
      </c>
      <c r="O448" s="16">
        <v>0</v>
      </c>
      <c r="P448" s="16">
        <v>1</v>
      </c>
      <c r="Q448" s="562">
        <v>0</v>
      </c>
    </row>
    <row r="449" spans="1:17" s="11" customFormat="1" ht="60" x14ac:dyDescent="0.2">
      <c r="A449" s="1739"/>
      <c r="B449" s="1544"/>
      <c r="C449" s="1503"/>
      <c r="D449" s="1547"/>
      <c r="E449" s="1735"/>
      <c r="F449" s="1538"/>
      <c r="G449" s="1538"/>
      <c r="H449" s="1538"/>
      <c r="I449" s="1538"/>
      <c r="J449" s="1538"/>
      <c r="K449" s="95" t="s">
        <v>119</v>
      </c>
      <c r="L449" s="16" t="s">
        <v>106</v>
      </c>
      <c r="M449" s="16">
        <v>3</v>
      </c>
      <c r="N449" s="16">
        <v>1</v>
      </c>
      <c r="O449" s="16">
        <v>1</v>
      </c>
      <c r="P449" s="16">
        <v>1</v>
      </c>
      <c r="Q449" s="562">
        <v>1</v>
      </c>
    </row>
    <row r="450" spans="1:17" s="11" customFormat="1" ht="150" x14ac:dyDescent="0.2">
      <c r="A450" s="1739"/>
      <c r="B450" s="1544"/>
      <c r="C450" s="1503"/>
      <c r="D450" s="1547"/>
      <c r="E450" s="1735"/>
      <c r="F450" s="1538"/>
      <c r="G450" s="1538"/>
      <c r="H450" s="1538"/>
      <c r="I450" s="1538"/>
      <c r="J450" s="1538"/>
      <c r="K450" s="95" t="s">
        <v>120</v>
      </c>
      <c r="L450" s="16" t="s">
        <v>106</v>
      </c>
      <c r="M450" s="16">
        <v>0</v>
      </c>
      <c r="N450" s="16">
        <v>0</v>
      </c>
      <c r="O450" s="16">
        <v>1</v>
      </c>
      <c r="P450" s="16">
        <v>1</v>
      </c>
      <c r="Q450" s="562">
        <v>1</v>
      </c>
    </row>
    <row r="451" spans="1:17" s="11" customFormat="1" ht="38.25" hidden="1" x14ac:dyDescent="0.2">
      <c r="A451" s="1738"/>
      <c r="B451" s="1545"/>
      <c r="C451" s="1546"/>
      <c r="D451" s="1548"/>
      <c r="E451" s="1734"/>
      <c r="F451" s="1539"/>
      <c r="G451" s="1539"/>
      <c r="H451" s="1539"/>
      <c r="I451" s="1539"/>
      <c r="J451" s="1539"/>
      <c r="K451" s="62" t="s">
        <v>121</v>
      </c>
      <c r="L451" s="18" t="s">
        <v>106</v>
      </c>
      <c r="M451" s="18" t="s">
        <v>100</v>
      </c>
      <c r="N451" s="18" t="s">
        <v>100</v>
      </c>
      <c r="O451" s="18" t="s">
        <v>100</v>
      </c>
      <c r="P451" s="18" t="s">
        <v>100</v>
      </c>
      <c r="Q451" s="41">
        <v>1</v>
      </c>
    </row>
    <row r="452" spans="1:17" s="11" customFormat="1" ht="38.25" hidden="1" x14ac:dyDescent="0.2">
      <c r="A452" s="1738"/>
      <c r="B452" s="1545"/>
      <c r="C452" s="1546"/>
      <c r="D452" s="1548"/>
      <c r="E452" s="1734"/>
      <c r="F452" s="1539"/>
      <c r="G452" s="1539"/>
      <c r="H452" s="1539"/>
      <c r="I452" s="1539"/>
      <c r="J452" s="1539"/>
      <c r="K452" s="64" t="s">
        <v>122</v>
      </c>
      <c r="L452" s="18" t="s">
        <v>106</v>
      </c>
      <c r="M452" s="18" t="s">
        <v>100</v>
      </c>
      <c r="N452" s="18" t="s">
        <v>100</v>
      </c>
      <c r="O452" s="18" t="s">
        <v>100</v>
      </c>
      <c r="P452" s="18" t="s">
        <v>100</v>
      </c>
      <c r="Q452" s="41">
        <v>1</v>
      </c>
    </row>
    <row r="453" spans="1:17" s="11" customFormat="1" ht="60" x14ac:dyDescent="0.2">
      <c r="A453" s="1739"/>
      <c r="B453" s="1544"/>
      <c r="C453" s="1503"/>
      <c r="D453" s="1547"/>
      <c r="E453" s="1735"/>
      <c r="F453" s="1538"/>
      <c r="G453" s="1538"/>
      <c r="H453" s="1538"/>
      <c r="I453" s="1538"/>
      <c r="J453" s="1538"/>
      <c r="K453" s="577" t="s">
        <v>2004</v>
      </c>
      <c r="L453" s="16" t="s">
        <v>106</v>
      </c>
      <c r="M453" s="16">
        <v>0</v>
      </c>
      <c r="N453" s="16">
        <v>0</v>
      </c>
      <c r="O453" s="16">
        <v>0</v>
      </c>
      <c r="P453" s="16">
        <v>0</v>
      </c>
      <c r="Q453" s="562">
        <v>1</v>
      </c>
    </row>
    <row r="454" spans="1:17" ht="75" x14ac:dyDescent="0.2">
      <c r="A454" s="1739"/>
      <c r="B454" s="1544"/>
      <c r="C454" s="1503"/>
      <c r="D454" s="1547"/>
      <c r="E454" s="1735"/>
      <c r="F454" s="1538"/>
      <c r="G454" s="1538"/>
      <c r="H454" s="1538"/>
      <c r="I454" s="1538"/>
      <c r="J454" s="1538"/>
      <c r="K454" s="95" t="s">
        <v>123</v>
      </c>
      <c r="L454" s="562" t="s">
        <v>106</v>
      </c>
      <c r="M454" s="562">
        <v>8</v>
      </c>
      <c r="N454" s="562">
        <v>3</v>
      </c>
      <c r="O454" s="562">
        <v>3</v>
      </c>
      <c r="P454" s="562">
        <v>3</v>
      </c>
      <c r="Q454" s="562">
        <v>3</v>
      </c>
    </row>
    <row r="455" spans="1:17" ht="38.25" hidden="1" x14ac:dyDescent="0.2">
      <c r="A455" s="1738"/>
      <c r="B455" s="1545"/>
      <c r="C455" s="1546"/>
      <c r="D455" s="1548"/>
      <c r="E455" s="1734"/>
      <c r="F455" s="1539"/>
      <c r="G455" s="1539"/>
      <c r="H455" s="1539"/>
      <c r="I455" s="1539"/>
      <c r="J455" s="1539"/>
      <c r="K455" s="62" t="s">
        <v>124</v>
      </c>
      <c r="L455" s="18" t="s">
        <v>106</v>
      </c>
      <c r="M455" s="18" t="s">
        <v>100</v>
      </c>
      <c r="N455" s="18">
        <v>1</v>
      </c>
      <c r="O455" s="18" t="s">
        <v>100</v>
      </c>
      <c r="P455" s="18" t="s">
        <v>100</v>
      </c>
      <c r="Q455" s="41" t="s">
        <v>100</v>
      </c>
    </row>
    <row r="456" spans="1:17" ht="63.75" hidden="1" x14ac:dyDescent="0.2">
      <c r="A456" s="1738"/>
      <c r="B456" s="1545"/>
      <c r="C456" s="1546"/>
      <c r="D456" s="1548"/>
      <c r="E456" s="1734"/>
      <c r="F456" s="1539"/>
      <c r="G456" s="1539"/>
      <c r="H456" s="1539"/>
      <c r="I456" s="1539"/>
      <c r="J456" s="1539"/>
      <c r="K456" s="62" t="s">
        <v>125</v>
      </c>
      <c r="L456" s="41" t="s">
        <v>106</v>
      </c>
      <c r="M456" s="41" t="s">
        <v>100</v>
      </c>
      <c r="N456" s="41" t="s">
        <v>100</v>
      </c>
      <c r="O456" s="41" t="s">
        <v>100</v>
      </c>
      <c r="P456" s="41">
        <v>1</v>
      </c>
      <c r="Q456" s="41" t="s">
        <v>100</v>
      </c>
    </row>
    <row r="457" spans="1:17" ht="30" x14ac:dyDescent="0.2">
      <c r="A457" s="1739"/>
      <c r="B457" s="1544"/>
      <c r="C457" s="1503"/>
      <c r="D457" s="1547"/>
      <c r="E457" s="1735"/>
      <c r="F457" s="1538"/>
      <c r="G457" s="1538"/>
      <c r="H457" s="1538"/>
      <c r="I457" s="1538"/>
      <c r="J457" s="1538"/>
      <c r="K457" s="95" t="s">
        <v>2005</v>
      </c>
      <c r="L457" s="562" t="s">
        <v>106</v>
      </c>
      <c r="M457" s="562">
        <v>0</v>
      </c>
      <c r="N457" s="562">
        <v>1</v>
      </c>
      <c r="O457" s="562">
        <v>0</v>
      </c>
      <c r="P457" s="562">
        <v>0</v>
      </c>
      <c r="Q457" s="562">
        <v>0</v>
      </c>
    </row>
    <row r="458" spans="1:17" ht="90" x14ac:dyDescent="0.2">
      <c r="A458" s="1739"/>
      <c r="B458" s="1544"/>
      <c r="C458" s="1503"/>
      <c r="D458" s="1547"/>
      <c r="E458" s="1735"/>
      <c r="F458" s="1538"/>
      <c r="G458" s="1538"/>
      <c r="H458" s="1538"/>
      <c r="I458" s="1538"/>
      <c r="J458" s="1538"/>
      <c r="K458" s="95" t="s">
        <v>125</v>
      </c>
      <c r="L458" s="562" t="s">
        <v>106</v>
      </c>
      <c r="M458" s="562">
        <v>0</v>
      </c>
      <c r="N458" s="562">
        <v>0</v>
      </c>
      <c r="O458" s="562">
        <v>0</v>
      </c>
      <c r="P458" s="562">
        <v>1</v>
      </c>
      <c r="Q458" s="562">
        <v>0</v>
      </c>
    </row>
    <row r="459" spans="1:17" ht="75" x14ac:dyDescent="0.2">
      <c r="A459" s="1739"/>
      <c r="B459" s="1544"/>
      <c r="C459" s="1503"/>
      <c r="D459" s="1547"/>
      <c r="E459" s="1454"/>
      <c r="F459" s="1540"/>
      <c r="G459" s="1540"/>
      <c r="H459" s="1540"/>
      <c r="I459" s="1540"/>
      <c r="J459" s="1540"/>
      <c r="K459" s="95" t="s">
        <v>126</v>
      </c>
      <c r="L459" s="562" t="s">
        <v>106</v>
      </c>
      <c r="M459" s="562">
        <v>77</v>
      </c>
      <c r="N459" s="562">
        <v>80</v>
      </c>
      <c r="O459" s="562">
        <v>80</v>
      </c>
      <c r="P459" s="562">
        <v>80</v>
      </c>
      <c r="Q459" s="562">
        <v>80</v>
      </c>
    </row>
    <row r="460" spans="1:17" ht="120" x14ac:dyDescent="0.2">
      <c r="A460" s="1739"/>
      <c r="B460" s="1620"/>
      <c r="C460" s="1624" t="s">
        <v>6</v>
      </c>
      <c r="D460" s="1547"/>
      <c r="E460" s="1482" t="s">
        <v>127</v>
      </c>
      <c r="F460" s="1537">
        <f>9966.7+9489.2</f>
        <v>19455.900000000001</v>
      </c>
      <c r="G460" s="1537">
        <f>9966.7+9553</f>
        <v>19519.7</v>
      </c>
      <c r="H460" s="1537">
        <v>19402</v>
      </c>
      <c r="I460" s="1537">
        <f>9694.4+9882.9</f>
        <v>19577.3</v>
      </c>
      <c r="J460" s="1537">
        <f>9795.3+9966.5</f>
        <v>19761.8</v>
      </c>
      <c r="K460" s="576" t="s">
        <v>128</v>
      </c>
      <c r="L460" s="578" t="s">
        <v>106</v>
      </c>
      <c r="M460" s="578">
        <v>0</v>
      </c>
      <c r="N460" s="578">
        <v>0</v>
      </c>
      <c r="O460" s="578">
        <v>1</v>
      </c>
      <c r="P460" s="578">
        <v>0</v>
      </c>
      <c r="Q460" s="566">
        <v>0</v>
      </c>
    </row>
    <row r="461" spans="1:17" ht="90" x14ac:dyDescent="0.2">
      <c r="A461" s="1739"/>
      <c r="B461" s="1621"/>
      <c r="C461" s="1625"/>
      <c r="D461" s="1547"/>
      <c r="E461" s="1618"/>
      <c r="F461" s="1538"/>
      <c r="G461" s="1538"/>
      <c r="H461" s="1538"/>
      <c r="I461" s="1538"/>
      <c r="J461" s="1538"/>
      <c r="K461" s="95" t="s">
        <v>129</v>
      </c>
      <c r="L461" s="16" t="s">
        <v>106</v>
      </c>
      <c r="M461" s="16">
        <v>0</v>
      </c>
      <c r="N461" s="16">
        <v>0</v>
      </c>
      <c r="O461" s="16">
        <v>1</v>
      </c>
      <c r="P461" s="16">
        <v>0</v>
      </c>
      <c r="Q461" s="562">
        <v>0</v>
      </c>
    </row>
    <row r="462" spans="1:17" ht="150" x14ac:dyDescent="0.2">
      <c r="A462" s="1739"/>
      <c r="B462" s="1621"/>
      <c r="C462" s="1625"/>
      <c r="D462" s="1547"/>
      <c r="E462" s="1618"/>
      <c r="F462" s="1538"/>
      <c r="G462" s="1538"/>
      <c r="H462" s="1538"/>
      <c r="I462" s="1538"/>
      <c r="J462" s="1538"/>
      <c r="K462" s="95" t="s">
        <v>130</v>
      </c>
      <c r="L462" s="16" t="s">
        <v>106</v>
      </c>
      <c r="M462" s="16">
        <v>0</v>
      </c>
      <c r="N462" s="16">
        <v>0</v>
      </c>
      <c r="O462" s="16">
        <v>1</v>
      </c>
      <c r="P462" s="16">
        <v>0</v>
      </c>
      <c r="Q462" s="562">
        <v>0</v>
      </c>
    </row>
    <row r="463" spans="1:17" ht="75" x14ac:dyDescent="0.2">
      <c r="A463" s="1739"/>
      <c r="B463" s="1621"/>
      <c r="C463" s="1625"/>
      <c r="D463" s="1547"/>
      <c r="E463" s="1618"/>
      <c r="F463" s="1538"/>
      <c r="G463" s="1538"/>
      <c r="H463" s="1538"/>
      <c r="I463" s="1538"/>
      <c r="J463" s="1538"/>
      <c r="K463" s="95" t="s">
        <v>109</v>
      </c>
      <c r="L463" s="16" t="s">
        <v>106</v>
      </c>
      <c r="M463" s="16">
        <v>0</v>
      </c>
      <c r="N463" s="16">
        <v>0</v>
      </c>
      <c r="O463" s="16">
        <v>1</v>
      </c>
      <c r="P463" s="16">
        <v>0</v>
      </c>
      <c r="Q463" s="562">
        <v>0</v>
      </c>
    </row>
    <row r="464" spans="1:17" ht="25.5" hidden="1" x14ac:dyDescent="0.2">
      <c r="A464" s="1738"/>
      <c r="B464" s="1622"/>
      <c r="C464" s="1626"/>
      <c r="D464" s="1548"/>
      <c r="E464" s="1619"/>
      <c r="F464" s="1539"/>
      <c r="G464" s="1539"/>
      <c r="H464" s="1539"/>
      <c r="I464" s="1539"/>
      <c r="J464" s="1539"/>
      <c r="K464" s="62" t="s">
        <v>131</v>
      </c>
      <c r="L464" s="18" t="s">
        <v>106</v>
      </c>
      <c r="M464" s="18" t="s">
        <v>100</v>
      </c>
      <c r="N464" s="18">
        <v>3</v>
      </c>
      <c r="O464" s="18" t="s">
        <v>100</v>
      </c>
      <c r="P464" s="18" t="s">
        <v>100</v>
      </c>
      <c r="Q464" s="41" t="s">
        <v>100</v>
      </c>
    </row>
    <row r="465" spans="1:17" ht="45" x14ac:dyDescent="0.2">
      <c r="A465" s="1739"/>
      <c r="B465" s="1621"/>
      <c r="C465" s="1625"/>
      <c r="D465" s="1547"/>
      <c r="E465" s="1618"/>
      <c r="F465" s="1538"/>
      <c r="G465" s="1538"/>
      <c r="H465" s="1538"/>
      <c r="I465" s="1538"/>
      <c r="J465" s="1538"/>
      <c r="K465" s="95" t="s">
        <v>2003</v>
      </c>
      <c r="L465" s="16" t="s">
        <v>106</v>
      </c>
      <c r="M465" s="16">
        <v>0</v>
      </c>
      <c r="N465" s="16">
        <v>3</v>
      </c>
      <c r="O465" s="16">
        <v>0</v>
      </c>
      <c r="P465" s="16">
        <v>0</v>
      </c>
      <c r="Q465" s="562">
        <v>0</v>
      </c>
    </row>
    <row r="466" spans="1:17" ht="30" x14ac:dyDescent="0.2">
      <c r="A466" s="1739"/>
      <c r="B466" s="1621"/>
      <c r="C466" s="1625"/>
      <c r="D466" s="1547"/>
      <c r="E466" s="1618"/>
      <c r="F466" s="1538"/>
      <c r="G466" s="1538"/>
      <c r="H466" s="1538"/>
      <c r="I466" s="1538"/>
      <c r="J466" s="1538"/>
      <c r="K466" s="95" t="s">
        <v>132</v>
      </c>
      <c r="L466" s="16" t="s">
        <v>106</v>
      </c>
      <c r="M466" s="16">
        <v>31</v>
      </c>
      <c r="N466" s="16">
        <v>4</v>
      </c>
      <c r="O466" s="16">
        <v>7</v>
      </c>
      <c r="P466" s="16">
        <v>7</v>
      </c>
      <c r="Q466" s="562">
        <v>8</v>
      </c>
    </row>
    <row r="467" spans="1:17" ht="51" hidden="1" x14ac:dyDescent="0.2">
      <c r="A467" s="1738"/>
      <c r="B467" s="1622"/>
      <c r="C467" s="1626"/>
      <c r="D467" s="1548"/>
      <c r="E467" s="1619"/>
      <c r="F467" s="1539"/>
      <c r="G467" s="1539"/>
      <c r="H467" s="1539"/>
      <c r="I467" s="1539"/>
      <c r="J467" s="1539"/>
      <c r="K467" s="62" t="s">
        <v>133</v>
      </c>
      <c r="L467" s="18" t="s">
        <v>106</v>
      </c>
      <c r="M467" s="18" t="s">
        <v>100</v>
      </c>
      <c r="N467" s="18">
        <v>2</v>
      </c>
      <c r="O467" s="18" t="s">
        <v>100</v>
      </c>
      <c r="P467" s="18" t="s">
        <v>100</v>
      </c>
      <c r="Q467" s="41" t="s">
        <v>100</v>
      </c>
    </row>
    <row r="468" spans="1:17" ht="25.5" hidden="1" x14ac:dyDescent="0.2">
      <c r="A468" s="1738"/>
      <c r="B468" s="1622"/>
      <c r="C468" s="1626"/>
      <c r="D468" s="1548"/>
      <c r="E468" s="1619"/>
      <c r="F468" s="1539"/>
      <c r="G468" s="1539"/>
      <c r="H468" s="1539"/>
      <c r="I468" s="1539"/>
      <c r="J468" s="1539"/>
      <c r="K468" s="62" t="s">
        <v>134</v>
      </c>
      <c r="L468" s="18" t="s">
        <v>106</v>
      </c>
      <c r="M468" s="37" t="s">
        <v>100</v>
      </c>
      <c r="N468" s="37" t="s">
        <v>101</v>
      </c>
      <c r="O468" s="37" t="s">
        <v>100</v>
      </c>
      <c r="P468" s="37" t="s">
        <v>100</v>
      </c>
      <c r="Q468" s="41" t="s">
        <v>100</v>
      </c>
    </row>
    <row r="469" spans="1:17" ht="38.25" hidden="1" x14ac:dyDescent="0.2">
      <c r="A469" s="1738"/>
      <c r="B469" s="1622"/>
      <c r="C469" s="1626"/>
      <c r="D469" s="1548"/>
      <c r="E469" s="1619"/>
      <c r="F469" s="1539"/>
      <c r="G469" s="1539"/>
      <c r="H469" s="1539"/>
      <c r="I469" s="1539"/>
      <c r="J469" s="1539"/>
      <c r="K469" s="62" t="s">
        <v>135</v>
      </c>
      <c r="L469" s="19" t="s">
        <v>106</v>
      </c>
      <c r="M469" s="19" t="s">
        <v>100</v>
      </c>
      <c r="N469" s="19" t="s">
        <v>100</v>
      </c>
      <c r="O469" s="19" t="s">
        <v>100</v>
      </c>
      <c r="P469" s="19" t="s">
        <v>100</v>
      </c>
      <c r="Q469" s="39">
        <v>1</v>
      </c>
    </row>
    <row r="470" spans="1:17" ht="51" hidden="1" x14ac:dyDescent="0.2">
      <c r="A470" s="1738"/>
      <c r="B470" s="1622"/>
      <c r="C470" s="1626"/>
      <c r="D470" s="1548"/>
      <c r="E470" s="1619"/>
      <c r="F470" s="1539"/>
      <c r="G470" s="1539"/>
      <c r="H470" s="1539"/>
      <c r="I470" s="1539"/>
      <c r="J470" s="1539"/>
      <c r="K470" s="62" t="s">
        <v>102</v>
      </c>
      <c r="L470" s="19" t="s">
        <v>1</v>
      </c>
      <c r="M470" s="19"/>
      <c r="N470" s="19">
        <v>1</v>
      </c>
      <c r="O470" s="19" t="s">
        <v>100</v>
      </c>
      <c r="P470" s="19" t="s">
        <v>100</v>
      </c>
      <c r="Q470" s="39" t="s">
        <v>100</v>
      </c>
    </row>
    <row r="471" spans="1:17" ht="60" x14ac:dyDescent="0.2">
      <c r="A471" s="1739"/>
      <c r="B471" s="1621"/>
      <c r="C471" s="1625"/>
      <c r="D471" s="1547"/>
      <c r="E471" s="1618"/>
      <c r="F471" s="1538"/>
      <c r="G471" s="1538"/>
      <c r="H471" s="1538"/>
      <c r="I471" s="1538"/>
      <c r="J471" s="1538"/>
      <c r="K471" s="95" t="s">
        <v>133</v>
      </c>
      <c r="L471" s="16" t="s">
        <v>106</v>
      </c>
      <c r="M471" s="204">
        <v>0</v>
      </c>
      <c r="N471" s="204">
        <v>2</v>
      </c>
      <c r="O471" s="204">
        <v>0</v>
      </c>
      <c r="P471" s="204">
        <v>0</v>
      </c>
      <c r="Q471" s="575">
        <v>0</v>
      </c>
    </row>
    <row r="472" spans="1:17" ht="90" x14ac:dyDescent="0.2">
      <c r="A472" s="1739"/>
      <c r="B472" s="1621"/>
      <c r="C472" s="1625"/>
      <c r="D472" s="1547"/>
      <c r="E472" s="1618"/>
      <c r="F472" s="1538"/>
      <c r="G472" s="1538"/>
      <c r="H472" s="1538"/>
      <c r="I472" s="1538"/>
      <c r="J472" s="1538"/>
      <c r="K472" s="95" t="s">
        <v>136</v>
      </c>
      <c r="L472" s="16" t="s">
        <v>106</v>
      </c>
      <c r="M472" s="16">
        <v>0</v>
      </c>
      <c r="N472" s="16">
        <v>0</v>
      </c>
      <c r="O472" s="16">
        <v>1</v>
      </c>
      <c r="P472" s="16">
        <v>0</v>
      </c>
      <c r="Q472" s="562">
        <v>0</v>
      </c>
    </row>
    <row r="473" spans="1:17" ht="60" x14ac:dyDescent="0.2">
      <c r="A473" s="1739"/>
      <c r="B473" s="1621"/>
      <c r="C473" s="1625"/>
      <c r="D473" s="1547"/>
      <c r="E473" s="1618"/>
      <c r="F473" s="1538"/>
      <c r="G473" s="1538"/>
      <c r="H473" s="1538"/>
      <c r="I473" s="1538"/>
      <c r="J473" s="1538"/>
      <c r="K473" s="95" t="s">
        <v>135</v>
      </c>
      <c r="L473" s="16" t="s">
        <v>106</v>
      </c>
      <c r="M473" s="16">
        <v>0</v>
      </c>
      <c r="N473" s="16">
        <v>0</v>
      </c>
      <c r="O473" s="16">
        <v>0</v>
      </c>
      <c r="P473" s="16">
        <v>0</v>
      </c>
      <c r="Q473" s="562">
        <v>1</v>
      </c>
    </row>
    <row r="474" spans="1:17" ht="90" x14ac:dyDescent="0.2">
      <c r="A474" s="1739"/>
      <c r="B474" s="1621"/>
      <c r="C474" s="1625"/>
      <c r="D474" s="1547"/>
      <c r="E474" s="1618"/>
      <c r="F474" s="1538"/>
      <c r="G474" s="1538"/>
      <c r="H474" s="1538"/>
      <c r="I474" s="1538"/>
      <c r="J474" s="1538"/>
      <c r="K474" s="95" t="s">
        <v>1460</v>
      </c>
      <c r="L474" s="16" t="s">
        <v>106</v>
      </c>
      <c r="M474" s="16">
        <v>0</v>
      </c>
      <c r="N474" s="16">
        <v>0</v>
      </c>
      <c r="O474" s="16">
        <v>1</v>
      </c>
      <c r="P474" s="16">
        <v>0</v>
      </c>
      <c r="Q474" s="562">
        <v>0</v>
      </c>
    </row>
    <row r="475" spans="1:17" ht="45" x14ac:dyDescent="0.2">
      <c r="A475" s="1739"/>
      <c r="B475" s="1621"/>
      <c r="C475" s="1625"/>
      <c r="D475" s="1547"/>
      <c r="E475" s="1618"/>
      <c r="F475" s="1538"/>
      <c r="G475" s="1538"/>
      <c r="H475" s="1538"/>
      <c r="I475" s="1538"/>
      <c r="J475" s="1538"/>
      <c r="K475" s="95" t="s">
        <v>137</v>
      </c>
      <c r="L475" s="562" t="s">
        <v>106</v>
      </c>
      <c r="M475" s="562">
        <v>0</v>
      </c>
      <c r="N475" s="562">
        <v>1</v>
      </c>
      <c r="O475" s="562">
        <v>2</v>
      </c>
      <c r="P475" s="562">
        <v>3</v>
      </c>
      <c r="Q475" s="562">
        <v>1</v>
      </c>
    </row>
    <row r="476" spans="1:17" ht="90" x14ac:dyDescent="0.2">
      <c r="A476" s="1739"/>
      <c r="B476" s="1623"/>
      <c r="C476" s="1627"/>
      <c r="D476" s="1547"/>
      <c r="E476" s="1483"/>
      <c r="F476" s="1540"/>
      <c r="G476" s="1540"/>
      <c r="H476" s="1540"/>
      <c r="I476" s="1540"/>
      <c r="J476" s="1540"/>
      <c r="K476" s="95" t="s">
        <v>138</v>
      </c>
      <c r="L476" s="16" t="s">
        <v>106</v>
      </c>
      <c r="M476" s="578">
        <v>0</v>
      </c>
      <c r="N476" s="578">
        <v>1</v>
      </c>
      <c r="O476" s="578">
        <v>1</v>
      </c>
      <c r="P476" s="578">
        <v>1</v>
      </c>
      <c r="Q476" s="566">
        <v>1</v>
      </c>
    </row>
    <row r="477" spans="1:17" ht="60" x14ac:dyDescent="0.2">
      <c r="A477" s="1739"/>
      <c r="B477" s="1620"/>
      <c r="C477" s="1468" t="s">
        <v>4</v>
      </c>
      <c r="D477" s="1742"/>
      <c r="E477" s="1482" t="s">
        <v>139</v>
      </c>
      <c r="F477" s="1537">
        <f>11745.8+17278.9</f>
        <v>29024.7</v>
      </c>
      <c r="G477" s="1537">
        <v>35899</v>
      </c>
      <c r="H477" s="1537">
        <v>39043.1</v>
      </c>
      <c r="I477" s="1537">
        <v>39043.1</v>
      </c>
      <c r="J477" s="1537">
        <v>39043.1</v>
      </c>
      <c r="K477" s="579" t="s">
        <v>140</v>
      </c>
      <c r="L477" s="204" t="s">
        <v>106</v>
      </c>
      <c r="M477" s="204">
        <v>15</v>
      </c>
      <c r="N477" s="204">
        <v>3</v>
      </c>
      <c r="O477" s="204">
        <v>3</v>
      </c>
      <c r="P477" s="204">
        <v>3</v>
      </c>
      <c r="Q477" s="575">
        <v>3</v>
      </c>
    </row>
    <row r="478" spans="1:17" ht="45" x14ac:dyDescent="0.2">
      <c r="A478" s="1739"/>
      <c r="B478" s="1621"/>
      <c r="C478" s="1501"/>
      <c r="D478" s="1743"/>
      <c r="E478" s="1618"/>
      <c r="F478" s="1538"/>
      <c r="G478" s="1538"/>
      <c r="H478" s="1538"/>
      <c r="I478" s="1538"/>
      <c r="J478" s="1538"/>
      <c r="K478" s="95" t="s">
        <v>141</v>
      </c>
      <c r="L478" s="16" t="s">
        <v>106</v>
      </c>
      <c r="M478" s="16">
        <v>6</v>
      </c>
      <c r="N478" s="16">
        <v>0</v>
      </c>
      <c r="O478" s="16">
        <v>2</v>
      </c>
      <c r="P478" s="16">
        <v>2</v>
      </c>
      <c r="Q478" s="562">
        <v>2</v>
      </c>
    </row>
    <row r="479" spans="1:17" ht="60" x14ac:dyDescent="0.2">
      <c r="A479" s="1739"/>
      <c r="B479" s="1621"/>
      <c r="C479" s="1501"/>
      <c r="D479" s="1743"/>
      <c r="E479" s="1618"/>
      <c r="F479" s="1538"/>
      <c r="G479" s="1538"/>
      <c r="H479" s="1538"/>
      <c r="I479" s="1538"/>
      <c r="J479" s="1538"/>
      <c r="K479" s="95" t="s">
        <v>142</v>
      </c>
      <c r="L479" s="562" t="s">
        <v>106</v>
      </c>
      <c r="M479" s="562">
        <v>0</v>
      </c>
      <c r="N479" s="562">
        <v>1</v>
      </c>
      <c r="O479" s="562">
        <v>0</v>
      </c>
      <c r="P479" s="562">
        <v>1</v>
      </c>
      <c r="Q479" s="562">
        <v>0</v>
      </c>
    </row>
    <row r="480" spans="1:17" ht="76.5" hidden="1" x14ac:dyDescent="0.2">
      <c r="A480" s="1738"/>
      <c r="B480" s="1622"/>
      <c r="C480" s="1741"/>
      <c r="D480" s="1744"/>
      <c r="E480" s="1619"/>
      <c r="F480" s="1539"/>
      <c r="G480" s="1539"/>
      <c r="H480" s="1539"/>
      <c r="I480" s="1539"/>
      <c r="J480" s="1539"/>
      <c r="K480" s="62" t="s">
        <v>103</v>
      </c>
      <c r="L480" s="41" t="s">
        <v>1</v>
      </c>
      <c r="M480" s="41" t="s">
        <v>100</v>
      </c>
      <c r="N480" s="41">
        <v>1</v>
      </c>
      <c r="O480" s="41" t="s">
        <v>100</v>
      </c>
      <c r="P480" s="41" t="s">
        <v>100</v>
      </c>
      <c r="Q480" s="41" t="s">
        <v>100</v>
      </c>
    </row>
    <row r="481" spans="1:17" ht="30" customHeight="1" x14ac:dyDescent="0.2">
      <c r="A481" s="1739"/>
      <c r="B481" s="1621"/>
      <c r="C481" s="1501"/>
      <c r="D481" s="1743"/>
      <c r="E481" s="1618"/>
      <c r="F481" s="1538"/>
      <c r="G481" s="1538"/>
      <c r="H481" s="1538"/>
      <c r="I481" s="1538"/>
      <c r="J481" s="1538"/>
      <c r="K481" s="1365" t="s">
        <v>143</v>
      </c>
      <c r="L481" s="1514" t="s">
        <v>106</v>
      </c>
      <c r="M481" s="1514">
        <v>0</v>
      </c>
      <c r="N481" s="1514">
        <v>8</v>
      </c>
      <c r="O481" s="1514">
        <v>8</v>
      </c>
      <c r="P481" s="1514">
        <v>8</v>
      </c>
      <c r="Q481" s="1514">
        <v>8</v>
      </c>
    </row>
    <row r="482" spans="1:17" ht="42.75" customHeight="1" x14ac:dyDescent="0.2">
      <c r="A482" s="1739"/>
      <c r="B482" s="1623"/>
      <c r="C482" s="1469"/>
      <c r="D482" s="1745"/>
      <c r="E482" s="1483"/>
      <c r="F482" s="1540"/>
      <c r="G482" s="1540"/>
      <c r="H482" s="1540"/>
      <c r="I482" s="1540"/>
      <c r="J482" s="1540"/>
      <c r="K482" s="1365"/>
      <c r="L482" s="1514"/>
      <c r="M482" s="1514"/>
      <c r="N482" s="1514"/>
      <c r="O482" s="1514"/>
      <c r="P482" s="1514"/>
      <c r="Q482" s="1514"/>
    </row>
    <row r="483" spans="1:17" ht="42.75" x14ac:dyDescent="0.25">
      <c r="A483" s="1739"/>
      <c r="B483" s="580">
        <v>3</v>
      </c>
      <c r="C483" s="581"/>
      <c r="D483" s="582"/>
      <c r="E483" s="106" t="s">
        <v>144</v>
      </c>
      <c r="F483" s="583">
        <f>F484+F485</f>
        <v>4590.3999999999996</v>
      </c>
      <c r="G483" s="583">
        <f t="shared" ref="G483:J483" si="74">G484+G485</f>
        <v>4718.5</v>
      </c>
      <c r="H483" s="583">
        <f t="shared" si="74"/>
        <v>0</v>
      </c>
      <c r="I483" s="583">
        <f t="shared" si="74"/>
        <v>0</v>
      </c>
      <c r="J483" s="583">
        <f t="shared" si="74"/>
        <v>0</v>
      </c>
      <c r="K483" s="95"/>
      <c r="L483" s="562"/>
      <c r="M483" s="562"/>
      <c r="N483" s="562"/>
      <c r="O483" s="562"/>
      <c r="P483" s="562"/>
      <c r="Q483" s="562"/>
    </row>
    <row r="484" spans="1:17" ht="30" x14ac:dyDescent="0.25">
      <c r="A484" s="1739"/>
      <c r="B484" s="580"/>
      <c r="C484" s="581" t="s">
        <v>5</v>
      </c>
      <c r="D484" s="582"/>
      <c r="E484" s="584" t="s">
        <v>145</v>
      </c>
      <c r="F484" s="585">
        <f>1432.9+1389.3</f>
        <v>2822.2</v>
      </c>
      <c r="G484" s="585">
        <f>1432.8+1453.7</f>
        <v>2886.5</v>
      </c>
      <c r="H484" s="585">
        <v>0</v>
      </c>
      <c r="I484" s="585">
        <v>0</v>
      </c>
      <c r="J484" s="585">
        <v>0</v>
      </c>
      <c r="K484" s="584" t="s">
        <v>146</v>
      </c>
      <c r="L484" s="16" t="s">
        <v>106</v>
      </c>
      <c r="M484" s="586">
        <v>0</v>
      </c>
      <c r="N484" s="586">
        <v>1</v>
      </c>
      <c r="O484" s="586">
        <v>0</v>
      </c>
      <c r="P484" s="587">
        <v>0</v>
      </c>
      <c r="Q484" s="562">
        <v>0</v>
      </c>
    </row>
    <row r="485" spans="1:17" ht="45" x14ac:dyDescent="0.25">
      <c r="A485" s="1740"/>
      <c r="B485" s="588"/>
      <c r="C485" s="589" t="s">
        <v>6</v>
      </c>
      <c r="D485" s="582"/>
      <c r="E485" s="584" t="s">
        <v>147</v>
      </c>
      <c r="F485" s="585">
        <f>811.3+956.9</f>
        <v>1768.1999999999998</v>
      </c>
      <c r="G485" s="585">
        <f>811.3+1020.7</f>
        <v>1832</v>
      </c>
      <c r="H485" s="585">
        <v>0</v>
      </c>
      <c r="I485" s="585">
        <v>0</v>
      </c>
      <c r="J485" s="585">
        <v>0</v>
      </c>
      <c r="K485" s="584" t="s">
        <v>148</v>
      </c>
      <c r="L485" s="16" t="s">
        <v>106</v>
      </c>
      <c r="M485" s="586">
        <v>4</v>
      </c>
      <c r="N485" s="586">
        <v>4</v>
      </c>
      <c r="O485" s="586">
        <v>0</v>
      </c>
      <c r="P485" s="587">
        <v>0</v>
      </c>
      <c r="Q485" s="562">
        <v>0</v>
      </c>
    </row>
    <row r="486" spans="1:17" ht="15" x14ac:dyDescent="0.25">
      <c r="A486" s="1541" t="s">
        <v>35</v>
      </c>
      <c r="B486" s="1542"/>
      <c r="C486" s="1542"/>
      <c r="D486" s="1542"/>
      <c r="E486" s="1543"/>
      <c r="F486" s="590">
        <f>F429+F445+F483</f>
        <v>137344.69999999998</v>
      </c>
      <c r="G486" s="590">
        <f t="shared" ref="G486:J486" si="75">G429+G445+G483</f>
        <v>132582.79999999999</v>
      </c>
      <c r="H486" s="590">
        <f t="shared" si="75"/>
        <v>153425.29999999999</v>
      </c>
      <c r="I486" s="590">
        <f t="shared" si="75"/>
        <v>153869.4</v>
      </c>
      <c r="J486" s="590">
        <f t="shared" si="75"/>
        <v>154307.79999999999</v>
      </c>
      <c r="K486" s="591"/>
      <c r="L486" s="339"/>
      <c r="M486" s="339"/>
      <c r="N486" s="339"/>
      <c r="O486" s="339"/>
      <c r="P486" s="339"/>
      <c r="Q486" s="339"/>
    </row>
    <row r="487" spans="1:17" ht="15" x14ac:dyDescent="0.2">
      <c r="A487" s="1509" t="s">
        <v>2017</v>
      </c>
      <c r="B487" s="1510" t="s">
        <v>610</v>
      </c>
      <c r="C487" s="1510"/>
      <c r="D487" s="1510"/>
      <c r="E487" s="1510"/>
      <c r="F487" s="1510"/>
      <c r="G487" s="1510"/>
      <c r="H487" s="1510"/>
      <c r="I487" s="1510"/>
      <c r="J487" s="1510"/>
      <c r="K487" s="1510"/>
      <c r="L487" s="1510"/>
      <c r="M487" s="1510"/>
      <c r="N487" s="1510"/>
      <c r="O487" s="1511"/>
      <c r="P487" s="592"/>
      <c r="Q487" s="592"/>
    </row>
    <row r="488" spans="1:17" ht="90" x14ac:dyDescent="0.2">
      <c r="A488" s="1327">
        <v>38</v>
      </c>
      <c r="B488" s="511" t="s">
        <v>0</v>
      </c>
      <c r="C488" s="491"/>
      <c r="D488" s="491"/>
      <c r="E488" s="593" t="s">
        <v>1757</v>
      </c>
      <c r="F488" s="594">
        <v>581301.1</v>
      </c>
      <c r="G488" s="594">
        <v>669198.9</v>
      </c>
      <c r="H488" s="594">
        <f>H489+H490</f>
        <v>991022.7</v>
      </c>
      <c r="I488" s="594">
        <f t="shared" ref="I488:J488" si="76">I489+I490</f>
        <v>826377.60000000009</v>
      </c>
      <c r="J488" s="594">
        <f t="shared" si="76"/>
        <v>829571.5</v>
      </c>
      <c r="K488" s="595"/>
      <c r="L488" s="429"/>
      <c r="M488" s="429"/>
      <c r="N488" s="429"/>
      <c r="O488" s="429"/>
      <c r="P488" s="429"/>
      <c r="Q488" s="429"/>
    </row>
    <row r="489" spans="1:17" ht="30" x14ac:dyDescent="0.2">
      <c r="A489" s="1327"/>
      <c r="B489" s="491"/>
      <c r="C489" s="491" t="s">
        <v>5</v>
      </c>
      <c r="D489" s="491"/>
      <c r="E489" s="593" t="s">
        <v>25</v>
      </c>
      <c r="F489" s="596">
        <v>26590.2</v>
      </c>
      <c r="G489" s="596">
        <v>58827.8</v>
      </c>
      <c r="H489" s="596">
        <v>148930.19999999998</v>
      </c>
      <c r="I489" s="596">
        <v>68339.799999999988</v>
      </c>
      <c r="J489" s="596">
        <v>68339.799999999988</v>
      </c>
      <c r="K489" s="595"/>
      <c r="L489" s="429"/>
      <c r="M489" s="429"/>
      <c r="N489" s="429"/>
      <c r="O489" s="429"/>
      <c r="P489" s="429"/>
      <c r="Q489" s="429"/>
    </row>
    <row r="490" spans="1:17" ht="30" x14ac:dyDescent="0.2">
      <c r="A490" s="1327"/>
      <c r="B490" s="491"/>
      <c r="C490" s="491" t="s">
        <v>6</v>
      </c>
      <c r="D490" s="491"/>
      <c r="E490" s="593" t="s">
        <v>1580</v>
      </c>
      <c r="F490" s="596">
        <v>554710.9</v>
      </c>
      <c r="G490" s="596">
        <v>610371.1</v>
      </c>
      <c r="H490" s="596">
        <v>842092.5</v>
      </c>
      <c r="I490" s="596">
        <v>758037.8</v>
      </c>
      <c r="J490" s="596">
        <v>761231.7</v>
      </c>
      <c r="K490" s="595"/>
      <c r="L490" s="429"/>
      <c r="M490" s="429"/>
      <c r="N490" s="429"/>
      <c r="O490" s="429"/>
      <c r="P490" s="429"/>
      <c r="Q490" s="429"/>
    </row>
    <row r="491" spans="1:17" ht="209.25" x14ac:dyDescent="0.2">
      <c r="A491" s="1327"/>
      <c r="B491" s="511" t="s">
        <v>1840</v>
      </c>
      <c r="C491" s="491"/>
      <c r="D491" s="491"/>
      <c r="E491" s="593" t="s">
        <v>2006</v>
      </c>
      <c r="F491" s="594">
        <v>8645946.4000000022</v>
      </c>
      <c r="G491" s="594">
        <v>11898735.299999999</v>
      </c>
      <c r="H491" s="594">
        <f>H492+H495+H499+H501+H502+H504+H505</f>
        <v>14654645</v>
      </c>
      <c r="I491" s="594">
        <f t="shared" ref="I491:J491" si="77">I492+I495+I499+I501+I502+I504+I505</f>
        <v>14969986.299999999</v>
      </c>
      <c r="J491" s="594">
        <f t="shared" si="77"/>
        <v>15166302.6</v>
      </c>
      <c r="K491" s="595"/>
      <c r="L491" s="429"/>
      <c r="M491" s="429"/>
      <c r="N491" s="429"/>
      <c r="O491" s="429"/>
      <c r="P491" s="429"/>
      <c r="Q491" s="429"/>
    </row>
    <row r="492" spans="1:17" ht="60" x14ac:dyDescent="0.2">
      <c r="A492" s="1327"/>
      <c r="B492" s="1468"/>
      <c r="C492" s="1468" t="s">
        <v>5</v>
      </c>
      <c r="D492" s="1468"/>
      <c r="E492" s="1403" t="s">
        <v>611</v>
      </c>
      <c r="F492" s="1525">
        <v>4425134.3</v>
      </c>
      <c r="G492" s="1525">
        <v>4540323.7</v>
      </c>
      <c r="H492" s="1525">
        <v>6834159.5</v>
      </c>
      <c r="I492" s="1526">
        <v>7149500.7999999998</v>
      </c>
      <c r="J492" s="1526">
        <v>7345817.0999999996</v>
      </c>
      <c r="K492" s="428" t="s">
        <v>612</v>
      </c>
      <c r="L492" s="429" t="s">
        <v>192</v>
      </c>
      <c r="M492" s="406">
        <v>4000</v>
      </c>
      <c r="N492" s="406">
        <v>4000</v>
      </c>
      <c r="O492" s="406">
        <v>4000</v>
      </c>
      <c r="P492" s="406">
        <v>4000</v>
      </c>
      <c r="Q492" s="406">
        <v>4000</v>
      </c>
    </row>
    <row r="493" spans="1:17" ht="75" x14ac:dyDescent="0.2">
      <c r="A493" s="1327"/>
      <c r="B493" s="1501"/>
      <c r="C493" s="1501"/>
      <c r="D493" s="1501"/>
      <c r="E493" s="1403"/>
      <c r="F493" s="1525"/>
      <c r="G493" s="1525"/>
      <c r="H493" s="1525"/>
      <c r="I493" s="1527"/>
      <c r="J493" s="1527"/>
      <c r="K493" s="428" t="s">
        <v>613</v>
      </c>
      <c r="L493" s="429" t="s">
        <v>3</v>
      </c>
      <c r="M493" s="406" t="s">
        <v>614</v>
      </c>
      <c r="N493" s="406">
        <v>100</v>
      </c>
      <c r="O493" s="406">
        <v>110</v>
      </c>
      <c r="P493" s="406">
        <v>110</v>
      </c>
      <c r="Q493" s="406">
        <v>110</v>
      </c>
    </row>
    <row r="494" spans="1:17" ht="60" x14ac:dyDescent="0.2">
      <c r="A494" s="1327"/>
      <c r="B494" s="1501"/>
      <c r="C494" s="1501"/>
      <c r="D494" s="1469"/>
      <c r="E494" s="1403"/>
      <c r="F494" s="1525"/>
      <c r="G494" s="1525"/>
      <c r="H494" s="1525"/>
      <c r="I494" s="1528"/>
      <c r="J494" s="1528"/>
      <c r="K494" s="428" t="s">
        <v>615</v>
      </c>
      <c r="L494" s="429" t="s">
        <v>3</v>
      </c>
      <c r="M494" s="406">
        <v>100</v>
      </c>
      <c r="N494" s="406">
        <v>100</v>
      </c>
      <c r="O494" s="406">
        <v>110</v>
      </c>
      <c r="P494" s="406">
        <v>110</v>
      </c>
      <c r="Q494" s="406">
        <v>110</v>
      </c>
    </row>
    <row r="495" spans="1:17" ht="75" x14ac:dyDescent="0.2">
      <c r="A495" s="1327"/>
      <c r="B495" s="1468"/>
      <c r="C495" s="1468" t="s">
        <v>6</v>
      </c>
      <c r="D495" s="1468"/>
      <c r="E495" s="1396" t="s">
        <v>616</v>
      </c>
      <c r="F495" s="1526">
        <v>4182628</v>
      </c>
      <c r="G495" s="1526">
        <v>7311505.8999999994</v>
      </c>
      <c r="H495" s="1526">
        <v>7742311.5999999996</v>
      </c>
      <c r="I495" s="1526">
        <v>7742311.5999999996</v>
      </c>
      <c r="J495" s="1526">
        <v>7742311.5999999996</v>
      </c>
      <c r="K495" s="593" t="s">
        <v>617</v>
      </c>
      <c r="L495" s="429" t="s">
        <v>3</v>
      </c>
      <c r="M495" s="429">
        <v>113.6</v>
      </c>
      <c r="N495" s="429">
        <v>151.5</v>
      </c>
      <c r="O495" s="429">
        <v>151.5</v>
      </c>
      <c r="P495" s="429">
        <v>151.5</v>
      </c>
      <c r="Q495" s="429">
        <v>151.5</v>
      </c>
    </row>
    <row r="496" spans="1:17" ht="75" x14ac:dyDescent="0.2">
      <c r="A496" s="1327"/>
      <c r="B496" s="1501"/>
      <c r="C496" s="1501"/>
      <c r="D496" s="1501"/>
      <c r="E496" s="1397"/>
      <c r="F496" s="1527"/>
      <c r="G496" s="1527"/>
      <c r="H496" s="1527"/>
      <c r="I496" s="1527"/>
      <c r="J496" s="1527"/>
      <c r="K496" s="593" t="s">
        <v>618</v>
      </c>
      <c r="L496" s="429" t="s">
        <v>3</v>
      </c>
      <c r="M496" s="429" t="s">
        <v>619</v>
      </c>
      <c r="N496" s="429" t="s">
        <v>620</v>
      </c>
      <c r="O496" s="429" t="s">
        <v>620</v>
      </c>
      <c r="P496" s="429" t="s">
        <v>620</v>
      </c>
      <c r="Q496" s="429" t="s">
        <v>620</v>
      </c>
    </row>
    <row r="497" spans="1:17" ht="90" x14ac:dyDescent="0.2">
      <c r="A497" s="1327"/>
      <c r="B497" s="1501"/>
      <c r="C497" s="1501"/>
      <c r="D497" s="1501"/>
      <c r="E497" s="1397"/>
      <c r="F497" s="1527"/>
      <c r="G497" s="1527"/>
      <c r="H497" s="1527"/>
      <c r="I497" s="1527"/>
      <c r="J497" s="1527"/>
      <c r="K497" s="593" t="s">
        <v>621</v>
      </c>
      <c r="L497" s="429" t="s">
        <v>3</v>
      </c>
      <c r="M497" s="429" t="s">
        <v>622</v>
      </c>
      <c r="N497" s="429" t="s">
        <v>623</v>
      </c>
      <c r="O497" s="429" t="s">
        <v>623</v>
      </c>
      <c r="P497" s="429" t="s">
        <v>623</v>
      </c>
      <c r="Q497" s="429" t="s">
        <v>623</v>
      </c>
    </row>
    <row r="498" spans="1:17" ht="60" x14ac:dyDescent="0.2">
      <c r="A498" s="1327"/>
      <c r="B498" s="1469"/>
      <c r="C498" s="1469"/>
      <c r="D498" s="1469"/>
      <c r="E498" s="1398"/>
      <c r="F498" s="1527"/>
      <c r="G498" s="1528"/>
      <c r="H498" s="1528"/>
      <c r="I498" s="1528"/>
      <c r="J498" s="1528"/>
      <c r="K498" s="593" t="s">
        <v>624</v>
      </c>
      <c r="L498" s="406" t="s">
        <v>625</v>
      </c>
      <c r="M498" s="429">
        <v>37</v>
      </c>
      <c r="N498" s="429">
        <v>37</v>
      </c>
      <c r="O498" s="429">
        <v>37</v>
      </c>
      <c r="P498" s="429">
        <v>37</v>
      </c>
      <c r="Q498" s="429">
        <v>37</v>
      </c>
    </row>
    <row r="499" spans="1:17" ht="30" x14ac:dyDescent="0.2">
      <c r="A499" s="1327"/>
      <c r="B499" s="1468"/>
      <c r="C499" s="1468" t="s">
        <v>4</v>
      </c>
      <c r="D499" s="1468"/>
      <c r="E499" s="1396" t="s">
        <v>626</v>
      </c>
      <c r="F499" s="1507">
        <v>10515.300000000001</v>
      </c>
      <c r="G499" s="1507">
        <v>18500</v>
      </c>
      <c r="H499" s="1507">
        <v>19712.099999999999</v>
      </c>
      <c r="I499" s="1507">
        <v>19712.099999999999</v>
      </c>
      <c r="J499" s="1507">
        <v>19712.099999999999</v>
      </c>
      <c r="K499" s="428" t="s">
        <v>627</v>
      </c>
      <c r="L499" s="406" t="s">
        <v>628</v>
      </c>
      <c r="M499" s="406">
        <v>7</v>
      </c>
      <c r="N499" s="406">
        <v>7</v>
      </c>
      <c r="O499" s="406">
        <v>7</v>
      </c>
      <c r="P499" s="406">
        <v>7</v>
      </c>
      <c r="Q499" s="406">
        <v>7</v>
      </c>
    </row>
    <row r="500" spans="1:17" ht="30" x14ac:dyDescent="0.2">
      <c r="A500" s="1327"/>
      <c r="B500" s="1469"/>
      <c r="C500" s="1469"/>
      <c r="D500" s="1469"/>
      <c r="E500" s="1398"/>
      <c r="F500" s="1508"/>
      <c r="G500" s="1508"/>
      <c r="H500" s="1508"/>
      <c r="I500" s="1508"/>
      <c r="J500" s="1508"/>
      <c r="K500" s="428" t="s">
        <v>629</v>
      </c>
      <c r="L500" s="406" t="s">
        <v>628</v>
      </c>
      <c r="M500" s="406">
        <v>14</v>
      </c>
      <c r="N500" s="406">
        <v>12</v>
      </c>
      <c r="O500" s="406">
        <v>12</v>
      </c>
      <c r="P500" s="406">
        <v>12</v>
      </c>
      <c r="Q500" s="406">
        <v>12</v>
      </c>
    </row>
    <row r="501" spans="1:17" ht="45" x14ac:dyDescent="0.2">
      <c r="A501" s="1327"/>
      <c r="B501" s="473"/>
      <c r="C501" s="473" t="s">
        <v>7</v>
      </c>
      <c r="D501" s="473"/>
      <c r="E501" s="597" t="s">
        <v>630</v>
      </c>
      <c r="F501" s="598">
        <v>1880</v>
      </c>
      <c r="G501" s="598">
        <v>2500</v>
      </c>
      <c r="H501" s="598">
        <v>2500</v>
      </c>
      <c r="I501" s="598">
        <v>2500</v>
      </c>
      <c r="J501" s="598">
        <v>2500</v>
      </c>
      <c r="K501" s="428" t="s">
        <v>631</v>
      </c>
      <c r="L501" s="406" t="s">
        <v>283</v>
      </c>
      <c r="M501" s="406">
        <v>100</v>
      </c>
      <c r="N501" s="406">
        <v>100</v>
      </c>
      <c r="O501" s="406">
        <v>100</v>
      </c>
      <c r="P501" s="406">
        <v>100</v>
      </c>
      <c r="Q501" s="406">
        <v>100</v>
      </c>
    </row>
    <row r="502" spans="1:17" ht="30" x14ac:dyDescent="0.2">
      <c r="A502" s="1327"/>
      <c r="B502" s="1468"/>
      <c r="C502" s="1468" t="s">
        <v>8</v>
      </c>
      <c r="D502" s="1468"/>
      <c r="E502" s="1396" t="s">
        <v>632</v>
      </c>
      <c r="F502" s="1507">
        <v>20503.900000000001</v>
      </c>
      <c r="G502" s="1507">
        <v>20757.099999999999</v>
      </c>
      <c r="H502" s="1507">
        <v>48520</v>
      </c>
      <c r="I502" s="1507">
        <v>48520</v>
      </c>
      <c r="J502" s="1507">
        <v>48520</v>
      </c>
      <c r="K502" s="428" t="s">
        <v>633</v>
      </c>
      <c r="L502" s="406" t="s">
        <v>283</v>
      </c>
      <c r="M502" s="406">
        <v>75</v>
      </c>
      <c r="N502" s="406">
        <v>50</v>
      </c>
      <c r="O502" s="406">
        <v>50</v>
      </c>
      <c r="P502" s="406">
        <v>50</v>
      </c>
      <c r="Q502" s="406">
        <v>50</v>
      </c>
    </row>
    <row r="503" spans="1:17" ht="30" x14ac:dyDescent="0.2">
      <c r="A503" s="1327"/>
      <c r="B503" s="1469"/>
      <c r="C503" s="1469"/>
      <c r="D503" s="1469"/>
      <c r="E503" s="1398"/>
      <c r="F503" s="1508"/>
      <c r="G503" s="1508"/>
      <c r="H503" s="1508"/>
      <c r="I503" s="1508"/>
      <c r="J503" s="1508"/>
      <c r="K503" s="428" t="s">
        <v>634</v>
      </c>
      <c r="L503" s="406" t="s">
        <v>283</v>
      </c>
      <c r="M503" s="406">
        <v>160</v>
      </c>
      <c r="N503" s="406">
        <v>180</v>
      </c>
      <c r="O503" s="406">
        <v>180</v>
      </c>
      <c r="P503" s="406">
        <v>180</v>
      </c>
      <c r="Q503" s="406">
        <v>180</v>
      </c>
    </row>
    <row r="504" spans="1:17" ht="45" x14ac:dyDescent="0.2">
      <c r="A504" s="1327"/>
      <c r="B504" s="491"/>
      <c r="C504" s="491" t="s">
        <v>9</v>
      </c>
      <c r="D504" s="491"/>
      <c r="E504" s="593" t="s">
        <v>635</v>
      </c>
      <c r="F504" s="599">
        <v>2468.8000000000002</v>
      </c>
      <c r="G504" s="599">
        <v>2100</v>
      </c>
      <c r="H504" s="599">
        <v>2100</v>
      </c>
      <c r="I504" s="599">
        <v>2100</v>
      </c>
      <c r="J504" s="599">
        <v>2100</v>
      </c>
      <c r="K504" s="428" t="s">
        <v>636</v>
      </c>
      <c r="L504" s="429" t="s">
        <v>283</v>
      </c>
      <c r="M504" s="429">
        <v>18</v>
      </c>
      <c r="N504" s="429">
        <v>18</v>
      </c>
      <c r="O504" s="429">
        <v>18</v>
      </c>
      <c r="P504" s="429">
        <v>18</v>
      </c>
      <c r="Q504" s="429">
        <v>18</v>
      </c>
    </row>
    <row r="505" spans="1:17" ht="45" x14ac:dyDescent="0.2">
      <c r="A505" s="1327"/>
      <c r="B505" s="491"/>
      <c r="C505" s="491" t="s">
        <v>10</v>
      </c>
      <c r="D505" s="491"/>
      <c r="E505" s="593" t="s">
        <v>637</v>
      </c>
      <c r="F505" s="599">
        <v>2816.1</v>
      </c>
      <c r="G505" s="599">
        <v>3048.6</v>
      </c>
      <c r="H505" s="599">
        <v>5341.7999999999993</v>
      </c>
      <c r="I505" s="599">
        <v>5341.7999999999993</v>
      </c>
      <c r="J505" s="599">
        <v>5341.7999999999993</v>
      </c>
      <c r="K505" s="428" t="s">
        <v>638</v>
      </c>
      <c r="L505" s="406" t="s">
        <v>639</v>
      </c>
      <c r="M505" s="406">
        <v>1340</v>
      </c>
      <c r="N505" s="406">
        <v>1610</v>
      </c>
      <c r="O505" s="406">
        <v>1850</v>
      </c>
      <c r="P505" s="406">
        <v>1950</v>
      </c>
      <c r="Q505" s="406">
        <v>2050</v>
      </c>
    </row>
    <row r="506" spans="1:17" ht="148.5" x14ac:dyDescent="0.2">
      <c r="A506" s="1327"/>
      <c r="B506" s="600" t="s">
        <v>1841</v>
      </c>
      <c r="C506" s="601"/>
      <c r="D506" s="601"/>
      <c r="E506" s="593" t="s">
        <v>1758</v>
      </c>
      <c r="F506" s="602">
        <v>1108057.1000000001</v>
      </c>
      <c r="G506" s="602">
        <v>1258963.6000000001</v>
      </c>
      <c r="H506" s="602">
        <f>H507+H509+H511+H514+H517+H520+H523</f>
        <v>2508798.5</v>
      </c>
      <c r="I506" s="602">
        <f t="shared" ref="I506:J506" si="78">I507+I509+I511+I514+I517+I520+I523</f>
        <v>2503829.6999999997</v>
      </c>
      <c r="J506" s="602">
        <f t="shared" si="78"/>
        <v>2504083.1999999997</v>
      </c>
      <c r="K506" s="593"/>
      <c r="L506" s="429"/>
      <c r="M506" s="429"/>
      <c r="N506" s="429"/>
      <c r="O506" s="429"/>
      <c r="P506" s="429"/>
      <c r="Q506" s="429"/>
    </row>
    <row r="507" spans="1:17" ht="30" x14ac:dyDescent="0.2">
      <c r="A507" s="1327"/>
      <c r="B507" s="1503"/>
      <c r="C507" s="1503" t="s">
        <v>5</v>
      </c>
      <c r="D507" s="1503"/>
      <c r="E507" s="1403" t="s">
        <v>1612</v>
      </c>
      <c r="F507" s="1500">
        <v>45964.4</v>
      </c>
      <c r="G507" s="1500">
        <v>55943.9</v>
      </c>
      <c r="H507" s="1500">
        <v>92168.4</v>
      </c>
      <c r="I507" s="1500">
        <v>92168.4</v>
      </c>
      <c r="J507" s="1500">
        <v>92168.4</v>
      </c>
      <c r="K507" s="428" t="s">
        <v>640</v>
      </c>
      <c r="L507" s="429" t="s">
        <v>641</v>
      </c>
      <c r="M507" s="429">
        <v>1</v>
      </c>
      <c r="N507" s="429">
        <v>1</v>
      </c>
      <c r="O507" s="429">
        <v>1</v>
      </c>
      <c r="P507" s="429">
        <v>1</v>
      </c>
      <c r="Q507" s="429">
        <v>1</v>
      </c>
    </row>
    <row r="508" spans="1:17" ht="45" x14ac:dyDescent="0.2">
      <c r="A508" s="1327"/>
      <c r="B508" s="1503"/>
      <c r="C508" s="1503"/>
      <c r="D508" s="1503"/>
      <c r="E508" s="1403"/>
      <c r="F508" s="1500"/>
      <c r="G508" s="1500"/>
      <c r="H508" s="1500"/>
      <c r="I508" s="1500"/>
      <c r="J508" s="1500"/>
      <c r="K508" s="428" t="s">
        <v>642</v>
      </c>
      <c r="L508" s="429" t="s">
        <v>283</v>
      </c>
      <c r="M508" s="429">
        <v>10</v>
      </c>
      <c r="N508" s="429">
        <v>10</v>
      </c>
      <c r="O508" s="429">
        <v>10</v>
      </c>
      <c r="P508" s="429">
        <v>10</v>
      </c>
      <c r="Q508" s="429">
        <v>10</v>
      </c>
    </row>
    <row r="509" spans="1:17" ht="30" x14ac:dyDescent="0.2">
      <c r="A509" s="1327"/>
      <c r="B509" s="1468"/>
      <c r="C509" s="1468" t="s">
        <v>6</v>
      </c>
      <c r="D509" s="1468"/>
      <c r="E509" s="1396" t="s">
        <v>643</v>
      </c>
      <c r="F509" s="1504">
        <v>8184.9</v>
      </c>
      <c r="G509" s="1504">
        <v>13424</v>
      </c>
      <c r="H509" s="1504">
        <v>20876.599999999999</v>
      </c>
      <c r="I509" s="1504">
        <v>20876.599999999999</v>
      </c>
      <c r="J509" s="1504">
        <v>20876.599999999999</v>
      </c>
      <c r="K509" s="593" t="s">
        <v>644</v>
      </c>
      <c r="L509" s="429" t="s">
        <v>283</v>
      </c>
      <c r="M509" s="429">
        <v>276</v>
      </c>
      <c r="N509" s="429">
        <v>600</v>
      </c>
      <c r="O509" s="429">
        <v>600</v>
      </c>
      <c r="P509" s="429">
        <v>600</v>
      </c>
      <c r="Q509" s="429">
        <v>600</v>
      </c>
    </row>
    <row r="510" spans="1:17" ht="15" x14ac:dyDescent="0.2">
      <c r="A510" s="1327"/>
      <c r="B510" s="1469"/>
      <c r="C510" s="1469"/>
      <c r="D510" s="1469"/>
      <c r="E510" s="1398"/>
      <c r="F510" s="1505"/>
      <c r="G510" s="1505"/>
      <c r="H510" s="1505"/>
      <c r="I510" s="1505"/>
      <c r="J510" s="1505"/>
      <c r="K510" s="593" t="s">
        <v>645</v>
      </c>
      <c r="L510" s="429" t="s">
        <v>283</v>
      </c>
      <c r="M510" s="429">
        <v>2</v>
      </c>
      <c r="N510" s="429">
        <v>2</v>
      </c>
      <c r="O510" s="429">
        <v>2</v>
      </c>
      <c r="P510" s="429">
        <v>2</v>
      </c>
      <c r="Q510" s="429">
        <v>2</v>
      </c>
    </row>
    <row r="511" spans="1:17" ht="15" x14ac:dyDescent="0.2">
      <c r="A511" s="1327"/>
      <c r="B511" s="1503"/>
      <c r="C511" s="1503" t="s">
        <v>4</v>
      </c>
      <c r="D511" s="1503"/>
      <c r="E511" s="1403" t="s">
        <v>646</v>
      </c>
      <c r="F511" s="1500">
        <v>394308.6</v>
      </c>
      <c r="G511" s="1500">
        <v>512192.4</v>
      </c>
      <c r="H511" s="1500">
        <v>757822.3</v>
      </c>
      <c r="I511" s="1500">
        <v>747853.5</v>
      </c>
      <c r="J511" s="1500">
        <v>748107</v>
      </c>
      <c r="K511" s="593" t="s">
        <v>988</v>
      </c>
      <c r="L511" s="429" t="s">
        <v>283</v>
      </c>
      <c r="M511" s="429">
        <v>2400</v>
      </c>
      <c r="N511" s="429">
        <v>2726</v>
      </c>
      <c r="O511" s="429">
        <v>2726</v>
      </c>
      <c r="P511" s="429">
        <v>2726</v>
      </c>
      <c r="Q511" s="429">
        <v>2726</v>
      </c>
    </row>
    <row r="512" spans="1:17" ht="30" x14ac:dyDescent="0.2">
      <c r="A512" s="1327"/>
      <c r="B512" s="1503"/>
      <c r="C512" s="1503"/>
      <c r="D512" s="1503"/>
      <c r="E512" s="1403"/>
      <c r="F512" s="1500"/>
      <c r="G512" s="1500"/>
      <c r="H512" s="1500"/>
      <c r="I512" s="1500"/>
      <c r="J512" s="1500"/>
      <c r="K512" s="593" t="s">
        <v>989</v>
      </c>
      <c r="L512" s="429" t="s">
        <v>647</v>
      </c>
      <c r="M512" s="429">
        <v>378486.3</v>
      </c>
      <c r="N512" s="429">
        <v>502654.49999999994</v>
      </c>
      <c r="O512" s="429">
        <v>746597</v>
      </c>
      <c r="P512" s="429">
        <v>736597</v>
      </c>
      <c r="Q512" s="429">
        <v>736597</v>
      </c>
    </row>
    <row r="513" spans="1:17" ht="30" x14ac:dyDescent="0.2">
      <c r="A513" s="1327"/>
      <c r="B513" s="1503"/>
      <c r="C513" s="1503"/>
      <c r="D513" s="1503"/>
      <c r="E513" s="1403"/>
      <c r="F513" s="1500"/>
      <c r="G513" s="1500"/>
      <c r="H513" s="1500"/>
      <c r="I513" s="1500"/>
      <c r="J513" s="1500"/>
      <c r="K513" s="593" t="s">
        <v>990</v>
      </c>
      <c r="L513" s="429" t="s">
        <v>647</v>
      </c>
      <c r="M513" s="429">
        <v>13.141885416666666</v>
      </c>
      <c r="N513" s="429">
        <v>15.366058327219369</v>
      </c>
      <c r="O513" s="429">
        <v>22.823337001711909</v>
      </c>
      <c r="P513" s="429">
        <v>22.517638786989483</v>
      </c>
      <c r="Q513" s="429">
        <v>22.517638786989483</v>
      </c>
    </row>
    <row r="514" spans="1:17" ht="30" x14ac:dyDescent="0.2">
      <c r="A514" s="1327"/>
      <c r="B514" s="1503"/>
      <c r="C514" s="1503" t="s">
        <v>7</v>
      </c>
      <c r="D514" s="1503"/>
      <c r="E514" s="1403" t="s">
        <v>648</v>
      </c>
      <c r="F514" s="1500">
        <v>15879.200000000003</v>
      </c>
      <c r="G514" s="1500">
        <v>22394.2</v>
      </c>
      <c r="H514" s="1500">
        <v>22394.2</v>
      </c>
      <c r="I514" s="1500">
        <v>22394.2</v>
      </c>
      <c r="J514" s="1500">
        <v>22394.2</v>
      </c>
      <c r="K514" s="593" t="s">
        <v>991</v>
      </c>
      <c r="L514" s="429" t="s">
        <v>641</v>
      </c>
      <c r="M514" s="429">
        <v>0</v>
      </c>
      <c r="N514" s="429">
        <v>0</v>
      </c>
      <c r="O514" s="429">
        <v>1</v>
      </c>
      <c r="P514" s="429">
        <v>0</v>
      </c>
      <c r="Q514" s="429">
        <v>0</v>
      </c>
    </row>
    <row r="515" spans="1:17" ht="45" x14ac:dyDescent="0.2">
      <c r="A515" s="1327"/>
      <c r="B515" s="1503"/>
      <c r="C515" s="1503"/>
      <c r="D515" s="1503"/>
      <c r="E515" s="1403"/>
      <c r="F515" s="1500"/>
      <c r="G515" s="1500"/>
      <c r="H515" s="1500"/>
      <c r="I515" s="1500"/>
      <c r="J515" s="1500"/>
      <c r="K515" s="593" t="s">
        <v>992</v>
      </c>
      <c r="L515" s="429" t="s">
        <v>283</v>
      </c>
      <c r="M515" s="429">
        <v>400</v>
      </c>
      <c r="N515" s="429">
        <v>400</v>
      </c>
      <c r="O515" s="429">
        <v>400</v>
      </c>
      <c r="P515" s="429">
        <v>500</v>
      </c>
      <c r="Q515" s="429">
        <v>500</v>
      </c>
    </row>
    <row r="516" spans="1:17" ht="45" x14ac:dyDescent="0.2">
      <c r="A516" s="1327"/>
      <c r="B516" s="1503"/>
      <c r="C516" s="1503"/>
      <c r="D516" s="1503"/>
      <c r="E516" s="1403"/>
      <c r="F516" s="1500"/>
      <c r="G516" s="1500"/>
      <c r="H516" s="1500"/>
      <c r="I516" s="1500"/>
      <c r="J516" s="1500"/>
      <c r="K516" s="593" t="s">
        <v>993</v>
      </c>
      <c r="L516" s="429" t="s">
        <v>283</v>
      </c>
      <c r="M516" s="429">
        <v>250</v>
      </c>
      <c r="N516" s="429">
        <v>300</v>
      </c>
      <c r="O516" s="429">
        <v>300</v>
      </c>
      <c r="P516" s="429">
        <v>400</v>
      </c>
      <c r="Q516" s="429">
        <v>400</v>
      </c>
    </row>
    <row r="517" spans="1:17" ht="45" x14ac:dyDescent="0.2">
      <c r="A517" s="1327"/>
      <c r="B517" s="1503"/>
      <c r="C517" s="1503" t="s">
        <v>8</v>
      </c>
      <c r="D517" s="1503"/>
      <c r="E517" s="1403" t="s">
        <v>649</v>
      </c>
      <c r="F517" s="1506">
        <v>93678</v>
      </c>
      <c r="G517" s="1506">
        <v>79750</v>
      </c>
      <c r="H517" s="1506">
        <v>123969.60000000001</v>
      </c>
      <c r="I517" s="1506">
        <v>123969.60000000001</v>
      </c>
      <c r="J517" s="1506">
        <v>123969.60000000001</v>
      </c>
      <c r="K517" s="593" t="s">
        <v>994</v>
      </c>
      <c r="L517" s="429" t="s">
        <v>3</v>
      </c>
      <c r="M517" s="429">
        <v>50</v>
      </c>
      <c r="N517" s="429">
        <v>60</v>
      </c>
      <c r="O517" s="429">
        <v>60</v>
      </c>
      <c r="P517" s="429">
        <v>70</v>
      </c>
      <c r="Q517" s="429">
        <v>80</v>
      </c>
    </row>
    <row r="518" spans="1:17" ht="15" x14ac:dyDescent="0.2">
      <c r="A518" s="1327"/>
      <c r="B518" s="1503"/>
      <c r="C518" s="1503"/>
      <c r="D518" s="1503"/>
      <c r="E518" s="1403"/>
      <c r="F518" s="1506"/>
      <c r="G518" s="1506"/>
      <c r="H518" s="1506"/>
      <c r="I518" s="1506"/>
      <c r="J518" s="1506"/>
      <c r="K518" s="593" t="s">
        <v>995</v>
      </c>
      <c r="L518" s="429" t="s">
        <v>283</v>
      </c>
      <c r="M518" s="429">
        <v>0</v>
      </c>
      <c r="N518" s="429">
        <v>0</v>
      </c>
      <c r="O518" s="429">
        <v>4</v>
      </c>
      <c r="P518" s="429">
        <v>2</v>
      </c>
      <c r="Q518" s="429">
        <v>2</v>
      </c>
    </row>
    <row r="519" spans="1:17" ht="30" x14ac:dyDescent="0.2">
      <c r="A519" s="1327"/>
      <c r="B519" s="1503"/>
      <c r="C519" s="1503"/>
      <c r="D519" s="1503"/>
      <c r="E519" s="1403"/>
      <c r="F519" s="1506"/>
      <c r="G519" s="1506"/>
      <c r="H519" s="1506"/>
      <c r="I519" s="1506"/>
      <c r="J519" s="1506"/>
      <c r="K519" s="593" t="s">
        <v>996</v>
      </c>
      <c r="L519" s="429" t="s">
        <v>180</v>
      </c>
      <c r="M519" s="429">
        <v>2700</v>
      </c>
      <c r="N519" s="429">
        <v>2700</v>
      </c>
      <c r="O519" s="429">
        <v>2700</v>
      </c>
      <c r="P519" s="429">
        <v>2700</v>
      </c>
      <c r="Q519" s="429">
        <v>2700</v>
      </c>
    </row>
    <row r="520" spans="1:17" ht="30" x14ac:dyDescent="0.2">
      <c r="A520" s="1327"/>
      <c r="B520" s="1468"/>
      <c r="C520" s="1468" t="s">
        <v>9</v>
      </c>
      <c r="D520" s="1468"/>
      <c r="E520" s="1396" t="s">
        <v>1613</v>
      </c>
      <c r="F520" s="1496">
        <v>55848.3</v>
      </c>
      <c r="G520" s="1496">
        <v>90000</v>
      </c>
      <c r="H520" s="1496">
        <v>95000</v>
      </c>
      <c r="I520" s="1496">
        <v>90000</v>
      </c>
      <c r="J520" s="1496">
        <v>90000</v>
      </c>
      <c r="K520" s="593" t="s">
        <v>997</v>
      </c>
      <c r="L520" s="429"/>
      <c r="M520" s="429"/>
      <c r="N520" s="429"/>
      <c r="O520" s="429"/>
      <c r="P520" s="429"/>
      <c r="Q520" s="429"/>
    </row>
    <row r="521" spans="1:17" ht="60" x14ac:dyDescent="0.2">
      <c r="A521" s="1327"/>
      <c r="B521" s="1501"/>
      <c r="C521" s="1501"/>
      <c r="D521" s="1501"/>
      <c r="E521" s="1397"/>
      <c r="F521" s="1502"/>
      <c r="G521" s="1502"/>
      <c r="H521" s="1502"/>
      <c r="I521" s="1502"/>
      <c r="J521" s="1502"/>
      <c r="K521" s="593" t="s">
        <v>998</v>
      </c>
      <c r="L521" s="429" t="s">
        <v>3</v>
      </c>
      <c r="M521" s="429">
        <v>25</v>
      </c>
      <c r="N521" s="429">
        <v>40</v>
      </c>
      <c r="O521" s="429">
        <v>50</v>
      </c>
      <c r="P521" s="429">
        <v>60</v>
      </c>
      <c r="Q521" s="429">
        <v>70</v>
      </c>
    </row>
    <row r="522" spans="1:17" ht="45" x14ac:dyDescent="0.2">
      <c r="A522" s="1327"/>
      <c r="B522" s="1469"/>
      <c r="C522" s="1469"/>
      <c r="D522" s="1469"/>
      <c r="E522" s="1398"/>
      <c r="F522" s="1497"/>
      <c r="G522" s="1497"/>
      <c r="H522" s="1497"/>
      <c r="I522" s="1497"/>
      <c r="J522" s="1497"/>
      <c r="K522" s="593" t="s">
        <v>999</v>
      </c>
      <c r="L522" s="429" t="s">
        <v>3</v>
      </c>
      <c r="M522" s="429">
        <v>0</v>
      </c>
      <c r="N522" s="429">
        <v>30</v>
      </c>
      <c r="O522" s="429">
        <v>50</v>
      </c>
      <c r="P522" s="429">
        <v>70</v>
      </c>
      <c r="Q522" s="429">
        <v>80</v>
      </c>
    </row>
    <row r="523" spans="1:17" ht="30" x14ac:dyDescent="0.25">
      <c r="A523" s="1327"/>
      <c r="B523" s="1503"/>
      <c r="C523" s="1503" t="s">
        <v>10</v>
      </c>
      <c r="D523" s="1503"/>
      <c r="E523" s="1403" t="s">
        <v>650</v>
      </c>
      <c r="F523" s="1504">
        <v>494193.7</v>
      </c>
      <c r="G523" s="1504">
        <v>485259.1</v>
      </c>
      <c r="H523" s="1506">
        <v>1396567.4</v>
      </c>
      <c r="I523" s="1506">
        <v>1406567.4</v>
      </c>
      <c r="J523" s="1506">
        <v>1406567.4</v>
      </c>
      <c r="K523" s="603" t="s">
        <v>651</v>
      </c>
      <c r="L523" s="429" t="s">
        <v>283</v>
      </c>
      <c r="M523" s="429">
        <v>8000</v>
      </c>
      <c r="N523" s="429">
        <v>8200</v>
      </c>
      <c r="O523" s="429">
        <v>8200</v>
      </c>
      <c r="P523" s="429">
        <v>8200</v>
      </c>
      <c r="Q523" s="429">
        <v>8200</v>
      </c>
    </row>
    <row r="524" spans="1:17" ht="45" x14ac:dyDescent="0.25">
      <c r="A524" s="1327"/>
      <c r="B524" s="1503"/>
      <c r="C524" s="1503"/>
      <c r="D524" s="1503"/>
      <c r="E524" s="1403"/>
      <c r="F524" s="1505"/>
      <c r="G524" s="1505"/>
      <c r="H524" s="1506"/>
      <c r="I524" s="1506"/>
      <c r="J524" s="1506"/>
      <c r="K524" s="603" t="s">
        <v>652</v>
      </c>
      <c r="L524" s="429" t="s">
        <v>283</v>
      </c>
      <c r="M524" s="429">
        <v>0</v>
      </c>
      <c r="N524" s="429">
        <v>6000</v>
      </c>
      <c r="O524" s="429">
        <v>7000</v>
      </c>
      <c r="P524" s="429">
        <v>7000</v>
      </c>
      <c r="Q524" s="429">
        <v>8000</v>
      </c>
    </row>
    <row r="525" spans="1:17" ht="177.75" x14ac:dyDescent="0.2">
      <c r="A525" s="1327"/>
      <c r="B525" s="511" t="s">
        <v>1842</v>
      </c>
      <c r="C525" s="491"/>
      <c r="D525" s="491"/>
      <c r="E525" s="605" t="s">
        <v>2007</v>
      </c>
      <c r="F525" s="608">
        <v>1045023.6000000001</v>
      </c>
      <c r="G525" s="608">
        <v>990641.9</v>
      </c>
      <c r="H525" s="608">
        <f>H526+H528+H530</f>
        <v>945018.89999999991</v>
      </c>
      <c r="I525" s="608">
        <f t="shared" ref="I525:J525" si="79">I526+I528+I530</f>
        <v>936521.6</v>
      </c>
      <c r="J525" s="608">
        <f t="shared" si="79"/>
        <v>934521.8</v>
      </c>
      <c r="K525" s="595"/>
      <c r="L525" s="429"/>
      <c r="M525" s="429"/>
      <c r="N525" s="429"/>
      <c r="O525" s="429"/>
      <c r="P525" s="429"/>
      <c r="Q525" s="429"/>
    </row>
    <row r="526" spans="1:17" ht="60" x14ac:dyDescent="0.2">
      <c r="A526" s="1327"/>
      <c r="B526" s="1468"/>
      <c r="C526" s="1468" t="s">
        <v>5</v>
      </c>
      <c r="D526" s="1468"/>
      <c r="E526" s="1396" t="s">
        <v>653</v>
      </c>
      <c r="F526" s="1496">
        <v>999606.00000000012</v>
      </c>
      <c r="G526" s="1496">
        <v>958492</v>
      </c>
      <c r="H526" s="1496">
        <v>915897.7</v>
      </c>
      <c r="I526" s="1496">
        <v>908349.4</v>
      </c>
      <c r="J526" s="1496">
        <v>906606.5</v>
      </c>
      <c r="K526" s="593" t="s">
        <v>654</v>
      </c>
      <c r="L526" s="429" t="s">
        <v>192</v>
      </c>
      <c r="M526" s="406" t="s">
        <v>655</v>
      </c>
      <c r="N526" s="406" t="s">
        <v>655</v>
      </c>
      <c r="O526" s="406" t="s">
        <v>655</v>
      </c>
      <c r="P526" s="406" t="s">
        <v>655</v>
      </c>
      <c r="Q526" s="406" t="s">
        <v>655</v>
      </c>
    </row>
    <row r="527" spans="1:17" ht="30" x14ac:dyDescent="0.2">
      <c r="A527" s="1327"/>
      <c r="B527" s="1469"/>
      <c r="C527" s="1469"/>
      <c r="D527" s="1469"/>
      <c r="E527" s="1398"/>
      <c r="F527" s="1497"/>
      <c r="G527" s="1497"/>
      <c r="H527" s="1497"/>
      <c r="I527" s="1497"/>
      <c r="J527" s="1497"/>
      <c r="K527" s="593" t="s">
        <v>656</v>
      </c>
      <c r="L527" s="429" t="s">
        <v>192</v>
      </c>
      <c r="M527" s="429">
        <v>3000</v>
      </c>
      <c r="N527" s="429">
        <v>3000</v>
      </c>
      <c r="O527" s="429">
        <v>3000</v>
      </c>
      <c r="P527" s="429">
        <v>3000</v>
      </c>
      <c r="Q527" s="429">
        <v>3000</v>
      </c>
    </row>
    <row r="528" spans="1:17" ht="15" x14ac:dyDescent="0.2">
      <c r="A528" s="1327"/>
      <c r="B528" s="1468"/>
      <c r="C528" s="1468" t="s">
        <v>6</v>
      </c>
      <c r="D528" s="1468"/>
      <c r="E528" s="1396" t="s">
        <v>657</v>
      </c>
      <c r="F528" s="1496">
        <v>33762.700000000004</v>
      </c>
      <c r="G528" s="1496">
        <v>20549.899999999998</v>
      </c>
      <c r="H528" s="1496">
        <v>17161.2</v>
      </c>
      <c r="I528" s="1496">
        <v>16212.2</v>
      </c>
      <c r="J528" s="1496">
        <v>15955.3</v>
      </c>
      <c r="K528" s="593" t="s">
        <v>658</v>
      </c>
      <c r="L528" s="429" t="s">
        <v>192</v>
      </c>
      <c r="M528" s="406" t="s">
        <v>659</v>
      </c>
      <c r="N528" s="406" t="s">
        <v>659</v>
      </c>
      <c r="O528" s="406" t="s">
        <v>659</v>
      </c>
      <c r="P528" s="406" t="s">
        <v>659</v>
      </c>
      <c r="Q528" s="406" t="s">
        <v>659</v>
      </c>
    </row>
    <row r="529" spans="1:17" ht="30" x14ac:dyDescent="0.2">
      <c r="A529" s="1327"/>
      <c r="B529" s="1469"/>
      <c r="C529" s="1469"/>
      <c r="D529" s="1469"/>
      <c r="E529" s="1398"/>
      <c r="F529" s="1497"/>
      <c r="G529" s="1497"/>
      <c r="H529" s="1497"/>
      <c r="I529" s="1497"/>
      <c r="J529" s="1497"/>
      <c r="K529" s="593" t="s">
        <v>660</v>
      </c>
      <c r="L529" s="429" t="s">
        <v>192</v>
      </c>
      <c r="M529" s="406" t="s">
        <v>661</v>
      </c>
      <c r="N529" s="406" t="s">
        <v>662</v>
      </c>
      <c r="O529" s="406" t="s">
        <v>662</v>
      </c>
      <c r="P529" s="406" t="s">
        <v>662</v>
      </c>
      <c r="Q529" s="406" t="s">
        <v>662</v>
      </c>
    </row>
    <row r="530" spans="1:17" ht="30" x14ac:dyDescent="0.2">
      <c r="A530" s="1327"/>
      <c r="B530" s="491"/>
      <c r="C530" s="491" t="s">
        <v>4</v>
      </c>
      <c r="D530" s="491"/>
      <c r="E530" s="593" t="s">
        <v>663</v>
      </c>
      <c r="F530" s="604">
        <v>11654.9</v>
      </c>
      <c r="G530" s="604">
        <v>11600</v>
      </c>
      <c r="H530" s="604">
        <v>11960</v>
      </c>
      <c r="I530" s="604">
        <v>11960</v>
      </c>
      <c r="J530" s="604">
        <v>11960</v>
      </c>
      <c r="K530" s="593" t="s">
        <v>664</v>
      </c>
      <c r="L530" s="429" t="s">
        <v>192</v>
      </c>
      <c r="M530" s="406" t="s">
        <v>665</v>
      </c>
      <c r="N530" s="406" t="s">
        <v>665</v>
      </c>
      <c r="O530" s="406" t="s">
        <v>665</v>
      </c>
      <c r="P530" s="406" t="s">
        <v>665</v>
      </c>
      <c r="Q530" s="406" t="s">
        <v>665</v>
      </c>
    </row>
    <row r="531" spans="1:17" ht="207.75" x14ac:dyDescent="0.2">
      <c r="A531" s="1327"/>
      <c r="B531" s="511" t="s">
        <v>1843</v>
      </c>
      <c r="C531" s="491"/>
      <c r="D531" s="491"/>
      <c r="E531" s="605" t="s">
        <v>2008</v>
      </c>
      <c r="F531" s="594">
        <v>452775.1</v>
      </c>
      <c r="G531" s="594">
        <v>511964.25</v>
      </c>
      <c r="H531" s="594">
        <f>H532+H536+H538</f>
        <v>581673.70000000007</v>
      </c>
      <c r="I531" s="594">
        <f t="shared" ref="I531:J531" si="80">I532+I536+I538</f>
        <v>559923.70000000007</v>
      </c>
      <c r="J531" s="594">
        <f t="shared" si="80"/>
        <v>559923.70000000007</v>
      </c>
      <c r="K531" s="595"/>
      <c r="L531" s="429"/>
      <c r="M531" s="429"/>
      <c r="N531" s="429"/>
      <c r="O531" s="429"/>
      <c r="P531" s="429"/>
      <c r="Q531" s="429"/>
    </row>
    <row r="532" spans="1:17" ht="15" x14ac:dyDescent="0.2">
      <c r="A532" s="1327"/>
      <c r="B532" s="1468"/>
      <c r="C532" s="1468" t="s">
        <v>5</v>
      </c>
      <c r="D532" s="1468"/>
      <c r="E532" s="1396" t="s">
        <v>1614</v>
      </c>
      <c r="F532" s="1496">
        <v>95107.400000000009</v>
      </c>
      <c r="G532" s="1496">
        <v>118882.1</v>
      </c>
      <c r="H532" s="1496">
        <v>179382.1</v>
      </c>
      <c r="I532" s="1496">
        <v>157632.1</v>
      </c>
      <c r="J532" s="1496">
        <v>157632.1</v>
      </c>
      <c r="K532" s="606" t="s">
        <v>666</v>
      </c>
      <c r="L532" s="607" t="s">
        <v>283</v>
      </c>
      <c r="M532" s="607">
        <v>170</v>
      </c>
      <c r="N532" s="607">
        <v>210</v>
      </c>
      <c r="O532" s="607">
        <v>674</v>
      </c>
      <c r="P532" s="607">
        <v>708</v>
      </c>
      <c r="Q532" s="607">
        <v>778</v>
      </c>
    </row>
    <row r="533" spans="1:17" ht="60" x14ac:dyDescent="0.2">
      <c r="A533" s="1327"/>
      <c r="B533" s="1501"/>
      <c r="C533" s="1501"/>
      <c r="D533" s="1501"/>
      <c r="E533" s="1397"/>
      <c r="F533" s="1502"/>
      <c r="G533" s="1502"/>
      <c r="H533" s="1502"/>
      <c r="I533" s="1502"/>
      <c r="J533" s="1502"/>
      <c r="K533" s="606" t="s">
        <v>667</v>
      </c>
      <c r="L533" s="607" t="s">
        <v>3</v>
      </c>
      <c r="M533" s="607">
        <v>54.3</v>
      </c>
      <c r="N533" s="607">
        <v>60</v>
      </c>
      <c r="O533" s="607">
        <v>65</v>
      </c>
      <c r="P533" s="607">
        <v>70</v>
      </c>
      <c r="Q533" s="607">
        <v>70</v>
      </c>
    </row>
    <row r="534" spans="1:17" ht="45" x14ac:dyDescent="0.2">
      <c r="A534" s="1327"/>
      <c r="B534" s="1501"/>
      <c r="C534" s="1501"/>
      <c r="D534" s="1501"/>
      <c r="E534" s="1397"/>
      <c r="F534" s="1502"/>
      <c r="G534" s="1502"/>
      <c r="H534" s="1502"/>
      <c r="I534" s="1502"/>
      <c r="J534" s="1502"/>
      <c r="K534" s="606" t="s">
        <v>668</v>
      </c>
      <c r="L534" s="607" t="s">
        <v>669</v>
      </c>
      <c r="M534" s="607">
        <v>15.395</v>
      </c>
      <c r="N534" s="607">
        <v>16.2</v>
      </c>
      <c r="O534" s="607">
        <v>17.047999999999998</v>
      </c>
      <c r="P534" s="607">
        <v>17.818999999999999</v>
      </c>
      <c r="Q534" s="607">
        <v>18.571999999999999</v>
      </c>
    </row>
    <row r="535" spans="1:17" ht="45" x14ac:dyDescent="0.2">
      <c r="A535" s="1327"/>
      <c r="B535" s="1469"/>
      <c r="C535" s="1469"/>
      <c r="D535" s="1469"/>
      <c r="E535" s="1398"/>
      <c r="F535" s="1497"/>
      <c r="G535" s="1497"/>
      <c r="H535" s="1497"/>
      <c r="I535" s="1497"/>
      <c r="J535" s="1497"/>
      <c r="K535" s="593" t="s">
        <v>670</v>
      </c>
      <c r="L535" s="607" t="s">
        <v>669</v>
      </c>
      <c r="M535" s="607"/>
      <c r="N535" s="607"/>
      <c r="O535" s="607"/>
      <c r="P535" s="607"/>
      <c r="Q535" s="607"/>
    </row>
    <row r="536" spans="1:17" ht="45" x14ac:dyDescent="0.2">
      <c r="A536" s="1327"/>
      <c r="B536" s="1468"/>
      <c r="C536" s="1468" t="s">
        <v>6</v>
      </c>
      <c r="D536" s="1468"/>
      <c r="E536" s="1396" t="s">
        <v>1615</v>
      </c>
      <c r="F536" s="1498">
        <v>21156.699999999997</v>
      </c>
      <c r="G536" s="1498">
        <v>38799.75</v>
      </c>
      <c r="H536" s="1500">
        <v>49409.200000000004</v>
      </c>
      <c r="I536" s="1500">
        <v>49409.200000000004</v>
      </c>
      <c r="J536" s="1500">
        <v>49409.200000000004</v>
      </c>
      <c r="K536" s="593" t="s">
        <v>671</v>
      </c>
      <c r="L536" s="429" t="s">
        <v>283</v>
      </c>
      <c r="M536" s="429">
        <v>601</v>
      </c>
      <c r="N536" s="429">
        <v>650</v>
      </c>
      <c r="O536" s="429">
        <v>700</v>
      </c>
      <c r="P536" s="429">
        <v>700</v>
      </c>
      <c r="Q536" s="429">
        <v>750</v>
      </c>
    </row>
    <row r="537" spans="1:17" ht="15" x14ac:dyDescent="0.2">
      <c r="A537" s="1327"/>
      <c r="B537" s="1469"/>
      <c r="C537" s="1469"/>
      <c r="D537" s="1469"/>
      <c r="E537" s="1398"/>
      <c r="F537" s="1499"/>
      <c r="G537" s="1499"/>
      <c r="H537" s="1500"/>
      <c r="I537" s="1500"/>
      <c r="J537" s="1500"/>
      <c r="K537" s="593" t="s">
        <v>672</v>
      </c>
      <c r="L537" s="429" t="s">
        <v>669</v>
      </c>
      <c r="M537" s="429">
        <v>10</v>
      </c>
      <c r="N537" s="429">
        <v>15</v>
      </c>
      <c r="O537" s="429">
        <v>20</v>
      </c>
      <c r="P537" s="429">
        <v>22</v>
      </c>
      <c r="Q537" s="429">
        <v>24</v>
      </c>
    </row>
    <row r="538" spans="1:17" ht="60" x14ac:dyDescent="0.2">
      <c r="A538" s="1327"/>
      <c r="B538" s="1468"/>
      <c r="C538" s="1468" t="s">
        <v>4</v>
      </c>
      <c r="D538" s="1468"/>
      <c r="E538" s="1396" t="s">
        <v>673</v>
      </c>
      <c r="F538" s="1496">
        <v>336510.99999999994</v>
      </c>
      <c r="G538" s="1496">
        <v>354282.4</v>
      </c>
      <c r="H538" s="1496">
        <v>352882.4</v>
      </c>
      <c r="I538" s="1496">
        <v>352882.4</v>
      </c>
      <c r="J538" s="1496">
        <v>352882.4</v>
      </c>
      <c r="K538" s="593" t="s">
        <v>674</v>
      </c>
      <c r="L538" s="429" t="s">
        <v>3</v>
      </c>
      <c r="M538" s="429">
        <v>106.4</v>
      </c>
      <c r="N538" s="429">
        <v>107.5</v>
      </c>
      <c r="O538" s="429">
        <v>108.6</v>
      </c>
      <c r="P538" s="429">
        <v>108.6</v>
      </c>
      <c r="Q538" s="429">
        <v>109.7</v>
      </c>
    </row>
    <row r="539" spans="1:17" ht="60" x14ac:dyDescent="0.2">
      <c r="A539" s="1327"/>
      <c r="B539" s="1469"/>
      <c r="C539" s="1469"/>
      <c r="D539" s="1469"/>
      <c r="E539" s="1398"/>
      <c r="F539" s="1497"/>
      <c r="G539" s="1497"/>
      <c r="H539" s="1497"/>
      <c r="I539" s="1497"/>
      <c r="J539" s="1497"/>
      <c r="K539" s="593" t="s">
        <v>675</v>
      </c>
      <c r="L539" s="429" t="s">
        <v>3</v>
      </c>
      <c r="M539" s="406">
        <v>39.9</v>
      </c>
      <c r="N539" s="406">
        <v>38.200000000000003</v>
      </c>
      <c r="O539" s="406">
        <v>37.799999999999997</v>
      </c>
      <c r="P539" s="406">
        <v>37.4</v>
      </c>
      <c r="Q539" s="406">
        <v>37.1</v>
      </c>
    </row>
    <row r="540" spans="1:17" ht="102.75" x14ac:dyDescent="0.2">
      <c r="A540" s="1327"/>
      <c r="B540" s="511" t="s">
        <v>1844</v>
      </c>
      <c r="C540" s="491"/>
      <c r="D540" s="491"/>
      <c r="E540" s="605" t="s">
        <v>1759</v>
      </c>
      <c r="F540" s="608">
        <v>2592.5000000000014</v>
      </c>
      <c r="G540" s="608">
        <v>11285.8</v>
      </c>
      <c r="H540" s="608">
        <f>H541+H542</f>
        <v>10073.700000000001</v>
      </c>
      <c r="I540" s="608">
        <f t="shared" ref="I540:J540" si="81">I541+I542</f>
        <v>10073.700000000001</v>
      </c>
      <c r="J540" s="608">
        <f t="shared" si="81"/>
        <v>10073.700000000001</v>
      </c>
      <c r="K540" s="595"/>
      <c r="L540" s="429"/>
      <c r="M540" s="429"/>
      <c r="N540" s="429"/>
      <c r="O540" s="429"/>
      <c r="P540" s="429"/>
      <c r="Q540" s="429"/>
    </row>
    <row r="541" spans="1:17" ht="90.6" customHeight="1" x14ac:dyDescent="0.2">
      <c r="A541" s="1327"/>
      <c r="B541" s="473"/>
      <c r="C541" s="491" t="s">
        <v>5</v>
      </c>
      <c r="D541" s="491"/>
      <c r="E541" s="593" t="s">
        <v>676</v>
      </c>
      <c r="F541" s="429">
        <v>2592.5000000000014</v>
      </c>
      <c r="G541" s="609">
        <v>7863.3</v>
      </c>
      <c r="H541" s="429">
        <v>6651.2</v>
      </c>
      <c r="I541" s="429">
        <v>6651.2</v>
      </c>
      <c r="J541" s="429">
        <v>6651.2</v>
      </c>
      <c r="K541" s="428" t="s">
        <v>1000</v>
      </c>
      <c r="L541" s="429" t="s">
        <v>3</v>
      </c>
      <c r="M541" s="429">
        <v>30</v>
      </c>
      <c r="N541" s="429">
        <v>30</v>
      </c>
      <c r="O541" s="429">
        <v>30</v>
      </c>
      <c r="P541" s="429">
        <v>40</v>
      </c>
      <c r="Q541" s="429">
        <v>45</v>
      </c>
    </row>
    <row r="542" spans="1:17" ht="60" x14ac:dyDescent="0.2">
      <c r="A542" s="1328"/>
      <c r="B542" s="491"/>
      <c r="C542" s="491" t="s">
        <v>6</v>
      </c>
      <c r="D542" s="491"/>
      <c r="E542" s="593" t="s">
        <v>677</v>
      </c>
      <c r="F542" s="429">
        <v>0</v>
      </c>
      <c r="G542" s="429">
        <v>3422.5</v>
      </c>
      <c r="H542" s="429">
        <v>3422.5</v>
      </c>
      <c r="I542" s="429">
        <v>3422.5</v>
      </c>
      <c r="J542" s="429">
        <v>3422.5</v>
      </c>
      <c r="K542" s="428" t="s">
        <v>678</v>
      </c>
      <c r="L542" s="429" t="s">
        <v>1008</v>
      </c>
      <c r="M542" s="429">
        <v>0</v>
      </c>
      <c r="N542" s="429">
        <v>1</v>
      </c>
      <c r="O542" s="429">
        <v>1</v>
      </c>
      <c r="P542" s="429">
        <v>1</v>
      </c>
      <c r="Q542" s="429">
        <v>1</v>
      </c>
    </row>
    <row r="543" spans="1:17" ht="14.25" x14ac:dyDescent="0.2">
      <c r="A543" s="1491" t="s">
        <v>35</v>
      </c>
      <c r="B543" s="1492"/>
      <c r="C543" s="1492"/>
      <c r="D543" s="1492"/>
      <c r="E543" s="1493"/>
      <c r="F543" s="610">
        <v>11835695.800000001</v>
      </c>
      <c r="G543" s="610">
        <v>15340789.75</v>
      </c>
      <c r="H543" s="610">
        <f>H488+H491+H506+H525+H531+H540</f>
        <v>19691232.499999996</v>
      </c>
      <c r="I543" s="610">
        <f t="shared" ref="I543:J543" si="82">I488+I491+I506+I525+I531+I540</f>
        <v>19806712.599999998</v>
      </c>
      <c r="J543" s="610">
        <f t="shared" si="82"/>
        <v>20004476.5</v>
      </c>
      <c r="K543" s="611"/>
      <c r="L543" s="1494"/>
      <c r="M543" s="1494"/>
      <c r="N543" s="1494"/>
      <c r="O543" s="1494"/>
      <c r="P543" s="1297"/>
      <c r="Q543" s="1297"/>
    </row>
    <row r="544" spans="1:17" ht="15" x14ac:dyDescent="0.2">
      <c r="A544" s="1357" t="s">
        <v>2016</v>
      </c>
      <c r="B544" s="1313" t="s">
        <v>610</v>
      </c>
      <c r="C544" s="1313"/>
      <c r="D544" s="1313"/>
      <c r="E544" s="1313"/>
      <c r="F544" s="1313"/>
      <c r="G544" s="1313"/>
      <c r="H544" s="1313"/>
      <c r="I544" s="1313"/>
      <c r="J544" s="1313"/>
      <c r="K544" s="1313"/>
      <c r="L544" s="1313"/>
      <c r="M544" s="1313"/>
      <c r="N544" s="1313"/>
      <c r="O544" s="1314"/>
      <c r="P544" s="592"/>
      <c r="Q544" s="592"/>
    </row>
    <row r="545" spans="1:17" ht="85.5" x14ac:dyDescent="0.2">
      <c r="A545" s="1329">
        <v>39</v>
      </c>
      <c r="B545" s="612" t="s">
        <v>0</v>
      </c>
      <c r="C545" s="46"/>
      <c r="D545" s="613"/>
      <c r="E545" s="614" t="s">
        <v>1760</v>
      </c>
      <c r="F545" s="615">
        <f>F546</f>
        <v>14840.7</v>
      </c>
      <c r="G545" s="615">
        <f t="shared" ref="G545:I545" si="83">G546</f>
        <v>23241.9</v>
      </c>
      <c r="H545" s="615">
        <f t="shared" si="83"/>
        <v>27517.599999999999</v>
      </c>
      <c r="I545" s="615">
        <f t="shared" si="83"/>
        <v>27643.8</v>
      </c>
      <c r="J545" s="615">
        <f>J546</f>
        <v>27733</v>
      </c>
      <c r="K545" s="614" t="s">
        <v>680</v>
      </c>
      <c r="L545" s="616"/>
      <c r="M545" s="616"/>
      <c r="N545" s="616"/>
      <c r="O545" s="616"/>
      <c r="P545" s="616"/>
      <c r="Q545" s="617"/>
    </row>
    <row r="546" spans="1:17" ht="30" x14ac:dyDescent="0.2">
      <c r="A546" s="1329"/>
      <c r="B546" s="612"/>
      <c r="C546" s="21" t="s">
        <v>5</v>
      </c>
      <c r="D546" s="613"/>
      <c r="E546" s="618" t="s">
        <v>951</v>
      </c>
      <c r="F546" s="619">
        <v>14840.7</v>
      </c>
      <c r="G546" s="619">
        <v>23241.9</v>
      </c>
      <c r="H546" s="619">
        <v>27517.599999999999</v>
      </c>
      <c r="I546" s="619">
        <v>27643.8</v>
      </c>
      <c r="J546" s="619">
        <v>27733</v>
      </c>
      <c r="K546" s="620" t="s">
        <v>177</v>
      </c>
      <c r="L546" s="616" t="s">
        <v>3</v>
      </c>
      <c r="M546" s="621">
        <v>0.47499999999999998</v>
      </c>
      <c r="N546" s="621">
        <v>0.55000000000000004</v>
      </c>
      <c r="O546" s="621">
        <v>0.55000000000000004</v>
      </c>
      <c r="P546" s="621">
        <v>0.55000000000000004</v>
      </c>
      <c r="Q546" s="622">
        <v>0.55000000000000004</v>
      </c>
    </row>
    <row r="547" spans="1:17" ht="73.5" x14ac:dyDescent="0.2">
      <c r="A547" s="1329"/>
      <c r="B547" s="612" t="s">
        <v>1845</v>
      </c>
      <c r="C547" s="46"/>
      <c r="D547" s="623"/>
      <c r="E547" s="624" t="s">
        <v>1761</v>
      </c>
      <c r="F547" s="616">
        <f>F548+F549</f>
        <v>27793.100000000002</v>
      </c>
      <c r="G547" s="616">
        <f t="shared" ref="G547:J547" si="84">G548+G549</f>
        <v>38036.5</v>
      </c>
      <c r="H547" s="616">
        <f t="shared" si="84"/>
        <v>41653.9</v>
      </c>
      <c r="I547" s="616">
        <f t="shared" si="84"/>
        <v>41760.699999999997</v>
      </c>
      <c r="J547" s="616">
        <f t="shared" si="84"/>
        <v>41836.1</v>
      </c>
      <c r="K547" s="614" t="s">
        <v>681</v>
      </c>
      <c r="L547" s="619" t="s">
        <v>3</v>
      </c>
      <c r="M547" s="619"/>
      <c r="N547" s="619"/>
      <c r="O547" s="619"/>
      <c r="P547" s="619"/>
      <c r="Q547" s="625"/>
    </row>
    <row r="548" spans="1:17" ht="30" x14ac:dyDescent="0.2">
      <c r="A548" s="1329"/>
      <c r="B548" s="612"/>
      <c r="C548" s="46" t="s">
        <v>5</v>
      </c>
      <c r="D548" s="623"/>
      <c r="E548" s="620" t="s">
        <v>683</v>
      </c>
      <c r="F548" s="619">
        <v>6130.7</v>
      </c>
      <c r="G548" s="619">
        <v>25642.400000000001</v>
      </c>
      <c r="H548" s="619">
        <v>27198.9</v>
      </c>
      <c r="I548" s="619">
        <v>27244.799999999999</v>
      </c>
      <c r="J548" s="619">
        <v>27277.3</v>
      </c>
      <c r="K548" s="620" t="s">
        <v>684</v>
      </c>
      <c r="L548" s="619" t="s">
        <v>283</v>
      </c>
      <c r="M548" s="619">
        <v>1227</v>
      </c>
      <c r="N548" s="619">
        <v>1136</v>
      </c>
      <c r="O548" s="619">
        <v>1136</v>
      </c>
      <c r="P548" s="619">
        <v>1136</v>
      </c>
      <c r="Q548" s="625">
        <v>1136</v>
      </c>
    </row>
    <row r="549" spans="1:17" ht="60" x14ac:dyDescent="0.2">
      <c r="A549" s="1329"/>
      <c r="B549" s="612"/>
      <c r="C549" s="46" t="s">
        <v>6</v>
      </c>
      <c r="D549" s="623"/>
      <c r="E549" s="620" t="s">
        <v>685</v>
      </c>
      <c r="F549" s="619">
        <v>21662.400000000001</v>
      </c>
      <c r="G549" s="619">
        <v>12394.1</v>
      </c>
      <c r="H549" s="619">
        <v>14455</v>
      </c>
      <c r="I549" s="619">
        <v>14515.9</v>
      </c>
      <c r="J549" s="619">
        <v>14558.8</v>
      </c>
      <c r="K549" s="620" t="s">
        <v>686</v>
      </c>
      <c r="L549" s="619" t="s">
        <v>3</v>
      </c>
      <c r="M549" s="619">
        <v>0</v>
      </c>
      <c r="N549" s="619">
        <v>0</v>
      </c>
      <c r="O549" s="619">
        <v>0</v>
      </c>
      <c r="P549" s="619">
        <v>0</v>
      </c>
      <c r="Q549" s="625">
        <v>0</v>
      </c>
    </row>
    <row r="550" spans="1:17" ht="102.75" x14ac:dyDescent="0.2">
      <c r="A550" s="1329"/>
      <c r="B550" s="612" t="s">
        <v>1846</v>
      </c>
      <c r="C550" s="46"/>
      <c r="D550" s="623"/>
      <c r="E550" s="795" t="s">
        <v>2009</v>
      </c>
      <c r="F550" s="616">
        <v>3225.7</v>
      </c>
      <c r="G550" s="616">
        <v>3747.9</v>
      </c>
      <c r="H550" s="616">
        <f>H551</f>
        <v>9715.5</v>
      </c>
      <c r="I550" s="616">
        <f t="shared" ref="I550:J550" si="85">I551</f>
        <v>9771.1</v>
      </c>
      <c r="J550" s="616">
        <f t="shared" si="85"/>
        <v>9891.4</v>
      </c>
      <c r="K550" s="614" t="s">
        <v>687</v>
      </c>
      <c r="L550" s="619" t="s">
        <v>3</v>
      </c>
      <c r="M550" s="619">
        <v>100</v>
      </c>
      <c r="N550" s="626">
        <v>100</v>
      </c>
      <c r="O550" s="626">
        <v>100</v>
      </c>
      <c r="P550" s="626">
        <v>100</v>
      </c>
      <c r="Q550" s="627">
        <v>100</v>
      </c>
    </row>
    <row r="551" spans="1:17" ht="45" x14ac:dyDescent="0.2">
      <c r="A551" s="1329"/>
      <c r="B551" s="612"/>
      <c r="C551" s="46" t="s">
        <v>5</v>
      </c>
      <c r="D551" s="623"/>
      <c r="E551" s="743" t="s">
        <v>688</v>
      </c>
      <c r="F551" s="619">
        <v>3225.7</v>
      </c>
      <c r="G551" s="619">
        <v>3747.9</v>
      </c>
      <c r="H551" s="619">
        <v>9715.5</v>
      </c>
      <c r="I551" s="619">
        <v>9771.1</v>
      </c>
      <c r="J551" s="619">
        <v>9891.4</v>
      </c>
      <c r="K551" s="620" t="s">
        <v>2013</v>
      </c>
      <c r="L551" s="619" t="s">
        <v>283</v>
      </c>
      <c r="M551" s="619">
        <v>446</v>
      </c>
      <c r="N551" s="619">
        <v>595</v>
      </c>
      <c r="O551" s="619">
        <v>595</v>
      </c>
      <c r="P551" s="619">
        <v>595</v>
      </c>
      <c r="Q551" s="625">
        <v>595</v>
      </c>
    </row>
    <row r="552" spans="1:17" ht="59.25" x14ac:dyDescent="0.2">
      <c r="A552" s="1329"/>
      <c r="B552" s="612" t="s">
        <v>1847</v>
      </c>
      <c r="C552" s="46"/>
      <c r="D552" s="623"/>
      <c r="E552" s="795" t="s">
        <v>2010</v>
      </c>
      <c r="F552" s="616">
        <f>F553</f>
        <v>62871.5</v>
      </c>
      <c r="G552" s="616">
        <f>G553</f>
        <v>59447.4</v>
      </c>
      <c r="H552" s="616"/>
      <c r="I552" s="616"/>
      <c r="J552" s="616"/>
      <c r="K552" s="614" t="s">
        <v>2011</v>
      </c>
      <c r="L552" s="619" t="s">
        <v>3</v>
      </c>
      <c r="M552" s="619">
        <v>0</v>
      </c>
      <c r="N552" s="619">
        <v>0</v>
      </c>
      <c r="O552" s="628"/>
      <c r="P552" s="628"/>
      <c r="Q552" s="629"/>
    </row>
    <row r="553" spans="1:17" ht="60" x14ac:dyDescent="0.2">
      <c r="A553" s="1329"/>
      <c r="B553" s="612"/>
      <c r="C553" s="46" t="s">
        <v>5</v>
      </c>
      <c r="D553" s="623"/>
      <c r="E553" s="593" t="s">
        <v>2014</v>
      </c>
      <c r="F553" s="619">
        <v>62871.5</v>
      </c>
      <c r="G553" s="619">
        <v>59447.4</v>
      </c>
      <c r="H553" s="619"/>
      <c r="I553" s="619"/>
      <c r="J553" s="619"/>
      <c r="K553" s="620" t="s">
        <v>2012</v>
      </c>
      <c r="L553" s="619" t="s">
        <v>3</v>
      </c>
      <c r="M553" s="619">
        <v>0</v>
      </c>
      <c r="N553" s="619">
        <v>0</v>
      </c>
      <c r="O553" s="628"/>
      <c r="P553" s="628"/>
      <c r="Q553" s="629"/>
    </row>
    <row r="554" spans="1:17" ht="14.25" x14ac:dyDescent="0.2">
      <c r="A554" s="1495" t="s">
        <v>35</v>
      </c>
      <c r="B554" s="1458"/>
      <c r="C554" s="1458"/>
      <c r="D554" s="1458"/>
      <c r="E554" s="1459"/>
      <c r="F554" s="630">
        <f>F552+F550+F549+F548+F546</f>
        <v>108731</v>
      </c>
      <c r="G554" s="630">
        <f>G552+G550+G549+G548+G546</f>
        <v>124473.70000000001</v>
      </c>
      <c r="H554" s="630">
        <f>H552+H550+H549+H548+H546</f>
        <v>78887</v>
      </c>
      <c r="I554" s="630">
        <f>I552+I550+I549+I548+I546</f>
        <v>79175.600000000006</v>
      </c>
      <c r="J554" s="630">
        <f>J552+J550+J549+J548+J546</f>
        <v>79460.5</v>
      </c>
      <c r="K554" s="631"/>
      <c r="L554" s="1297"/>
      <c r="M554" s="1297"/>
      <c r="N554" s="1297"/>
      <c r="O554" s="1297"/>
      <c r="P554" s="1297"/>
      <c r="Q554" s="1297"/>
    </row>
    <row r="555" spans="1:17" ht="15" x14ac:dyDescent="0.2">
      <c r="A555" s="1312" t="s">
        <v>2015</v>
      </c>
      <c r="B555" s="1313"/>
      <c r="C555" s="1313"/>
      <c r="D555" s="1313"/>
      <c r="E555" s="1313"/>
      <c r="F555" s="1313"/>
      <c r="G555" s="1313"/>
      <c r="H555" s="1313"/>
      <c r="I555" s="1313"/>
      <c r="J555" s="1313"/>
      <c r="K555" s="1313"/>
      <c r="L555" s="632"/>
      <c r="M555" s="632"/>
      <c r="N555" s="632"/>
      <c r="O555" s="632"/>
      <c r="P555" s="632"/>
      <c r="Q555" s="632"/>
    </row>
    <row r="556" spans="1:17" ht="57" x14ac:dyDescent="0.25">
      <c r="A556" s="1330">
        <v>40</v>
      </c>
      <c r="B556" s="633" t="s">
        <v>1848</v>
      </c>
      <c r="C556" s="634"/>
      <c r="D556" s="635"/>
      <c r="E556" s="605" t="s">
        <v>689</v>
      </c>
      <c r="F556" s="636">
        <v>739.4</v>
      </c>
      <c r="G556" s="636">
        <v>500</v>
      </c>
      <c r="H556" s="636">
        <f>H557</f>
        <v>739.4</v>
      </c>
      <c r="I556" s="636">
        <f>I557</f>
        <v>739.4</v>
      </c>
      <c r="J556" s="636">
        <f>J557</f>
        <v>739.4</v>
      </c>
      <c r="K556" s="405" t="s">
        <v>38</v>
      </c>
      <c r="L556" s="405"/>
      <c r="M556" s="637"/>
      <c r="N556" s="637"/>
      <c r="O556" s="637"/>
      <c r="P556" s="637"/>
      <c r="Q556" s="637"/>
    </row>
    <row r="557" spans="1:17" ht="75" x14ac:dyDescent="0.25">
      <c r="A557" s="1331"/>
      <c r="B557" s="638"/>
      <c r="C557" s="638" t="s">
        <v>5</v>
      </c>
      <c r="D557" s="639"/>
      <c r="E557" s="597" t="s">
        <v>1616</v>
      </c>
      <c r="F557" s="640">
        <v>739.4</v>
      </c>
      <c r="G557" s="640">
        <v>500</v>
      </c>
      <c r="H557" s="640">
        <v>739.4</v>
      </c>
      <c r="I557" s="640">
        <v>739.4</v>
      </c>
      <c r="J557" s="640">
        <v>739.4</v>
      </c>
      <c r="K557" s="405" t="s">
        <v>690</v>
      </c>
      <c r="L557" s="641" t="s">
        <v>3</v>
      </c>
      <c r="M557" s="637">
        <v>99.86</v>
      </c>
      <c r="N557" s="637">
        <v>100</v>
      </c>
      <c r="O557" s="637">
        <v>100</v>
      </c>
      <c r="P557" s="637">
        <v>100</v>
      </c>
      <c r="Q557" s="637">
        <v>100</v>
      </c>
    </row>
    <row r="558" spans="1:17" ht="15" x14ac:dyDescent="0.2">
      <c r="A558" s="1294" t="s">
        <v>35</v>
      </c>
      <c r="B558" s="1295"/>
      <c r="C558" s="1295"/>
      <c r="D558" s="1295"/>
      <c r="E558" s="1296"/>
      <c r="F558" s="642">
        <f>F556</f>
        <v>739.4</v>
      </c>
      <c r="G558" s="642">
        <f>G556</f>
        <v>500</v>
      </c>
      <c r="H558" s="642">
        <f>H556</f>
        <v>739.4</v>
      </c>
      <c r="I558" s="642">
        <f>I556</f>
        <v>739.4</v>
      </c>
      <c r="J558" s="642">
        <f>J556</f>
        <v>739.4</v>
      </c>
      <c r="K558" s="643"/>
      <c r="L558" s="643"/>
      <c r="M558" s="644"/>
      <c r="N558" s="644"/>
      <c r="O558" s="644"/>
      <c r="P558" s="644"/>
      <c r="Q558" s="645"/>
    </row>
    <row r="559" spans="1:17" ht="15" x14ac:dyDescent="0.2">
      <c r="A559" s="1287" t="s">
        <v>2018</v>
      </c>
      <c r="B559" s="1287" t="s">
        <v>610</v>
      </c>
      <c r="C559" s="1287"/>
      <c r="D559" s="1287"/>
      <c r="E559" s="1287"/>
      <c r="F559" s="1287"/>
      <c r="G559" s="1287"/>
      <c r="H559" s="1287"/>
      <c r="I559" s="1287"/>
      <c r="J559" s="1287"/>
      <c r="K559" s="1287"/>
      <c r="L559" s="1287"/>
      <c r="M559" s="1287"/>
      <c r="N559" s="1287"/>
      <c r="O559" s="1287"/>
      <c r="P559" s="720"/>
      <c r="Q559" s="720"/>
    </row>
    <row r="560" spans="1:17" ht="57" x14ac:dyDescent="0.2">
      <c r="A560" s="1288" t="s">
        <v>22</v>
      </c>
      <c r="B560" s="697" t="s">
        <v>5</v>
      </c>
      <c r="C560" s="697"/>
      <c r="D560" s="697"/>
      <c r="E560" s="456" t="s">
        <v>1952</v>
      </c>
      <c r="F560" s="161">
        <v>0</v>
      </c>
      <c r="G560" s="161">
        <v>0</v>
      </c>
      <c r="H560" s="161">
        <v>198073.9</v>
      </c>
      <c r="I560" s="161">
        <v>198073.9</v>
      </c>
      <c r="J560" s="161">
        <v>198551</v>
      </c>
      <c r="K560" s="162" t="s">
        <v>1930</v>
      </c>
      <c r="L560" s="169" t="s">
        <v>3</v>
      </c>
      <c r="M560" s="161">
        <v>88.1</v>
      </c>
      <c r="N560" s="161">
        <v>88.2</v>
      </c>
      <c r="O560" s="161">
        <v>88.5</v>
      </c>
      <c r="P560" s="161">
        <v>88.5</v>
      </c>
      <c r="Q560" s="161">
        <v>88.5</v>
      </c>
    </row>
    <row r="561" spans="1:17" ht="60" x14ac:dyDescent="0.2">
      <c r="A561" s="1289"/>
      <c r="B561" s="1291"/>
      <c r="C561" s="1291" t="s">
        <v>5</v>
      </c>
      <c r="D561" s="1291"/>
      <c r="E561" s="1292" t="s">
        <v>1957</v>
      </c>
      <c r="F561" s="1293">
        <v>0</v>
      </c>
      <c r="G561" s="1293">
        <v>0</v>
      </c>
      <c r="H561" s="1293">
        <v>62896.4</v>
      </c>
      <c r="I561" s="1293">
        <v>62896.4</v>
      </c>
      <c r="J561" s="1293">
        <v>63373.5</v>
      </c>
      <c r="K561" s="579" t="s">
        <v>1931</v>
      </c>
      <c r="L561" s="47" t="s">
        <v>3</v>
      </c>
      <c r="M561" s="463">
        <v>52</v>
      </c>
      <c r="N561" s="463">
        <v>70</v>
      </c>
      <c r="O561" s="463">
        <v>75</v>
      </c>
      <c r="P561" s="463">
        <v>80</v>
      </c>
      <c r="Q561" s="463">
        <v>85</v>
      </c>
    </row>
    <row r="562" spans="1:17" ht="60" x14ac:dyDescent="0.2">
      <c r="A562" s="1289"/>
      <c r="B562" s="1291"/>
      <c r="C562" s="1291"/>
      <c r="D562" s="1291"/>
      <c r="E562" s="1292"/>
      <c r="F562" s="1293"/>
      <c r="G562" s="1293"/>
      <c r="H562" s="1293"/>
      <c r="I562" s="1293"/>
      <c r="J562" s="1293"/>
      <c r="K562" s="579" t="s">
        <v>1932</v>
      </c>
      <c r="L562" s="47" t="s">
        <v>3</v>
      </c>
      <c r="M562" s="16">
        <v>35</v>
      </c>
      <c r="N562" s="16">
        <v>75</v>
      </c>
      <c r="O562" s="463">
        <v>80</v>
      </c>
      <c r="P562" s="463">
        <v>85</v>
      </c>
      <c r="Q562" s="463">
        <v>90</v>
      </c>
    </row>
    <row r="563" spans="1:17" ht="45" x14ac:dyDescent="0.2">
      <c r="A563" s="1289"/>
      <c r="B563" s="1291"/>
      <c r="C563" s="1291"/>
      <c r="D563" s="1291"/>
      <c r="E563" s="1292"/>
      <c r="F563" s="1293"/>
      <c r="G563" s="1293"/>
      <c r="H563" s="1293"/>
      <c r="I563" s="1293"/>
      <c r="J563" s="1293"/>
      <c r="K563" s="95" t="s">
        <v>1933</v>
      </c>
      <c r="L563" s="562" t="s">
        <v>3</v>
      </c>
      <c r="M563" s="562">
        <v>58</v>
      </c>
      <c r="N563" s="562">
        <v>70</v>
      </c>
      <c r="O563" s="463">
        <v>80</v>
      </c>
      <c r="P563" s="463">
        <v>90</v>
      </c>
      <c r="Q563" s="463">
        <v>100</v>
      </c>
    </row>
    <row r="564" spans="1:17" ht="15" x14ac:dyDescent="0.2">
      <c r="A564" s="1289"/>
      <c r="B564" s="168" t="s">
        <v>1950</v>
      </c>
      <c r="C564" s="28"/>
      <c r="D564" s="28"/>
      <c r="E564" s="456" t="s">
        <v>1934</v>
      </c>
      <c r="F564" s="161">
        <v>0</v>
      </c>
      <c r="G564" s="161">
        <v>0</v>
      </c>
      <c r="H564" s="161">
        <v>135177.5</v>
      </c>
      <c r="I564" s="161">
        <v>135177.5</v>
      </c>
      <c r="J564" s="161">
        <v>135177.5</v>
      </c>
      <c r="K564" s="162"/>
      <c r="L564" s="106"/>
      <c r="M564" s="1244"/>
      <c r="N564" s="1244"/>
      <c r="O564" s="1244"/>
      <c r="P564" s="1244"/>
      <c r="Q564" s="1244"/>
    </row>
    <row r="565" spans="1:17" ht="15" x14ac:dyDescent="0.2">
      <c r="A565" s="1289"/>
      <c r="B565" s="28"/>
      <c r="C565" s="28" t="s">
        <v>5</v>
      </c>
      <c r="D565" s="28"/>
      <c r="E565" s="457" t="s">
        <v>1935</v>
      </c>
      <c r="F565" s="47">
        <v>0</v>
      </c>
      <c r="G565" s="47">
        <v>0</v>
      </c>
      <c r="H565" s="47">
        <v>135177.5</v>
      </c>
      <c r="I565" s="47">
        <v>135177.5</v>
      </c>
      <c r="J565" s="47">
        <v>135177.5</v>
      </c>
      <c r="K565" s="376"/>
      <c r="L565" s="134"/>
      <c r="M565" s="1245"/>
      <c r="N565" s="1245"/>
      <c r="O565" s="1245"/>
      <c r="P565" s="1245"/>
      <c r="Q565" s="1245"/>
    </row>
    <row r="566" spans="1:17" ht="118.5" x14ac:dyDescent="0.2">
      <c r="A566" s="1289"/>
      <c r="B566" s="45" t="s">
        <v>1951</v>
      </c>
      <c r="C566" s="45"/>
      <c r="D566" s="833"/>
      <c r="E566" s="1246" t="s">
        <v>1956</v>
      </c>
      <c r="F566" s="161">
        <v>0</v>
      </c>
      <c r="G566" s="161">
        <v>0</v>
      </c>
      <c r="H566" s="161">
        <v>104279.5</v>
      </c>
      <c r="I566" s="161">
        <v>109521.59999999999</v>
      </c>
      <c r="J566" s="161">
        <v>109760.59999999999</v>
      </c>
      <c r="K566" s="1256" t="s">
        <v>1936</v>
      </c>
      <c r="L566" s="1258" t="s">
        <v>283</v>
      </c>
      <c r="M566" s="574" t="s">
        <v>1937</v>
      </c>
      <c r="N566" s="169" t="s">
        <v>1938</v>
      </c>
      <c r="O566" s="169" t="s">
        <v>1939</v>
      </c>
      <c r="P566" s="169" t="s">
        <v>1940</v>
      </c>
      <c r="Q566" s="169" t="s">
        <v>1941</v>
      </c>
    </row>
    <row r="567" spans="1:17" ht="45" x14ac:dyDescent="0.2">
      <c r="A567" s="1289"/>
      <c r="B567" s="549"/>
      <c r="C567" s="549" t="s">
        <v>5</v>
      </c>
      <c r="D567" s="549"/>
      <c r="E567" s="1247" t="s">
        <v>1953</v>
      </c>
      <c r="F567" s="487">
        <v>0</v>
      </c>
      <c r="G567" s="487">
        <v>0</v>
      </c>
      <c r="H567" s="487">
        <v>23670.5</v>
      </c>
      <c r="I567" s="487">
        <v>23912.6</v>
      </c>
      <c r="J567" s="487">
        <v>24151.599999999999</v>
      </c>
      <c r="K567" s="95" t="s">
        <v>1942</v>
      </c>
      <c r="L567" s="458" t="s">
        <v>283</v>
      </c>
      <c r="M567" s="458">
        <v>47</v>
      </c>
      <c r="N567" s="459">
        <v>36</v>
      </c>
      <c r="O567" s="459">
        <v>40</v>
      </c>
      <c r="P567" s="459">
        <v>45</v>
      </c>
      <c r="Q567" s="459">
        <v>59</v>
      </c>
    </row>
    <row r="568" spans="1:17" ht="45" x14ac:dyDescent="0.2">
      <c r="A568" s="1289"/>
      <c r="B568" s="46"/>
      <c r="C568" s="46" t="s">
        <v>6</v>
      </c>
      <c r="D568" s="46"/>
      <c r="E568" s="1257" t="s">
        <v>1954</v>
      </c>
      <c r="F568" s="49">
        <v>0</v>
      </c>
      <c r="G568" s="49">
        <v>0</v>
      </c>
      <c r="H568" s="49">
        <v>39305</v>
      </c>
      <c r="I568" s="49">
        <v>44305.2</v>
      </c>
      <c r="J568" s="49">
        <v>44305.2</v>
      </c>
      <c r="K568" s="95" t="s">
        <v>1943</v>
      </c>
      <c r="L568" s="458" t="s">
        <v>283</v>
      </c>
      <c r="M568" s="458">
        <v>0</v>
      </c>
      <c r="N568" s="16">
        <v>164</v>
      </c>
      <c r="O568" s="16">
        <v>205</v>
      </c>
      <c r="P568" s="16">
        <v>243</v>
      </c>
      <c r="Q568" s="16">
        <v>268</v>
      </c>
    </row>
    <row r="569" spans="1:17" ht="75" x14ac:dyDescent="0.2">
      <c r="A569" s="1290"/>
      <c r="B569" s="46"/>
      <c r="C569" s="46" t="s">
        <v>4</v>
      </c>
      <c r="D569" s="46"/>
      <c r="E569" s="1259" t="s">
        <v>1955</v>
      </c>
      <c r="F569" s="49">
        <v>0</v>
      </c>
      <c r="G569" s="49">
        <v>0</v>
      </c>
      <c r="H569" s="49">
        <v>41304</v>
      </c>
      <c r="I569" s="49">
        <v>41303.800000000003</v>
      </c>
      <c r="J569" s="49">
        <v>41303.800000000003</v>
      </c>
      <c r="K569" s="1260" t="s">
        <v>1944</v>
      </c>
      <c r="L569" s="1261" t="s">
        <v>283</v>
      </c>
      <c r="M569" s="1262" t="s">
        <v>1945</v>
      </c>
      <c r="N569" s="1262" t="s">
        <v>1946</v>
      </c>
      <c r="O569" s="1262" t="s">
        <v>1947</v>
      </c>
      <c r="P569" s="1262" t="s">
        <v>1948</v>
      </c>
      <c r="Q569" s="1262" t="s">
        <v>1949</v>
      </c>
    </row>
    <row r="570" spans="1:17" ht="14.25" x14ac:dyDescent="0.2">
      <c r="A570" s="1294" t="s">
        <v>35</v>
      </c>
      <c r="B570" s="1295"/>
      <c r="C570" s="1295"/>
      <c r="D570" s="1295"/>
      <c r="E570" s="1296"/>
      <c r="F570" s="966">
        <v>0</v>
      </c>
      <c r="G570" s="966">
        <v>0</v>
      </c>
      <c r="H570" s="436">
        <v>302353.40000000002</v>
      </c>
      <c r="I570" s="436">
        <v>307595.5</v>
      </c>
      <c r="J570" s="436">
        <v>308311.59999999998</v>
      </c>
      <c r="K570" s="631"/>
      <c r="L570" s="1297"/>
      <c r="M570" s="1297"/>
      <c r="N570" s="1297"/>
      <c r="O570" s="1297"/>
      <c r="P570" s="1297"/>
      <c r="Q570" s="1297"/>
    </row>
    <row r="571" spans="1:17" ht="14.25" x14ac:dyDescent="0.2">
      <c r="A571" s="1312" t="s">
        <v>2019</v>
      </c>
      <c r="B571" s="1313"/>
      <c r="C571" s="1313"/>
      <c r="D571" s="1313"/>
      <c r="E571" s="1313"/>
      <c r="F571" s="1313"/>
      <c r="G571" s="1313"/>
      <c r="H571" s="1313"/>
      <c r="I571" s="1313"/>
      <c r="J571" s="1313"/>
      <c r="K571" s="1313"/>
      <c r="L571" s="1313"/>
      <c r="M571" s="1313"/>
      <c r="N571" s="1313"/>
      <c r="O571" s="1313"/>
      <c r="P571" s="1313"/>
      <c r="Q571" s="1313"/>
    </row>
    <row r="572" spans="1:17" ht="74.25" x14ac:dyDescent="0.2">
      <c r="A572" s="1307" t="s">
        <v>563</v>
      </c>
      <c r="B572" s="180" t="s">
        <v>0</v>
      </c>
      <c r="C572" s="308"/>
      <c r="D572" s="308"/>
      <c r="E572" s="181" t="s">
        <v>1762</v>
      </c>
      <c r="F572" s="646">
        <v>93053.9</v>
      </c>
      <c r="G572" s="646">
        <v>163799.1</v>
      </c>
      <c r="H572" s="646">
        <f>H573+H574</f>
        <v>273784.2</v>
      </c>
      <c r="I572" s="646">
        <f t="shared" ref="I572:J572" si="86">I573+I574</f>
        <v>246197.7</v>
      </c>
      <c r="J572" s="646">
        <f t="shared" si="86"/>
        <v>250718.09999999998</v>
      </c>
      <c r="K572" s="225" t="s">
        <v>1795</v>
      </c>
      <c r="L572" s="23" t="s">
        <v>18</v>
      </c>
      <c r="M572" s="23">
        <v>42.7</v>
      </c>
      <c r="N572" s="29">
        <v>55</v>
      </c>
      <c r="O572" s="29">
        <v>60</v>
      </c>
      <c r="P572" s="29">
        <v>65</v>
      </c>
      <c r="Q572" s="29">
        <v>65</v>
      </c>
    </row>
    <row r="573" spans="1:17" ht="30" x14ac:dyDescent="0.2">
      <c r="A573" s="1308"/>
      <c r="B573" s="21"/>
      <c r="C573" s="21" t="s">
        <v>5</v>
      </c>
      <c r="D573" s="308"/>
      <c r="E573" s="178" t="s">
        <v>1617</v>
      </c>
      <c r="F573" s="47">
        <v>52089.599999999999</v>
      </c>
      <c r="G573" s="47">
        <v>50598.8</v>
      </c>
      <c r="H573" s="47">
        <v>84236.800000000003</v>
      </c>
      <c r="I573" s="47">
        <v>56650.3</v>
      </c>
      <c r="J573" s="47">
        <v>57170.7</v>
      </c>
      <c r="K573" s="134"/>
      <c r="L573" s="134"/>
      <c r="M573" s="134"/>
      <c r="N573" s="134"/>
      <c r="O573" s="134"/>
      <c r="P573" s="134"/>
      <c r="Q573" s="134"/>
    </row>
    <row r="574" spans="1:17" ht="15" x14ac:dyDescent="0.2">
      <c r="A574" s="1308"/>
      <c r="B574" s="21"/>
      <c r="C574" s="21" t="s">
        <v>6</v>
      </c>
      <c r="D574" s="308"/>
      <c r="E574" s="178" t="s">
        <v>1598</v>
      </c>
      <c r="F574" s="47">
        <v>40964.300000000003</v>
      </c>
      <c r="G574" s="47">
        <v>113200.3</v>
      </c>
      <c r="H574" s="47">
        <v>189547.4</v>
      </c>
      <c r="I574" s="47">
        <v>189547.4</v>
      </c>
      <c r="J574" s="47">
        <v>193547.4</v>
      </c>
      <c r="K574" s="134"/>
      <c r="L574" s="134"/>
      <c r="M574" s="134"/>
      <c r="N574" s="134"/>
      <c r="O574" s="134"/>
      <c r="P574" s="134"/>
      <c r="Q574" s="134"/>
    </row>
    <row r="575" spans="1:17" ht="132.75" x14ac:dyDescent="0.2">
      <c r="A575" s="1308"/>
      <c r="B575" s="388" t="s">
        <v>1849</v>
      </c>
      <c r="C575" s="387"/>
      <c r="D575" s="387"/>
      <c r="E575" s="1167" t="s">
        <v>2020</v>
      </c>
      <c r="F575" s="647">
        <v>1578506.3</v>
      </c>
      <c r="G575" s="647">
        <v>1698149.2999999998</v>
      </c>
      <c r="H575" s="647">
        <f>H576+H583+H586+H589+H592</f>
        <v>3107038.3000000003</v>
      </c>
      <c r="I575" s="647">
        <f t="shared" ref="I575:J575" si="87">I576+I583+I586+I589+I592</f>
        <v>3135404.5000000005</v>
      </c>
      <c r="J575" s="647">
        <f t="shared" si="87"/>
        <v>3163320.0000000005</v>
      </c>
      <c r="K575" s="225" t="s">
        <v>691</v>
      </c>
      <c r="L575" s="23" t="s">
        <v>3</v>
      </c>
      <c r="M575" s="23">
        <v>20</v>
      </c>
      <c r="N575" s="29">
        <v>30</v>
      </c>
      <c r="O575" s="29">
        <v>35</v>
      </c>
      <c r="P575" s="29">
        <v>37</v>
      </c>
      <c r="Q575" s="29">
        <v>40</v>
      </c>
    </row>
    <row r="576" spans="1:17" ht="30" x14ac:dyDescent="0.2">
      <c r="A576" s="1308"/>
      <c r="B576" s="1324"/>
      <c r="C576" s="1285" t="s">
        <v>5</v>
      </c>
      <c r="D576" s="1324"/>
      <c r="E576" s="1340" t="s">
        <v>692</v>
      </c>
      <c r="F576" s="1371">
        <v>984867.20000000007</v>
      </c>
      <c r="G576" s="1371">
        <f>1218587.7+4000</f>
        <v>1222587.7</v>
      </c>
      <c r="H576" s="1371">
        <f>1175493.7+967875.2+115974.7+4000+4000</f>
        <v>2267343.6</v>
      </c>
      <c r="I576" s="1371">
        <f>1184483.5+982875.2+116004.7+4000</f>
        <v>2287363.4000000004</v>
      </c>
      <c r="J576" s="1371">
        <f>1200161.3+986875.2+116004.7+4000</f>
        <v>2307041.2000000002</v>
      </c>
      <c r="K576" s="211" t="s">
        <v>693</v>
      </c>
      <c r="L576" s="23" t="s">
        <v>669</v>
      </c>
      <c r="M576" s="157">
        <v>368.255</v>
      </c>
      <c r="N576" s="648">
        <v>800</v>
      </c>
      <c r="O576" s="648">
        <v>820</v>
      </c>
      <c r="P576" s="648">
        <v>850</v>
      </c>
      <c r="Q576" s="648">
        <v>900</v>
      </c>
    </row>
    <row r="577" spans="1:17" ht="69.75" customHeight="1" x14ac:dyDescent="0.2">
      <c r="A577" s="1308"/>
      <c r="B577" s="1325"/>
      <c r="C577" s="1302"/>
      <c r="D577" s="1325"/>
      <c r="E577" s="1490"/>
      <c r="F577" s="1479"/>
      <c r="G577" s="1479"/>
      <c r="H577" s="1479"/>
      <c r="I577" s="1479"/>
      <c r="J577" s="1479"/>
      <c r="K577" s="211" t="s">
        <v>694</v>
      </c>
      <c r="L577" s="23" t="s">
        <v>180</v>
      </c>
      <c r="M577" s="23">
        <v>1165</v>
      </c>
      <c r="N577" s="29">
        <v>2000</v>
      </c>
      <c r="O577" s="29">
        <v>2100</v>
      </c>
      <c r="P577" s="29">
        <v>2200</v>
      </c>
      <c r="Q577" s="29">
        <v>2300</v>
      </c>
    </row>
    <row r="578" spans="1:17" ht="30" x14ac:dyDescent="0.25">
      <c r="A578" s="1308"/>
      <c r="B578" s="1325"/>
      <c r="C578" s="1302"/>
      <c r="D578" s="1325"/>
      <c r="E578" s="1490"/>
      <c r="F578" s="1479"/>
      <c r="G578" s="1479"/>
      <c r="H578" s="1479"/>
      <c r="I578" s="1479"/>
      <c r="J578" s="1479"/>
      <c r="K578" s="211" t="s">
        <v>695</v>
      </c>
      <c r="L578" s="16" t="s">
        <v>669</v>
      </c>
      <c r="M578" s="649">
        <v>6654.4</v>
      </c>
      <c r="N578" s="27">
        <v>6654.9</v>
      </c>
      <c r="O578" s="27">
        <v>6655.4</v>
      </c>
      <c r="P578" s="27">
        <v>6655.9</v>
      </c>
      <c r="Q578" s="27">
        <v>6656.4</v>
      </c>
    </row>
    <row r="579" spans="1:17" ht="30" x14ac:dyDescent="0.2">
      <c r="A579" s="1308"/>
      <c r="B579" s="1325"/>
      <c r="C579" s="1302"/>
      <c r="D579" s="1325"/>
      <c r="E579" s="1490"/>
      <c r="F579" s="1479"/>
      <c r="G579" s="1479"/>
      <c r="H579" s="1479"/>
      <c r="I579" s="1479"/>
      <c r="J579" s="1479"/>
      <c r="K579" s="650" t="s">
        <v>696</v>
      </c>
      <c r="L579" s="204" t="s">
        <v>180</v>
      </c>
      <c r="M579" s="651">
        <v>462</v>
      </c>
      <c r="N579" s="652">
        <v>500</v>
      </c>
      <c r="O579" s="652">
        <v>550</v>
      </c>
      <c r="P579" s="652">
        <v>600</v>
      </c>
      <c r="Q579" s="653">
        <v>650</v>
      </c>
    </row>
    <row r="580" spans="1:17" ht="12.75" customHeight="1" x14ac:dyDescent="0.2">
      <c r="A580" s="1308"/>
      <c r="B580" s="1325"/>
      <c r="C580" s="1302"/>
      <c r="D580" s="1325"/>
      <c r="E580" s="1490"/>
      <c r="F580" s="1479"/>
      <c r="G580" s="1479"/>
      <c r="H580" s="1479"/>
      <c r="I580" s="1479"/>
      <c r="J580" s="1479"/>
      <c r="K580" s="1482" t="s">
        <v>697</v>
      </c>
      <c r="L580" s="1484" t="s">
        <v>180</v>
      </c>
      <c r="M580" s="1484">
        <v>34767</v>
      </c>
      <c r="N580" s="1484">
        <v>34823</v>
      </c>
      <c r="O580" s="1484">
        <v>34878</v>
      </c>
      <c r="P580" s="1484">
        <v>34928</v>
      </c>
      <c r="Q580" s="1486">
        <v>34978</v>
      </c>
    </row>
    <row r="581" spans="1:17" ht="45" customHeight="1" x14ac:dyDescent="0.2">
      <c r="A581" s="1308"/>
      <c r="B581" s="1325"/>
      <c r="C581" s="1302"/>
      <c r="D581" s="1325"/>
      <c r="E581" s="1490"/>
      <c r="F581" s="1479"/>
      <c r="G581" s="1479"/>
      <c r="H581" s="1479"/>
      <c r="I581" s="1479"/>
      <c r="J581" s="1479"/>
      <c r="K581" s="1483"/>
      <c r="L581" s="1485"/>
      <c r="M581" s="1485"/>
      <c r="N581" s="1485"/>
      <c r="O581" s="1485"/>
      <c r="P581" s="1485"/>
      <c r="Q581" s="1486"/>
    </row>
    <row r="582" spans="1:17" ht="45" x14ac:dyDescent="0.2">
      <c r="A582" s="1308"/>
      <c r="B582" s="1326"/>
      <c r="C582" s="1286"/>
      <c r="D582" s="1326"/>
      <c r="E582" s="1341"/>
      <c r="F582" s="1372"/>
      <c r="G582" s="1372"/>
      <c r="H582" s="1372"/>
      <c r="I582" s="1372"/>
      <c r="J582" s="1372"/>
      <c r="K582" s="211" t="s">
        <v>698</v>
      </c>
      <c r="L582" s="16" t="s">
        <v>180</v>
      </c>
      <c r="M582" s="29">
        <v>12</v>
      </c>
      <c r="N582" s="29">
        <v>13</v>
      </c>
      <c r="O582" s="29">
        <v>14</v>
      </c>
      <c r="P582" s="29">
        <v>15</v>
      </c>
      <c r="Q582" s="29">
        <v>15</v>
      </c>
    </row>
    <row r="583" spans="1:17" ht="75" x14ac:dyDescent="0.2">
      <c r="A583" s="1308"/>
      <c r="B583" s="1487"/>
      <c r="C583" s="1285" t="s">
        <v>6</v>
      </c>
      <c r="D583" s="1487"/>
      <c r="E583" s="1340" t="s">
        <v>699</v>
      </c>
      <c r="F583" s="1371">
        <v>2947.5</v>
      </c>
      <c r="G583" s="1371">
        <v>1998.5</v>
      </c>
      <c r="H583" s="1371">
        <v>15234.6</v>
      </c>
      <c r="I583" s="1371">
        <v>15234.6</v>
      </c>
      <c r="J583" s="1371">
        <v>15234.6</v>
      </c>
      <c r="K583" s="134" t="s">
        <v>700</v>
      </c>
      <c r="L583" s="16" t="s">
        <v>3</v>
      </c>
      <c r="M583" s="578">
        <v>5</v>
      </c>
      <c r="N583" s="566">
        <v>10</v>
      </c>
      <c r="O583" s="566">
        <v>15</v>
      </c>
      <c r="P583" s="566">
        <v>20</v>
      </c>
      <c r="Q583" s="562">
        <v>25</v>
      </c>
    </row>
    <row r="584" spans="1:17" ht="60" x14ac:dyDescent="0.2">
      <c r="A584" s="1308"/>
      <c r="B584" s="1488"/>
      <c r="C584" s="1302"/>
      <c r="D584" s="1488"/>
      <c r="E584" s="1490"/>
      <c r="F584" s="1479"/>
      <c r="G584" s="1479"/>
      <c r="H584" s="1479"/>
      <c r="I584" s="1479"/>
      <c r="J584" s="1479"/>
      <c r="K584" s="134" t="s">
        <v>2021</v>
      </c>
      <c r="L584" s="16" t="s">
        <v>3</v>
      </c>
      <c r="M584" s="16">
        <v>2</v>
      </c>
      <c r="N584" s="562">
        <v>2</v>
      </c>
      <c r="O584" s="562">
        <v>3</v>
      </c>
      <c r="P584" s="562">
        <v>5</v>
      </c>
      <c r="Q584" s="562">
        <v>6</v>
      </c>
    </row>
    <row r="585" spans="1:17" ht="60" x14ac:dyDescent="0.2">
      <c r="A585" s="1308"/>
      <c r="B585" s="1489"/>
      <c r="C585" s="1286"/>
      <c r="D585" s="1489"/>
      <c r="E585" s="1341"/>
      <c r="F585" s="1372"/>
      <c r="G585" s="1372"/>
      <c r="H585" s="1372"/>
      <c r="I585" s="1372"/>
      <c r="J585" s="1372"/>
      <c r="K585" s="134" t="s">
        <v>2022</v>
      </c>
      <c r="L585" s="16" t="s">
        <v>3</v>
      </c>
      <c r="M585" s="16">
        <v>4</v>
      </c>
      <c r="N585" s="562">
        <v>4</v>
      </c>
      <c r="O585" s="562">
        <v>8</v>
      </c>
      <c r="P585" s="562">
        <v>12</v>
      </c>
      <c r="Q585" s="562">
        <v>15</v>
      </c>
    </row>
    <row r="586" spans="1:17" ht="45" x14ac:dyDescent="0.2">
      <c r="A586" s="1308"/>
      <c r="B586" s="1487"/>
      <c r="C586" s="1480" t="s">
        <v>4</v>
      </c>
      <c r="D586" s="1487"/>
      <c r="E586" s="1340" t="s">
        <v>701</v>
      </c>
      <c r="F586" s="1371">
        <v>87659</v>
      </c>
      <c r="G586" s="1371">
        <v>85156.2</v>
      </c>
      <c r="H586" s="1371">
        <v>316214.2</v>
      </c>
      <c r="I586" s="1371">
        <v>319369.40000000002</v>
      </c>
      <c r="J586" s="1371">
        <v>322483.3</v>
      </c>
      <c r="K586" s="211" t="s">
        <v>2023</v>
      </c>
      <c r="L586" s="16" t="s">
        <v>3</v>
      </c>
      <c r="M586" s="16">
        <v>27</v>
      </c>
      <c r="N586" s="562">
        <v>27</v>
      </c>
      <c r="O586" s="562">
        <v>28</v>
      </c>
      <c r="P586" s="562">
        <v>29</v>
      </c>
      <c r="Q586" s="562">
        <v>30</v>
      </c>
    </row>
    <row r="587" spans="1:17" ht="75" x14ac:dyDescent="0.2">
      <c r="A587" s="1308"/>
      <c r="B587" s="1488"/>
      <c r="C587" s="1820"/>
      <c r="D587" s="1488"/>
      <c r="E587" s="1490"/>
      <c r="F587" s="1479"/>
      <c r="G587" s="1479"/>
      <c r="H587" s="1479"/>
      <c r="I587" s="1479"/>
      <c r="J587" s="1479"/>
      <c r="K587" s="134" t="s">
        <v>702</v>
      </c>
      <c r="L587" s="16" t="s">
        <v>180</v>
      </c>
      <c r="M587" s="16">
        <v>7</v>
      </c>
      <c r="N587" s="562">
        <v>9</v>
      </c>
      <c r="O587" s="562">
        <v>7</v>
      </c>
      <c r="P587" s="562">
        <v>7</v>
      </c>
      <c r="Q587" s="562">
        <v>7</v>
      </c>
    </row>
    <row r="588" spans="1:17" ht="60" x14ac:dyDescent="0.2">
      <c r="A588" s="1308"/>
      <c r="B588" s="1489"/>
      <c r="C588" s="1481"/>
      <c r="D588" s="1489"/>
      <c r="E588" s="1341"/>
      <c r="F588" s="1372"/>
      <c r="G588" s="1372"/>
      <c r="H588" s="1372"/>
      <c r="I588" s="1372"/>
      <c r="J588" s="1372"/>
      <c r="K588" s="211" t="s">
        <v>2024</v>
      </c>
      <c r="L588" s="16" t="s">
        <v>3</v>
      </c>
      <c r="M588" s="16">
        <v>8</v>
      </c>
      <c r="N588" s="562">
        <v>10</v>
      </c>
      <c r="O588" s="562">
        <v>12</v>
      </c>
      <c r="P588" s="562">
        <v>13</v>
      </c>
      <c r="Q588" s="562">
        <v>14</v>
      </c>
    </row>
    <row r="589" spans="1:17" ht="105" x14ac:dyDescent="0.2">
      <c r="A589" s="1308"/>
      <c r="B589" s="1285"/>
      <c r="C589" s="1285" t="s">
        <v>7</v>
      </c>
      <c r="D589" s="1285"/>
      <c r="E589" s="1340" t="s">
        <v>703</v>
      </c>
      <c r="F589" s="1371">
        <v>482831.9</v>
      </c>
      <c r="G589" s="1371">
        <v>368206.2</v>
      </c>
      <c r="H589" s="1371">
        <v>478481.10000000003</v>
      </c>
      <c r="I589" s="1371">
        <v>483367.9</v>
      </c>
      <c r="J589" s="1371">
        <v>488191.2</v>
      </c>
      <c r="K589" s="134" t="s">
        <v>2025</v>
      </c>
      <c r="L589" s="23" t="s">
        <v>180</v>
      </c>
      <c r="M589" s="145">
        <v>60</v>
      </c>
      <c r="N589" s="386">
        <v>70</v>
      </c>
      <c r="O589" s="386">
        <v>100</v>
      </c>
      <c r="P589" s="386">
        <v>120</v>
      </c>
      <c r="Q589" s="386">
        <v>130</v>
      </c>
    </row>
    <row r="590" spans="1:17" ht="90" x14ac:dyDescent="0.2">
      <c r="A590" s="1308"/>
      <c r="B590" s="1302"/>
      <c r="C590" s="1302"/>
      <c r="D590" s="1302"/>
      <c r="E590" s="1490"/>
      <c r="F590" s="1479"/>
      <c r="G590" s="1479"/>
      <c r="H590" s="1479"/>
      <c r="I590" s="1479"/>
      <c r="J590" s="1479"/>
      <c r="K590" s="134" t="s">
        <v>2026</v>
      </c>
      <c r="L590" s="23" t="s">
        <v>180</v>
      </c>
      <c r="M590" s="145">
        <v>20</v>
      </c>
      <c r="N590" s="386">
        <v>40</v>
      </c>
      <c r="O590" s="386">
        <v>50</v>
      </c>
      <c r="P590" s="386">
        <v>55</v>
      </c>
      <c r="Q590" s="386">
        <v>60</v>
      </c>
    </row>
    <row r="591" spans="1:17" ht="75" x14ac:dyDescent="0.2">
      <c r="A591" s="1308"/>
      <c r="B591" s="1302"/>
      <c r="C591" s="1286"/>
      <c r="D591" s="1302"/>
      <c r="E591" s="1490"/>
      <c r="F591" s="1372"/>
      <c r="G591" s="1372"/>
      <c r="H591" s="1372"/>
      <c r="I591" s="1372"/>
      <c r="J591" s="1372"/>
      <c r="K591" s="655" t="s">
        <v>2027</v>
      </c>
      <c r="L591" s="192" t="s">
        <v>3</v>
      </c>
      <c r="M591" s="656">
        <v>7</v>
      </c>
      <c r="N591" s="384">
        <v>12</v>
      </c>
      <c r="O591" s="384">
        <v>15</v>
      </c>
      <c r="P591" s="384">
        <v>17</v>
      </c>
      <c r="Q591" s="386">
        <v>20</v>
      </c>
    </row>
    <row r="592" spans="1:17" ht="60" x14ac:dyDescent="0.2">
      <c r="A592" s="1308"/>
      <c r="B592" s="46"/>
      <c r="C592" s="46" t="s">
        <v>8</v>
      </c>
      <c r="D592" s="46"/>
      <c r="E592" s="376" t="s">
        <v>704</v>
      </c>
      <c r="F592" s="47">
        <v>20200.7</v>
      </c>
      <c r="G592" s="47">
        <v>20200.7</v>
      </c>
      <c r="H592" s="47">
        <v>29764.799999999999</v>
      </c>
      <c r="I592" s="47">
        <v>30069.200000000001</v>
      </c>
      <c r="J592" s="47">
        <v>30369.7</v>
      </c>
      <c r="K592" s="134" t="s">
        <v>705</v>
      </c>
      <c r="L592" s="23" t="s">
        <v>180</v>
      </c>
      <c r="M592" s="310">
        <v>65520</v>
      </c>
      <c r="N592" s="653">
        <v>65600</v>
      </c>
      <c r="O592" s="653">
        <v>65680</v>
      </c>
      <c r="P592" s="653">
        <v>65780</v>
      </c>
      <c r="Q592" s="653">
        <v>65920</v>
      </c>
    </row>
    <row r="593" spans="1:17" ht="65.45" customHeight="1" x14ac:dyDescent="0.2">
      <c r="A593" s="1308"/>
      <c r="B593" s="1324" t="s">
        <v>1850</v>
      </c>
      <c r="C593" s="1285"/>
      <c r="D593" s="1285"/>
      <c r="E593" s="1550" t="s">
        <v>1488</v>
      </c>
      <c r="F593" s="1769">
        <v>799082.3</v>
      </c>
      <c r="G593" s="1769">
        <v>804154.6</v>
      </c>
      <c r="H593" s="1769">
        <f>H595+H597</f>
        <v>1394628.7879999997</v>
      </c>
      <c r="I593" s="1769">
        <f t="shared" ref="I593:J593" si="88">I595+I597</f>
        <v>1408268.6879999996</v>
      </c>
      <c r="J593" s="1769">
        <f t="shared" si="88"/>
        <v>1421731.0879999995</v>
      </c>
      <c r="K593" s="134" t="s">
        <v>706</v>
      </c>
      <c r="L593" s="16" t="s">
        <v>283</v>
      </c>
      <c r="M593" s="16">
        <v>39</v>
      </c>
      <c r="N593" s="562">
        <v>128</v>
      </c>
      <c r="O593" s="562">
        <v>204</v>
      </c>
      <c r="P593" s="562">
        <v>255</v>
      </c>
      <c r="Q593" s="562">
        <v>382</v>
      </c>
    </row>
    <row r="594" spans="1:17" ht="90" x14ac:dyDescent="0.2">
      <c r="A594" s="1308"/>
      <c r="B594" s="1326"/>
      <c r="C594" s="1286"/>
      <c r="D594" s="1286"/>
      <c r="E594" s="1551"/>
      <c r="F594" s="1770"/>
      <c r="G594" s="1770"/>
      <c r="H594" s="1770"/>
      <c r="I594" s="1770"/>
      <c r="J594" s="1770"/>
      <c r="K594" s="134" t="s">
        <v>707</v>
      </c>
      <c r="L594" s="16" t="s">
        <v>3</v>
      </c>
      <c r="M594" s="16">
        <v>10</v>
      </c>
      <c r="N594" s="562">
        <v>12</v>
      </c>
      <c r="O594" s="562">
        <v>13</v>
      </c>
      <c r="P594" s="562">
        <v>14</v>
      </c>
      <c r="Q594" s="562">
        <v>15</v>
      </c>
    </row>
    <row r="595" spans="1:17" ht="120" x14ac:dyDescent="0.2">
      <c r="A595" s="1308"/>
      <c r="B595" s="1285"/>
      <c r="C595" s="1285" t="s">
        <v>5</v>
      </c>
      <c r="D595" s="1285"/>
      <c r="E595" s="1482" t="s">
        <v>708</v>
      </c>
      <c r="F595" s="1371">
        <v>787325</v>
      </c>
      <c r="G595" s="1371">
        <v>788368</v>
      </c>
      <c r="H595" s="1371">
        <v>1374519.3879999998</v>
      </c>
      <c r="I595" s="1371">
        <v>1388159.2879999997</v>
      </c>
      <c r="J595" s="1371">
        <v>1399621.6879999996</v>
      </c>
      <c r="K595" s="134" t="s">
        <v>709</v>
      </c>
      <c r="L595" s="16" t="s">
        <v>3</v>
      </c>
      <c r="M595" s="16">
        <v>5</v>
      </c>
      <c r="N595" s="562">
        <v>5.2</v>
      </c>
      <c r="O595" s="562">
        <v>5.5</v>
      </c>
      <c r="P595" s="562">
        <v>5.7</v>
      </c>
      <c r="Q595" s="562">
        <v>6</v>
      </c>
    </row>
    <row r="596" spans="1:17" ht="75" x14ac:dyDescent="0.2">
      <c r="A596" s="1308"/>
      <c r="B596" s="1286"/>
      <c r="C596" s="1286"/>
      <c r="D596" s="1286"/>
      <c r="E596" s="1483"/>
      <c r="F596" s="1372"/>
      <c r="G596" s="1372"/>
      <c r="H596" s="1372"/>
      <c r="I596" s="1372"/>
      <c r="J596" s="1372"/>
      <c r="K596" s="134" t="s">
        <v>1003</v>
      </c>
      <c r="L596" s="16" t="s">
        <v>3</v>
      </c>
      <c r="M596" s="16">
        <v>0.1</v>
      </c>
      <c r="N596" s="562">
        <v>0.3</v>
      </c>
      <c r="O596" s="562">
        <v>0.5</v>
      </c>
      <c r="P596" s="562">
        <v>0.6</v>
      </c>
      <c r="Q596" s="562">
        <v>0.8</v>
      </c>
    </row>
    <row r="597" spans="1:17" ht="30" x14ac:dyDescent="0.25">
      <c r="A597" s="1308"/>
      <c r="B597" s="308"/>
      <c r="C597" s="21" t="s">
        <v>6</v>
      </c>
      <c r="D597" s="308"/>
      <c r="E597" s="376" t="s">
        <v>710</v>
      </c>
      <c r="F597" s="47">
        <v>11757.3</v>
      </c>
      <c r="G597" s="47">
        <v>15786.6</v>
      </c>
      <c r="H597" s="47">
        <v>20109.400000000001</v>
      </c>
      <c r="I597" s="47">
        <v>20109.400000000001</v>
      </c>
      <c r="J597" s="47">
        <v>22109.4</v>
      </c>
      <c r="K597" s="52"/>
      <c r="L597" s="52"/>
      <c r="M597" s="52"/>
      <c r="N597" s="52"/>
      <c r="O597" s="52"/>
      <c r="P597" s="52"/>
      <c r="Q597" s="52"/>
    </row>
    <row r="598" spans="1:17" ht="58.5" x14ac:dyDescent="0.2">
      <c r="A598" s="1308"/>
      <c r="B598" s="45" t="s">
        <v>1851</v>
      </c>
      <c r="C598" s="387"/>
      <c r="D598" s="308"/>
      <c r="E598" s="181" t="s">
        <v>1489</v>
      </c>
      <c r="F598" s="647">
        <v>958676.4</v>
      </c>
      <c r="G598" s="647">
        <v>975900.20000000007</v>
      </c>
      <c r="H598" s="647">
        <f>H599</f>
        <v>1701469.3</v>
      </c>
      <c r="I598" s="647">
        <f t="shared" ref="I598:J598" si="89">I599</f>
        <v>1466204.9000000001</v>
      </c>
      <c r="J598" s="647">
        <f t="shared" si="89"/>
        <v>1480748.7000000002</v>
      </c>
      <c r="K598" s="225"/>
      <c r="L598" s="23"/>
      <c r="M598" s="23"/>
      <c r="N598" s="29"/>
      <c r="O598" s="29"/>
      <c r="P598" s="29"/>
      <c r="Q598" s="657"/>
    </row>
    <row r="599" spans="1:17" ht="75" x14ac:dyDescent="0.25">
      <c r="A599" s="1308"/>
      <c r="B599" s="1480"/>
      <c r="C599" s="1285" t="s">
        <v>5</v>
      </c>
      <c r="D599" s="1285"/>
      <c r="E599" s="1473" t="s">
        <v>711</v>
      </c>
      <c r="F599" s="1371">
        <v>958676.4</v>
      </c>
      <c r="G599" s="1371">
        <v>975900.20000000007</v>
      </c>
      <c r="H599" s="1371">
        <v>1701469.3</v>
      </c>
      <c r="I599" s="1371">
        <v>1466204.9000000001</v>
      </c>
      <c r="J599" s="1371">
        <v>1480748.7000000002</v>
      </c>
      <c r="K599" s="658" t="s">
        <v>712</v>
      </c>
      <c r="L599" s="16" t="s">
        <v>180</v>
      </c>
      <c r="M599" s="310">
        <v>1201</v>
      </c>
      <c r="N599" s="310">
        <v>1300</v>
      </c>
      <c r="O599" s="310">
        <v>1400</v>
      </c>
      <c r="P599" s="310">
        <v>1400</v>
      </c>
      <c r="Q599" s="659">
        <v>1400</v>
      </c>
    </row>
    <row r="600" spans="1:17" ht="30" x14ac:dyDescent="0.2">
      <c r="A600" s="1308"/>
      <c r="B600" s="1481"/>
      <c r="C600" s="1286"/>
      <c r="D600" s="1286"/>
      <c r="E600" s="1475"/>
      <c r="F600" s="1372"/>
      <c r="G600" s="1372"/>
      <c r="H600" s="1372"/>
      <c r="I600" s="1372"/>
      <c r="J600" s="1372"/>
      <c r="K600" s="225" t="s">
        <v>713</v>
      </c>
      <c r="L600" s="23" t="s">
        <v>180</v>
      </c>
      <c r="M600" s="29">
        <v>420</v>
      </c>
      <c r="N600" s="29">
        <v>460</v>
      </c>
      <c r="O600" s="29">
        <v>480</v>
      </c>
      <c r="P600" s="29">
        <v>495</v>
      </c>
      <c r="Q600" s="657">
        <v>520</v>
      </c>
    </row>
    <row r="601" spans="1:17" ht="59.25" x14ac:dyDescent="0.2">
      <c r="A601" s="1308"/>
      <c r="B601" s="660" t="s">
        <v>1852</v>
      </c>
      <c r="C601" s="311"/>
      <c r="D601" s="21"/>
      <c r="E601" s="1263" t="s">
        <v>2028</v>
      </c>
      <c r="F601" s="661">
        <v>5334.2</v>
      </c>
      <c r="G601" s="661">
        <v>39947</v>
      </c>
      <c r="H601" s="661">
        <f>H602</f>
        <v>40708.6</v>
      </c>
      <c r="I601" s="661">
        <f t="shared" ref="I601:J601" si="90">I602</f>
        <v>41125</v>
      </c>
      <c r="J601" s="661">
        <f t="shared" si="90"/>
        <v>41536</v>
      </c>
      <c r="K601" s="221"/>
      <c r="L601" s="16"/>
      <c r="M601" s="193"/>
      <c r="N601" s="193"/>
      <c r="O601" s="193"/>
      <c r="P601" s="193"/>
      <c r="Q601" s="662"/>
    </row>
    <row r="602" spans="1:17" ht="60" x14ac:dyDescent="0.2">
      <c r="A602" s="1308"/>
      <c r="B602" s="1285"/>
      <c r="C602" s="1285" t="s">
        <v>5</v>
      </c>
      <c r="D602" s="1470"/>
      <c r="E602" s="1473" t="s">
        <v>1618</v>
      </c>
      <c r="F602" s="1476">
        <v>5334.2</v>
      </c>
      <c r="G602" s="1371">
        <v>39957</v>
      </c>
      <c r="H602" s="1371">
        <v>40708.6</v>
      </c>
      <c r="I602" s="1371">
        <v>41125</v>
      </c>
      <c r="J602" s="1371">
        <v>41536</v>
      </c>
      <c r="K602" s="225" t="s">
        <v>714</v>
      </c>
      <c r="L602" s="16" t="s">
        <v>669</v>
      </c>
      <c r="M602" s="193">
        <v>0</v>
      </c>
      <c r="N602" s="193">
        <v>3700</v>
      </c>
      <c r="O602" s="193">
        <v>3900</v>
      </c>
      <c r="P602" s="193">
        <v>4100</v>
      </c>
      <c r="Q602" s="663">
        <v>4300</v>
      </c>
    </row>
    <row r="603" spans="1:17" ht="15" x14ac:dyDescent="0.2">
      <c r="A603" s="1308"/>
      <c r="B603" s="1302"/>
      <c r="C603" s="1302"/>
      <c r="D603" s="1471"/>
      <c r="E603" s="1474"/>
      <c r="F603" s="1477"/>
      <c r="G603" s="1479"/>
      <c r="H603" s="1479"/>
      <c r="I603" s="1479"/>
      <c r="J603" s="1479"/>
      <c r="K603" s="225" t="s">
        <v>715</v>
      </c>
      <c r="L603" s="16" t="s">
        <v>3</v>
      </c>
      <c r="M603" s="193">
        <v>0</v>
      </c>
      <c r="N603" s="664">
        <v>4</v>
      </c>
      <c r="O603" s="193">
        <v>4.0999999999999996</v>
      </c>
      <c r="P603" s="193">
        <v>4.2</v>
      </c>
      <c r="Q603" s="663">
        <v>4.3</v>
      </c>
    </row>
    <row r="604" spans="1:17" ht="45" x14ac:dyDescent="0.2">
      <c r="A604" s="1308"/>
      <c r="B604" s="1302"/>
      <c r="C604" s="1302"/>
      <c r="D604" s="1471"/>
      <c r="E604" s="1474"/>
      <c r="F604" s="1477"/>
      <c r="G604" s="1479"/>
      <c r="H604" s="1479"/>
      <c r="I604" s="1479"/>
      <c r="J604" s="1479"/>
      <c r="K604" s="225" t="s">
        <v>716</v>
      </c>
      <c r="L604" s="16" t="s">
        <v>717</v>
      </c>
      <c r="M604" s="193">
        <v>0</v>
      </c>
      <c r="N604" s="193">
        <v>142.80000000000001</v>
      </c>
      <c r="O604" s="664">
        <v>143.1</v>
      </c>
      <c r="P604" s="193">
        <v>143.30000000000001</v>
      </c>
      <c r="Q604" s="663">
        <v>143.5</v>
      </c>
    </row>
    <row r="605" spans="1:17" ht="30" x14ac:dyDescent="0.2">
      <c r="A605" s="1309"/>
      <c r="B605" s="1286"/>
      <c r="C605" s="1286"/>
      <c r="D605" s="1472"/>
      <c r="E605" s="1475"/>
      <c r="F605" s="1478"/>
      <c r="G605" s="1372"/>
      <c r="H605" s="1372"/>
      <c r="I605" s="1372"/>
      <c r="J605" s="1372"/>
      <c r="K605" s="225" t="s">
        <v>1505</v>
      </c>
      <c r="L605" s="16" t="s">
        <v>718</v>
      </c>
      <c r="M605" s="193">
        <v>0</v>
      </c>
      <c r="N605" s="193">
        <v>14820.8</v>
      </c>
      <c r="O605" s="193" t="s">
        <v>719</v>
      </c>
      <c r="P605" s="193" t="s">
        <v>720</v>
      </c>
      <c r="Q605" s="663" t="s">
        <v>721</v>
      </c>
    </row>
    <row r="606" spans="1:17" ht="15" x14ac:dyDescent="0.2">
      <c r="A606" s="1437" t="s">
        <v>1001</v>
      </c>
      <c r="B606" s="1438"/>
      <c r="C606" s="1438"/>
      <c r="D606" s="1438"/>
      <c r="E606" s="1439"/>
      <c r="F606" s="96">
        <v>3434653.1</v>
      </c>
      <c r="G606" s="96">
        <v>3681950.1999999997</v>
      </c>
      <c r="H606" s="96">
        <f>H572+H575+H593+H598+H601</f>
        <v>6517629.1880000001</v>
      </c>
      <c r="I606" s="96">
        <f t="shared" ref="I606:J606" si="91">I572+I575+I593+I598+I601</f>
        <v>6297200.7880000006</v>
      </c>
      <c r="J606" s="96">
        <f t="shared" si="91"/>
        <v>6358053.8880000003</v>
      </c>
      <c r="K606" s="665"/>
      <c r="L606" s="293"/>
      <c r="M606" s="293"/>
      <c r="N606" s="666"/>
      <c r="O606" s="666"/>
      <c r="P606" s="666"/>
      <c r="Q606" s="667"/>
    </row>
    <row r="607" spans="1:17" ht="14.25" x14ac:dyDescent="0.2">
      <c r="A607" s="1312" t="s">
        <v>2031</v>
      </c>
      <c r="B607" s="1313"/>
      <c r="C607" s="1313"/>
      <c r="D607" s="1313"/>
      <c r="E607" s="1313"/>
      <c r="F607" s="1313"/>
      <c r="G607" s="1313"/>
      <c r="H607" s="1313"/>
      <c r="I607" s="1313"/>
      <c r="J607" s="1313"/>
      <c r="K607" s="1313"/>
      <c r="L607" s="1313"/>
      <c r="M607" s="1313"/>
      <c r="N607" s="1313"/>
      <c r="O607" s="1313"/>
      <c r="P607" s="1313"/>
      <c r="Q607" s="1314"/>
    </row>
    <row r="608" spans="1:17" ht="74.25" x14ac:dyDescent="0.2">
      <c r="A608" s="1332">
        <v>45</v>
      </c>
      <c r="B608" s="668" t="s">
        <v>0</v>
      </c>
      <c r="C608" s="668"/>
      <c r="D608" s="668"/>
      <c r="E608" s="605" t="s">
        <v>1763</v>
      </c>
      <c r="F608" s="669">
        <v>129171.6</v>
      </c>
      <c r="G608" s="670">
        <v>129171.63</v>
      </c>
      <c r="H608" s="670">
        <f>H609</f>
        <v>150977.60000000001</v>
      </c>
      <c r="I608" s="670">
        <f t="shared" ref="I608:J608" si="92">I609</f>
        <v>152487.37600000002</v>
      </c>
      <c r="J608" s="670">
        <f t="shared" si="92"/>
        <v>154012.24976000001</v>
      </c>
      <c r="K608" s="671" t="s">
        <v>177</v>
      </c>
      <c r="L608" s="672" t="s">
        <v>722</v>
      </c>
      <c r="M608" s="673">
        <v>48.8</v>
      </c>
      <c r="N608" s="673">
        <v>44.1</v>
      </c>
      <c r="O608" s="673">
        <v>50</v>
      </c>
      <c r="P608" s="673">
        <v>50</v>
      </c>
      <c r="Q608" s="673">
        <v>50</v>
      </c>
    </row>
    <row r="609" spans="1:17" ht="30" x14ac:dyDescent="0.2">
      <c r="A609" s="1333"/>
      <c r="B609" s="674"/>
      <c r="C609" s="674" t="s">
        <v>5</v>
      </c>
      <c r="D609" s="668"/>
      <c r="E609" s="620" t="s">
        <v>25</v>
      </c>
      <c r="F609" s="675">
        <v>129171.63</v>
      </c>
      <c r="G609" s="619">
        <v>129171.63</v>
      </c>
      <c r="H609" s="619">
        <v>150977.60000000001</v>
      </c>
      <c r="I609" s="619">
        <v>152487.37600000002</v>
      </c>
      <c r="J609" s="406">
        <v>154012.24976000001</v>
      </c>
      <c r="K609" s="676" t="s">
        <v>177</v>
      </c>
      <c r="L609" s="677" t="s">
        <v>722</v>
      </c>
      <c r="M609" s="678">
        <v>48.8</v>
      </c>
      <c r="N609" s="678">
        <v>44.1</v>
      </c>
      <c r="O609" s="678">
        <v>50</v>
      </c>
      <c r="P609" s="678">
        <v>50</v>
      </c>
      <c r="Q609" s="678">
        <v>50</v>
      </c>
    </row>
    <row r="610" spans="1:17" ht="117.75" x14ac:dyDescent="0.2">
      <c r="A610" s="1333"/>
      <c r="B610" s="668" t="s">
        <v>1853</v>
      </c>
      <c r="C610" s="674"/>
      <c r="D610" s="674"/>
      <c r="E610" s="605" t="s">
        <v>1764</v>
      </c>
      <c r="F610" s="669">
        <f>F611+F613+F614</f>
        <v>1373639.9</v>
      </c>
      <c r="G610" s="669">
        <f t="shared" ref="G610" si="93">G611+G613+G614</f>
        <v>922824.1</v>
      </c>
      <c r="H610" s="669">
        <f>H611+H613+H614</f>
        <v>2099330.1</v>
      </c>
      <c r="I610" s="669">
        <f t="shared" ref="I610:J610" si="94">I611+I613+I614</f>
        <v>3368743.284</v>
      </c>
      <c r="J610" s="669">
        <f t="shared" si="94"/>
        <v>3325128.0918400004</v>
      </c>
      <c r="K610" s="671" t="s">
        <v>723</v>
      </c>
      <c r="L610" s="679" t="s">
        <v>3</v>
      </c>
      <c r="M610" s="680">
        <v>7</v>
      </c>
      <c r="N610" s="680">
        <v>9</v>
      </c>
      <c r="O610" s="680">
        <v>10</v>
      </c>
      <c r="P610" s="680">
        <v>10</v>
      </c>
      <c r="Q610" s="673">
        <v>10</v>
      </c>
    </row>
    <row r="611" spans="1:17" ht="30" x14ac:dyDescent="0.2">
      <c r="A611" s="1333"/>
      <c r="B611" s="1464"/>
      <c r="C611" s="1464" t="s">
        <v>5</v>
      </c>
      <c r="D611" s="1464"/>
      <c r="E611" s="1396" t="s">
        <v>2029</v>
      </c>
      <c r="F611" s="1448">
        <v>15211.4</v>
      </c>
      <c r="G611" s="1818">
        <v>15407.7</v>
      </c>
      <c r="H611" s="1399">
        <v>17732.3</v>
      </c>
      <c r="I611" s="1399">
        <v>20694.192999999999</v>
      </c>
      <c r="J611" s="1399">
        <v>20901.13493</v>
      </c>
      <c r="K611" s="681" t="s">
        <v>724</v>
      </c>
      <c r="L611" s="678" t="s">
        <v>190</v>
      </c>
      <c r="M611" s="682">
        <v>1393</v>
      </c>
      <c r="N611" s="682">
        <v>2300</v>
      </c>
      <c r="O611" s="682">
        <v>2500</v>
      </c>
      <c r="P611" s="682">
        <v>2500</v>
      </c>
      <c r="Q611" s="641">
        <v>2500</v>
      </c>
    </row>
    <row r="612" spans="1:17" ht="45" x14ac:dyDescent="0.2">
      <c r="A612" s="1333"/>
      <c r="B612" s="1465"/>
      <c r="C612" s="1465"/>
      <c r="D612" s="1465"/>
      <c r="E612" s="1398"/>
      <c r="F612" s="1449"/>
      <c r="G612" s="1819"/>
      <c r="H612" s="1401"/>
      <c r="I612" s="1401"/>
      <c r="J612" s="1401"/>
      <c r="K612" s="676" t="s">
        <v>725</v>
      </c>
      <c r="L612" s="678" t="s">
        <v>3</v>
      </c>
      <c r="M612" s="641" t="s">
        <v>726</v>
      </c>
      <c r="N612" s="641" t="s">
        <v>727</v>
      </c>
      <c r="O612" s="641" t="s">
        <v>727</v>
      </c>
      <c r="P612" s="641" t="s">
        <v>727</v>
      </c>
      <c r="Q612" s="641" t="s">
        <v>727</v>
      </c>
    </row>
    <row r="613" spans="1:17" ht="30" x14ac:dyDescent="0.2">
      <c r="A613" s="1333"/>
      <c r="B613" s="674"/>
      <c r="C613" s="674" t="s">
        <v>6</v>
      </c>
      <c r="D613" s="668"/>
      <c r="E613" s="593" t="s">
        <v>1621</v>
      </c>
      <c r="F613" s="683">
        <v>1343255</v>
      </c>
      <c r="G613" s="619">
        <v>728248</v>
      </c>
      <c r="H613" s="406">
        <v>1901333.7</v>
      </c>
      <c r="I613" s="406">
        <v>3165997.5</v>
      </c>
      <c r="J613" s="406">
        <v>3120370</v>
      </c>
      <c r="K613" s="684" t="s">
        <v>728</v>
      </c>
      <c r="L613" s="678" t="s">
        <v>3</v>
      </c>
      <c r="M613" s="288">
        <v>100</v>
      </c>
      <c r="N613" s="288">
        <v>92</v>
      </c>
      <c r="O613" s="288">
        <v>95</v>
      </c>
      <c r="P613" s="288">
        <v>95</v>
      </c>
      <c r="Q613" s="288">
        <v>95</v>
      </c>
    </row>
    <row r="614" spans="1:17" ht="60" x14ac:dyDescent="0.2">
      <c r="A614" s="1333"/>
      <c r="B614" s="685"/>
      <c r="C614" s="685" t="s">
        <v>4</v>
      </c>
      <c r="D614" s="686"/>
      <c r="E614" s="597" t="s">
        <v>1619</v>
      </c>
      <c r="F614" s="687">
        <v>15173.5</v>
      </c>
      <c r="G614" s="688">
        <v>179168.4</v>
      </c>
      <c r="H614" s="640">
        <v>180264.1</v>
      </c>
      <c r="I614" s="640">
        <v>182051.59099999999</v>
      </c>
      <c r="J614" s="640">
        <v>183856.95691000001</v>
      </c>
      <c r="K614" s="684" t="s">
        <v>1620</v>
      </c>
      <c r="L614" s="678" t="s">
        <v>729</v>
      </c>
      <c r="M614" s="288">
        <v>7</v>
      </c>
      <c r="N614" s="288">
        <v>9</v>
      </c>
      <c r="O614" s="288">
        <v>10</v>
      </c>
      <c r="P614" s="288">
        <v>10</v>
      </c>
      <c r="Q614" s="288">
        <v>10</v>
      </c>
    </row>
    <row r="615" spans="1:17" ht="134.25" x14ac:dyDescent="0.2">
      <c r="A615" s="1333"/>
      <c r="B615" s="668" t="s">
        <v>1854</v>
      </c>
      <c r="C615" s="674"/>
      <c r="D615" s="674"/>
      <c r="E615" s="605" t="s">
        <v>1622</v>
      </c>
      <c r="F615" s="669">
        <f>F616+F618+F620</f>
        <v>1612773</v>
      </c>
      <c r="G615" s="669">
        <f t="shared" ref="G615" si="95">G616+G618+G620</f>
        <v>1649147.9</v>
      </c>
      <c r="H615" s="669">
        <f>H616+H618+H620</f>
        <v>2102111.1999999997</v>
      </c>
      <c r="I615" s="669">
        <f t="shared" ref="I615:J615" si="96">I616+I618+I620</f>
        <v>2110472.5830000001</v>
      </c>
      <c r="J615" s="669">
        <f t="shared" si="96"/>
        <v>2131554.0968300002</v>
      </c>
      <c r="K615" s="671" t="s">
        <v>730</v>
      </c>
      <c r="L615" s="679" t="s">
        <v>190</v>
      </c>
      <c r="M615" s="689" t="s">
        <v>731</v>
      </c>
      <c r="N615" s="689" t="s">
        <v>731</v>
      </c>
      <c r="O615" s="689" t="s">
        <v>732</v>
      </c>
      <c r="P615" s="689" t="s">
        <v>733</v>
      </c>
      <c r="Q615" s="689" t="s">
        <v>734</v>
      </c>
    </row>
    <row r="616" spans="1:17" ht="45" x14ac:dyDescent="0.2">
      <c r="A616" s="1333"/>
      <c r="B616" s="1468"/>
      <c r="C616" s="1468" t="s">
        <v>5</v>
      </c>
      <c r="D616" s="1464"/>
      <c r="E616" s="1396" t="s">
        <v>735</v>
      </c>
      <c r="F616" s="1462">
        <v>413935.6</v>
      </c>
      <c r="G616" s="1399">
        <v>364742.5</v>
      </c>
      <c r="H616" s="1399">
        <v>303672.59999999998</v>
      </c>
      <c r="I616" s="1399">
        <v>402345.82200000004</v>
      </c>
      <c r="J616" s="1399">
        <v>406369.28022000007</v>
      </c>
      <c r="K616" s="676" t="s">
        <v>736</v>
      </c>
      <c r="L616" s="678" t="s">
        <v>190</v>
      </c>
      <c r="M616" s="690" t="s">
        <v>737</v>
      </c>
      <c r="N616" s="690" t="s">
        <v>737</v>
      </c>
      <c r="O616" s="690" t="s">
        <v>738</v>
      </c>
      <c r="P616" s="690" t="s">
        <v>739</v>
      </c>
      <c r="Q616" s="690" t="s">
        <v>740</v>
      </c>
    </row>
    <row r="617" spans="1:17" ht="45" x14ac:dyDescent="0.2">
      <c r="A617" s="1333"/>
      <c r="B617" s="1469"/>
      <c r="C617" s="1469"/>
      <c r="D617" s="1465"/>
      <c r="E617" s="1398"/>
      <c r="F617" s="1463"/>
      <c r="G617" s="1401"/>
      <c r="H617" s="1401"/>
      <c r="I617" s="1401"/>
      <c r="J617" s="1401"/>
      <c r="K617" s="691" t="s">
        <v>1004</v>
      </c>
      <c r="L617" s="678" t="s">
        <v>190</v>
      </c>
      <c r="M617" s="690" t="s">
        <v>741</v>
      </c>
      <c r="N617" s="690" t="s">
        <v>741</v>
      </c>
      <c r="O617" s="690" t="s">
        <v>742</v>
      </c>
      <c r="P617" s="690" t="s">
        <v>743</v>
      </c>
      <c r="Q617" s="690" t="s">
        <v>744</v>
      </c>
    </row>
    <row r="618" spans="1:17" ht="67.5" customHeight="1" x14ac:dyDescent="0.2">
      <c r="A618" s="1333"/>
      <c r="B618" s="1464"/>
      <c r="C618" s="1464" t="s">
        <v>6</v>
      </c>
      <c r="D618" s="1464"/>
      <c r="E618" s="1396" t="s">
        <v>745</v>
      </c>
      <c r="F618" s="1448">
        <v>30115.599999999999</v>
      </c>
      <c r="G618" s="1466">
        <v>76429.100000000006</v>
      </c>
      <c r="H618" s="1399">
        <v>34027.199999999997</v>
      </c>
      <c r="I618" s="1399">
        <v>40593.112000000001</v>
      </c>
      <c r="J618" s="1399">
        <v>40999.043120000002</v>
      </c>
      <c r="K618" s="1334" t="s">
        <v>746</v>
      </c>
      <c r="L618" s="678" t="s">
        <v>3</v>
      </c>
      <c r="M618" s="690" t="s">
        <v>747</v>
      </c>
      <c r="N618" s="690" t="s">
        <v>748</v>
      </c>
      <c r="O618" s="690" t="s">
        <v>749</v>
      </c>
      <c r="P618" s="690" t="s">
        <v>749</v>
      </c>
      <c r="Q618" s="690" t="s">
        <v>749</v>
      </c>
    </row>
    <row r="619" spans="1:17" ht="15" x14ac:dyDescent="0.2">
      <c r="A619" s="1333"/>
      <c r="B619" s="1465"/>
      <c r="C619" s="1465"/>
      <c r="D619" s="1465"/>
      <c r="E619" s="1398"/>
      <c r="F619" s="1449"/>
      <c r="G619" s="1467"/>
      <c r="H619" s="1401"/>
      <c r="I619" s="1401"/>
      <c r="J619" s="1401"/>
      <c r="K619" s="1335"/>
      <c r="L619" s="406" t="s">
        <v>190</v>
      </c>
      <c r="M619" s="641" t="s">
        <v>101</v>
      </c>
      <c r="N619" s="641" t="s">
        <v>750</v>
      </c>
      <c r="O619" s="641" t="s">
        <v>751</v>
      </c>
      <c r="P619" s="641" t="s">
        <v>751</v>
      </c>
      <c r="Q619" s="641" t="s">
        <v>752</v>
      </c>
    </row>
    <row r="620" spans="1:17" ht="45" x14ac:dyDescent="0.2">
      <c r="A620" s="1333"/>
      <c r="B620" s="685"/>
      <c r="C620" s="685" t="s">
        <v>4</v>
      </c>
      <c r="D620" s="685"/>
      <c r="E620" s="597" t="s">
        <v>1623</v>
      </c>
      <c r="F620" s="683">
        <v>1168721.8</v>
      </c>
      <c r="G620" s="619">
        <v>1207976.3</v>
      </c>
      <c r="H620" s="406">
        <v>1764411.4</v>
      </c>
      <c r="I620" s="406">
        <v>1667533.649</v>
      </c>
      <c r="J620" s="406">
        <v>1684185.7734900001</v>
      </c>
      <c r="K620" s="692" t="s">
        <v>753</v>
      </c>
      <c r="L620" s="641" t="s">
        <v>3</v>
      </c>
      <c r="M620" s="641" t="s">
        <v>754</v>
      </c>
      <c r="N620" s="641" t="s">
        <v>755</v>
      </c>
      <c r="O620" s="641" t="s">
        <v>756</v>
      </c>
      <c r="P620" s="641" t="s">
        <v>756</v>
      </c>
      <c r="Q620" s="641" t="s">
        <v>756</v>
      </c>
    </row>
    <row r="621" spans="1:17" ht="162" x14ac:dyDescent="0.2">
      <c r="A621" s="1333"/>
      <c r="B621" s="668" t="s">
        <v>1855</v>
      </c>
      <c r="C621" s="674"/>
      <c r="D621" s="693"/>
      <c r="E621" s="605" t="s">
        <v>1624</v>
      </c>
      <c r="F621" s="669">
        <f>F622+F623</f>
        <v>28417.1</v>
      </c>
      <c r="G621" s="669">
        <f t="shared" ref="G621" si="97">G622+G623</f>
        <v>27409.199999999997</v>
      </c>
      <c r="H621" s="669">
        <f>H622+H623</f>
        <v>35397.800000000003</v>
      </c>
      <c r="I621" s="669">
        <f t="shared" ref="I621:J621" si="98">I622+I623</f>
        <v>46818.472000000002</v>
      </c>
      <c r="J621" s="669">
        <f t="shared" si="98"/>
        <v>47564.156719999999</v>
      </c>
      <c r="K621" s="694" t="s">
        <v>1625</v>
      </c>
      <c r="L621" s="695" t="s">
        <v>190</v>
      </c>
      <c r="M621" s="306" t="s">
        <v>757</v>
      </c>
      <c r="N621" s="306" t="s">
        <v>758</v>
      </c>
      <c r="O621" s="306" t="s">
        <v>759</v>
      </c>
      <c r="P621" s="306" t="s">
        <v>760</v>
      </c>
      <c r="Q621" s="306" t="s">
        <v>760</v>
      </c>
    </row>
    <row r="622" spans="1:17" ht="60" x14ac:dyDescent="0.2">
      <c r="A622" s="1333"/>
      <c r="B622" s="685"/>
      <c r="C622" s="685" t="s">
        <v>5</v>
      </c>
      <c r="D622" s="685"/>
      <c r="E622" s="597" t="s">
        <v>1628</v>
      </c>
      <c r="F622" s="683">
        <v>18179.599999999999</v>
      </c>
      <c r="G622" s="678">
        <v>18184.599999999999</v>
      </c>
      <c r="H622" s="406">
        <v>24312.5</v>
      </c>
      <c r="I622" s="406">
        <v>35062.311000000002</v>
      </c>
      <c r="J622" s="406">
        <v>35456.934110000002</v>
      </c>
      <c r="K622" s="692" t="s">
        <v>761</v>
      </c>
      <c r="L622" s="696" t="s">
        <v>190</v>
      </c>
      <c r="M622" s="641" t="s">
        <v>762</v>
      </c>
      <c r="N622" s="641" t="s">
        <v>763</v>
      </c>
      <c r="O622" s="641" t="s">
        <v>764</v>
      </c>
      <c r="P622" s="641" t="s">
        <v>765</v>
      </c>
      <c r="Q622" s="641" t="s">
        <v>765</v>
      </c>
    </row>
    <row r="623" spans="1:17" ht="75" x14ac:dyDescent="0.2">
      <c r="A623" s="1333"/>
      <c r="B623" s="685"/>
      <c r="C623" s="685" t="s">
        <v>6</v>
      </c>
      <c r="D623" s="685"/>
      <c r="E623" s="597" t="s">
        <v>1626</v>
      </c>
      <c r="F623" s="675">
        <v>10237.5</v>
      </c>
      <c r="G623" s="678">
        <v>9224.6</v>
      </c>
      <c r="H623" s="406">
        <v>11085.3</v>
      </c>
      <c r="I623" s="406">
        <v>11756.161</v>
      </c>
      <c r="J623" s="406">
        <v>12107.222610000001</v>
      </c>
      <c r="K623" s="692" t="s">
        <v>766</v>
      </c>
      <c r="L623" s="641" t="s">
        <v>190</v>
      </c>
      <c r="M623" s="641" t="s">
        <v>767</v>
      </c>
      <c r="N623" s="641" t="s">
        <v>768</v>
      </c>
      <c r="O623" s="641" t="s">
        <v>749</v>
      </c>
      <c r="P623" s="641" t="s">
        <v>749</v>
      </c>
      <c r="Q623" s="641" t="s">
        <v>749</v>
      </c>
    </row>
    <row r="624" spans="1:17" ht="42.75" x14ac:dyDescent="0.2">
      <c r="A624" s="1333"/>
      <c r="B624" s="697" t="s">
        <v>1856</v>
      </c>
      <c r="C624" s="697"/>
      <c r="D624" s="697"/>
      <c r="E624" s="698" t="s">
        <v>769</v>
      </c>
      <c r="F624" s="669">
        <f>F625+F626</f>
        <v>0</v>
      </c>
      <c r="G624" s="669">
        <f t="shared" ref="G624" si="99">G625+G626</f>
        <v>460314</v>
      </c>
      <c r="H624" s="669">
        <f>H625+H626</f>
        <v>3123326.8</v>
      </c>
      <c r="I624" s="669">
        <f t="shared" ref="I624:J624" si="100">I625+I626</f>
        <v>4264821.0920000002</v>
      </c>
      <c r="J624" s="669">
        <f t="shared" si="100"/>
        <v>4409441.3000000007</v>
      </c>
      <c r="K624" s="671" t="s">
        <v>1629</v>
      </c>
      <c r="L624" s="673" t="s">
        <v>190</v>
      </c>
      <c r="M624" s="673">
        <f>(M626+M627)/2</f>
        <v>43.85</v>
      </c>
      <c r="N624" s="673">
        <f>(N626+N627)/2</f>
        <v>43.1</v>
      </c>
      <c r="O624" s="673">
        <f>(O626+O627)/2</f>
        <v>44.5</v>
      </c>
      <c r="P624" s="673">
        <v>89.8</v>
      </c>
      <c r="Q624" s="673">
        <f>Q626+Q627</f>
        <v>90.699999999999989</v>
      </c>
    </row>
    <row r="625" spans="1:17" ht="45" x14ac:dyDescent="0.25">
      <c r="A625" s="1333"/>
      <c r="B625" s="514"/>
      <c r="C625" s="514" t="s">
        <v>5</v>
      </c>
      <c r="D625" s="514"/>
      <c r="E625" s="699" t="s">
        <v>1627</v>
      </c>
      <c r="F625" s="687">
        <v>0</v>
      </c>
      <c r="G625" s="683">
        <v>214229.2</v>
      </c>
      <c r="H625" s="683">
        <v>65974</v>
      </c>
      <c r="I625" s="678">
        <v>70007.792000000001</v>
      </c>
      <c r="J625" s="406">
        <v>70460.899999999994</v>
      </c>
      <c r="K625" s="676" t="s">
        <v>1629</v>
      </c>
      <c r="L625" s="678" t="s">
        <v>190</v>
      </c>
      <c r="M625" s="700">
        <v>43.85</v>
      </c>
      <c r="N625" s="700">
        <v>43.1</v>
      </c>
      <c r="O625" s="700">
        <v>44.5</v>
      </c>
      <c r="P625" s="700">
        <v>89.8</v>
      </c>
      <c r="Q625" s="700">
        <v>90.7</v>
      </c>
    </row>
    <row r="626" spans="1:17" ht="53.25" customHeight="1" x14ac:dyDescent="0.2">
      <c r="A626" s="1333"/>
      <c r="B626" s="1393"/>
      <c r="C626" s="1393" t="s">
        <v>6</v>
      </c>
      <c r="D626" s="1393"/>
      <c r="E626" s="1446" t="s">
        <v>770</v>
      </c>
      <c r="F626" s="1448">
        <v>0</v>
      </c>
      <c r="G626" s="1450">
        <v>246084.8</v>
      </c>
      <c r="H626" s="1450">
        <v>3057352.8</v>
      </c>
      <c r="I626" s="1450">
        <v>4194813.3</v>
      </c>
      <c r="J626" s="1399">
        <v>4338980.4000000004</v>
      </c>
      <c r="K626" s="692" t="s">
        <v>771</v>
      </c>
      <c r="L626" s="678" t="s">
        <v>3</v>
      </c>
      <c r="M626" s="678">
        <v>38.700000000000003</v>
      </c>
      <c r="N626" s="678">
        <v>37.200000000000003</v>
      </c>
      <c r="O626" s="678">
        <v>40</v>
      </c>
      <c r="P626" s="678">
        <v>40.4</v>
      </c>
      <c r="Q626" s="678">
        <v>40.799999999999997</v>
      </c>
    </row>
    <row r="627" spans="1:17" ht="30" x14ac:dyDescent="0.2">
      <c r="A627" s="1333"/>
      <c r="B627" s="1394"/>
      <c r="C627" s="1394"/>
      <c r="D627" s="1394"/>
      <c r="E627" s="1447"/>
      <c r="F627" s="1449"/>
      <c r="G627" s="1450"/>
      <c r="H627" s="1450"/>
      <c r="I627" s="1450"/>
      <c r="J627" s="1401"/>
      <c r="K627" s="692" t="s">
        <v>772</v>
      </c>
      <c r="L627" s="678" t="s">
        <v>3</v>
      </c>
      <c r="M627" s="678">
        <v>49</v>
      </c>
      <c r="N627" s="678">
        <v>49</v>
      </c>
      <c r="O627" s="678">
        <v>49</v>
      </c>
      <c r="P627" s="678">
        <v>49.4</v>
      </c>
      <c r="Q627" s="678">
        <v>49.9</v>
      </c>
    </row>
    <row r="628" spans="1:17" ht="15" x14ac:dyDescent="0.25">
      <c r="A628" s="1437" t="s">
        <v>1001</v>
      </c>
      <c r="B628" s="1438"/>
      <c r="C628" s="1438"/>
      <c r="D628" s="1438"/>
      <c r="E628" s="1439"/>
      <c r="F628" s="701">
        <f>F608+F610+F615+F621+F624</f>
        <v>3144001.6</v>
      </c>
      <c r="G628" s="701">
        <f t="shared" ref="G628" si="101">G608+G610+G615+G621+G624</f>
        <v>3188866.83</v>
      </c>
      <c r="H628" s="701">
        <f>H608+H610+H615+H621+H624</f>
        <v>7511143.5</v>
      </c>
      <c r="I628" s="701">
        <f t="shared" ref="I628:J628" si="102">I608+I610+I615+I621+I624</f>
        <v>9943342.807</v>
      </c>
      <c r="J628" s="701">
        <f t="shared" si="102"/>
        <v>10067699.895150002</v>
      </c>
      <c r="K628" s="702"/>
      <c r="L628" s="703"/>
      <c r="M628" s="703"/>
      <c r="N628" s="703"/>
      <c r="O628" s="703"/>
      <c r="P628" s="703"/>
      <c r="Q628" s="703"/>
    </row>
    <row r="629" spans="1:17" ht="14.25" x14ac:dyDescent="0.2">
      <c r="A629" s="1312" t="s">
        <v>2030</v>
      </c>
      <c r="B629" s="1313"/>
      <c r="C629" s="1313"/>
      <c r="D629" s="1313"/>
      <c r="E629" s="1313"/>
      <c r="F629" s="1313"/>
      <c r="G629" s="1313"/>
      <c r="H629" s="1313"/>
      <c r="I629" s="1313"/>
      <c r="J629" s="1313"/>
      <c r="K629" s="1313"/>
      <c r="L629" s="1313"/>
      <c r="M629" s="1313"/>
      <c r="N629" s="1313"/>
      <c r="O629" s="1313"/>
      <c r="P629" s="1313"/>
      <c r="Q629" s="1314"/>
    </row>
    <row r="630" spans="1:17" ht="75" x14ac:dyDescent="0.2">
      <c r="A630" s="1441">
        <v>46</v>
      </c>
      <c r="B630" s="704" t="s">
        <v>0</v>
      </c>
      <c r="C630" s="704"/>
      <c r="D630" s="704"/>
      <c r="E630" s="1148" t="s">
        <v>1765</v>
      </c>
      <c r="F630" s="706">
        <f>F631</f>
        <v>3062.1</v>
      </c>
      <c r="G630" s="706">
        <f>G631</f>
        <v>3062.1</v>
      </c>
      <c r="H630" s="706">
        <f>H631</f>
        <v>3240.1</v>
      </c>
      <c r="I630" s="706">
        <f>I631</f>
        <v>2733.5</v>
      </c>
      <c r="J630" s="706">
        <f>J631</f>
        <v>2760.6</v>
      </c>
      <c r="K630" s="705" t="s">
        <v>177</v>
      </c>
      <c r="L630" s="706" t="s">
        <v>24</v>
      </c>
      <c r="M630" s="706">
        <v>1</v>
      </c>
      <c r="N630" s="706">
        <v>1</v>
      </c>
      <c r="O630" s="706">
        <v>1</v>
      </c>
      <c r="P630" s="706">
        <v>1</v>
      </c>
      <c r="Q630" s="706">
        <v>1</v>
      </c>
    </row>
    <row r="631" spans="1:17" ht="30" x14ac:dyDescent="0.2">
      <c r="A631" s="1442"/>
      <c r="B631" s="707"/>
      <c r="C631" s="707" t="s">
        <v>5</v>
      </c>
      <c r="D631" s="707"/>
      <c r="E631" s="1149" t="s">
        <v>855</v>
      </c>
      <c r="F631" s="709">
        <v>3062.1</v>
      </c>
      <c r="G631" s="709">
        <v>3062.1</v>
      </c>
      <c r="H631" s="709">
        <v>3240.1</v>
      </c>
      <c r="I631" s="709">
        <v>2733.5</v>
      </c>
      <c r="J631" s="709">
        <v>2760.6</v>
      </c>
      <c r="K631" s="710"/>
      <c r="L631" s="710"/>
      <c r="M631" s="710"/>
      <c r="N631" s="710"/>
      <c r="O631" s="710"/>
      <c r="P631" s="710"/>
      <c r="Q631" s="710"/>
    </row>
    <row r="632" spans="1:17" ht="71.25" x14ac:dyDescent="0.2">
      <c r="A632" s="1442"/>
      <c r="B632" s="711" t="s">
        <v>1857</v>
      </c>
      <c r="C632" s="712"/>
      <c r="D632" s="712"/>
      <c r="E632" s="1148" t="s">
        <v>1630</v>
      </c>
      <c r="F632" s="706">
        <v>11273.4</v>
      </c>
      <c r="G632" s="706">
        <v>11273.4</v>
      </c>
      <c r="H632" s="706">
        <f>H633</f>
        <v>11373.3</v>
      </c>
      <c r="I632" s="706">
        <f t="shared" ref="I632:J632" si="103">I633</f>
        <v>12029.3</v>
      </c>
      <c r="J632" s="706">
        <f t="shared" si="103"/>
        <v>12149.8</v>
      </c>
      <c r="K632" s="708" t="s">
        <v>773</v>
      </c>
      <c r="L632" s="710"/>
      <c r="M632" s="710"/>
      <c r="N632" s="710"/>
      <c r="O632" s="710"/>
      <c r="P632" s="710"/>
      <c r="Q632" s="710"/>
    </row>
    <row r="633" spans="1:17" ht="60" x14ac:dyDescent="0.2">
      <c r="A633" s="1443"/>
      <c r="B633" s="713"/>
      <c r="C633" s="707" t="s">
        <v>5</v>
      </c>
      <c r="D633" s="712"/>
      <c r="E633" s="1149" t="s">
        <v>1630</v>
      </c>
      <c r="F633" s="709">
        <v>11273.4</v>
      </c>
      <c r="G633" s="709">
        <v>11273.4</v>
      </c>
      <c r="H633" s="709">
        <v>11373.3</v>
      </c>
      <c r="I633" s="709">
        <v>12029.3</v>
      </c>
      <c r="J633" s="709">
        <v>12149.8</v>
      </c>
      <c r="K633" s="708"/>
      <c r="L633" s="710"/>
      <c r="M633" s="710"/>
      <c r="N633" s="710"/>
      <c r="O633" s="710"/>
      <c r="P633" s="710"/>
      <c r="Q633" s="710"/>
    </row>
    <row r="634" spans="1:17" ht="15" x14ac:dyDescent="0.25">
      <c r="A634" s="1437" t="s">
        <v>1001</v>
      </c>
      <c r="B634" s="1438"/>
      <c r="C634" s="1438"/>
      <c r="D634" s="1438"/>
      <c r="E634" s="1439"/>
      <c r="F634" s="714">
        <v>14335.5</v>
      </c>
      <c r="G634" s="714">
        <v>14335.5</v>
      </c>
      <c r="H634" s="714">
        <f>H630+H632</f>
        <v>14613.4</v>
      </c>
      <c r="I634" s="714">
        <f t="shared" ref="I634:J634" si="104">I630+I632</f>
        <v>14762.8</v>
      </c>
      <c r="J634" s="714">
        <f t="shared" si="104"/>
        <v>14910.4</v>
      </c>
      <c r="K634" s="715"/>
      <c r="L634" s="1440"/>
      <c r="M634" s="1440"/>
      <c r="N634" s="1440"/>
      <c r="O634" s="1440"/>
      <c r="P634" s="1440"/>
      <c r="Q634" s="1440"/>
    </row>
    <row r="635" spans="1:17" ht="14.25" x14ac:dyDescent="0.2">
      <c r="A635" s="1312" t="s">
        <v>2032</v>
      </c>
      <c r="B635" s="1313"/>
      <c r="C635" s="1313"/>
      <c r="D635" s="1313"/>
      <c r="E635" s="1313"/>
      <c r="F635" s="1313"/>
      <c r="G635" s="1313"/>
      <c r="H635" s="1313"/>
      <c r="I635" s="1313"/>
      <c r="J635" s="1313"/>
      <c r="K635" s="1313"/>
      <c r="L635" s="1313"/>
      <c r="M635" s="1313"/>
      <c r="N635" s="1313"/>
      <c r="O635" s="1313"/>
      <c r="P635" s="1313"/>
      <c r="Q635" s="1314"/>
    </row>
    <row r="636" spans="1:17" ht="88.5" x14ac:dyDescent="0.2">
      <c r="A636" s="1444">
        <v>49</v>
      </c>
      <c r="B636" s="660" t="s">
        <v>1858</v>
      </c>
      <c r="C636" s="549"/>
      <c r="D636" s="549"/>
      <c r="E636" s="1192" t="s">
        <v>1631</v>
      </c>
      <c r="F636" s="1194">
        <v>12032</v>
      </c>
      <c r="G636" s="1194">
        <v>12371.599999999999</v>
      </c>
      <c r="H636" s="1194">
        <f>H637+H638+H639</f>
        <v>14963</v>
      </c>
      <c r="I636" s="1194">
        <f t="shared" ref="I636:J636" si="105">I637+I638+I639</f>
        <v>15116</v>
      </c>
      <c r="J636" s="1194">
        <f t="shared" si="105"/>
        <v>15267</v>
      </c>
      <c r="K636" s="628"/>
      <c r="L636" s="619"/>
      <c r="M636" s="619"/>
      <c r="N636" s="619"/>
      <c r="O636" s="619"/>
      <c r="P636" s="619"/>
      <c r="Q636" s="619"/>
    </row>
    <row r="637" spans="1:17" ht="90" x14ac:dyDescent="0.2">
      <c r="A637" s="1445"/>
      <c r="B637" s="180"/>
      <c r="C637" s="21" t="s">
        <v>5</v>
      </c>
      <c r="D637" s="21"/>
      <c r="E637" s="748" t="s">
        <v>1860</v>
      </c>
      <c r="F637" s="288">
        <v>12032</v>
      </c>
      <c r="G637" s="288">
        <v>1231.5999999999999</v>
      </c>
      <c r="H637" s="288">
        <v>106</v>
      </c>
      <c r="I637" s="288">
        <v>4794.6000000000004</v>
      </c>
      <c r="J637" s="288">
        <v>4794.6000000000004</v>
      </c>
      <c r="K637" s="716" t="s">
        <v>2034</v>
      </c>
      <c r="L637" s="619" t="s">
        <v>283</v>
      </c>
      <c r="M637" s="619">
        <v>450</v>
      </c>
      <c r="N637" s="619">
        <v>450</v>
      </c>
      <c r="O637" s="619">
        <v>450</v>
      </c>
      <c r="P637" s="619">
        <v>450</v>
      </c>
      <c r="Q637" s="619">
        <v>450</v>
      </c>
    </row>
    <row r="638" spans="1:17" ht="30" x14ac:dyDescent="0.2">
      <c r="A638" s="1445"/>
      <c r="B638" s="180"/>
      <c r="C638" s="21" t="s">
        <v>6</v>
      </c>
      <c r="D638" s="21"/>
      <c r="E638" s="748" t="s">
        <v>1861</v>
      </c>
      <c r="F638" s="299"/>
      <c r="G638" s="299"/>
      <c r="H638" s="299">
        <v>4688.6000000000004</v>
      </c>
      <c r="I638" s="299"/>
      <c r="J638" s="299"/>
      <c r="K638" s="1460" t="s">
        <v>2033</v>
      </c>
      <c r="L638" s="619" t="s">
        <v>180</v>
      </c>
      <c r="M638" s="619" t="s">
        <v>774</v>
      </c>
      <c r="N638" s="619" t="s">
        <v>775</v>
      </c>
      <c r="O638" s="619" t="s">
        <v>776</v>
      </c>
      <c r="P638" s="619" t="s">
        <v>777</v>
      </c>
      <c r="Q638" s="619" t="s">
        <v>778</v>
      </c>
    </row>
    <row r="639" spans="1:17" ht="60" x14ac:dyDescent="0.2">
      <c r="A639" s="1445"/>
      <c r="B639" s="388"/>
      <c r="C639" s="311" t="s">
        <v>4</v>
      </c>
      <c r="D639" s="311"/>
      <c r="E639" s="1228" t="s">
        <v>1862</v>
      </c>
      <c r="F639" s="299"/>
      <c r="G639" s="299"/>
      <c r="H639" s="299">
        <v>10168.4</v>
      </c>
      <c r="I639" s="299">
        <v>10321.4</v>
      </c>
      <c r="J639" s="299">
        <v>10472.4</v>
      </c>
      <c r="K639" s="1461"/>
      <c r="L639" s="619"/>
      <c r="M639" s="1202"/>
      <c r="N639" s="619"/>
      <c r="O639" s="619"/>
      <c r="P639" s="619"/>
      <c r="Q639" s="619"/>
    </row>
    <row r="640" spans="1:17" ht="72.75" x14ac:dyDescent="0.2">
      <c r="A640" s="1445"/>
      <c r="B640" s="660" t="s">
        <v>1859</v>
      </c>
      <c r="C640" s="311"/>
      <c r="D640" s="311"/>
      <c r="E640" s="1193" t="s">
        <v>1633</v>
      </c>
      <c r="F640" s="306">
        <v>28008.5</v>
      </c>
      <c r="G640" s="306">
        <v>38008.699999999997</v>
      </c>
      <c r="H640" s="306">
        <f>H641+H642</f>
        <v>38730.800000000003</v>
      </c>
      <c r="I640" s="306">
        <f t="shared" ref="I640:J640" si="106">I641+I642</f>
        <v>39127</v>
      </c>
      <c r="J640" s="306">
        <f t="shared" si="106"/>
        <v>39518</v>
      </c>
      <c r="K640" s="716"/>
      <c r="L640" s="619"/>
      <c r="M640" s="717"/>
      <c r="N640" s="718"/>
      <c r="O640" s="718"/>
      <c r="P640" s="718"/>
      <c r="Q640" s="718"/>
    </row>
    <row r="641" spans="1:17" ht="60" x14ac:dyDescent="0.2">
      <c r="A641" s="1229"/>
      <c r="B641" s="180"/>
      <c r="C641" s="21" t="s">
        <v>5</v>
      </c>
      <c r="D641" s="21"/>
      <c r="E641" s="748" t="s">
        <v>1863</v>
      </c>
      <c r="F641" s="288">
        <v>28088.5</v>
      </c>
      <c r="G641" s="288">
        <v>38008.699999999997</v>
      </c>
      <c r="H641" s="288">
        <v>25037</v>
      </c>
      <c r="I641" s="288">
        <v>25100</v>
      </c>
      <c r="J641" s="288">
        <v>25351</v>
      </c>
      <c r="K641" s="628" t="s">
        <v>779</v>
      </c>
      <c r="L641" s="619" t="s">
        <v>283</v>
      </c>
      <c r="M641" s="717">
        <v>182</v>
      </c>
      <c r="N641" s="718">
        <v>211</v>
      </c>
      <c r="O641" s="718">
        <v>323</v>
      </c>
      <c r="P641" s="718">
        <v>325</v>
      </c>
      <c r="Q641" s="718">
        <v>328</v>
      </c>
    </row>
    <row r="642" spans="1:17" ht="45" x14ac:dyDescent="0.2">
      <c r="A642" s="1229"/>
      <c r="B642" s="180"/>
      <c r="C642" s="21" t="s">
        <v>6</v>
      </c>
      <c r="D642" s="21"/>
      <c r="E642" s="748" t="s">
        <v>1864</v>
      </c>
      <c r="F642" s="288"/>
      <c r="G642" s="288"/>
      <c r="H642" s="288">
        <v>13693.8</v>
      </c>
      <c r="I642" s="288">
        <v>14027</v>
      </c>
      <c r="J642" s="288">
        <v>14167</v>
      </c>
      <c r="K642" s="628" t="s">
        <v>1632</v>
      </c>
      <c r="L642" s="719" t="s">
        <v>780</v>
      </c>
      <c r="M642" s="682">
        <v>121956</v>
      </c>
      <c r="N642" s="682">
        <v>207500</v>
      </c>
      <c r="O642" s="682">
        <v>208642</v>
      </c>
      <c r="P642" s="682">
        <v>209166</v>
      </c>
      <c r="Q642" s="682">
        <v>211258</v>
      </c>
    </row>
    <row r="643" spans="1:17" ht="14.25" x14ac:dyDescent="0.2">
      <c r="A643" s="1437" t="s">
        <v>1001</v>
      </c>
      <c r="B643" s="1438"/>
      <c r="C643" s="1438"/>
      <c r="D643" s="1438"/>
      <c r="E643" s="1439"/>
      <c r="F643" s="666">
        <v>40040.5</v>
      </c>
      <c r="G643" s="666">
        <v>50380.299999999996</v>
      </c>
      <c r="H643" s="666">
        <f>H636+H640</f>
        <v>53693.8</v>
      </c>
      <c r="I643" s="666">
        <f t="shared" ref="I643:J643" si="107">I636+I640</f>
        <v>54243</v>
      </c>
      <c r="J643" s="666">
        <f t="shared" si="107"/>
        <v>54785</v>
      </c>
      <c r="K643" s="630"/>
      <c r="L643" s="1440"/>
      <c r="M643" s="1440"/>
      <c r="N643" s="1440"/>
      <c r="O643" s="1440"/>
      <c r="P643" s="1440"/>
      <c r="Q643" s="1440"/>
    </row>
    <row r="644" spans="1:17" ht="15" x14ac:dyDescent="0.2">
      <c r="A644" s="1287" t="s">
        <v>2046</v>
      </c>
      <c r="B644" s="1287" t="s">
        <v>610</v>
      </c>
      <c r="C644" s="1287"/>
      <c r="D644" s="1287"/>
      <c r="E644" s="1287"/>
      <c r="F644" s="1287"/>
      <c r="G644" s="1287"/>
      <c r="H644" s="1287"/>
      <c r="I644" s="1287"/>
      <c r="J644" s="1287"/>
      <c r="K644" s="1287"/>
      <c r="L644" s="1287"/>
      <c r="M644" s="1287"/>
      <c r="N644" s="1287"/>
      <c r="O644" s="1287"/>
      <c r="P644" s="720"/>
      <c r="Q644" s="720"/>
    </row>
    <row r="645" spans="1:17" ht="15" x14ac:dyDescent="0.2">
      <c r="A645" s="1303">
        <v>50</v>
      </c>
      <c r="B645" s="180" t="s">
        <v>0</v>
      </c>
      <c r="C645" s="180"/>
      <c r="D645" s="721"/>
      <c r="E645" s="181" t="s">
        <v>522</v>
      </c>
      <c r="F645" s="176">
        <v>17193.900000000001</v>
      </c>
      <c r="G645" s="176">
        <v>17193.900000000001</v>
      </c>
      <c r="H645" s="176">
        <v>15216.7</v>
      </c>
      <c r="I645" s="176">
        <v>15372.4</v>
      </c>
      <c r="J645" s="176">
        <v>15526</v>
      </c>
      <c r="K645" s="178" t="s">
        <v>177</v>
      </c>
      <c r="L645" s="23" t="s">
        <v>191</v>
      </c>
      <c r="M645" s="225">
        <v>100</v>
      </c>
      <c r="N645" s="722">
        <v>100</v>
      </c>
      <c r="O645" s="722">
        <v>100</v>
      </c>
      <c r="P645" s="722">
        <v>100</v>
      </c>
      <c r="Q645" s="722">
        <v>100</v>
      </c>
    </row>
    <row r="646" spans="1:17" ht="30" x14ac:dyDescent="0.2">
      <c r="A646" s="1303"/>
      <c r="B646" s="388"/>
      <c r="C646" s="311" t="s">
        <v>5</v>
      </c>
      <c r="D646" s="723"/>
      <c r="E646" s="178" t="s">
        <v>1634</v>
      </c>
      <c r="F646" s="22">
        <v>17193.900000000001</v>
      </c>
      <c r="G646" s="22">
        <v>17193.900000000001</v>
      </c>
      <c r="H646" s="22">
        <v>15216.7</v>
      </c>
      <c r="I646" s="22">
        <v>15372.4</v>
      </c>
      <c r="J646" s="22">
        <v>15526</v>
      </c>
      <c r="K646" s="545"/>
      <c r="L646" s="545"/>
      <c r="M646" s="545"/>
      <c r="N646" s="545"/>
      <c r="O646" s="545"/>
      <c r="P646" s="545"/>
      <c r="Q646" s="545"/>
    </row>
    <row r="647" spans="1:17" ht="28.5" x14ac:dyDescent="0.2">
      <c r="A647" s="1303"/>
      <c r="B647" s="388" t="s">
        <v>1866</v>
      </c>
      <c r="C647" s="311"/>
      <c r="D647" s="723"/>
      <c r="E647" s="181" t="s">
        <v>781</v>
      </c>
      <c r="F647" s="646">
        <v>3086.4</v>
      </c>
      <c r="G647" s="646">
        <v>6557.7</v>
      </c>
      <c r="H647" s="646">
        <f>H648</f>
        <v>20396.3</v>
      </c>
      <c r="I647" s="646">
        <f t="shared" ref="I647:J647" si="108">I648</f>
        <v>20897.8</v>
      </c>
      <c r="J647" s="646">
        <f t="shared" si="108"/>
        <v>21296.6</v>
      </c>
      <c r="K647" s="1340" t="s">
        <v>782</v>
      </c>
      <c r="L647" s="1305" t="s">
        <v>515</v>
      </c>
      <c r="M647" s="1305">
        <v>5187</v>
      </c>
      <c r="N647" s="1305">
        <v>7000</v>
      </c>
      <c r="O647" s="1305">
        <v>10000</v>
      </c>
      <c r="P647" s="1305">
        <v>15000</v>
      </c>
      <c r="Q647" s="1305">
        <v>20000</v>
      </c>
    </row>
    <row r="648" spans="1:17" ht="30" x14ac:dyDescent="0.2">
      <c r="A648" s="1304"/>
      <c r="B648" s="180"/>
      <c r="C648" s="21" t="s">
        <v>5</v>
      </c>
      <c r="D648" s="721"/>
      <c r="E648" s="178" t="s">
        <v>781</v>
      </c>
      <c r="F648" s="336">
        <v>3086.4</v>
      </c>
      <c r="G648" s="336">
        <v>6557.7</v>
      </c>
      <c r="H648" s="336">
        <f>19696.3+700</f>
        <v>20396.3</v>
      </c>
      <c r="I648" s="336">
        <f>19897.8+1000</f>
        <v>20897.8</v>
      </c>
      <c r="J648" s="336">
        <f>20096.6+1200</f>
        <v>21296.6</v>
      </c>
      <c r="K648" s="1341"/>
      <c r="L648" s="1306"/>
      <c r="M648" s="1306"/>
      <c r="N648" s="1306"/>
      <c r="O648" s="1306"/>
      <c r="P648" s="1306"/>
      <c r="Q648" s="1306"/>
    </row>
    <row r="649" spans="1:17" ht="14.25" x14ac:dyDescent="0.2">
      <c r="A649" s="1457" t="s">
        <v>1002</v>
      </c>
      <c r="B649" s="1458"/>
      <c r="C649" s="1458"/>
      <c r="D649" s="1458"/>
      <c r="E649" s="1459"/>
      <c r="F649" s="724">
        <v>26341.7</v>
      </c>
      <c r="G649" s="724">
        <v>31765.100000000002</v>
      </c>
      <c r="H649" s="391">
        <f>H645+H647</f>
        <v>35613</v>
      </c>
      <c r="I649" s="391">
        <f>I645+I647</f>
        <v>36270.199999999997</v>
      </c>
      <c r="J649" s="391">
        <f t="shared" ref="J649" si="109">J645+J647</f>
        <v>36822.6</v>
      </c>
      <c r="K649" s="630"/>
      <c r="L649" s="1440"/>
      <c r="M649" s="1440"/>
      <c r="N649" s="1440"/>
      <c r="O649" s="1440"/>
      <c r="P649" s="1440"/>
      <c r="Q649" s="1440"/>
    </row>
    <row r="650" spans="1:17" ht="14.25" x14ac:dyDescent="0.2">
      <c r="A650" s="1277" t="s">
        <v>2045</v>
      </c>
      <c r="B650" s="1278"/>
      <c r="C650" s="1278"/>
      <c r="D650" s="1278"/>
      <c r="E650" s="1278"/>
      <c r="F650" s="1278"/>
      <c r="G650" s="1278"/>
      <c r="H650" s="1278"/>
      <c r="I650" s="1278"/>
      <c r="J650" s="1278"/>
      <c r="K650" s="1278"/>
      <c r="L650" s="1278"/>
      <c r="M650" s="1278"/>
      <c r="N650" s="1278"/>
      <c r="O650" s="1278"/>
      <c r="P650" s="1278"/>
      <c r="Q650" s="1279"/>
    </row>
    <row r="651" spans="1:17" ht="15" x14ac:dyDescent="0.25">
      <c r="A651" s="1307" t="s">
        <v>784</v>
      </c>
      <c r="B651" s="725" t="s">
        <v>0</v>
      </c>
      <c r="C651" s="726"/>
      <c r="D651" s="727"/>
      <c r="E651" s="181" t="s">
        <v>522</v>
      </c>
      <c r="F651" s="104">
        <v>44592.6</v>
      </c>
      <c r="G651" s="104">
        <v>31137.200000000001</v>
      </c>
      <c r="H651" s="104">
        <v>37537.699999999997</v>
      </c>
      <c r="I651" s="104">
        <v>38132.5</v>
      </c>
      <c r="J651" s="104">
        <v>38711.5</v>
      </c>
      <c r="K651" s="25"/>
      <c r="L651" s="457"/>
      <c r="M651" s="457"/>
      <c r="N651" s="457"/>
      <c r="O651" s="457"/>
      <c r="P651" s="457"/>
      <c r="Q651" s="457"/>
    </row>
    <row r="652" spans="1:17" ht="60" x14ac:dyDescent="0.2">
      <c r="A652" s="1308"/>
      <c r="B652" s="728"/>
      <c r="C652" s="311" t="s">
        <v>5</v>
      </c>
      <c r="D652" s="728"/>
      <c r="E652" s="178" t="s">
        <v>1634</v>
      </c>
      <c r="F652" s="729">
        <v>44592.6</v>
      </c>
      <c r="G652" s="729">
        <v>31137.200000000001</v>
      </c>
      <c r="H652" s="487">
        <v>37537.699999999997</v>
      </c>
      <c r="I652" s="487">
        <v>38132.5</v>
      </c>
      <c r="J652" s="487">
        <v>38711.5</v>
      </c>
      <c r="K652" s="95" t="s">
        <v>785</v>
      </c>
      <c r="L652" s="458" t="s">
        <v>2</v>
      </c>
      <c r="M652" s="562"/>
      <c r="N652" s="197">
        <v>3</v>
      </c>
      <c r="O652" s="197">
        <v>10</v>
      </c>
      <c r="P652" s="197">
        <v>20</v>
      </c>
      <c r="Q652" s="197">
        <v>30</v>
      </c>
    </row>
    <row r="653" spans="1:17" ht="88.5" x14ac:dyDescent="0.2">
      <c r="A653" s="1308"/>
      <c r="B653" s="725">
        <v>572</v>
      </c>
      <c r="C653" s="730"/>
      <c r="D653" s="727"/>
      <c r="E653" s="456" t="s">
        <v>1490</v>
      </c>
      <c r="F653" s="470">
        <v>0</v>
      </c>
      <c r="G653" s="470">
        <v>19669.2</v>
      </c>
      <c r="H653" s="470">
        <v>20838.300000000003</v>
      </c>
      <c r="I653" s="470">
        <v>20840.599999999999</v>
      </c>
      <c r="J653" s="470">
        <v>20850.900000000001</v>
      </c>
      <c r="K653" s="457" t="s">
        <v>786</v>
      </c>
      <c r="L653" s="458" t="s">
        <v>787</v>
      </c>
      <c r="M653" s="197">
        <v>1</v>
      </c>
      <c r="N653" s="197">
        <v>0.6</v>
      </c>
      <c r="O653" s="197">
        <v>1.2</v>
      </c>
      <c r="P653" s="197">
        <v>1.5</v>
      </c>
      <c r="Q653" s="197">
        <v>1.7</v>
      </c>
    </row>
    <row r="654" spans="1:17" ht="30" x14ac:dyDescent="0.25">
      <c r="A654" s="1308"/>
      <c r="B654" s="1284"/>
      <c r="C654" s="1285" t="s">
        <v>5</v>
      </c>
      <c r="D654" s="1451"/>
      <c r="E654" s="1453" t="s">
        <v>1635</v>
      </c>
      <c r="F654" s="1455"/>
      <c r="G654" s="1455">
        <v>19669.2</v>
      </c>
      <c r="H654" s="1455">
        <v>16643.2</v>
      </c>
      <c r="I654" s="1455">
        <v>16645.5</v>
      </c>
      <c r="J654" s="1455">
        <v>16655.8</v>
      </c>
      <c r="K654" s="457" t="s">
        <v>788</v>
      </c>
      <c r="L654" s="458" t="s">
        <v>1</v>
      </c>
      <c r="M654" s="731">
        <v>3</v>
      </c>
      <c r="N654" s="731">
        <v>2</v>
      </c>
      <c r="O654" s="731">
        <v>3</v>
      </c>
      <c r="P654" s="731">
        <v>3</v>
      </c>
      <c r="Q654" s="731">
        <v>5</v>
      </c>
    </row>
    <row r="655" spans="1:17" ht="30" x14ac:dyDescent="0.25">
      <c r="A655" s="1308"/>
      <c r="B655" s="1284"/>
      <c r="C655" s="1286"/>
      <c r="D655" s="1452"/>
      <c r="E655" s="1454"/>
      <c r="F655" s="1456"/>
      <c r="G655" s="1456"/>
      <c r="H655" s="1456"/>
      <c r="I655" s="1456"/>
      <c r="J655" s="1456"/>
      <c r="K655" s="457" t="s">
        <v>789</v>
      </c>
      <c r="L655" s="458" t="s">
        <v>3</v>
      </c>
      <c r="M655" s="731">
        <v>55</v>
      </c>
      <c r="N655" s="731">
        <v>60</v>
      </c>
      <c r="O655" s="731">
        <v>70</v>
      </c>
      <c r="P655" s="731">
        <v>80</v>
      </c>
      <c r="Q655" s="731">
        <v>90</v>
      </c>
    </row>
    <row r="656" spans="1:17" ht="30" x14ac:dyDescent="0.2">
      <c r="A656" s="1309"/>
      <c r="B656" s="732"/>
      <c r="C656" s="46" t="s">
        <v>6</v>
      </c>
      <c r="D656" s="733"/>
      <c r="E656" s="488" t="s">
        <v>1636</v>
      </c>
      <c r="F656" s="487"/>
      <c r="G656" s="487"/>
      <c r="H656" s="487">
        <v>4195.1000000000004</v>
      </c>
      <c r="I656" s="487">
        <v>4195.1000000000004</v>
      </c>
      <c r="J656" s="487">
        <v>4195.1000000000004</v>
      </c>
      <c r="K656" s="734" t="s">
        <v>790</v>
      </c>
      <c r="L656" s="458" t="s">
        <v>791</v>
      </c>
      <c r="M656" s="16">
        <v>3.2</v>
      </c>
      <c r="N656" s="562">
        <v>11.7</v>
      </c>
      <c r="O656" s="562">
        <v>12</v>
      </c>
      <c r="P656" s="562">
        <v>12</v>
      </c>
      <c r="Q656" s="562">
        <v>12</v>
      </c>
    </row>
    <row r="657" spans="1:17" ht="15" x14ac:dyDescent="0.2">
      <c r="A657" s="735" t="s">
        <v>1002</v>
      </c>
      <c r="B657" s="735"/>
      <c r="C657" s="735"/>
      <c r="D657" s="735"/>
      <c r="E657" s="736"/>
      <c r="F657" s="391">
        <v>44592.6</v>
      </c>
      <c r="G657" s="391">
        <v>50806.400000000001</v>
      </c>
      <c r="H657" s="391">
        <v>58376</v>
      </c>
      <c r="I657" s="391">
        <v>58973.1</v>
      </c>
      <c r="J657" s="391">
        <v>59562.400000000001</v>
      </c>
      <c r="K657" s="1274"/>
      <c r="L657" s="1275"/>
      <c r="M657" s="1275"/>
      <c r="N657" s="1275"/>
      <c r="O657" s="1275"/>
      <c r="P657" s="1276"/>
      <c r="Q657" s="737"/>
    </row>
    <row r="658" spans="1:17" ht="14.25" x14ac:dyDescent="0.2">
      <c r="A658" s="1277" t="s">
        <v>2044</v>
      </c>
      <c r="B658" s="1278"/>
      <c r="C658" s="1278"/>
      <c r="D658" s="1278"/>
      <c r="E658" s="1278"/>
      <c r="F658" s="1278"/>
      <c r="G658" s="1278"/>
      <c r="H658" s="1278"/>
      <c r="I658" s="1278"/>
      <c r="J658" s="1278"/>
      <c r="K658" s="1278"/>
      <c r="L658" s="1278"/>
      <c r="M658" s="1278"/>
      <c r="N658" s="1278"/>
      <c r="O658" s="1278"/>
      <c r="P658" s="1278"/>
      <c r="Q658" s="1279"/>
    </row>
    <row r="659" spans="1:17" ht="164.25" x14ac:dyDescent="0.25">
      <c r="A659" s="1283">
        <v>58</v>
      </c>
      <c r="B659" s="738" t="s">
        <v>0</v>
      </c>
      <c r="C659" s="739"/>
      <c r="D659" s="740"/>
      <c r="E659" s="605" t="s">
        <v>1491</v>
      </c>
      <c r="F659" s="741">
        <f>F660</f>
        <v>0</v>
      </c>
      <c r="G659" s="741">
        <v>19046</v>
      </c>
      <c r="H659" s="742">
        <v>19046</v>
      </c>
      <c r="I659" s="742">
        <v>19240.8</v>
      </c>
      <c r="J659" s="742">
        <v>19433.099999999999</v>
      </c>
      <c r="K659" s="25"/>
      <c r="L659" s="29"/>
      <c r="M659" s="29"/>
      <c r="N659" s="29"/>
      <c r="O659" s="29"/>
      <c r="P659" s="29"/>
      <c r="Q659" s="29"/>
    </row>
    <row r="660" spans="1:17" ht="105" x14ac:dyDescent="0.25">
      <c r="A660" s="1283"/>
      <c r="B660" s="740"/>
      <c r="C660" s="407" t="s">
        <v>5</v>
      </c>
      <c r="D660" s="740"/>
      <c r="E660" s="743" t="s">
        <v>793</v>
      </c>
      <c r="F660" s="744"/>
      <c r="G660" s="744">
        <f>G659</f>
        <v>19046</v>
      </c>
      <c r="H660" s="745">
        <f>H659</f>
        <v>19046</v>
      </c>
      <c r="I660" s="746">
        <f>I659</f>
        <v>19240.8</v>
      </c>
      <c r="J660" s="746">
        <f>J659</f>
        <v>19433.099999999999</v>
      </c>
      <c r="K660" s="405" t="s">
        <v>792</v>
      </c>
      <c r="L660" s="637" t="s">
        <v>3</v>
      </c>
      <c r="M660" s="747">
        <v>0</v>
      </c>
      <c r="N660" s="748">
        <v>90</v>
      </c>
      <c r="O660" s="748">
        <v>100</v>
      </c>
      <c r="P660" s="748">
        <v>90</v>
      </c>
      <c r="Q660" s="748">
        <v>90</v>
      </c>
    </row>
    <row r="661" spans="1:17" ht="15" x14ac:dyDescent="0.2">
      <c r="A661" s="735" t="s">
        <v>1002</v>
      </c>
      <c r="B661" s="735"/>
      <c r="C661" s="735"/>
      <c r="D661" s="735"/>
      <c r="E661" s="736"/>
      <c r="F661" s="749"/>
      <c r="G661" s="749">
        <f>G659</f>
        <v>19046</v>
      </c>
      <c r="H661" s="749">
        <f>H659</f>
        <v>19046</v>
      </c>
      <c r="I661" s="749">
        <f>I659</f>
        <v>19240.8</v>
      </c>
      <c r="J661" s="749">
        <f>J659</f>
        <v>19433.099999999999</v>
      </c>
      <c r="K661" s="1274"/>
      <c r="L661" s="1275"/>
      <c r="M661" s="1275"/>
      <c r="N661" s="1275"/>
      <c r="O661" s="1275"/>
      <c r="P661" s="1276"/>
      <c r="Q661" s="737"/>
    </row>
    <row r="662" spans="1:17" ht="15" thickBot="1" x14ac:dyDescent="0.25">
      <c r="A662" s="1277" t="s">
        <v>2043</v>
      </c>
      <c r="B662" s="1278"/>
      <c r="C662" s="1278"/>
      <c r="D662" s="1278"/>
      <c r="E662" s="1278"/>
      <c r="F662" s="1278"/>
      <c r="G662" s="1278"/>
      <c r="H662" s="1278"/>
      <c r="I662" s="1278"/>
      <c r="J662" s="1278"/>
      <c r="K662" s="1278"/>
      <c r="L662" s="1278"/>
      <c r="M662" s="1278"/>
      <c r="N662" s="1278"/>
      <c r="O662" s="1278"/>
      <c r="P662" s="1278"/>
      <c r="Q662" s="1279"/>
    </row>
    <row r="663" spans="1:17" ht="74.25" x14ac:dyDescent="0.2">
      <c r="A663" s="1415">
        <v>59</v>
      </c>
      <c r="B663" s="750" t="s">
        <v>0</v>
      </c>
      <c r="C663" s="751"/>
      <c r="D663" s="752"/>
      <c r="E663" s="753" t="s">
        <v>2035</v>
      </c>
      <c r="F663" s="754">
        <f>F664+F665</f>
        <v>54464</v>
      </c>
      <c r="G663" s="754">
        <f t="shared" ref="G663:J663" si="110">G664+G665</f>
        <v>54464</v>
      </c>
      <c r="H663" s="754">
        <f t="shared" si="110"/>
        <v>61758.1</v>
      </c>
      <c r="I663" s="754">
        <f t="shared" si="110"/>
        <v>62389.75222542898</v>
      </c>
      <c r="J663" s="754">
        <f t="shared" si="110"/>
        <v>63013.161781667179</v>
      </c>
      <c r="K663" s="755" t="s">
        <v>177</v>
      </c>
      <c r="L663" s="754" t="s">
        <v>3</v>
      </c>
      <c r="M663" s="754">
        <v>35.799999999999997</v>
      </c>
      <c r="N663" s="754">
        <v>35.9</v>
      </c>
      <c r="O663" s="754">
        <v>36</v>
      </c>
      <c r="P663" s="754">
        <v>36.1</v>
      </c>
      <c r="Q663" s="754">
        <v>36.200000000000003</v>
      </c>
    </row>
    <row r="664" spans="1:17" ht="105" x14ac:dyDescent="0.2">
      <c r="A664" s="1415"/>
      <c r="B664" s="756"/>
      <c r="C664" s="757" t="s">
        <v>5</v>
      </c>
      <c r="D664" s="758"/>
      <c r="E664" s="618" t="s">
        <v>793</v>
      </c>
      <c r="F664" s="759">
        <v>29243.599999999999</v>
      </c>
      <c r="G664" s="759">
        <v>29243.599999999999</v>
      </c>
      <c r="H664" s="759">
        <f>460+616.5+1464.6+150+438.5+1667.9+1072.4+26338.4+3850.2</f>
        <v>36058.5</v>
      </c>
      <c r="I664" s="759">
        <f>H664*'[1]Смета 2023-2025 гг..'!$K$53</f>
        <v>36427.300720401545</v>
      </c>
      <c r="J664" s="759">
        <f>H664*'[1]Смета 2023-2025 гг..'!$K$60</f>
        <v>36791.288820482594</v>
      </c>
      <c r="K664" s="760" t="s">
        <v>794</v>
      </c>
      <c r="L664" s="759" t="s">
        <v>3</v>
      </c>
      <c r="M664" s="759">
        <v>90</v>
      </c>
      <c r="N664" s="761">
        <v>91</v>
      </c>
      <c r="O664" s="759">
        <v>92</v>
      </c>
      <c r="P664" s="759">
        <v>93</v>
      </c>
      <c r="Q664" s="759">
        <v>94</v>
      </c>
    </row>
    <row r="665" spans="1:17" ht="105" x14ac:dyDescent="0.2">
      <c r="A665" s="1415"/>
      <c r="B665" s="756"/>
      <c r="C665" s="762" t="s">
        <v>6</v>
      </c>
      <c r="D665" s="758"/>
      <c r="E665" s="618" t="s">
        <v>1637</v>
      </c>
      <c r="F665" s="759">
        <v>25220.400000000001</v>
      </c>
      <c r="G665" s="759">
        <v>25220.400000000001</v>
      </c>
      <c r="H665" s="759">
        <v>25699.599999999999</v>
      </c>
      <c r="I665" s="759">
        <f>H665*'[1]Смета 2023-2025 гг..'!$K$53</f>
        <v>25962.451505027431</v>
      </c>
      <c r="J665" s="759">
        <f>H665*'[1]Смета 2023-2025 гг..'!$K$60</f>
        <v>26221.872961184588</v>
      </c>
      <c r="K665" s="760" t="s">
        <v>794</v>
      </c>
      <c r="L665" s="759" t="s">
        <v>3</v>
      </c>
      <c r="M665" s="759">
        <v>90</v>
      </c>
      <c r="N665" s="759">
        <v>91</v>
      </c>
      <c r="O665" s="759">
        <v>92</v>
      </c>
      <c r="P665" s="759">
        <v>93</v>
      </c>
      <c r="Q665" s="759">
        <v>94</v>
      </c>
    </row>
    <row r="666" spans="1:17" ht="99.75" x14ac:dyDescent="0.2">
      <c r="A666" s="1415"/>
      <c r="B666" s="763" t="s">
        <v>1865</v>
      </c>
      <c r="C666" s="764"/>
      <c r="D666" s="762"/>
      <c r="E666" s="753" t="s">
        <v>1867</v>
      </c>
      <c r="F666" s="754">
        <f>F667+F668+F673+F675+F676</f>
        <v>13758.599999999999</v>
      </c>
      <c r="G666" s="754">
        <f t="shared" ref="G666:J666" si="111">G667+G668+G673+G675+G676</f>
        <v>13758.599999999999</v>
      </c>
      <c r="H666" s="754">
        <f>H667+H668+H673+H675+H676</f>
        <v>20842.8</v>
      </c>
      <c r="I666" s="754">
        <f t="shared" si="111"/>
        <v>21055.976911274331</v>
      </c>
      <c r="J666" s="754">
        <f t="shared" si="111"/>
        <v>21266.371996271464</v>
      </c>
      <c r="K666" s="755" t="s">
        <v>795</v>
      </c>
      <c r="L666" s="759" t="s">
        <v>3</v>
      </c>
      <c r="M666" s="759">
        <v>100</v>
      </c>
      <c r="N666" s="759">
        <v>100</v>
      </c>
      <c r="O666" s="759">
        <v>100</v>
      </c>
      <c r="P666" s="759">
        <v>100</v>
      </c>
      <c r="Q666" s="759">
        <v>100</v>
      </c>
    </row>
    <row r="667" spans="1:17" ht="60" x14ac:dyDescent="0.2">
      <c r="A667" s="1415"/>
      <c r="B667" s="1230"/>
      <c r="C667" s="757" t="s">
        <v>5</v>
      </c>
      <c r="D667" s="765"/>
      <c r="E667" s="766" t="s">
        <v>796</v>
      </c>
      <c r="F667" s="767">
        <v>3864.1</v>
      </c>
      <c r="G667" s="767">
        <f>F667</f>
        <v>3864.1</v>
      </c>
      <c r="H667" s="759">
        <f>100+200+62.2+175.4+700+112.8+160.7+3068.2+1272.6</f>
        <v>5851.9</v>
      </c>
      <c r="I667" s="759">
        <f>H667*'[1]Смета 2023-2025 гг..'!$K$53</f>
        <v>5911.7523215252386</v>
      </c>
      <c r="J667" s="759">
        <f>H667*'[1]Смета 2023-2025 гг..'!$K$60</f>
        <v>5970.8236074318702</v>
      </c>
      <c r="K667" s="768" t="s">
        <v>797</v>
      </c>
      <c r="L667" s="759" t="s">
        <v>3</v>
      </c>
      <c r="M667" s="759">
        <v>99.1</v>
      </c>
      <c r="N667" s="759">
        <v>99.2</v>
      </c>
      <c r="O667" s="759">
        <v>99.3</v>
      </c>
      <c r="P667" s="759">
        <v>99.4</v>
      </c>
      <c r="Q667" s="759">
        <v>99.5</v>
      </c>
    </row>
    <row r="668" spans="1:17" ht="105" x14ac:dyDescent="0.2">
      <c r="A668" s="1415"/>
      <c r="B668" s="763"/>
      <c r="C668" s="1428" t="s">
        <v>6</v>
      </c>
      <c r="D668" s="1434"/>
      <c r="E668" s="1420" t="s">
        <v>798</v>
      </c>
      <c r="F668" s="1280">
        <v>2421</v>
      </c>
      <c r="G668" s="1280">
        <v>2421</v>
      </c>
      <c r="H668" s="1280">
        <f>100+60+41.2+116.8+3943+1931.2+333.1</f>
        <v>6525.3</v>
      </c>
      <c r="I668" s="1280">
        <f>H668*'[1]Смета 2023-2025 гг..'!$K$53</f>
        <v>6592.0397518154177</v>
      </c>
      <c r="J668" s="1280">
        <f>H668*'[1]Смета 2023-2025 гг..'!$K$60</f>
        <v>6657.908591325071</v>
      </c>
      <c r="K668" s="768" t="s">
        <v>799</v>
      </c>
      <c r="L668" s="759" t="s">
        <v>3</v>
      </c>
      <c r="M668" s="759">
        <v>20</v>
      </c>
      <c r="N668" s="759">
        <v>50</v>
      </c>
      <c r="O668" s="759">
        <v>97</v>
      </c>
      <c r="P668" s="759">
        <v>98</v>
      </c>
      <c r="Q668" s="759">
        <v>100</v>
      </c>
    </row>
    <row r="669" spans="1:17" ht="120" x14ac:dyDescent="0.2">
      <c r="A669" s="1415"/>
      <c r="B669" s="769"/>
      <c r="C669" s="1429"/>
      <c r="D669" s="1435"/>
      <c r="E669" s="1421"/>
      <c r="F669" s="1281"/>
      <c r="G669" s="1281"/>
      <c r="H669" s="1281"/>
      <c r="I669" s="1281"/>
      <c r="J669" s="1281"/>
      <c r="K669" s="768" t="s">
        <v>800</v>
      </c>
      <c r="L669" s="770" t="s">
        <v>3</v>
      </c>
      <c r="M669" s="770">
        <v>0</v>
      </c>
      <c r="N669" s="770">
        <v>50</v>
      </c>
      <c r="O669" s="770">
        <v>80</v>
      </c>
      <c r="P669" s="770">
        <v>95</v>
      </c>
      <c r="Q669" s="770">
        <v>98</v>
      </c>
    </row>
    <row r="670" spans="1:17" ht="105" x14ac:dyDescent="0.2">
      <c r="A670" s="1415"/>
      <c r="B670" s="769"/>
      <c r="C670" s="1429"/>
      <c r="D670" s="1435"/>
      <c r="E670" s="1421"/>
      <c r="F670" s="1281"/>
      <c r="G670" s="1281"/>
      <c r="H670" s="1281"/>
      <c r="I670" s="1281"/>
      <c r="J670" s="1281"/>
      <c r="K670" s="768" t="s">
        <v>801</v>
      </c>
      <c r="L670" s="770" t="s">
        <v>3</v>
      </c>
      <c r="M670" s="770">
        <v>0</v>
      </c>
      <c r="N670" s="770">
        <v>0</v>
      </c>
      <c r="O670" s="770">
        <v>0</v>
      </c>
      <c r="P670" s="770">
        <v>30</v>
      </c>
      <c r="Q670" s="770">
        <v>80</v>
      </c>
    </row>
    <row r="671" spans="1:17" ht="105" x14ac:dyDescent="0.2">
      <c r="A671" s="1415"/>
      <c r="B671" s="769"/>
      <c r="C671" s="1429"/>
      <c r="D671" s="1435"/>
      <c r="E671" s="1421"/>
      <c r="F671" s="1281"/>
      <c r="G671" s="1281"/>
      <c r="H671" s="1281"/>
      <c r="I671" s="1281"/>
      <c r="J671" s="1281"/>
      <c r="K671" s="768" t="s">
        <v>802</v>
      </c>
      <c r="L671" s="770" t="s">
        <v>3</v>
      </c>
      <c r="M671" s="770">
        <v>92</v>
      </c>
      <c r="N671" s="770">
        <v>95</v>
      </c>
      <c r="O671" s="770">
        <v>100</v>
      </c>
      <c r="P671" s="770">
        <v>0</v>
      </c>
      <c r="Q671" s="770">
        <v>0</v>
      </c>
    </row>
    <row r="672" spans="1:17" ht="120" x14ac:dyDescent="0.2">
      <c r="A672" s="1415"/>
      <c r="B672" s="769"/>
      <c r="C672" s="1430"/>
      <c r="D672" s="1436"/>
      <c r="E672" s="1422"/>
      <c r="F672" s="1282"/>
      <c r="G672" s="1282"/>
      <c r="H672" s="1282"/>
      <c r="I672" s="1282"/>
      <c r="J672" s="1282"/>
      <c r="K672" s="768" t="s">
        <v>1028</v>
      </c>
      <c r="L672" s="770" t="s">
        <v>3</v>
      </c>
      <c r="M672" s="770">
        <v>0</v>
      </c>
      <c r="N672" s="770">
        <v>30</v>
      </c>
      <c r="O672" s="770">
        <v>60</v>
      </c>
      <c r="P672" s="770">
        <v>80</v>
      </c>
      <c r="Q672" s="770">
        <v>98</v>
      </c>
    </row>
    <row r="673" spans="1:17" ht="45" x14ac:dyDescent="0.2">
      <c r="A673" s="1415"/>
      <c r="B673" s="1817"/>
      <c r="C673" s="1428" t="s">
        <v>4</v>
      </c>
      <c r="D673" s="1428"/>
      <c r="E673" s="1431" t="s">
        <v>803</v>
      </c>
      <c r="F673" s="1280">
        <f>1996.2+100+50+102</f>
        <v>2248.1999999999998</v>
      </c>
      <c r="G673" s="1280">
        <f>1996.2+100+50+102</f>
        <v>2248.1999999999998</v>
      </c>
      <c r="H673" s="1280">
        <f>100+52.4+41.2+116.8+75.2+2270.1+391.6</f>
        <v>3047.2999999999997</v>
      </c>
      <c r="I673" s="1280">
        <f>H673*'[1]Смета 2023-2025 гг..'!$K$53</f>
        <v>3078.467309657352</v>
      </c>
      <c r="J673" s="1280">
        <f>H673*'[1]Смета 2023-2025 гг..'!$K$60</f>
        <v>3109.2279052832646</v>
      </c>
      <c r="K673" s="771" t="s">
        <v>804</v>
      </c>
      <c r="L673" s="770" t="s">
        <v>805</v>
      </c>
      <c r="M673" s="770">
        <v>84.5</v>
      </c>
      <c r="N673" s="770">
        <v>85</v>
      </c>
      <c r="O673" s="770">
        <v>85.5</v>
      </c>
      <c r="P673" s="770">
        <v>86</v>
      </c>
      <c r="Q673" s="770">
        <v>86.1</v>
      </c>
    </row>
    <row r="674" spans="1:17" ht="45" x14ac:dyDescent="0.2">
      <c r="A674" s="1415"/>
      <c r="B674" s="1817"/>
      <c r="C674" s="1430"/>
      <c r="D674" s="1430"/>
      <c r="E674" s="1432"/>
      <c r="F674" s="1282"/>
      <c r="G674" s="1282"/>
      <c r="H674" s="1282"/>
      <c r="I674" s="1282"/>
      <c r="J674" s="1282"/>
      <c r="K674" s="771" t="s">
        <v>806</v>
      </c>
      <c r="L674" s="770" t="s">
        <v>805</v>
      </c>
      <c r="M674" s="770">
        <v>84.5</v>
      </c>
      <c r="N674" s="770">
        <v>85</v>
      </c>
      <c r="O674" s="770">
        <v>85.5</v>
      </c>
      <c r="P674" s="770">
        <v>86</v>
      </c>
      <c r="Q674" s="770">
        <v>86.1</v>
      </c>
    </row>
    <row r="675" spans="1:17" ht="45" x14ac:dyDescent="0.2">
      <c r="A675" s="1415"/>
      <c r="B675" s="1425"/>
      <c r="C675" s="1433" t="s">
        <v>7</v>
      </c>
      <c r="D675" s="1428"/>
      <c r="E675" s="1420" t="s">
        <v>1029</v>
      </c>
      <c r="F675" s="772">
        <v>2934.4</v>
      </c>
      <c r="G675" s="772">
        <v>2934.4</v>
      </c>
      <c r="H675" s="759">
        <f>100+52.4+41.2+116.8+75.2+2010.9+346.8</f>
        <v>2743.3</v>
      </c>
      <c r="I675" s="759">
        <f>H675*'[1]Смета 2023-2025 гг..'!$K$53</f>
        <v>2771.3580450178897</v>
      </c>
      <c r="J675" s="759">
        <f>H675*'[1]Смета 2023-2025 гг..'!$K$60</f>
        <v>2799.0499499765633</v>
      </c>
      <c r="K675" s="768" t="s">
        <v>807</v>
      </c>
      <c r="L675" s="759" t="s">
        <v>3</v>
      </c>
      <c r="M675" s="759">
        <v>67.599999999999994</v>
      </c>
      <c r="N675" s="773">
        <v>67.8</v>
      </c>
      <c r="O675" s="773">
        <v>67.900000000000006</v>
      </c>
      <c r="P675" s="773">
        <v>68</v>
      </c>
      <c r="Q675" s="759">
        <v>68.099999999999994</v>
      </c>
    </row>
    <row r="676" spans="1:17" ht="45" x14ac:dyDescent="0.2">
      <c r="A676" s="1415"/>
      <c r="B676" s="1427"/>
      <c r="C676" s="1433"/>
      <c r="D676" s="1429"/>
      <c r="E676" s="1421"/>
      <c r="F676" s="772">
        <v>2290.9</v>
      </c>
      <c r="G676" s="772">
        <v>2290.9</v>
      </c>
      <c r="H676" s="759">
        <f>100+52.4+41.2+116.8+75.2+1952.6+336.8</f>
        <v>2675</v>
      </c>
      <c r="I676" s="759">
        <f>H676*'[1]Смета 2023-2025 гг..'!$K$53</f>
        <v>2702.3594832584313</v>
      </c>
      <c r="J676" s="759">
        <f>H676*'[1]Смета 2023-2025 гг..'!$K$60</f>
        <v>2729.3619422546954</v>
      </c>
      <c r="K676" s="774" t="s">
        <v>808</v>
      </c>
      <c r="L676" s="759" t="s">
        <v>3</v>
      </c>
      <c r="M676" s="759">
        <v>58.6</v>
      </c>
      <c r="N676" s="773">
        <v>58.7</v>
      </c>
      <c r="O676" s="773">
        <v>58</v>
      </c>
      <c r="P676" s="773">
        <v>3.7</v>
      </c>
      <c r="Q676" s="759">
        <v>68</v>
      </c>
    </row>
    <row r="677" spans="1:17" ht="118.5" x14ac:dyDescent="0.2">
      <c r="A677" s="1415"/>
      <c r="B677" s="775" t="s">
        <v>1868</v>
      </c>
      <c r="C677" s="762"/>
      <c r="D677" s="762"/>
      <c r="E677" s="776" t="s">
        <v>1492</v>
      </c>
      <c r="F677" s="754">
        <f>F678</f>
        <v>19942.2</v>
      </c>
      <c r="G677" s="754">
        <f>G678</f>
        <v>19942.2</v>
      </c>
      <c r="H677" s="754">
        <f t="shared" ref="H677:J677" si="112">H678</f>
        <v>11055.2</v>
      </c>
      <c r="I677" s="754">
        <f t="shared" si="112"/>
        <v>11168.270863296677</v>
      </c>
      <c r="J677" s="754">
        <f t="shared" si="112"/>
        <v>11279.86622206135</v>
      </c>
      <c r="K677" s="755" t="s">
        <v>809</v>
      </c>
      <c r="L677" s="759" t="s">
        <v>190</v>
      </c>
      <c r="M677" s="759">
        <v>123</v>
      </c>
      <c r="N677" s="759">
        <v>124</v>
      </c>
      <c r="O677" s="759">
        <v>125</v>
      </c>
      <c r="P677" s="759">
        <v>126</v>
      </c>
      <c r="Q677" s="759">
        <v>127</v>
      </c>
    </row>
    <row r="678" spans="1:17" ht="60" x14ac:dyDescent="0.2">
      <c r="A678" s="1415"/>
      <c r="B678" s="1425"/>
      <c r="C678" s="1428" t="s">
        <v>5</v>
      </c>
      <c r="D678" s="1428"/>
      <c r="E678" s="1420" t="s">
        <v>810</v>
      </c>
      <c r="F678" s="1280">
        <v>19942.2</v>
      </c>
      <c r="G678" s="1280">
        <v>19942.2</v>
      </c>
      <c r="H678" s="1280">
        <f>550+200+154.5+1218.5+282+7377.6+1272.6</f>
        <v>11055.2</v>
      </c>
      <c r="I678" s="1280">
        <f>H678*'[1]Смета 2023-2025 гг..'!$K$53</f>
        <v>11168.270863296677</v>
      </c>
      <c r="J678" s="1280">
        <f>H678*'[1]Смета 2023-2025 гг..'!$K$60</f>
        <v>11279.86622206135</v>
      </c>
      <c r="K678" s="768" t="s">
        <v>811</v>
      </c>
      <c r="L678" s="759" t="s">
        <v>190</v>
      </c>
      <c r="M678" s="759">
        <v>7</v>
      </c>
      <c r="N678" s="759">
        <v>10</v>
      </c>
      <c r="O678" s="759">
        <v>15</v>
      </c>
      <c r="P678" s="759">
        <v>17</v>
      </c>
      <c r="Q678" s="759">
        <v>18</v>
      </c>
    </row>
    <row r="679" spans="1:17" ht="90" x14ac:dyDescent="0.2">
      <c r="A679" s="1415"/>
      <c r="B679" s="1426"/>
      <c r="C679" s="1429"/>
      <c r="D679" s="1429"/>
      <c r="E679" s="1421"/>
      <c r="F679" s="1281"/>
      <c r="G679" s="1281"/>
      <c r="H679" s="1281"/>
      <c r="I679" s="1281"/>
      <c r="J679" s="1281"/>
      <c r="K679" s="768" t="s">
        <v>812</v>
      </c>
      <c r="L679" s="759" t="s">
        <v>190</v>
      </c>
      <c r="M679" s="759">
        <v>10</v>
      </c>
      <c r="N679" s="759">
        <v>12</v>
      </c>
      <c r="O679" s="759">
        <v>14</v>
      </c>
      <c r="P679" s="759">
        <v>16</v>
      </c>
      <c r="Q679" s="759">
        <v>18</v>
      </c>
    </row>
    <row r="680" spans="1:17" ht="75" x14ac:dyDescent="0.2">
      <c r="A680" s="1415"/>
      <c r="B680" s="1427"/>
      <c r="C680" s="1430"/>
      <c r="D680" s="1430"/>
      <c r="E680" s="1422"/>
      <c r="F680" s="1282"/>
      <c r="G680" s="1282"/>
      <c r="H680" s="1282"/>
      <c r="I680" s="1282"/>
      <c r="J680" s="1282"/>
      <c r="K680" s="768" t="s">
        <v>813</v>
      </c>
      <c r="L680" s="759" t="s">
        <v>190</v>
      </c>
      <c r="M680" s="773">
        <v>10</v>
      </c>
      <c r="N680" s="773">
        <v>12</v>
      </c>
      <c r="O680" s="773">
        <v>14</v>
      </c>
      <c r="P680" s="773">
        <v>16</v>
      </c>
      <c r="Q680" s="773">
        <v>18</v>
      </c>
    </row>
    <row r="681" spans="1:17" ht="15" x14ac:dyDescent="0.2">
      <c r="A681" s="1376" t="s">
        <v>35</v>
      </c>
      <c r="B681" s="1377"/>
      <c r="C681" s="1377"/>
      <c r="D681" s="1377"/>
      <c r="E681" s="1378"/>
      <c r="F681" s="777">
        <f>F663+F666</f>
        <v>68222.600000000006</v>
      </c>
      <c r="G681" s="777">
        <f>G663+G666</f>
        <v>68222.600000000006</v>
      </c>
      <c r="H681" s="777">
        <f>H663+H666+H677</f>
        <v>93656.099999999991</v>
      </c>
      <c r="I681" s="777">
        <f t="shared" ref="I681:J681" si="113">I663+I666+I677</f>
        <v>94613.999999999985</v>
      </c>
      <c r="J681" s="777">
        <f t="shared" si="113"/>
        <v>95559.4</v>
      </c>
      <c r="K681" s="778"/>
      <c r="L681" s="1379"/>
      <c r="M681" s="1379"/>
      <c r="N681" s="1379"/>
      <c r="O681" s="1379"/>
      <c r="P681" s="779"/>
      <c r="Q681" s="780"/>
    </row>
    <row r="682" spans="1:17" ht="14.25" x14ac:dyDescent="0.2">
      <c r="A682" s="1277" t="s">
        <v>2042</v>
      </c>
      <c r="B682" s="1423"/>
      <c r="C682" s="1423"/>
      <c r="D682" s="1423"/>
      <c r="E682" s="1423"/>
      <c r="F682" s="1423"/>
      <c r="G682" s="1423"/>
      <c r="H682" s="1423"/>
      <c r="I682" s="1423"/>
      <c r="J682" s="1423"/>
      <c r="K682" s="1423"/>
      <c r="L682" s="1423"/>
      <c r="M682" s="1423"/>
      <c r="N682" s="1423"/>
      <c r="O682" s="1423"/>
      <c r="P682" s="1423"/>
      <c r="Q682" s="1424"/>
    </row>
    <row r="683" spans="1:17" ht="15" x14ac:dyDescent="0.2">
      <c r="A683" s="1266">
        <v>60</v>
      </c>
      <c r="B683" s="1231" t="s">
        <v>0</v>
      </c>
      <c r="C683" s="781"/>
      <c r="D683" s="360"/>
      <c r="E683" s="782" t="s">
        <v>1640</v>
      </c>
      <c r="F683" s="306">
        <v>42819.6</v>
      </c>
      <c r="G683" s="306">
        <v>68673</v>
      </c>
      <c r="H683" s="306">
        <f>H684</f>
        <v>56130.6</v>
      </c>
      <c r="I683" s="306">
        <f t="shared" ref="I683:J683" si="114">I684</f>
        <v>62760.4</v>
      </c>
      <c r="J683" s="306">
        <f t="shared" si="114"/>
        <v>63387.5</v>
      </c>
      <c r="K683" s="225"/>
      <c r="L683" s="23" t="s">
        <v>3</v>
      </c>
      <c r="M683" s="23">
        <v>21.2</v>
      </c>
      <c r="N683" s="23">
        <v>34.1</v>
      </c>
      <c r="O683" s="23">
        <v>23</v>
      </c>
      <c r="P683" s="23"/>
      <c r="Q683" s="23"/>
    </row>
    <row r="684" spans="1:17" ht="30" x14ac:dyDescent="0.2">
      <c r="A684" s="1266"/>
      <c r="B684" s="177"/>
      <c r="C684" s="20" t="s">
        <v>5</v>
      </c>
      <c r="D684" s="23"/>
      <c r="E684" s="178" t="s">
        <v>1639</v>
      </c>
      <c r="F684" s="288">
        <v>42819.6</v>
      </c>
      <c r="G684" s="288">
        <v>68673</v>
      </c>
      <c r="H684" s="288">
        <v>56130.6</v>
      </c>
      <c r="I684" s="288">
        <v>62760.4</v>
      </c>
      <c r="J684" s="288">
        <v>63387.5</v>
      </c>
      <c r="K684" s="225"/>
      <c r="L684" s="300"/>
      <c r="M684" s="300"/>
      <c r="N684" s="300"/>
      <c r="O684" s="300"/>
      <c r="P684" s="300"/>
      <c r="Q684" s="300"/>
    </row>
    <row r="685" spans="1:17" ht="57" x14ac:dyDescent="0.2">
      <c r="A685" s="1266"/>
      <c r="B685" s="175" t="s">
        <v>1869</v>
      </c>
      <c r="C685" s="20"/>
      <c r="D685" s="23"/>
      <c r="E685" s="783" t="s">
        <v>1638</v>
      </c>
      <c r="F685" s="306">
        <v>24929.1</v>
      </c>
      <c r="G685" s="306">
        <v>15606.7</v>
      </c>
      <c r="H685" s="306">
        <f>H686</f>
        <v>5994.4</v>
      </c>
      <c r="I685" s="306">
        <f t="shared" ref="I685:J685" si="115">I686</f>
        <v>0</v>
      </c>
      <c r="J685" s="306">
        <f t="shared" si="115"/>
        <v>0</v>
      </c>
      <c r="K685" s="225"/>
      <c r="L685" s="23"/>
      <c r="M685" s="157"/>
      <c r="N685" s="157"/>
      <c r="O685" s="23"/>
      <c r="P685" s="23"/>
      <c r="Q685" s="23"/>
    </row>
    <row r="686" spans="1:17" ht="60" x14ac:dyDescent="0.2">
      <c r="A686" s="1266"/>
      <c r="B686" s="175"/>
      <c r="C686" s="20" t="s">
        <v>5</v>
      </c>
      <c r="D686" s="23"/>
      <c r="E686" s="178" t="s">
        <v>1638</v>
      </c>
      <c r="F686" s="288">
        <v>24929.1</v>
      </c>
      <c r="G686" s="288">
        <v>15606.7</v>
      </c>
      <c r="H686" s="288">
        <v>5994.4</v>
      </c>
      <c r="I686" s="288"/>
      <c r="J686" s="288"/>
      <c r="K686" s="225"/>
      <c r="L686" s="23" t="s">
        <v>190</v>
      </c>
      <c r="M686" s="157"/>
      <c r="N686" s="157">
        <v>74</v>
      </c>
      <c r="O686" s="23">
        <v>64</v>
      </c>
      <c r="P686" s="23"/>
      <c r="Q686" s="23"/>
    </row>
    <row r="687" spans="1:17" ht="30" x14ac:dyDescent="0.2">
      <c r="A687" s="1266"/>
      <c r="B687" s="784" t="s">
        <v>1005</v>
      </c>
      <c r="C687" s="443">
        <v>201</v>
      </c>
      <c r="D687" s="192"/>
      <c r="E687" s="785" t="s">
        <v>2036</v>
      </c>
      <c r="F687" s="306">
        <v>1400460</v>
      </c>
      <c r="G687" s="306">
        <v>5959600.9000000004</v>
      </c>
      <c r="H687" s="306">
        <v>6961847</v>
      </c>
      <c r="I687" s="306">
        <v>7450690</v>
      </c>
      <c r="J687" s="306">
        <v>4620610</v>
      </c>
      <c r="K687" s="225"/>
      <c r="L687" s="23"/>
      <c r="M687" s="157"/>
      <c r="N687" s="157"/>
      <c r="O687" s="225"/>
      <c r="P687" s="225"/>
      <c r="Q687" s="225"/>
    </row>
    <row r="688" spans="1:17" ht="15" x14ac:dyDescent="0.2">
      <c r="A688" s="1419" t="s">
        <v>35</v>
      </c>
      <c r="B688" s="1419"/>
      <c r="C688" s="1419"/>
      <c r="D688" s="1419"/>
      <c r="E688" s="1419"/>
      <c r="F688" s="777">
        <v>1468208.7</v>
      </c>
      <c r="G688" s="777">
        <v>6043880.5999999996</v>
      </c>
      <c r="H688" s="777">
        <v>7023972</v>
      </c>
      <c r="I688" s="777">
        <v>7513450.4000000004</v>
      </c>
      <c r="J688" s="777">
        <v>4683997.5</v>
      </c>
      <c r="K688" s="778"/>
      <c r="L688" s="1379"/>
      <c r="M688" s="1379"/>
      <c r="N688" s="1379"/>
      <c r="O688" s="1379"/>
      <c r="P688" s="779"/>
      <c r="Q688" s="780"/>
    </row>
    <row r="689" spans="1:17" ht="14.25" x14ac:dyDescent="0.2">
      <c r="A689" s="1277" t="s">
        <v>2041</v>
      </c>
      <c r="B689" s="1278"/>
      <c r="C689" s="1278"/>
      <c r="D689" s="1278"/>
      <c r="E689" s="1278"/>
      <c r="F689" s="1278"/>
      <c r="G689" s="1278"/>
      <c r="H689" s="1278"/>
      <c r="I689" s="1278"/>
      <c r="J689" s="1278"/>
      <c r="K689" s="1278"/>
      <c r="L689" s="1278"/>
      <c r="M689" s="1278"/>
      <c r="N689" s="1278"/>
      <c r="O689" s="1278"/>
      <c r="P689" s="1278"/>
      <c r="Q689" s="1279"/>
    </row>
    <row r="690" spans="1:17" ht="12.75" customHeight="1" x14ac:dyDescent="0.2">
      <c r="A690" s="1412">
        <v>64</v>
      </c>
      <c r="B690" s="1415" t="s">
        <v>0</v>
      </c>
      <c r="C690" s="1416"/>
      <c r="D690" s="1417"/>
      <c r="E690" s="1418" t="s">
        <v>1640</v>
      </c>
      <c r="F690" s="1407">
        <v>23655.8</v>
      </c>
      <c r="G690" s="1407">
        <v>42387.7</v>
      </c>
      <c r="H690" s="1407">
        <f>H692+H693</f>
        <v>42991.899999999994</v>
      </c>
      <c r="I690" s="1407">
        <f t="shared" ref="I690:J690" si="116">I692+I693</f>
        <v>43256.9</v>
      </c>
      <c r="J690" s="1407">
        <f t="shared" si="116"/>
        <v>43518.6</v>
      </c>
      <c r="K690" s="1409"/>
      <c r="L690" s="1410" t="s">
        <v>191</v>
      </c>
      <c r="M690" s="1411">
        <v>86</v>
      </c>
      <c r="N690" s="1411">
        <v>86</v>
      </c>
      <c r="O690" s="1411">
        <v>92</v>
      </c>
      <c r="P690" s="1411">
        <v>96</v>
      </c>
      <c r="Q690" s="1411">
        <v>97</v>
      </c>
    </row>
    <row r="691" spans="1:17" ht="12.75" customHeight="1" x14ac:dyDescent="0.2">
      <c r="A691" s="1413"/>
      <c r="B691" s="1415"/>
      <c r="C691" s="1416"/>
      <c r="D691" s="1417"/>
      <c r="E691" s="1418"/>
      <c r="F691" s="1408"/>
      <c r="G691" s="1408"/>
      <c r="H691" s="1408"/>
      <c r="I691" s="1408"/>
      <c r="J691" s="1408"/>
      <c r="K691" s="1409"/>
      <c r="L691" s="1410"/>
      <c r="M691" s="1411"/>
      <c r="N691" s="1411"/>
      <c r="O691" s="1411"/>
      <c r="P691" s="1411"/>
      <c r="Q691" s="1411"/>
    </row>
    <row r="692" spans="1:17" ht="225" x14ac:dyDescent="0.2">
      <c r="A692" s="1413"/>
      <c r="B692" s="45"/>
      <c r="C692" s="549" t="s">
        <v>5</v>
      </c>
      <c r="D692" s="786"/>
      <c r="E692" s="787" t="s">
        <v>1121</v>
      </c>
      <c r="F692" s="619">
        <v>19324.5</v>
      </c>
      <c r="G692" s="709">
        <v>21229.5</v>
      </c>
      <c r="H692" s="709">
        <v>21642.6</v>
      </c>
      <c r="I692" s="709">
        <v>21863.9</v>
      </c>
      <c r="J692" s="709">
        <v>22082.400000000001</v>
      </c>
      <c r="K692" s="788" t="s">
        <v>2037</v>
      </c>
      <c r="L692" s="288" t="s">
        <v>1008</v>
      </c>
      <c r="M692" s="288">
        <v>72</v>
      </c>
      <c r="N692" s="789">
        <v>72</v>
      </c>
      <c r="O692" s="789">
        <v>78</v>
      </c>
      <c r="P692" s="789">
        <v>78</v>
      </c>
      <c r="Q692" s="789">
        <v>79</v>
      </c>
    </row>
    <row r="693" spans="1:17" ht="120" x14ac:dyDescent="0.2">
      <c r="A693" s="1414"/>
      <c r="B693" s="45"/>
      <c r="C693" s="549" t="s">
        <v>6</v>
      </c>
      <c r="D693" s="786"/>
      <c r="E693" s="428" t="s">
        <v>1598</v>
      </c>
      <c r="F693" s="628">
        <v>4331.3</v>
      </c>
      <c r="G693" s="709">
        <v>21158.2</v>
      </c>
      <c r="H693" s="709">
        <v>21349.3</v>
      </c>
      <c r="I693" s="709">
        <v>21393</v>
      </c>
      <c r="J693" s="709">
        <v>21436.199999999997</v>
      </c>
      <c r="K693" s="593" t="s">
        <v>2038</v>
      </c>
      <c r="L693" s="288" t="s">
        <v>1008</v>
      </c>
      <c r="M693" s="288">
        <v>14</v>
      </c>
      <c r="N693" s="789">
        <v>14</v>
      </c>
      <c r="O693" s="789">
        <v>14</v>
      </c>
      <c r="P693" s="789">
        <v>18</v>
      </c>
      <c r="Q693" s="789">
        <v>18</v>
      </c>
    </row>
    <row r="694" spans="1:17" ht="15" x14ac:dyDescent="0.2">
      <c r="A694" s="1376" t="s">
        <v>35</v>
      </c>
      <c r="B694" s="1377"/>
      <c r="C694" s="1377"/>
      <c r="D694" s="1377"/>
      <c r="E694" s="1378"/>
      <c r="F694" s="777">
        <v>23655.8</v>
      </c>
      <c r="G694" s="777">
        <v>42387.7</v>
      </c>
      <c r="H694" s="777">
        <v>42991.899999999994</v>
      </c>
      <c r="I694" s="777">
        <v>43256.9</v>
      </c>
      <c r="J694" s="777">
        <v>43518.6</v>
      </c>
      <c r="K694" s="780"/>
      <c r="L694" s="1379"/>
      <c r="M694" s="1379"/>
      <c r="N694" s="1379"/>
      <c r="O694" s="1379"/>
      <c r="P694" s="779"/>
      <c r="Q694" s="780"/>
    </row>
    <row r="695" spans="1:17" ht="14.25" x14ac:dyDescent="0.2">
      <c r="A695" s="1277" t="s">
        <v>2040</v>
      </c>
      <c r="B695" s="1278"/>
      <c r="C695" s="1278"/>
      <c r="D695" s="1278"/>
      <c r="E695" s="1278"/>
      <c r="F695" s="1278"/>
      <c r="G695" s="1278"/>
      <c r="H695" s="1278"/>
      <c r="I695" s="1278"/>
      <c r="J695" s="1278"/>
      <c r="K695" s="1278"/>
      <c r="L695" s="1278"/>
      <c r="M695" s="1278"/>
      <c r="N695" s="1278"/>
      <c r="O695" s="1278"/>
      <c r="P695" s="1278"/>
      <c r="Q695" s="1279"/>
    </row>
    <row r="696" spans="1:17" ht="89.25" x14ac:dyDescent="0.2">
      <c r="A696" s="1288" t="s">
        <v>1006</v>
      </c>
      <c r="B696" s="790" t="s">
        <v>0</v>
      </c>
      <c r="C696" s="514"/>
      <c r="D696" s="514"/>
      <c r="E696" s="605" t="s">
        <v>2039</v>
      </c>
      <c r="F696" s="636">
        <v>0</v>
      </c>
      <c r="G696" s="636">
        <v>247603.5</v>
      </c>
      <c r="H696" s="636">
        <f>H697+H698</f>
        <v>562292.5</v>
      </c>
      <c r="I696" s="636">
        <f t="shared" ref="I696:J696" si="117">I697+I698</f>
        <v>581243.19999999995</v>
      </c>
      <c r="J696" s="636">
        <f t="shared" si="117"/>
        <v>597541.6</v>
      </c>
      <c r="K696" s="597" t="s">
        <v>177</v>
      </c>
      <c r="L696" s="640" t="s">
        <v>24</v>
      </c>
      <c r="M696" s="640">
        <v>16.3</v>
      </c>
      <c r="N696" s="640">
        <v>16.3</v>
      </c>
      <c r="O696" s="640">
        <v>16.3</v>
      </c>
      <c r="P696" s="640">
        <v>17.3</v>
      </c>
      <c r="Q696" s="640">
        <v>18.3</v>
      </c>
    </row>
    <row r="697" spans="1:17" ht="30" x14ac:dyDescent="0.25">
      <c r="A697" s="1289"/>
      <c r="B697" s="493"/>
      <c r="C697" s="493" t="s">
        <v>5</v>
      </c>
      <c r="D697" s="493"/>
      <c r="E697" s="618" t="s">
        <v>793</v>
      </c>
      <c r="F697" s="406"/>
      <c r="G697" s="406">
        <v>72264.7</v>
      </c>
      <c r="H697" s="406">
        <v>164518.20000000001</v>
      </c>
      <c r="I697" s="406">
        <v>170940.59999999998</v>
      </c>
      <c r="J697" s="406">
        <v>175821.4</v>
      </c>
      <c r="K697" s="593"/>
      <c r="L697" s="406"/>
      <c r="M697" s="406"/>
      <c r="N697" s="406"/>
      <c r="O697" s="406"/>
      <c r="P697" s="791"/>
      <c r="Q697" s="791"/>
    </row>
    <row r="698" spans="1:17" ht="30" x14ac:dyDescent="0.25">
      <c r="A698" s="1289"/>
      <c r="B698" s="493"/>
      <c r="C698" s="493" t="s">
        <v>6</v>
      </c>
      <c r="D698" s="493"/>
      <c r="E698" s="618" t="s">
        <v>1637</v>
      </c>
      <c r="F698" s="759"/>
      <c r="G698" s="759">
        <v>175338.8</v>
      </c>
      <c r="H698" s="759">
        <v>397774.3</v>
      </c>
      <c r="I698" s="759">
        <v>410302.6</v>
      </c>
      <c r="J698" s="759">
        <v>421720.2</v>
      </c>
      <c r="K698" s="593"/>
      <c r="L698" s="406"/>
      <c r="M698" s="406"/>
      <c r="N698" s="406"/>
      <c r="O698" s="406"/>
      <c r="P698" s="791"/>
      <c r="Q698" s="791"/>
    </row>
    <row r="699" spans="1:17" ht="162" x14ac:dyDescent="0.2">
      <c r="A699" s="1289"/>
      <c r="B699" s="790" t="s">
        <v>1870</v>
      </c>
      <c r="C699" s="790"/>
      <c r="D699" s="790"/>
      <c r="E699" s="755" t="s">
        <v>1641</v>
      </c>
      <c r="F699" s="636">
        <v>0</v>
      </c>
      <c r="G699" s="636">
        <v>53897.1</v>
      </c>
      <c r="H699" s="636">
        <f>H700+H703+H706</f>
        <v>95349.3</v>
      </c>
      <c r="I699" s="636">
        <f t="shared" ref="I699:J699" si="118">I700+I703+I706</f>
        <v>95349.4</v>
      </c>
      <c r="J699" s="636">
        <f t="shared" si="118"/>
        <v>96349.4</v>
      </c>
      <c r="K699" s="597" t="s">
        <v>814</v>
      </c>
      <c r="L699" s="636" t="s">
        <v>815</v>
      </c>
      <c r="M699" s="636">
        <v>105</v>
      </c>
      <c r="N699" s="636">
        <v>105</v>
      </c>
      <c r="O699" s="636">
        <v>105</v>
      </c>
      <c r="P699" s="636">
        <v>105</v>
      </c>
      <c r="Q699" s="636">
        <v>105</v>
      </c>
    </row>
    <row r="700" spans="1:17" ht="30" x14ac:dyDescent="0.2">
      <c r="A700" s="1289"/>
      <c r="B700" s="1288"/>
      <c r="C700" s="1393" t="s">
        <v>5</v>
      </c>
      <c r="D700" s="1288"/>
      <c r="E700" s="1396" t="s">
        <v>1642</v>
      </c>
      <c r="F700" s="1399"/>
      <c r="G700" s="1404">
        <v>20958.099999999999</v>
      </c>
      <c r="H700" s="1399">
        <v>59722</v>
      </c>
      <c r="I700" s="1399">
        <v>59722.1</v>
      </c>
      <c r="J700" s="1399">
        <v>60222.1</v>
      </c>
      <c r="K700" s="593" t="s">
        <v>816</v>
      </c>
      <c r="L700" s="406" t="s">
        <v>1007</v>
      </c>
      <c r="M700" s="406">
        <v>323</v>
      </c>
      <c r="N700" s="406">
        <v>323</v>
      </c>
      <c r="O700" s="406">
        <v>323</v>
      </c>
      <c r="P700" s="406">
        <v>323</v>
      </c>
      <c r="Q700" s="406">
        <v>323</v>
      </c>
    </row>
    <row r="701" spans="1:17" ht="45" x14ac:dyDescent="0.2">
      <c r="A701" s="1289"/>
      <c r="B701" s="1289"/>
      <c r="C701" s="1394"/>
      <c r="D701" s="1289"/>
      <c r="E701" s="1397"/>
      <c r="F701" s="1400"/>
      <c r="G701" s="1405"/>
      <c r="H701" s="1400"/>
      <c r="I701" s="1400"/>
      <c r="J701" s="1400"/>
      <c r="K701" s="593" t="s">
        <v>817</v>
      </c>
      <c r="L701" s="406" t="s">
        <v>818</v>
      </c>
      <c r="M701" s="406">
        <v>506</v>
      </c>
      <c r="N701" s="406">
        <v>506</v>
      </c>
      <c r="O701" s="406">
        <v>506</v>
      </c>
      <c r="P701" s="406">
        <v>506</v>
      </c>
      <c r="Q701" s="406">
        <v>506</v>
      </c>
    </row>
    <row r="702" spans="1:17" ht="45" x14ac:dyDescent="0.2">
      <c r="A702" s="1289"/>
      <c r="B702" s="1290"/>
      <c r="C702" s="1395"/>
      <c r="D702" s="1290"/>
      <c r="E702" s="1398"/>
      <c r="F702" s="1401"/>
      <c r="G702" s="1406"/>
      <c r="H702" s="1401"/>
      <c r="I702" s="1401"/>
      <c r="J702" s="1401"/>
      <c r="K702" s="593" t="s">
        <v>819</v>
      </c>
      <c r="L702" s="406" t="s">
        <v>1008</v>
      </c>
      <c r="M702" s="406">
        <v>50</v>
      </c>
      <c r="N702" s="406">
        <v>50</v>
      </c>
      <c r="O702" s="406">
        <v>50</v>
      </c>
      <c r="P702" s="406">
        <v>50</v>
      </c>
      <c r="Q702" s="406">
        <v>50</v>
      </c>
    </row>
    <row r="703" spans="1:17" ht="75" x14ac:dyDescent="0.2">
      <c r="A703" s="1289"/>
      <c r="B703" s="1402"/>
      <c r="C703" s="1402" t="s">
        <v>6</v>
      </c>
      <c r="D703" s="1402"/>
      <c r="E703" s="1403" t="s">
        <v>1643</v>
      </c>
      <c r="F703" s="1399"/>
      <c r="G703" s="1404">
        <v>22920</v>
      </c>
      <c r="H703" s="1399">
        <v>14946.1</v>
      </c>
      <c r="I703" s="1399">
        <v>14946.1</v>
      </c>
      <c r="J703" s="1399">
        <v>14946.1</v>
      </c>
      <c r="K703" s="593" t="s">
        <v>820</v>
      </c>
      <c r="L703" s="406" t="s">
        <v>1008</v>
      </c>
      <c r="M703" s="406">
        <v>4</v>
      </c>
      <c r="N703" s="406">
        <v>4</v>
      </c>
      <c r="O703" s="406">
        <v>4</v>
      </c>
      <c r="P703" s="406">
        <v>4</v>
      </c>
      <c r="Q703" s="406">
        <v>4</v>
      </c>
    </row>
    <row r="704" spans="1:17" ht="30" x14ac:dyDescent="0.2">
      <c r="A704" s="1289"/>
      <c r="B704" s="1402"/>
      <c r="C704" s="1402"/>
      <c r="D704" s="1402"/>
      <c r="E704" s="1403"/>
      <c r="F704" s="1400"/>
      <c r="G704" s="1405"/>
      <c r="H704" s="1400"/>
      <c r="I704" s="1400"/>
      <c r="J704" s="1400"/>
      <c r="K704" s="593" t="s">
        <v>821</v>
      </c>
      <c r="L704" s="406" t="s">
        <v>3</v>
      </c>
      <c r="M704" s="406">
        <v>92</v>
      </c>
      <c r="N704" s="406">
        <v>92</v>
      </c>
      <c r="O704" s="406">
        <v>92</v>
      </c>
      <c r="P704" s="406">
        <v>92</v>
      </c>
      <c r="Q704" s="406">
        <v>92</v>
      </c>
    </row>
    <row r="705" spans="1:17" ht="30" x14ac:dyDescent="0.2">
      <c r="A705" s="1289"/>
      <c r="B705" s="1402"/>
      <c r="C705" s="1402"/>
      <c r="D705" s="1402"/>
      <c r="E705" s="1403"/>
      <c r="F705" s="1401"/>
      <c r="G705" s="1406"/>
      <c r="H705" s="1401"/>
      <c r="I705" s="1401"/>
      <c r="J705" s="1401"/>
      <c r="K705" s="593" t="s">
        <v>822</v>
      </c>
      <c r="L705" s="406" t="s">
        <v>3</v>
      </c>
      <c r="M705" s="406">
        <v>92</v>
      </c>
      <c r="N705" s="406">
        <v>92</v>
      </c>
      <c r="O705" s="406">
        <v>92</v>
      </c>
      <c r="P705" s="406">
        <v>92</v>
      </c>
      <c r="Q705" s="406">
        <v>92</v>
      </c>
    </row>
    <row r="706" spans="1:17" ht="30" x14ac:dyDescent="0.2">
      <c r="A706" s="1289"/>
      <c r="B706" s="1402"/>
      <c r="C706" s="1402" t="s">
        <v>4</v>
      </c>
      <c r="D706" s="1402"/>
      <c r="E706" s="1403" t="s">
        <v>1644</v>
      </c>
      <c r="F706" s="1399"/>
      <c r="G706" s="1404">
        <v>10019</v>
      </c>
      <c r="H706" s="1399">
        <v>20681.2</v>
      </c>
      <c r="I706" s="1399">
        <v>20681.2</v>
      </c>
      <c r="J706" s="1399">
        <v>21181.200000000001</v>
      </c>
      <c r="K706" s="768" t="s">
        <v>823</v>
      </c>
      <c r="L706" s="406" t="s">
        <v>1008</v>
      </c>
      <c r="M706" s="406">
        <v>187</v>
      </c>
      <c r="N706" s="406">
        <v>187</v>
      </c>
      <c r="O706" s="406">
        <v>187</v>
      </c>
      <c r="P706" s="406">
        <v>187</v>
      </c>
      <c r="Q706" s="406">
        <v>187</v>
      </c>
    </row>
    <row r="707" spans="1:17" ht="30" x14ac:dyDescent="0.2">
      <c r="A707" s="1289"/>
      <c r="B707" s="1402"/>
      <c r="C707" s="1402"/>
      <c r="D707" s="1402"/>
      <c r="E707" s="1403"/>
      <c r="F707" s="1400"/>
      <c r="G707" s="1405"/>
      <c r="H707" s="1400"/>
      <c r="I707" s="1400"/>
      <c r="J707" s="1400"/>
      <c r="K707" s="768" t="s">
        <v>824</v>
      </c>
      <c r="L707" s="406" t="s">
        <v>1008</v>
      </c>
      <c r="M707" s="406">
        <v>2500</v>
      </c>
      <c r="N707" s="406">
        <v>2500</v>
      </c>
      <c r="O707" s="406">
        <v>2500</v>
      </c>
      <c r="P707" s="406">
        <v>2500</v>
      </c>
      <c r="Q707" s="406">
        <v>2500</v>
      </c>
    </row>
    <row r="708" spans="1:17" ht="30" x14ac:dyDescent="0.2">
      <c r="A708" s="1289"/>
      <c r="B708" s="1402"/>
      <c r="C708" s="1402"/>
      <c r="D708" s="1402"/>
      <c r="E708" s="1403"/>
      <c r="F708" s="1401"/>
      <c r="G708" s="1406"/>
      <c r="H708" s="1401"/>
      <c r="I708" s="1401"/>
      <c r="J708" s="1401"/>
      <c r="K708" s="768" t="s">
        <v>825</v>
      </c>
      <c r="L708" s="759" t="s">
        <v>1008</v>
      </c>
      <c r="M708" s="406">
        <v>100</v>
      </c>
      <c r="N708" s="406">
        <v>100</v>
      </c>
      <c r="O708" s="406">
        <v>100</v>
      </c>
      <c r="P708" s="406">
        <v>100</v>
      </c>
      <c r="Q708" s="406">
        <v>100</v>
      </c>
    </row>
    <row r="709" spans="1:17" ht="134.25" x14ac:dyDescent="0.2">
      <c r="A709" s="1289"/>
      <c r="B709" s="790" t="s">
        <v>1871</v>
      </c>
      <c r="C709" s="514"/>
      <c r="D709" s="514"/>
      <c r="E709" s="605" t="s">
        <v>1493</v>
      </c>
      <c r="F709" s="636">
        <v>0</v>
      </c>
      <c r="G709" s="636">
        <v>235204.8</v>
      </c>
      <c r="H709" s="636">
        <f>H710</f>
        <v>218410.5</v>
      </c>
      <c r="I709" s="636">
        <f t="shared" ref="I709:J709" si="119">I710</f>
        <v>222410.3</v>
      </c>
      <c r="J709" s="636">
        <f t="shared" si="119"/>
        <v>228830</v>
      </c>
      <c r="K709" s="597" t="s">
        <v>826</v>
      </c>
      <c r="L709" s="636" t="s">
        <v>3</v>
      </c>
      <c r="M709" s="636">
        <v>7.38</v>
      </c>
      <c r="N709" s="636">
        <v>7.38</v>
      </c>
      <c r="O709" s="636">
        <v>7.38</v>
      </c>
      <c r="P709" s="636">
        <v>7.38</v>
      </c>
      <c r="Q709" s="636">
        <v>7.38</v>
      </c>
    </row>
    <row r="710" spans="1:17" ht="30" x14ac:dyDescent="0.2">
      <c r="A710" s="1289"/>
      <c r="B710" s="1288"/>
      <c r="C710" s="1393" t="s">
        <v>5</v>
      </c>
      <c r="D710" s="1393"/>
      <c r="E710" s="1396" t="s">
        <v>1645</v>
      </c>
      <c r="F710" s="1399"/>
      <c r="G710" s="1399">
        <v>235204.8</v>
      </c>
      <c r="H710" s="1399">
        <v>218410.5</v>
      </c>
      <c r="I710" s="1399">
        <f>222410.3</f>
        <v>222410.3</v>
      </c>
      <c r="J710" s="1399">
        <v>228830</v>
      </c>
      <c r="K710" s="593" t="s">
        <v>827</v>
      </c>
      <c r="L710" s="406" t="s">
        <v>828</v>
      </c>
      <c r="M710" s="406">
        <v>1476122</v>
      </c>
      <c r="N710" s="406">
        <v>1476122</v>
      </c>
      <c r="O710" s="406">
        <v>1476122</v>
      </c>
      <c r="P710" s="406">
        <v>1476122</v>
      </c>
      <c r="Q710" s="406">
        <v>1476122</v>
      </c>
    </row>
    <row r="711" spans="1:17" ht="45" x14ac:dyDescent="0.2">
      <c r="A711" s="1289"/>
      <c r="B711" s="1289"/>
      <c r="C711" s="1394"/>
      <c r="D711" s="1394"/>
      <c r="E711" s="1397"/>
      <c r="F711" s="1400"/>
      <c r="G711" s="1400"/>
      <c r="H711" s="1400"/>
      <c r="I711" s="1400"/>
      <c r="J711" s="1400"/>
      <c r="K711" s="593" t="s">
        <v>829</v>
      </c>
      <c r="L711" s="406" t="s">
        <v>1008</v>
      </c>
      <c r="M711" s="406">
        <v>175</v>
      </c>
      <c r="N711" s="406">
        <v>175</v>
      </c>
      <c r="O711" s="406">
        <v>175</v>
      </c>
      <c r="P711" s="406">
        <v>175</v>
      </c>
      <c r="Q711" s="406">
        <v>175</v>
      </c>
    </row>
    <row r="712" spans="1:17" ht="15" x14ac:dyDescent="0.2">
      <c r="A712" s="1289"/>
      <c r="B712" s="1289"/>
      <c r="C712" s="1394"/>
      <c r="D712" s="1394"/>
      <c r="E712" s="1397"/>
      <c r="F712" s="1400"/>
      <c r="G712" s="1400"/>
      <c r="H712" s="1400"/>
      <c r="I712" s="1400"/>
      <c r="J712" s="1400"/>
      <c r="K712" s="593" t="s">
        <v>830</v>
      </c>
      <c r="L712" s="406" t="s">
        <v>1008</v>
      </c>
      <c r="M712" s="406">
        <v>14</v>
      </c>
      <c r="N712" s="406">
        <v>14</v>
      </c>
      <c r="O712" s="406">
        <v>14</v>
      </c>
      <c r="P712" s="406">
        <v>14</v>
      </c>
      <c r="Q712" s="406">
        <v>14</v>
      </c>
    </row>
    <row r="713" spans="1:17" ht="45" x14ac:dyDescent="0.2">
      <c r="A713" s="1289"/>
      <c r="B713" s="1289"/>
      <c r="C713" s="1394"/>
      <c r="D713" s="1394"/>
      <c r="E713" s="1397"/>
      <c r="F713" s="1400"/>
      <c r="G713" s="1400"/>
      <c r="H713" s="1400"/>
      <c r="I713" s="1400"/>
      <c r="J713" s="1400"/>
      <c r="K713" s="593" t="s">
        <v>831</v>
      </c>
      <c r="L713" s="406" t="s">
        <v>1008</v>
      </c>
      <c r="M713" s="406">
        <v>0</v>
      </c>
      <c r="N713" s="406">
        <v>0</v>
      </c>
      <c r="O713" s="406">
        <v>0</v>
      </c>
      <c r="P713" s="406">
        <v>1</v>
      </c>
      <c r="Q713" s="406">
        <v>2</v>
      </c>
    </row>
    <row r="714" spans="1:17" ht="75" x14ac:dyDescent="0.2">
      <c r="A714" s="1289"/>
      <c r="B714" s="1289"/>
      <c r="C714" s="1394"/>
      <c r="D714" s="1394"/>
      <c r="E714" s="1397"/>
      <c r="F714" s="1400"/>
      <c r="G714" s="1400"/>
      <c r="H714" s="1400"/>
      <c r="I714" s="1400"/>
      <c r="J714" s="1400"/>
      <c r="K714" s="593" t="s">
        <v>832</v>
      </c>
      <c r="L714" s="406" t="s">
        <v>1008</v>
      </c>
      <c r="M714" s="406" t="s">
        <v>833</v>
      </c>
      <c r="N714" s="406" t="s">
        <v>833</v>
      </c>
      <c r="O714" s="406" t="s">
        <v>833</v>
      </c>
      <c r="P714" s="406" t="s">
        <v>834</v>
      </c>
      <c r="Q714" s="406" t="s">
        <v>835</v>
      </c>
    </row>
    <row r="715" spans="1:17" ht="90" x14ac:dyDescent="0.2">
      <c r="A715" s="1289"/>
      <c r="B715" s="1290"/>
      <c r="C715" s="1395"/>
      <c r="D715" s="1395"/>
      <c r="E715" s="1398"/>
      <c r="F715" s="1401"/>
      <c r="G715" s="1401"/>
      <c r="H715" s="1401"/>
      <c r="I715" s="1401"/>
      <c r="J715" s="1401"/>
      <c r="K715" s="593" t="s">
        <v>836</v>
      </c>
      <c r="L715" s="406" t="s">
        <v>1008</v>
      </c>
      <c r="M715" s="406">
        <v>4000</v>
      </c>
      <c r="N715" s="406">
        <v>4000</v>
      </c>
      <c r="O715" s="406">
        <v>4000</v>
      </c>
      <c r="P715" s="406">
        <v>4001</v>
      </c>
      <c r="Q715" s="406">
        <v>4002</v>
      </c>
    </row>
    <row r="716" spans="1:17" ht="85.5" x14ac:dyDescent="0.2">
      <c r="A716" s="1289"/>
      <c r="B716" s="697" t="s">
        <v>1872</v>
      </c>
      <c r="C716" s="792"/>
      <c r="D716" s="793"/>
      <c r="E716" s="795" t="s">
        <v>1874</v>
      </c>
      <c r="F716" s="794">
        <v>27417.8</v>
      </c>
      <c r="G716" s="794">
        <v>29284.7</v>
      </c>
      <c r="H716" s="794">
        <f>H717</f>
        <v>36794.300000000003</v>
      </c>
      <c r="I716" s="794">
        <f t="shared" ref="I716:J716" si="120">I717</f>
        <v>35705.300000000003</v>
      </c>
      <c r="J716" s="794">
        <f t="shared" si="120"/>
        <v>34616.199999999997</v>
      </c>
      <c r="K716" s="795" t="s">
        <v>837</v>
      </c>
      <c r="L716" s="796" t="s">
        <v>190</v>
      </c>
      <c r="M716" s="796" t="s">
        <v>838</v>
      </c>
      <c r="N716" s="796">
        <v>100</v>
      </c>
      <c r="O716" s="796">
        <v>30</v>
      </c>
      <c r="P716" s="796">
        <v>25</v>
      </c>
      <c r="Q716" s="796">
        <v>20</v>
      </c>
    </row>
    <row r="717" spans="1:17" ht="45" x14ac:dyDescent="0.25">
      <c r="A717" s="1289"/>
      <c r="B717" s="1288"/>
      <c r="C717" s="1381" t="s">
        <v>5</v>
      </c>
      <c r="D717" s="1384"/>
      <c r="E717" s="1389" t="s">
        <v>839</v>
      </c>
      <c r="F717" s="1374">
        <v>27417.8</v>
      </c>
      <c r="G717" s="1374">
        <v>29284.7</v>
      </c>
      <c r="H717" s="1374">
        <v>36794.300000000003</v>
      </c>
      <c r="I717" s="1374">
        <f>30260+5445.3</f>
        <v>35705.300000000003</v>
      </c>
      <c r="J717" s="1374">
        <f>30260+4356.2</f>
        <v>34616.199999999997</v>
      </c>
      <c r="K717" s="743" t="s">
        <v>840</v>
      </c>
      <c r="L717" s="791"/>
      <c r="M717" s="791"/>
      <c r="N717" s="791"/>
      <c r="O717" s="791"/>
      <c r="P717" s="791"/>
      <c r="Q717" s="797"/>
    </row>
    <row r="718" spans="1:17" ht="15" x14ac:dyDescent="0.25">
      <c r="A718" s="1289"/>
      <c r="B718" s="1289"/>
      <c r="C718" s="1382"/>
      <c r="D718" s="1385"/>
      <c r="E718" s="1390"/>
      <c r="F718" s="1392"/>
      <c r="G718" s="1392"/>
      <c r="H718" s="1392"/>
      <c r="I718" s="1392"/>
      <c r="J718" s="1392"/>
      <c r="K718" s="791" t="s">
        <v>841</v>
      </c>
      <c r="L718" s="797" t="s">
        <v>3</v>
      </c>
      <c r="M718" s="797">
        <v>3.8</v>
      </c>
      <c r="N718" s="797">
        <v>1</v>
      </c>
      <c r="O718" s="797">
        <v>1</v>
      </c>
      <c r="P718" s="797">
        <v>1</v>
      </c>
      <c r="Q718" s="797">
        <v>1</v>
      </c>
    </row>
    <row r="719" spans="1:17" ht="15" x14ac:dyDescent="0.25">
      <c r="A719" s="1289"/>
      <c r="B719" s="1290"/>
      <c r="C719" s="1383"/>
      <c r="D719" s="1386"/>
      <c r="E719" s="1391"/>
      <c r="F719" s="1375"/>
      <c r="G719" s="1375"/>
      <c r="H719" s="1375"/>
      <c r="I719" s="1375"/>
      <c r="J719" s="1375"/>
      <c r="K719" s="791" t="s">
        <v>842</v>
      </c>
      <c r="L719" s="797" t="s">
        <v>3</v>
      </c>
      <c r="M719" s="797">
        <v>0</v>
      </c>
      <c r="N719" s="797">
        <v>1</v>
      </c>
      <c r="O719" s="797">
        <v>1</v>
      </c>
      <c r="P719" s="797">
        <v>1</v>
      </c>
      <c r="Q719" s="797">
        <v>1</v>
      </c>
    </row>
    <row r="720" spans="1:17" ht="221.25" x14ac:dyDescent="0.2">
      <c r="A720" s="1289"/>
      <c r="B720" s="414"/>
      <c r="C720" s="414"/>
      <c r="D720" s="414"/>
      <c r="E720" s="795" t="s">
        <v>1766</v>
      </c>
      <c r="F720" s="794">
        <v>13562.1</v>
      </c>
      <c r="G720" s="794">
        <v>22000</v>
      </c>
      <c r="H720" s="794">
        <f>H721+H722+H724</f>
        <v>22000</v>
      </c>
      <c r="I720" s="794">
        <f t="shared" ref="I720:J720" si="121">I721+I722+I724</f>
        <v>22000</v>
      </c>
      <c r="J720" s="794">
        <f t="shared" si="121"/>
        <v>22000</v>
      </c>
      <c r="K720" s="795" t="s">
        <v>843</v>
      </c>
      <c r="L720" s="794" t="s">
        <v>3</v>
      </c>
      <c r="M720" s="794">
        <v>100</v>
      </c>
      <c r="N720" s="794">
        <v>5</v>
      </c>
      <c r="O720" s="794">
        <v>50</v>
      </c>
      <c r="P720" s="794">
        <v>50</v>
      </c>
      <c r="Q720" s="794">
        <v>50</v>
      </c>
    </row>
    <row r="721" spans="1:17" ht="45" x14ac:dyDescent="0.25">
      <c r="A721" s="1289"/>
      <c r="B721" s="798" t="s">
        <v>1873</v>
      </c>
      <c r="C721" s="799"/>
      <c r="D721" s="799"/>
      <c r="E721" s="774" t="s">
        <v>844</v>
      </c>
      <c r="F721" s="797"/>
      <c r="G721" s="797">
        <v>11500</v>
      </c>
      <c r="H721" s="797">
        <v>10000</v>
      </c>
      <c r="I721" s="797">
        <v>11500</v>
      </c>
      <c r="J721" s="797">
        <v>11500</v>
      </c>
      <c r="K721" s="800" t="s">
        <v>845</v>
      </c>
      <c r="L721" s="797" t="s">
        <v>3</v>
      </c>
      <c r="M721" s="797">
        <v>100</v>
      </c>
      <c r="N721" s="797">
        <v>5</v>
      </c>
      <c r="O721" s="797">
        <v>20</v>
      </c>
      <c r="P721" s="797">
        <v>20</v>
      </c>
      <c r="Q721" s="797">
        <v>20</v>
      </c>
    </row>
    <row r="722" spans="1:17" ht="60" x14ac:dyDescent="0.25">
      <c r="A722" s="1289"/>
      <c r="B722" s="1288"/>
      <c r="C722" s="1381" t="s">
        <v>5</v>
      </c>
      <c r="D722" s="1381"/>
      <c r="E722" s="1387" t="s">
        <v>846</v>
      </c>
      <c r="F722" s="1374">
        <v>7000</v>
      </c>
      <c r="G722" s="1374">
        <v>4500</v>
      </c>
      <c r="H722" s="1374">
        <v>5500</v>
      </c>
      <c r="I722" s="1374">
        <v>4500</v>
      </c>
      <c r="J722" s="1374">
        <v>4500</v>
      </c>
      <c r="K722" s="800" t="s">
        <v>847</v>
      </c>
      <c r="L722" s="637" t="s">
        <v>1009</v>
      </c>
      <c r="M722" s="797">
        <v>45619</v>
      </c>
      <c r="N722" s="797">
        <v>34000</v>
      </c>
      <c r="O722" s="797">
        <v>34000</v>
      </c>
      <c r="P722" s="797">
        <v>34000</v>
      </c>
      <c r="Q722" s="797">
        <v>34000</v>
      </c>
    </row>
    <row r="723" spans="1:17" ht="45" x14ac:dyDescent="0.25">
      <c r="A723" s="1289"/>
      <c r="B723" s="1290"/>
      <c r="C723" s="1383"/>
      <c r="D723" s="1383"/>
      <c r="E723" s="1388"/>
      <c r="F723" s="1375"/>
      <c r="G723" s="1375"/>
      <c r="H723" s="1375"/>
      <c r="I723" s="1375"/>
      <c r="J723" s="1375"/>
      <c r="K723" s="800" t="s">
        <v>848</v>
      </c>
      <c r="L723" s="797" t="s">
        <v>849</v>
      </c>
      <c r="M723" s="797">
        <v>53.5</v>
      </c>
      <c r="N723" s="797">
        <v>30</v>
      </c>
      <c r="O723" s="797">
        <v>30</v>
      </c>
      <c r="P723" s="797">
        <v>30</v>
      </c>
      <c r="Q723" s="797">
        <v>30</v>
      </c>
    </row>
    <row r="724" spans="1:17" ht="75" x14ac:dyDescent="0.25">
      <c r="A724" s="1289"/>
      <c r="B724" s="1288"/>
      <c r="C724" s="1381" t="s">
        <v>6</v>
      </c>
      <c r="D724" s="1381"/>
      <c r="E724" s="1387" t="s">
        <v>850</v>
      </c>
      <c r="F724" s="1374">
        <v>6562.1</v>
      </c>
      <c r="G724" s="1374">
        <v>6000</v>
      </c>
      <c r="H724" s="1374">
        <v>6500</v>
      </c>
      <c r="I724" s="1374">
        <v>6000</v>
      </c>
      <c r="J724" s="1374">
        <v>6000</v>
      </c>
      <c r="K724" s="800" t="s">
        <v>851</v>
      </c>
      <c r="L724" s="797" t="s">
        <v>3</v>
      </c>
      <c r="M724" s="797">
        <v>100</v>
      </c>
      <c r="N724" s="797">
        <v>20</v>
      </c>
      <c r="O724" s="797">
        <v>50</v>
      </c>
      <c r="P724" s="797">
        <v>50</v>
      </c>
      <c r="Q724" s="797">
        <v>50</v>
      </c>
    </row>
    <row r="725" spans="1:17" ht="75" x14ac:dyDescent="0.25">
      <c r="A725" s="1290"/>
      <c r="B725" s="1290"/>
      <c r="C725" s="1383"/>
      <c r="D725" s="1383"/>
      <c r="E725" s="1388"/>
      <c r="F725" s="1375"/>
      <c r="G725" s="1375"/>
      <c r="H725" s="1375"/>
      <c r="I725" s="1375"/>
      <c r="J725" s="1375"/>
      <c r="K725" s="800" t="s">
        <v>852</v>
      </c>
      <c r="L725" s="797" t="s">
        <v>3</v>
      </c>
      <c r="M725" s="797">
        <v>100</v>
      </c>
      <c r="N725" s="797">
        <v>20</v>
      </c>
      <c r="O725" s="797">
        <v>50</v>
      </c>
      <c r="P725" s="797">
        <v>50</v>
      </c>
      <c r="Q725" s="797">
        <v>50</v>
      </c>
    </row>
    <row r="726" spans="1:17" ht="15" x14ac:dyDescent="0.2">
      <c r="A726" s="1376" t="s">
        <v>35</v>
      </c>
      <c r="B726" s="1377"/>
      <c r="C726" s="1377"/>
      <c r="D726" s="1377"/>
      <c r="E726" s="1378"/>
      <c r="F726" s="801">
        <v>49979.9</v>
      </c>
      <c r="G726" s="801">
        <v>596990.09999999986</v>
      </c>
      <c r="H726" s="801">
        <f>H696+H699+H709+H716+H720</f>
        <v>934846.60000000009</v>
      </c>
      <c r="I726" s="801">
        <f t="shared" ref="I726:J726" si="122">I696+I699+I709+I716+I720</f>
        <v>956708.2</v>
      </c>
      <c r="J726" s="801">
        <f t="shared" si="122"/>
        <v>979337.2</v>
      </c>
      <c r="K726" s="780"/>
      <c r="L726" s="1379"/>
      <c r="M726" s="1379"/>
      <c r="N726" s="1379"/>
      <c r="O726" s="1379"/>
      <c r="P726" s="779"/>
      <c r="Q726" s="780"/>
    </row>
    <row r="727" spans="1:17" ht="14.25" x14ac:dyDescent="0.2">
      <c r="A727" s="1380" t="s">
        <v>853</v>
      </c>
      <c r="B727" s="1380"/>
      <c r="C727" s="1380"/>
      <c r="D727" s="1380"/>
      <c r="E727" s="1380"/>
      <c r="F727" s="1380"/>
      <c r="G727" s="1380"/>
      <c r="H727" s="1380"/>
      <c r="I727" s="1380"/>
      <c r="J727" s="1380"/>
      <c r="K727" s="1380"/>
      <c r="L727" s="1380"/>
      <c r="M727" s="1380"/>
      <c r="N727" s="1380"/>
      <c r="O727" s="1380"/>
      <c r="P727" s="1380"/>
      <c r="Q727" s="1380"/>
    </row>
    <row r="728" spans="1:17" ht="74.25" x14ac:dyDescent="0.2">
      <c r="A728" s="1320">
        <v>68</v>
      </c>
      <c r="B728" s="802">
        <v>1</v>
      </c>
      <c r="C728" s="803"/>
      <c r="D728" s="804"/>
      <c r="E728" s="267" t="s">
        <v>1767</v>
      </c>
      <c r="F728" s="91">
        <f>F729+F730</f>
        <v>2937</v>
      </c>
      <c r="G728" s="91">
        <f>G729+G730</f>
        <v>3487</v>
      </c>
      <c r="H728" s="91">
        <f>H729+H730</f>
        <v>3603.9</v>
      </c>
      <c r="I728" s="91">
        <f>I729+I730</f>
        <v>3640.8</v>
      </c>
      <c r="J728" s="91">
        <f>J729+J730</f>
        <v>3677.2</v>
      </c>
      <c r="K728" s="805" t="s">
        <v>854</v>
      </c>
      <c r="L728" s="16" t="s">
        <v>3</v>
      </c>
      <c r="M728" s="806">
        <v>100</v>
      </c>
      <c r="N728" s="806">
        <v>100</v>
      </c>
      <c r="O728" s="806">
        <v>100</v>
      </c>
      <c r="P728" s="806">
        <v>100</v>
      </c>
      <c r="Q728" s="806">
        <v>100</v>
      </c>
    </row>
    <row r="729" spans="1:17" ht="45" x14ac:dyDescent="0.2">
      <c r="A729" s="1321"/>
      <c r="B729" s="807"/>
      <c r="C729" s="808">
        <v>1</v>
      </c>
      <c r="D729" s="803"/>
      <c r="E729" s="805" t="s">
        <v>855</v>
      </c>
      <c r="F729" s="47">
        <f>2026.1+303.5</f>
        <v>2329.6</v>
      </c>
      <c r="G729" s="47">
        <v>3487</v>
      </c>
      <c r="H729" s="47">
        <v>3603.9</v>
      </c>
      <c r="I729" s="47">
        <v>3640.8</v>
      </c>
      <c r="J729" s="47">
        <v>3677.2</v>
      </c>
      <c r="K729" s="805" t="s">
        <v>854</v>
      </c>
      <c r="L729" s="16" t="s">
        <v>3</v>
      </c>
      <c r="M729" s="806">
        <v>100</v>
      </c>
      <c r="N729" s="806">
        <v>100</v>
      </c>
      <c r="O729" s="806">
        <v>100</v>
      </c>
      <c r="P729" s="806">
        <v>100</v>
      </c>
      <c r="Q729" s="806">
        <v>100</v>
      </c>
    </row>
    <row r="730" spans="1:17" ht="15" x14ac:dyDescent="0.2">
      <c r="A730" s="1322"/>
      <c r="B730" s="807"/>
      <c r="C730" s="809">
        <v>2</v>
      </c>
      <c r="D730" s="810"/>
      <c r="E730" s="811" t="s">
        <v>1646</v>
      </c>
      <c r="F730" s="552">
        <f>601+6.4</f>
        <v>607.4</v>
      </c>
      <c r="G730" s="552"/>
      <c r="H730" s="552"/>
      <c r="I730" s="552"/>
      <c r="J730" s="552"/>
      <c r="K730" s="134"/>
      <c r="L730" s="134"/>
      <c r="M730" s="134"/>
      <c r="N730" s="134"/>
      <c r="O730" s="134"/>
      <c r="P730" s="134"/>
      <c r="Q730" s="134"/>
    </row>
    <row r="731" spans="1:17" ht="15" x14ac:dyDescent="0.25">
      <c r="A731" s="1310" t="s">
        <v>35</v>
      </c>
      <c r="B731" s="1310"/>
      <c r="C731" s="1310"/>
      <c r="D731" s="1310"/>
      <c r="E731" s="1310"/>
      <c r="F731" s="391">
        <f>SUM(F729:F730)</f>
        <v>2937</v>
      </c>
      <c r="G731" s="391">
        <f>SUM(G729:G730)</f>
        <v>3487</v>
      </c>
      <c r="H731" s="391">
        <f>SUM(H729:H730)</f>
        <v>3603.9</v>
      </c>
      <c r="I731" s="391">
        <f>SUM(I729:I730)</f>
        <v>3640.8</v>
      </c>
      <c r="J731" s="391">
        <f>SUM(J729:J730)</f>
        <v>3677.2</v>
      </c>
      <c r="K731" s="339"/>
      <c r="L731" s="1323"/>
      <c r="M731" s="1323"/>
      <c r="N731" s="1323"/>
      <c r="O731" s="1323"/>
      <c r="P731" s="1323"/>
      <c r="Q731" s="1323"/>
    </row>
    <row r="732" spans="1:17" ht="14.25" x14ac:dyDescent="0.2">
      <c r="A732" s="1312" t="s">
        <v>2047</v>
      </c>
      <c r="B732" s="1313"/>
      <c r="C732" s="1313"/>
      <c r="D732" s="1313"/>
      <c r="E732" s="1313"/>
      <c r="F732" s="1313"/>
      <c r="G732" s="1313"/>
      <c r="H732" s="1313"/>
      <c r="I732" s="1313"/>
      <c r="J732" s="1313"/>
      <c r="K732" s="1313"/>
      <c r="L732" s="1313"/>
      <c r="M732" s="1313"/>
      <c r="N732" s="1313"/>
      <c r="O732" s="1313"/>
      <c r="P732" s="1313"/>
      <c r="Q732" s="1314"/>
    </row>
    <row r="733" spans="1:17" ht="74.25" x14ac:dyDescent="0.2">
      <c r="A733" s="1316">
        <v>69</v>
      </c>
      <c r="B733" s="180" t="s">
        <v>0</v>
      </c>
      <c r="C733" s="21"/>
      <c r="D733" s="414"/>
      <c r="E733" s="95" t="s">
        <v>1768</v>
      </c>
      <c r="F733" s="812">
        <f>F734</f>
        <v>0</v>
      </c>
      <c r="G733" s="812">
        <f>G734</f>
        <v>446494</v>
      </c>
      <c r="H733" s="813">
        <f t="shared" ref="H733:J733" si="123">H734</f>
        <v>452304.9</v>
      </c>
      <c r="I733" s="813">
        <f t="shared" si="123"/>
        <v>453200</v>
      </c>
      <c r="J733" s="813">
        <f t="shared" si="123"/>
        <v>453041.2</v>
      </c>
      <c r="K733" s="814" t="s">
        <v>1010</v>
      </c>
      <c r="L733" s="814"/>
      <c r="M733" s="815"/>
      <c r="N733" s="816"/>
      <c r="O733" s="816"/>
      <c r="P733" s="816"/>
      <c r="Q733" s="816"/>
    </row>
    <row r="734" spans="1:17" ht="30" x14ac:dyDescent="0.2">
      <c r="A734" s="1317"/>
      <c r="B734" s="21"/>
      <c r="C734" s="21" t="s">
        <v>5</v>
      </c>
      <c r="D734" s="407"/>
      <c r="E734" s="163" t="s">
        <v>793</v>
      </c>
      <c r="F734" s="817"/>
      <c r="G734" s="817">
        <v>446494</v>
      </c>
      <c r="H734" s="818">
        <v>452304.9</v>
      </c>
      <c r="I734" s="332">
        <v>453200</v>
      </c>
      <c r="J734" s="332">
        <v>453041.2</v>
      </c>
      <c r="K734" s="163" t="s">
        <v>177</v>
      </c>
      <c r="L734" s="142" t="s">
        <v>3</v>
      </c>
      <c r="M734" s="819">
        <v>39</v>
      </c>
      <c r="N734" s="157">
        <v>40</v>
      </c>
      <c r="O734" s="157">
        <v>40</v>
      </c>
      <c r="P734" s="157">
        <v>40.5</v>
      </c>
      <c r="Q734" s="157">
        <v>41</v>
      </c>
    </row>
    <row r="735" spans="1:17" ht="88.5" x14ac:dyDescent="0.2">
      <c r="A735" s="1317"/>
      <c r="B735" s="180" t="s">
        <v>1875</v>
      </c>
      <c r="C735" s="21"/>
      <c r="D735" s="414"/>
      <c r="E735" s="181" t="s">
        <v>1494</v>
      </c>
      <c r="F735" s="812">
        <f>SUM(F736:F737)</f>
        <v>0</v>
      </c>
      <c r="G735" s="812">
        <f>SUM(G736:G737)</f>
        <v>38823.699999999997</v>
      </c>
      <c r="H735" s="813">
        <f t="shared" ref="H735:J735" si="124">SUM(H736:H737)</f>
        <v>37778.1</v>
      </c>
      <c r="I735" s="813">
        <f t="shared" si="124"/>
        <v>37778.1</v>
      </c>
      <c r="J735" s="813">
        <f t="shared" si="124"/>
        <v>41778.1</v>
      </c>
      <c r="K735" s="820" t="s">
        <v>856</v>
      </c>
      <c r="L735" s="821"/>
      <c r="M735" s="822"/>
      <c r="N735" s="822"/>
      <c r="O735" s="822"/>
      <c r="P735" s="822"/>
      <c r="Q735" s="822"/>
    </row>
    <row r="736" spans="1:17" ht="60" x14ac:dyDescent="0.2">
      <c r="A736" s="1317"/>
      <c r="B736" s="21"/>
      <c r="C736" s="21" t="s">
        <v>5</v>
      </c>
      <c r="D736" s="407"/>
      <c r="E736" s="376" t="s">
        <v>857</v>
      </c>
      <c r="F736" s="47"/>
      <c r="G736" s="47">
        <v>38823.699999999997</v>
      </c>
      <c r="H736" s="22">
        <v>33778.1</v>
      </c>
      <c r="I736" s="22">
        <v>33778.1</v>
      </c>
      <c r="J736" s="22">
        <v>33778.1</v>
      </c>
      <c r="K736" s="163" t="s">
        <v>858</v>
      </c>
      <c r="L736" s="821" t="s">
        <v>859</v>
      </c>
      <c r="M736" s="822"/>
      <c r="N736" s="822"/>
      <c r="O736" s="822"/>
      <c r="P736" s="822"/>
      <c r="Q736" s="822"/>
    </row>
    <row r="737" spans="1:17" ht="30" x14ac:dyDescent="0.2">
      <c r="A737" s="1317"/>
      <c r="B737" s="21"/>
      <c r="C737" s="21" t="s">
        <v>6</v>
      </c>
      <c r="D737" s="21"/>
      <c r="E737" s="376" t="s">
        <v>860</v>
      </c>
      <c r="F737" s="47"/>
      <c r="G737" s="47"/>
      <c r="H737" s="22">
        <v>4000</v>
      </c>
      <c r="I737" s="22">
        <v>4000</v>
      </c>
      <c r="J737" s="22">
        <v>8000</v>
      </c>
      <c r="K737" s="29"/>
      <c r="L737" s="29"/>
      <c r="M737" s="29"/>
      <c r="N737" s="29"/>
      <c r="O737" s="29"/>
      <c r="P737" s="29"/>
      <c r="Q737" s="29"/>
    </row>
    <row r="738" spans="1:17" ht="119.25" x14ac:dyDescent="0.2">
      <c r="A738" s="1317"/>
      <c r="B738" s="180" t="s">
        <v>1876</v>
      </c>
      <c r="C738" s="21"/>
      <c r="D738" s="180"/>
      <c r="E738" s="221" t="s">
        <v>1769</v>
      </c>
      <c r="F738" s="161">
        <f>SUM(F739:F741)</f>
        <v>140492.4</v>
      </c>
      <c r="G738" s="161">
        <f>SUM(G739:G741)</f>
        <v>212969.5</v>
      </c>
      <c r="H738" s="176">
        <f>SUM(H739:H741)</f>
        <v>216270.4</v>
      </c>
      <c r="I738" s="176">
        <f t="shared" ref="I738:J738" si="125">SUM(I739:I741)</f>
        <v>216820</v>
      </c>
      <c r="J738" s="176">
        <f t="shared" si="125"/>
        <v>211300</v>
      </c>
      <c r="K738" s="181" t="s">
        <v>861</v>
      </c>
      <c r="L738" s="177" t="s">
        <v>3</v>
      </c>
      <c r="M738" s="177">
        <v>98.9</v>
      </c>
      <c r="N738" s="823">
        <v>99</v>
      </c>
      <c r="O738" s="177">
        <v>99.1</v>
      </c>
      <c r="P738" s="177">
        <v>99.2</v>
      </c>
      <c r="Q738" s="177">
        <v>99.3</v>
      </c>
    </row>
    <row r="739" spans="1:17" ht="45" x14ac:dyDescent="0.2">
      <c r="A739" s="1317"/>
      <c r="B739" s="21"/>
      <c r="C739" s="21" t="s">
        <v>5</v>
      </c>
      <c r="D739" s="21"/>
      <c r="E739" s="824" t="s">
        <v>862</v>
      </c>
      <c r="F739" s="825">
        <v>63692.4</v>
      </c>
      <c r="G739" s="825">
        <v>66169.5</v>
      </c>
      <c r="H739" s="332">
        <v>69460.399999999994</v>
      </c>
      <c r="I739" s="332">
        <v>70000</v>
      </c>
      <c r="J739" s="332">
        <v>70000</v>
      </c>
      <c r="K739" s="824" t="s">
        <v>863</v>
      </c>
      <c r="L739" s="826" t="s">
        <v>180</v>
      </c>
      <c r="M739" s="827">
        <v>330</v>
      </c>
      <c r="N739" s="827" t="s">
        <v>864</v>
      </c>
      <c r="O739" s="827" t="s">
        <v>865</v>
      </c>
      <c r="P739" s="827" t="s">
        <v>866</v>
      </c>
      <c r="Q739" s="827" t="s">
        <v>867</v>
      </c>
    </row>
    <row r="740" spans="1:17" ht="30" x14ac:dyDescent="0.2">
      <c r="A740" s="1317"/>
      <c r="B740" s="21"/>
      <c r="C740" s="21" t="s">
        <v>7</v>
      </c>
      <c r="D740" s="21"/>
      <c r="E740" s="178" t="s">
        <v>868</v>
      </c>
      <c r="F740" s="825">
        <v>2500</v>
      </c>
      <c r="G740" s="825">
        <v>1800</v>
      </c>
      <c r="H740" s="332">
        <v>1810</v>
      </c>
      <c r="I740" s="332">
        <v>1820</v>
      </c>
      <c r="J740" s="332">
        <v>1300</v>
      </c>
      <c r="K740" s="163" t="s">
        <v>869</v>
      </c>
      <c r="L740" s="826" t="s">
        <v>180</v>
      </c>
      <c r="M740" s="828">
        <v>460</v>
      </c>
      <c r="N740" s="828">
        <v>290</v>
      </c>
      <c r="O740" s="828">
        <v>155</v>
      </c>
      <c r="P740" s="828">
        <v>160</v>
      </c>
      <c r="Q740" s="828">
        <v>165</v>
      </c>
    </row>
    <row r="741" spans="1:17" ht="60" x14ac:dyDescent="0.2">
      <c r="A741" s="1317"/>
      <c r="B741" s="21"/>
      <c r="C741" s="21" t="s">
        <v>8</v>
      </c>
      <c r="D741" s="21"/>
      <c r="E741" s="178" t="s">
        <v>870</v>
      </c>
      <c r="F741" s="825">
        <v>74300</v>
      </c>
      <c r="G741" s="825">
        <v>145000</v>
      </c>
      <c r="H741" s="332">
        <v>145000</v>
      </c>
      <c r="I741" s="332">
        <v>145000</v>
      </c>
      <c r="J741" s="332">
        <v>140000</v>
      </c>
      <c r="K741" s="163" t="s">
        <v>871</v>
      </c>
      <c r="L741" s="826" t="s">
        <v>180</v>
      </c>
      <c r="M741" s="828">
        <v>21681</v>
      </c>
      <c r="N741" s="828">
        <v>24391</v>
      </c>
      <c r="O741" s="828">
        <v>23454</v>
      </c>
      <c r="P741" s="828">
        <v>23175</v>
      </c>
      <c r="Q741" s="828">
        <v>23673</v>
      </c>
    </row>
    <row r="742" spans="1:17" ht="28.5" x14ac:dyDescent="0.2">
      <c r="A742" s="1317"/>
      <c r="B742" s="180" t="s">
        <v>1877</v>
      </c>
      <c r="C742" s="21"/>
      <c r="D742" s="180"/>
      <c r="E742" s="221" t="s">
        <v>872</v>
      </c>
      <c r="F742" s="829">
        <f>SUM(F743:F744)</f>
        <v>322822.59999999998</v>
      </c>
      <c r="G742" s="829">
        <f>SUM(G743:G744)</f>
        <v>375600.60000000003</v>
      </c>
      <c r="H742" s="830">
        <f t="shared" ref="H742:J742" si="126">SUM(H743:H744)</f>
        <v>388623.8</v>
      </c>
      <c r="I742" s="830">
        <f t="shared" si="126"/>
        <v>393952.4</v>
      </c>
      <c r="J742" s="830">
        <f t="shared" si="126"/>
        <v>393952.4</v>
      </c>
      <c r="K742" s="170"/>
      <c r="L742" s="831"/>
      <c r="M742" s="169"/>
      <c r="N742" s="169"/>
      <c r="O742" s="832"/>
      <c r="P742" s="833"/>
      <c r="Q742" s="833"/>
    </row>
    <row r="743" spans="1:17" ht="15" x14ac:dyDescent="0.2">
      <c r="A743" s="1317"/>
      <c r="B743" s="21"/>
      <c r="C743" s="21" t="s">
        <v>5</v>
      </c>
      <c r="D743" s="21"/>
      <c r="E743" s="824" t="s">
        <v>873</v>
      </c>
      <c r="F743" s="825">
        <v>225975.8</v>
      </c>
      <c r="G743" s="825">
        <v>262920.40000000002</v>
      </c>
      <c r="H743" s="332">
        <v>272036.8</v>
      </c>
      <c r="I743" s="332">
        <v>275766.8</v>
      </c>
      <c r="J743" s="332">
        <v>275766.8</v>
      </c>
      <c r="K743" s="163" t="s">
        <v>874</v>
      </c>
      <c r="L743" s="826" t="s">
        <v>875</v>
      </c>
      <c r="M743" s="24">
        <v>1053.5</v>
      </c>
      <c r="N743" s="24">
        <v>1064</v>
      </c>
      <c r="O743" s="24">
        <v>1074.7</v>
      </c>
      <c r="P743" s="24">
        <v>1085.4000000000001</v>
      </c>
      <c r="Q743" s="24">
        <v>1096.3</v>
      </c>
    </row>
    <row r="744" spans="1:17" ht="30" x14ac:dyDescent="0.2">
      <c r="A744" s="1317"/>
      <c r="B744" s="21"/>
      <c r="C744" s="21" t="s">
        <v>6</v>
      </c>
      <c r="D744" s="21"/>
      <c r="E744" s="178" t="s">
        <v>876</v>
      </c>
      <c r="F744" s="825">
        <v>96846.8</v>
      </c>
      <c r="G744" s="825">
        <v>112680.2</v>
      </c>
      <c r="H744" s="332">
        <v>116587</v>
      </c>
      <c r="I744" s="332">
        <v>118185.60000000001</v>
      </c>
      <c r="J744" s="332">
        <v>118185.60000000001</v>
      </c>
      <c r="K744" s="163" t="s">
        <v>877</v>
      </c>
      <c r="L744" s="826" t="s">
        <v>875</v>
      </c>
      <c r="M744" s="24">
        <v>301.60000000000002</v>
      </c>
      <c r="N744" s="24">
        <v>304.60000000000002</v>
      </c>
      <c r="O744" s="24">
        <v>307.60000000000002</v>
      </c>
      <c r="P744" s="24">
        <v>310.7</v>
      </c>
      <c r="Q744" s="24">
        <v>313.8</v>
      </c>
    </row>
    <row r="745" spans="1:17" ht="57" x14ac:dyDescent="0.2">
      <c r="A745" s="1317"/>
      <c r="B745" s="180" t="s">
        <v>1878</v>
      </c>
      <c r="C745" s="21"/>
      <c r="D745" s="180"/>
      <c r="E745" s="181" t="s">
        <v>878</v>
      </c>
      <c r="F745" s="829">
        <f>SUM(F746:F747)</f>
        <v>228839.6</v>
      </c>
      <c r="G745" s="829">
        <f>SUM(G746:G747)</f>
        <v>225040.6</v>
      </c>
      <c r="H745" s="830">
        <f t="shared" ref="H745:J745" si="127">SUM(H746:H747)</f>
        <v>230500.6</v>
      </c>
      <c r="I745" s="830">
        <f t="shared" si="127"/>
        <v>232488.6</v>
      </c>
      <c r="J745" s="830">
        <f t="shared" si="127"/>
        <v>234496.5</v>
      </c>
      <c r="K745" s="512" t="s">
        <v>879</v>
      </c>
      <c r="L745" s="834"/>
      <c r="M745" s="16"/>
      <c r="N745" s="16"/>
      <c r="O745" s="835"/>
      <c r="P745" s="562"/>
      <c r="Q745" s="562"/>
    </row>
    <row r="746" spans="1:17" ht="60" x14ac:dyDescent="0.2">
      <c r="A746" s="1317"/>
      <c r="B746" s="21"/>
      <c r="C746" s="21" t="s">
        <v>5</v>
      </c>
      <c r="D746" s="21"/>
      <c r="E746" s="836" t="s">
        <v>880</v>
      </c>
      <c r="F746" s="47">
        <f>227598.6</f>
        <v>227598.6</v>
      </c>
      <c r="G746" s="825">
        <v>223761.2</v>
      </c>
      <c r="H746" s="332">
        <v>224067.6</v>
      </c>
      <c r="I746" s="332">
        <v>230194.6</v>
      </c>
      <c r="J746" s="332">
        <v>232031.5</v>
      </c>
      <c r="K746" s="376" t="s">
        <v>881</v>
      </c>
      <c r="L746" s="837" t="s">
        <v>882</v>
      </c>
      <c r="M746" s="828">
        <v>100952</v>
      </c>
      <c r="N746" s="828">
        <v>60397</v>
      </c>
      <c r="O746" s="828">
        <v>60397</v>
      </c>
      <c r="P746" s="828">
        <v>61547</v>
      </c>
      <c r="Q746" s="828">
        <v>62162</v>
      </c>
    </row>
    <row r="747" spans="1:17" ht="120" x14ac:dyDescent="0.2">
      <c r="A747" s="1317"/>
      <c r="B747" s="21"/>
      <c r="C747" s="21" t="s">
        <v>6</v>
      </c>
      <c r="D747" s="21"/>
      <c r="E747" s="134" t="s">
        <v>883</v>
      </c>
      <c r="F747" s="47">
        <v>1241</v>
      </c>
      <c r="G747" s="825">
        <v>1279.4000000000001</v>
      </c>
      <c r="H747" s="332">
        <v>6433</v>
      </c>
      <c r="I747" s="332">
        <v>2294</v>
      </c>
      <c r="J747" s="332">
        <v>2465</v>
      </c>
      <c r="K747" s="376" t="s">
        <v>884</v>
      </c>
      <c r="L747" s="837" t="s">
        <v>882</v>
      </c>
      <c r="M747" s="828">
        <v>5592</v>
      </c>
      <c r="N747" s="828">
        <v>4800</v>
      </c>
      <c r="O747" s="828">
        <v>4800</v>
      </c>
      <c r="P747" s="828">
        <v>4848</v>
      </c>
      <c r="Q747" s="828">
        <v>4896</v>
      </c>
    </row>
    <row r="748" spans="1:17" ht="114" x14ac:dyDescent="0.2">
      <c r="A748" s="1317"/>
      <c r="B748" s="180" t="s">
        <v>1879</v>
      </c>
      <c r="C748" s="21"/>
      <c r="D748" s="180"/>
      <c r="E748" s="838" t="s">
        <v>1030</v>
      </c>
      <c r="F748" s="161">
        <f>F749</f>
        <v>0</v>
      </c>
      <c r="G748" s="161">
        <f>SUM(G749:G749)</f>
        <v>0</v>
      </c>
      <c r="H748" s="176">
        <f>SUM(H749:H749)</f>
        <v>51362.6</v>
      </c>
      <c r="I748" s="176">
        <f>SUM(I749:I749)</f>
        <v>52362.6</v>
      </c>
      <c r="J748" s="176">
        <f>SUM(J749:J749)</f>
        <v>52852.6</v>
      </c>
      <c r="K748" s="512"/>
      <c r="L748" s="837"/>
      <c r="M748" s="169"/>
      <c r="N748" s="169"/>
      <c r="O748" s="169"/>
      <c r="P748" s="169"/>
      <c r="Q748" s="169"/>
    </row>
    <row r="749" spans="1:17" ht="105" x14ac:dyDescent="0.25">
      <c r="A749" s="1317"/>
      <c r="B749" s="180"/>
      <c r="C749" s="21" t="s">
        <v>5</v>
      </c>
      <c r="D749" s="21"/>
      <c r="E749" s="411" t="s">
        <v>1031</v>
      </c>
      <c r="F749" s="47"/>
      <c r="G749" s="47"/>
      <c r="H749" s="22">
        <v>51362.6</v>
      </c>
      <c r="I749" s="22">
        <v>52362.6</v>
      </c>
      <c r="J749" s="22">
        <v>52852.6</v>
      </c>
      <c r="K749" s="480"/>
      <c r="L749" s="837"/>
      <c r="M749" s="16"/>
      <c r="N749" s="839"/>
      <c r="O749" s="839"/>
      <c r="P749" s="839"/>
      <c r="Q749" s="839"/>
    </row>
    <row r="750" spans="1:17" ht="28.5" x14ac:dyDescent="0.2">
      <c r="A750" s="1317"/>
      <c r="B750" s="180" t="s">
        <v>1880</v>
      </c>
      <c r="C750" s="21"/>
      <c r="D750" s="180"/>
      <c r="E750" s="181" t="s">
        <v>885</v>
      </c>
      <c r="F750" s="161">
        <f>SUM(F751)</f>
        <v>630400</v>
      </c>
      <c r="G750" s="161">
        <f>SUM(G751)</f>
        <v>0</v>
      </c>
      <c r="H750" s="176">
        <f>H751</f>
        <v>1958890</v>
      </c>
      <c r="I750" s="176">
        <f>I751</f>
        <v>1685997.5</v>
      </c>
      <c r="J750" s="176">
        <f>J751</f>
        <v>0</v>
      </c>
      <c r="K750" s="162"/>
      <c r="L750" s="177"/>
      <c r="M750" s="177"/>
      <c r="N750" s="177"/>
      <c r="O750" s="177"/>
      <c r="P750" s="177"/>
      <c r="Q750" s="177"/>
    </row>
    <row r="751" spans="1:17" ht="30" x14ac:dyDescent="0.2">
      <c r="A751" s="1318"/>
      <c r="B751" s="21"/>
      <c r="C751" s="21" t="s">
        <v>5</v>
      </c>
      <c r="D751" s="21"/>
      <c r="E751" s="178" t="s">
        <v>886</v>
      </c>
      <c r="F751" s="47">
        <v>630400</v>
      </c>
      <c r="G751" s="47"/>
      <c r="H751" s="22">
        <v>1958890</v>
      </c>
      <c r="I751" s="22">
        <v>1685997.5</v>
      </c>
      <c r="J751" s="22"/>
      <c r="K751" s="162"/>
      <c r="L751" s="23" t="s">
        <v>859</v>
      </c>
      <c r="M751" s="177"/>
      <c r="N751" s="177"/>
      <c r="O751" s="177"/>
      <c r="P751" s="177"/>
      <c r="Q751" s="177"/>
    </row>
    <row r="752" spans="1:17" ht="15" x14ac:dyDescent="0.2">
      <c r="A752" s="1310" t="s">
        <v>35</v>
      </c>
      <c r="B752" s="1310"/>
      <c r="C752" s="1310"/>
      <c r="D752" s="1310"/>
      <c r="E752" s="1310"/>
      <c r="F752" s="840">
        <f>F733+F735+F738+F742+F745+F748+F750</f>
        <v>1322554.6000000001</v>
      </c>
      <c r="G752" s="840">
        <f>G733+G735+G738+G742+G745+G748+G750</f>
        <v>1298928.4000000001</v>
      </c>
      <c r="H752" s="840">
        <f>H733+H735+H738+H742+H745+H748+H750</f>
        <v>3335730.4000000004</v>
      </c>
      <c r="I752" s="840">
        <f>I733+I735+I738+I742+I745+I748+I750</f>
        <v>3072599.2</v>
      </c>
      <c r="J752" s="840">
        <f>J733+J735+J738+J742+J745+J748+J750</f>
        <v>1387420.8000000003</v>
      </c>
      <c r="K752" s="841"/>
      <c r="L752" s="842"/>
      <c r="M752" s="842"/>
      <c r="N752" s="842"/>
      <c r="O752" s="842"/>
      <c r="P752" s="842"/>
      <c r="Q752" s="842"/>
    </row>
    <row r="753" spans="1:17" ht="15" thickBot="1" x14ac:dyDescent="0.25">
      <c r="A753" s="1312" t="s">
        <v>2048</v>
      </c>
      <c r="B753" s="1313"/>
      <c r="C753" s="1313"/>
      <c r="D753" s="1313"/>
      <c r="E753" s="1313"/>
      <c r="F753" s="1313"/>
      <c r="G753" s="1313"/>
      <c r="H753" s="1313"/>
      <c r="I753" s="1313"/>
      <c r="J753" s="1313"/>
      <c r="K753" s="1313"/>
      <c r="L753" s="1313"/>
      <c r="M753" s="1313"/>
      <c r="N753" s="1313"/>
      <c r="O753" s="1313"/>
      <c r="P753" s="1313"/>
      <c r="Q753" s="1314"/>
    </row>
    <row r="754" spans="1:17" ht="74.25" x14ac:dyDescent="0.2">
      <c r="A754" s="1320">
        <v>70</v>
      </c>
      <c r="B754" s="843">
        <v>1</v>
      </c>
      <c r="C754" s="803"/>
      <c r="D754" s="803"/>
      <c r="E754" s="267" t="s">
        <v>1770</v>
      </c>
      <c r="F754" s="91">
        <v>3010.2</v>
      </c>
      <c r="G754" s="91">
        <f t="shared" ref="G754:J754" si="128">G755</f>
        <v>3010.2</v>
      </c>
      <c r="H754" s="91">
        <f t="shared" si="128"/>
        <v>4403.1000000000004</v>
      </c>
      <c r="I754" s="91">
        <f>I755</f>
        <v>4529.1000000000004</v>
      </c>
      <c r="J754" s="91">
        <f t="shared" si="128"/>
        <v>4615.3</v>
      </c>
      <c r="K754" s="309" t="s">
        <v>887</v>
      </c>
      <c r="L754" s="578" t="s">
        <v>3</v>
      </c>
      <c r="M754" s="16">
        <v>20</v>
      </c>
      <c r="N754" s="16">
        <v>20</v>
      </c>
      <c r="O754" s="16">
        <v>30</v>
      </c>
      <c r="P754" s="16">
        <v>30</v>
      </c>
      <c r="Q754" s="16">
        <v>30</v>
      </c>
    </row>
    <row r="755" spans="1:17" ht="30" x14ac:dyDescent="0.2">
      <c r="A755" s="1321"/>
      <c r="B755" s="844"/>
      <c r="C755" s="808">
        <v>1</v>
      </c>
      <c r="D755" s="803"/>
      <c r="E755" s="805" t="s">
        <v>888</v>
      </c>
      <c r="F755" s="47">
        <v>3010.2</v>
      </c>
      <c r="G755" s="47">
        <v>3010.2</v>
      </c>
      <c r="H755" s="47">
        <v>4403.1000000000004</v>
      </c>
      <c r="I755" s="47">
        <v>4529.1000000000004</v>
      </c>
      <c r="J755" s="47">
        <v>4615.3</v>
      </c>
      <c r="K755" s="376" t="s">
        <v>889</v>
      </c>
      <c r="L755" s="16" t="s">
        <v>3</v>
      </c>
      <c r="M755" s="16">
        <v>100</v>
      </c>
      <c r="N755" s="16">
        <v>100</v>
      </c>
      <c r="O755" s="16">
        <v>100</v>
      </c>
      <c r="P755" s="16">
        <v>100</v>
      </c>
      <c r="Q755" s="16">
        <v>100</v>
      </c>
    </row>
    <row r="756" spans="1:17" ht="105" x14ac:dyDescent="0.2">
      <c r="A756" s="1321"/>
      <c r="B756" s="807">
        <v>702</v>
      </c>
      <c r="C756" s="845"/>
      <c r="D756" s="803"/>
      <c r="E756" s="846" t="s">
        <v>1647</v>
      </c>
      <c r="F756" s="161">
        <f>F757</f>
        <v>11380</v>
      </c>
      <c r="G756" s="161">
        <f t="shared" ref="G756:J756" si="129">G757</f>
        <v>11380</v>
      </c>
      <c r="H756" s="161">
        <f t="shared" si="129"/>
        <v>10265.9</v>
      </c>
      <c r="I756" s="161">
        <f t="shared" si="129"/>
        <v>10578.7</v>
      </c>
      <c r="J756" s="161">
        <f t="shared" si="129"/>
        <v>10643.5</v>
      </c>
      <c r="K756" s="376" t="s">
        <v>1649</v>
      </c>
      <c r="L756" s="16"/>
      <c r="M756" s="169">
        <v>30</v>
      </c>
      <c r="N756" s="169">
        <v>30</v>
      </c>
      <c r="O756" s="169">
        <f>O757</f>
        <v>60</v>
      </c>
      <c r="P756" s="169">
        <f>P757</f>
        <v>60</v>
      </c>
      <c r="Q756" s="169">
        <f>Q757</f>
        <v>60</v>
      </c>
    </row>
    <row r="757" spans="1:17" ht="105" x14ac:dyDescent="0.2">
      <c r="A757" s="1321"/>
      <c r="B757" s="844"/>
      <c r="C757" s="845">
        <v>1</v>
      </c>
      <c r="D757" s="803"/>
      <c r="E757" s="847" t="s">
        <v>1648</v>
      </c>
      <c r="F757" s="47">
        <v>11380</v>
      </c>
      <c r="G757" s="47">
        <v>11380</v>
      </c>
      <c r="H757" s="47">
        <v>10265.9</v>
      </c>
      <c r="I757" s="47">
        <v>10578.7</v>
      </c>
      <c r="J757" s="47">
        <v>10643.5</v>
      </c>
      <c r="K757" s="376" t="s">
        <v>1650</v>
      </c>
      <c r="L757" s="16"/>
      <c r="M757" s="16">
        <v>30</v>
      </c>
      <c r="N757" s="16">
        <v>30</v>
      </c>
      <c r="O757" s="16">
        <v>60</v>
      </c>
      <c r="P757" s="16">
        <v>60</v>
      </c>
      <c r="Q757" s="16">
        <v>60</v>
      </c>
    </row>
    <row r="758" spans="1:17" ht="15" x14ac:dyDescent="0.25">
      <c r="A758" s="1310" t="s">
        <v>35</v>
      </c>
      <c r="B758" s="1310"/>
      <c r="C758" s="1310"/>
      <c r="D758" s="1310"/>
      <c r="E758" s="1310"/>
      <c r="F758" s="391">
        <f>F754+F756</f>
        <v>14390.2</v>
      </c>
      <c r="G758" s="391">
        <f>G754+G756</f>
        <v>14390.2</v>
      </c>
      <c r="H758" s="391">
        <f>H754+H756</f>
        <v>14669</v>
      </c>
      <c r="I758" s="391">
        <f>I754+I756</f>
        <v>15107.800000000001</v>
      </c>
      <c r="J758" s="391">
        <f>J754+J756</f>
        <v>15258.8</v>
      </c>
      <c r="K758" s="339"/>
      <c r="L758" s="848"/>
      <c r="M758" s="339"/>
      <c r="N758" s="339"/>
      <c r="O758" s="339"/>
      <c r="P758" s="339"/>
      <c r="Q758" s="339"/>
    </row>
    <row r="759" spans="1:17" ht="14.25" x14ac:dyDescent="0.2">
      <c r="A759" s="1312" t="s">
        <v>2049</v>
      </c>
      <c r="B759" s="1313"/>
      <c r="C759" s="1313"/>
      <c r="D759" s="1313"/>
      <c r="E759" s="1313"/>
      <c r="F759" s="1313"/>
      <c r="G759" s="1313"/>
      <c r="H759" s="1313"/>
      <c r="I759" s="1313"/>
      <c r="J759" s="1313"/>
      <c r="K759" s="1313"/>
      <c r="L759" s="1313"/>
      <c r="M759" s="1313"/>
      <c r="N759" s="1313"/>
      <c r="O759" s="1313"/>
      <c r="P759" s="1313"/>
      <c r="Q759" s="1314"/>
    </row>
    <row r="760" spans="1:17" ht="60" x14ac:dyDescent="0.2">
      <c r="A760" s="1373">
        <v>74</v>
      </c>
      <c r="B760" s="849">
        <v>1</v>
      </c>
      <c r="C760" s="850"/>
      <c r="D760" s="851"/>
      <c r="E760" s="852" t="s">
        <v>522</v>
      </c>
      <c r="F760" s="853">
        <f>F761+F762</f>
        <v>338500.1</v>
      </c>
      <c r="G760" s="853">
        <f>G761+G762</f>
        <v>318178.59999999998</v>
      </c>
      <c r="H760" s="853">
        <f>H761+H762</f>
        <v>334021.09999999998</v>
      </c>
      <c r="I760" s="853">
        <f>I761+I762</f>
        <v>336176.1</v>
      </c>
      <c r="J760" s="853">
        <f>J761+J762</f>
        <v>339297.39999999997</v>
      </c>
      <c r="K760" s="854" t="s">
        <v>890</v>
      </c>
      <c r="L760" s="855" t="s">
        <v>3</v>
      </c>
      <c r="M760" s="856">
        <v>25</v>
      </c>
      <c r="N760" s="855">
        <v>26</v>
      </c>
      <c r="O760" s="855">
        <v>26</v>
      </c>
      <c r="P760" s="855">
        <v>26</v>
      </c>
      <c r="Q760" s="855">
        <v>26</v>
      </c>
    </row>
    <row r="761" spans="1:17" ht="45" x14ac:dyDescent="0.2">
      <c r="A761" s="1373"/>
      <c r="B761" s="857"/>
      <c r="C761" s="858">
        <v>1</v>
      </c>
      <c r="D761" s="859"/>
      <c r="E761" s="860" t="s">
        <v>25</v>
      </c>
      <c r="F761" s="825">
        <v>80374.600000000006</v>
      </c>
      <c r="G761" s="825">
        <v>64761.8</v>
      </c>
      <c r="H761" s="825">
        <v>72483.600000000006</v>
      </c>
      <c r="I761" s="825">
        <v>73529.100000000006</v>
      </c>
      <c r="J761" s="825">
        <v>74099.3</v>
      </c>
      <c r="K761" s="861" t="s">
        <v>2050</v>
      </c>
      <c r="L761" s="835" t="s">
        <v>3</v>
      </c>
      <c r="M761" s="832"/>
      <c r="N761" s="832"/>
      <c r="O761" s="832"/>
      <c r="P761" s="832"/>
      <c r="Q761" s="832"/>
    </row>
    <row r="762" spans="1:17" ht="45" x14ac:dyDescent="0.2">
      <c r="A762" s="1373"/>
      <c r="B762" s="857"/>
      <c r="C762" s="862">
        <v>2</v>
      </c>
      <c r="D762" s="863"/>
      <c r="E762" s="864" t="s">
        <v>1580</v>
      </c>
      <c r="F762" s="825">
        <v>258125.5</v>
      </c>
      <c r="G762" s="825">
        <v>253416.8</v>
      </c>
      <c r="H762" s="825">
        <v>261537.5</v>
      </c>
      <c r="I762" s="825">
        <v>262647</v>
      </c>
      <c r="J762" s="825">
        <v>265198.09999999998</v>
      </c>
      <c r="K762" s="861" t="s">
        <v>2051</v>
      </c>
      <c r="L762" s="835" t="s">
        <v>3</v>
      </c>
      <c r="M762" s="832"/>
      <c r="N762" s="832"/>
      <c r="O762" s="832"/>
      <c r="P762" s="832"/>
      <c r="Q762" s="832"/>
    </row>
    <row r="763" spans="1:17" ht="57" x14ac:dyDescent="0.2">
      <c r="A763" s="1373"/>
      <c r="B763" s="865">
        <v>742</v>
      </c>
      <c r="C763" s="865"/>
      <c r="D763" s="866"/>
      <c r="E763" s="867" t="s">
        <v>1651</v>
      </c>
      <c r="F763" s="868">
        <f>F764+F765</f>
        <v>363395.5</v>
      </c>
      <c r="G763" s="868">
        <f t="shared" ref="G763:J763" si="130">G764+G765</f>
        <v>356531.1</v>
      </c>
      <c r="H763" s="868">
        <f t="shared" si="130"/>
        <v>45341.9</v>
      </c>
      <c r="I763" s="868">
        <f t="shared" si="130"/>
        <v>42943.5</v>
      </c>
      <c r="J763" s="868">
        <f t="shared" si="130"/>
        <v>43219.9</v>
      </c>
      <c r="K763" s="867" t="s">
        <v>1652</v>
      </c>
      <c r="L763" s="869" t="s">
        <v>18</v>
      </c>
      <c r="M763" s="870">
        <v>55.8</v>
      </c>
      <c r="N763" s="870">
        <v>55.8</v>
      </c>
      <c r="O763" s="870">
        <v>61.5</v>
      </c>
      <c r="P763" s="870">
        <v>62.5</v>
      </c>
      <c r="Q763" s="870">
        <v>63.5</v>
      </c>
    </row>
    <row r="764" spans="1:17" ht="30" x14ac:dyDescent="0.2">
      <c r="A764" s="1373"/>
      <c r="B764" s="871"/>
      <c r="C764" s="858">
        <v>1</v>
      </c>
      <c r="D764" s="872"/>
      <c r="E764" s="873" t="s">
        <v>891</v>
      </c>
      <c r="F764" s="825">
        <v>41501.9</v>
      </c>
      <c r="G764" s="825">
        <v>34637.5</v>
      </c>
      <c r="H764" s="825">
        <v>35075.5</v>
      </c>
      <c r="I764" s="825">
        <v>36807.5</v>
      </c>
      <c r="J764" s="825">
        <v>37083.9</v>
      </c>
      <c r="K764" s="861" t="s">
        <v>892</v>
      </c>
      <c r="L764" s="869" t="s">
        <v>1032</v>
      </c>
      <c r="M764" s="874">
        <v>662.3</v>
      </c>
      <c r="N764" s="874">
        <v>662.3</v>
      </c>
      <c r="O764" s="874">
        <v>662.3</v>
      </c>
      <c r="P764" s="874">
        <v>662.3</v>
      </c>
      <c r="Q764" s="874">
        <v>662.3</v>
      </c>
    </row>
    <row r="765" spans="1:17" ht="30" x14ac:dyDescent="0.2">
      <c r="A765" s="1373"/>
      <c r="B765" s="865"/>
      <c r="C765" s="862">
        <v>2</v>
      </c>
      <c r="D765" s="866"/>
      <c r="E765" s="861" t="s">
        <v>2052</v>
      </c>
      <c r="F765" s="875">
        <v>321893.59999999998</v>
      </c>
      <c r="G765" s="875">
        <v>321893.59999999998</v>
      </c>
      <c r="H765" s="825">
        <v>10266.4</v>
      </c>
      <c r="I765" s="825">
        <v>6136</v>
      </c>
      <c r="J765" s="825">
        <v>6136</v>
      </c>
      <c r="K765" s="861" t="s">
        <v>893</v>
      </c>
      <c r="L765" s="869" t="s">
        <v>1032</v>
      </c>
      <c r="M765" s="874">
        <v>6000</v>
      </c>
      <c r="N765" s="874">
        <v>6000</v>
      </c>
      <c r="O765" s="874">
        <v>6200</v>
      </c>
      <c r="P765" s="874">
        <v>6300</v>
      </c>
      <c r="Q765" s="874">
        <v>6360</v>
      </c>
    </row>
    <row r="766" spans="1:17" ht="87.75" x14ac:dyDescent="0.2">
      <c r="A766" s="1373"/>
      <c r="B766" s="865">
        <v>743</v>
      </c>
      <c r="C766" s="866"/>
      <c r="D766" s="866"/>
      <c r="E766" s="867" t="s">
        <v>1653</v>
      </c>
      <c r="F766" s="876">
        <f>F767+F769</f>
        <v>6852.1</v>
      </c>
      <c r="G766" s="876">
        <f>G767+G769</f>
        <v>6523.6</v>
      </c>
      <c r="H766" s="876">
        <f>H767+H769</f>
        <v>7595.6</v>
      </c>
      <c r="I766" s="876">
        <f>I767+I769</f>
        <v>7573.7000000000007</v>
      </c>
      <c r="J766" s="876">
        <f>J767+J769</f>
        <v>7615.2</v>
      </c>
      <c r="K766" s="820" t="s">
        <v>1654</v>
      </c>
      <c r="L766" s="197" t="s">
        <v>3</v>
      </c>
      <c r="M766" s="197">
        <v>2.7</v>
      </c>
      <c r="N766" s="197">
        <v>2.1</v>
      </c>
      <c r="O766" s="197">
        <v>2.1</v>
      </c>
      <c r="P766" s="197">
        <v>2.5</v>
      </c>
      <c r="Q766" s="197">
        <v>4.5999999999999996</v>
      </c>
    </row>
    <row r="767" spans="1:17" ht="75" x14ac:dyDescent="0.25">
      <c r="A767" s="1373"/>
      <c r="B767" s="1172"/>
      <c r="C767" s="1173">
        <v>1</v>
      </c>
      <c r="D767" s="52"/>
      <c r="E767" s="860" t="s">
        <v>1655</v>
      </c>
      <c r="F767" s="48">
        <v>5610.5</v>
      </c>
      <c r="G767" s="48">
        <v>5282</v>
      </c>
      <c r="H767" s="48">
        <v>6354</v>
      </c>
      <c r="I767" s="48">
        <v>6332.1</v>
      </c>
      <c r="J767" s="48">
        <v>6350</v>
      </c>
      <c r="K767" s="861" t="s">
        <v>1656</v>
      </c>
      <c r="L767" s="197" t="s">
        <v>3</v>
      </c>
      <c r="M767" s="1174">
        <v>30.7</v>
      </c>
      <c r="N767" s="1174">
        <v>30.7</v>
      </c>
      <c r="O767" s="1174">
        <v>31.2</v>
      </c>
      <c r="P767" s="1174">
        <v>31.2</v>
      </c>
      <c r="Q767" s="1174">
        <v>31.2</v>
      </c>
    </row>
    <row r="768" spans="1:17" ht="75" hidden="1" x14ac:dyDescent="0.25">
      <c r="A768" s="1373"/>
      <c r="B768" s="1151"/>
      <c r="C768" s="1169"/>
      <c r="D768" s="878"/>
      <c r="E768" s="877"/>
      <c r="F768" s="1170"/>
      <c r="G768" s="1170"/>
      <c r="H768" s="1170"/>
      <c r="I768" s="1170"/>
      <c r="J768" s="1170"/>
      <c r="K768" s="854" t="s">
        <v>894</v>
      </c>
      <c r="L768" s="1171" t="s">
        <v>3</v>
      </c>
      <c r="M768" s="562">
        <v>100</v>
      </c>
      <c r="N768" s="562">
        <v>100</v>
      </c>
      <c r="O768" s="562">
        <v>100</v>
      </c>
      <c r="P768" s="562">
        <v>100</v>
      </c>
      <c r="Q768" s="562">
        <v>100</v>
      </c>
    </row>
    <row r="769" spans="1:17" ht="60" x14ac:dyDescent="0.25">
      <c r="A769" s="1373"/>
      <c r="B769" s="878"/>
      <c r="C769" s="879">
        <v>2</v>
      </c>
      <c r="D769" s="582"/>
      <c r="E769" s="1175" t="s">
        <v>1657</v>
      </c>
      <c r="F769" s="880">
        <v>1241.5999999999999</v>
      </c>
      <c r="G769" s="880">
        <v>1241.5999999999999</v>
      </c>
      <c r="H769" s="880">
        <v>1241.5999999999999</v>
      </c>
      <c r="I769" s="880">
        <v>1241.5999999999999</v>
      </c>
      <c r="J769" s="880">
        <v>1265.2</v>
      </c>
      <c r="K769" s="861" t="s">
        <v>1658</v>
      </c>
      <c r="L769" s="869" t="s">
        <v>3</v>
      </c>
      <c r="M769" s="562">
        <v>33</v>
      </c>
      <c r="N769" s="562">
        <v>68.8</v>
      </c>
      <c r="O769" s="562">
        <v>79</v>
      </c>
      <c r="P769" s="562">
        <v>79</v>
      </c>
      <c r="Q769" s="562">
        <v>79</v>
      </c>
    </row>
    <row r="770" spans="1:17" ht="146.25" x14ac:dyDescent="0.25">
      <c r="A770" s="1373"/>
      <c r="B770" s="857">
        <v>744</v>
      </c>
      <c r="C770" s="881"/>
      <c r="D770" s="882"/>
      <c r="E770" s="103" t="s">
        <v>1661</v>
      </c>
      <c r="F770" s="883">
        <f>F771</f>
        <v>39400</v>
      </c>
      <c r="G770" s="883">
        <f t="shared" ref="G770:J770" si="131">G771</f>
        <v>260196.6</v>
      </c>
      <c r="H770" s="883">
        <f t="shared" si="131"/>
        <v>534445</v>
      </c>
      <c r="I770" s="883">
        <f t="shared" si="131"/>
        <v>844617.5</v>
      </c>
      <c r="J770" s="883">
        <f t="shared" si="131"/>
        <v>25270</v>
      </c>
      <c r="K770" s="884" t="s">
        <v>1659</v>
      </c>
      <c r="L770" s="869"/>
      <c r="M770" s="562"/>
      <c r="N770" s="562"/>
      <c r="O770" s="562"/>
      <c r="P770" s="562"/>
      <c r="Q770" s="562"/>
    </row>
    <row r="771" spans="1:17" ht="30" x14ac:dyDescent="0.25">
      <c r="A771" s="1373"/>
      <c r="B771" s="885"/>
      <c r="C771" s="858">
        <v>1</v>
      </c>
      <c r="D771" s="882"/>
      <c r="E771" s="1168" t="s">
        <v>1660</v>
      </c>
      <c r="F771" s="886">
        <v>39400</v>
      </c>
      <c r="G771" s="886">
        <v>260196.6</v>
      </c>
      <c r="H771" s="886">
        <v>534445</v>
      </c>
      <c r="I771" s="886">
        <v>844617.5</v>
      </c>
      <c r="J771" s="886">
        <v>25270</v>
      </c>
      <c r="K771" s="887"/>
      <c r="L771" s="197" t="s">
        <v>3</v>
      </c>
      <c r="M771" s="197">
        <v>0</v>
      </c>
      <c r="N771" s="197">
        <v>5</v>
      </c>
      <c r="O771" s="197">
        <v>15</v>
      </c>
      <c r="P771" s="197">
        <v>30</v>
      </c>
      <c r="Q771" s="197">
        <v>30</v>
      </c>
    </row>
    <row r="772" spans="1:17" ht="15" x14ac:dyDescent="0.2">
      <c r="A772" s="1310" t="s">
        <v>35</v>
      </c>
      <c r="B772" s="1310"/>
      <c r="C772" s="1310"/>
      <c r="D772" s="1310"/>
      <c r="E772" s="1310"/>
      <c r="F772" s="371">
        <f>F760+F763+F766+F770</f>
        <v>748147.7</v>
      </c>
      <c r="G772" s="371">
        <f>G760+G763+G766+G770</f>
        <v>941429.89999999991</v>
      </c>
      <c r="H772" s="371">
        <f>H760+H763+H766+H770</f>
        <v>921403.6</v>
      </c>
      <c r="I772" s="371">
        <f>I760+I763+I766+I770</f>
        <v>1231310.8</v>
      </c>
      <c r="J772" s="371">
        <f>J760+J763+J766+J770</f>
        <v>415402.5</v>
      </c>
      <c r="K772" s="888"/>
      <c r="L772" s="888"/>
      <c r="M772" s="888"/>
      <c r="N772" s="888"/>
      <c r="O772" s="888"/>
      <c r="P772" s="888"/>
      <c r="Q772" s="888"/>
    </row>
    <row r="773" spans="1:17" ht="15" thickBot="1" x14ac:dyDescent="0.25">
      <c r="A773" s="1312" t="s">
        <v>2053</v>
      </c>
      <c r="B773" s="1313"/>
      <c r="C773" s="1313"/>
      <c r="D773" s="1313"/>
      <c r="E773" s="1313"/>
      <c r="F773" s="1313"/>
      <c r="G773" s="1313"/>
      <c r="H773" s="1313"/>
      <c r="I773" s="1313"/>
      <c r="J773" s="1313"/>
      <c r="K773" s="1313"/>
      <c r="L773" s="1313"/>
      <c r="M773" s="1313"/>
      <c r="N773" s="1313"/>
      <c r="O773" s="1313"/>
      <c r="P773" s="1313"/>
      <c r="Q773" s="1314"/>
    </row>
    <row r="774" spans="1:17" ht="74.25" x14ac:dyDescent="0.2">
      <c r="A774" s="1320">
        <v>77</v>
      </c>
      <c r="B774" s="889">
        <v>1</v>
      </c>
      <c r="C774" s="341"/>
      <c r="D774" s="342"/>
      <c r="E774" s="890" t="s">
        <v>1771</v>
      </c>
      <c r="F774" s="324">
        <v>2806.9</v>
      </c>
      <c r="G774" s="324">
        <v>3077</v>
      </c>
      <c r="H774" s="324">
        <f>H775+H776+H777+H778</f>
        <v>3062</v>
      </c>
      <c r="I774" s="324">
        <f t="shared" ref="I774:J774" si="132">I775+I776+I777+I778</f>
        <v>3162</v>
      </c>
      <c r="J774" s="324">
        <f t="shared" si="132"/>
        <v>3244.1</v>
      </c>
      <c r="K774" s="891" t="s">
        <v>895</v>
      </c>
      <c r="L774" s="344" t="s">
        <v>3</v>
      </c>
      <c r="M774" s="344">
        <v>27.5</v>
      </c>
      <c r="N774" s="344">
        <v>28.7</v>
      </c>
      <c r="O774" s="344">
        <v>28.7</v>
      </c>
      <c r="P774" s="344">
        <v>28.7</v>
      </c>
      <c r="Q774" s="344">
        <v>28.7</v>
      </c>
    </row>
    <row r="775" spans="1:17" ht="135" x14ac:dyDescent="0.2">
      <c r="A775" s="1321"/>
      <c r="B775" s="892"/>
      <c r="C775" s="348">
        <v>1</v>
      </c>
      <c r="D775" s="341"/>
      <c r="E775" s="893" t="s">
        <v>896</v>
      </c>
      <c r="F775" s="329">
        <v>0</v>
      </c>
      <c r="G775" s="329">
        <v>3077</v>
      </c>
      <c r="H775" s="894">
        <v>3062</v>
      </c>
      <c r="I775" s="894">
        <v>3162</v>
      </c>
      <c r="J775" s="894">
        <v>3244.1</v>
      </c>
      <c r="K775" s="330" t="s">
        <v>897</v>
      </c>
      <c r="L775" s="331" t="s">
        <v>3</v>
      </c>
      <c r="M775" s="331">
        <v>100</v>
      </c>
      <c r="N775" s="331">
        <v>100</v>
      </c>
      <c r="O775" s="331">
        <v>100</v>
      </c>
      <c r="P775" s="331">
        <v>100</v>
      </c>
      <c r="Q775" s="331">
        <v>100</v>
      </c>
    </row>
    <row r="776" spans="1:17" ht="30" x14ac:dyDescent="0.2">
      <c r="A776" s="1321"/>
      <c r="B776" s="895"/>
      <c r="C776" s="348">
        <v>2</v>
      </c>
      <c r="D776" s="896"/>
      <c r="E776" s="897" t="s">
        <v>898</v>
      </c>
      <c r="F776" s="329">
        <v>1706.4</v>
      </c>
      <c r="G776" s="329">
        <v>0</v>
      </c>
      <c r="H776" s="329">
        <v>0</v>
      </c>
      <c r="I776" s="329">
        <v>0</v>
      </c>
      <c r="J776" s="329">
        <v>0</v>
      </c>
      <c r="K776" s="898" t="s">
        <v>899</v>
      </c>
      <c r="L776" s="331" t="s">
        <v>3</v>
      </c>
      <c r="M776" s="331">
        <v>100</v>
      </c>
      <c r="N776" s="331">
        <v>0</v>
      </c>
      <c r="O776" s="331">
        <v>0</v>
      </c>
      <c r="P776" s="331">
        <v>0</v>
      </c>
      <c r="Q776" s="331">
        <v>0</v>
      </c>
    </row>
    <row r="777" spans="1:17" ht="90" x14ac:dyDescent="0.2">
      <c r="A777" s="1321"/>
      <c r="B777" s="895"/>
      <c r="C777" s="348">
        <v>3</v>
      </c>
      <c r="D777" s="896"/>
      <c r="E777" s="897" t="s">
        <v>900</v>
      </c>
      <c r="F777" s="329">
        <v>438.9</v>
      </c>
      <c r="G777" s="329">
        <v>0</v>
      </c>
      <c r="H777" s="329">
        <v>0</v>
      </c>
      <c r="I777" s="329">
        <v>0</v>
      </c>
      <c r="J777" s="329">
        <v>0</v>
      </c>
      <c r="K777" s="899" t="s">
        <v>901</v>
      </c>
      <c r="L777" s="331" t="s">
        <v>3</v>
      </c>
      <c r="M777" s="331">
        <v>100</v>
      </c>
      <c r="N777" s="331">
        <v>0</v>
      </c>
      <c r="O777" s="331">
        <v>0</v>
      </c>
      <c r="P777" s="331">
        <v>0</v>
      </c>
      <c r="Q777" s="331">
        <v>0</v>
      </c>
    </row>
    <row r="778" spans="1:17" ht="90" x14ac:dyDescent="0.2">
      <c r="A778" s="1321"/>
      <c r="B778" s="895"/>
      <c r="C778" s="348">
        <v>4</v>
      </c>
      <c r="D778" s="896"/>
      <c r="E778" s="897" t="s">
        <v>248</v>
      </c>
      <c r="F778" s="329">
        <v>661.6</v>
      </c>
      <c r="G778" s="329">
        <v>0</v>
      </c>
      <c r="H778" s="329">
        <v>0</v>
      </c>
      <c r="I778" s="329">
        <v>0</v>
      </c>
      <c r="J778" s="329">
        <v>0</v>
      </c>
      <c r="K778" s="430" t="s">
        <v>902</v>
      </c>
      <c r="L778" s="331" t="s">
        <v>903</v>
      </c>
      <c r="M778" s="900" t="s">
        <v>904</v>
      </c>
      <c r="N778" s="331">
        <v>0</v>
      </c>
      <c r="O778" s="331">
        <v>0</v>
      </c>
      <c r="P778" s="331">
        <v>0</v>
      </c>
      <c r="Q778" s="331">
        <v>0</v>
      </c>
    </row>
    <row r="779" spans="1:17" ht="176.25" x14ac:dyDescent="0.2">
      <c r="A779" s="1321"/>
      <c r="B779" s="901" t="s">
        <v>1881</v>
      </c>
      <c r="C779" s="902"/>
      <c r="D779" s="902"/>
      <c r="E779" s="903" t="s">
        <v>1772</v>
      </c>
      <c r="F779" s="904">
        <v>8516.1</v>
      </c>
      <c r="G779" s="904">
        <v>9108.0820000000003</v>
      </c>
      <c r="H779" s="904">
        <f>H780+H781+H782</f>
        <v>8412.6</v>
      </c>
      <c r="I779" s="904">
        <v>8651.2000000000007</v>
      </c>
      <c r="J779" s="904">
        <v>8751.2000000000007</v>
      </c>
      <c r="K779" s="905" t="s">
        <v>905</v>
      </c>
      <c r="L779" s="906" t="s">
        <v>3</v>
      </c>
      <c r="M779" s="907">
        <v>100</v>
      </c>
      <c r="N779" s="907">
        <v>100</v>
      </c>
      <c r="O779" s="907">
        <v>100</v>
      </c>
      <c r="P779" s="907">
        <v>100</v>
      </c>
      <c r="Q779" s="907">
        <v>100</v>
      </c>
    </row>
    <row r="780" spans="1:17" ht="60" x14ac:dyDescent="0.2">
      <c r="A780" s="1321"/>
      <c r="B780" s="908"/>
      <c r="C780" s="909" t="s">
        <v>5</v>
      </c>
      <c r="D780" s="902"/>
      <c r="E780" s="910" t="s">
        <v>1012</v>
      </c>
      <c r="F780" s="911">
        <v>6679.3</v>
      </c>
      <c r="G780" s="911">
        <v>6799.1</v>
      </c>
      <c r="H780" s="911">
        <v>6800.7</v>
      </c>
      <c r="I780" s="911">
        <v>7039.3</v>
      </c>
      <c r="J780" s="911">
        <v>7139.3</v>
      </c>
      <c r="K780" s="912" t="s">
        <v>906</v>
      </c>
      <c r="L780" s="906" t="s">
        <v>3</v>
      </c>
      <c r="M780" s="913">
        <v>100</v>
      </c>
      <c r="N780" s="913">
        <v>100</v>
      </c>
      <c r="O780" s="913">
        <v>100</v>
      </c>
      <c r="P780" s="913">
        <v>100</v>
      </c>
      <c r="Q780" s="913">
        <v>100</v>
      </c>
    </row>
    <row r="781" spans="1:17" ht="45" x14ac:dyDescent="0.2">
      <c r="A781" s="1321"/>
      <c r="B781" s="908"/>
      <c r="C781" s="909" t="s">
        <v>6</v>
      </c>
      <c r="D781" s="902"/>
      <c r="E781" s="910" t="s">
        <v>1011</v>
      </c>
      <c r="F781" s="911">
        <v>792.9</v>
      </c>
      <c r="G781" s="911">
        <v>1534.3820000000001</v>
      </c>
      <c r="H781" s="911">
        <v>1030.3</v>
      </c>
      <c r="I781" s="911">
        <v>1030.3</v>
      </c>
      <c r="J781" s="911">
        <v>1030.3</v>
      </c>
      <c r="K781" s="898" t="s">
        <v>907</v>
      </c>
      <c r="L781" s="119" t="s">
        <v>1008</v>
      </c>
      <c r="M781" s="913">
        <v>3</v>
      </c>
      <c r="N781" s="913">
        <v>2</v>
      </c>
      <c r="O781" s="913">
        <v>1</v>
      </c>
      <c r="P781" s="913">
        <v>1</v>
      </c>
      <c r="Q781" s="913">
        <v>1</v>
      </c>
    </row>
    <row r="782" spans="1:17" ht="45" x14ac:dyDescent="0.2">
      <c r="A782" s="1321"/>
      <c r="B782" s="908"/>
      <c r="C782" s="909" t="s">
        <v>4</v>
      </c>
      <c r="D782" s="902"/>
      <c r="E782" s="910" t="s">
        <v>1662</v>
      </c>
      <c r="F782" s="911">
        <v>1043.9000000000001</v>
      </c>
      <c r="G782" s="911">
        <v>774.6</v>
      </c>
      <c r="H782" s="911">
        <v>581.6</v>
      </c>
      <c r="I782" s="911">
        <v>581.6</v>
      </c>
      <c r="J782" s="911">
        <v>581.6</v>
      </c>
      <c r="K782" s="898" t="s">
        <v>908</v>
      </c>
      <c r="L782" s="906" t="s">
        <v>3</v>
      </c>
      <c r="M782" s="913" t="s">
        <v>909</v>
      </c>
      <c r="N782" s="913" t="s">
        <v>909</v>
      </c>
      <c r="O782" s="913" t="s">
        <v>909</v>
      </c>
      <c r="P782" s="913" t="s">
        <v>909</v>
      </c>
      <c r="Q782" s="913" t="s">
        <v>909</v>
      </c>
    </row>
    <row r="783" spans="1:17" ht="15" x14ac:dyDescent="0.25">
      <c r="A783" s="1310" t="s">
        <v>35</v>
      </c>
      <c r="B783" s="1310"/>
      <c r="C783" s="1310"/>
      <c r="D783" s="1310"/>
      <c r="E783" s="1310"/>
      <c r="F783" s="371">
        <v>11323</v>
      </c>
      <c r="G783" s="914">
        <v>12185.082</v>
      </c>
      <c r="H783" s="371">
        <f>H774+H779</f>
        <v>11474.6</v>
      </c>
      <c r="I783" s="371">
        <v>11813.2</v>
      </c>
      <c r="J783" s="371">
        <v>11995.3</v>
      </c>
      <c r="K783" s="339"/>
      <c r="L783" s="1311"/>
      <c r="M783" s="1311"/>
      <c r="N783" s="1311"/>
      <c r="O783" s="1311"/>
      <c r="P783" s="1311"/>
      <c r="Q783" s="1311"/>
    </row>
    <row r="784" spans="1:17" ht="14.25" x14ac:dyDescent="0.2">
      <c r="A784" s="1312" t="s">
        <v>2054</v>
      </c>
      <c r="B784" s="1313"/>
      <c r="C784" s="1313"/>
      <c r="D784" s="1313"/>
      <c r="E784" s="1313"/>
      <c r="F784" s="1313"/>
      <c r="G784" s="1313"/>
      <c r="H784" s="1313"/>
      <c r="I784" s="1313"/>
      <c r="J784" s="1313"/>
      <c r="K784" s="1313"/>
      <c r="L784" s="1313"/>
      <c r="M784" s="1313"/>
      <c r="N784" s="1313"/>
      <c r="O784" s="1313"/>
      <c r="P784" s="1313"/>
      <c r="Q784" s="1314"/>
    </row>
    <row r="785" spans="1:17" ht="28.5" x14ac:dyDescent="0.2">
      <c r="A785" s="1320">
        <v>79</v>
      </c>
      <c r="B785" s="915">
        <v>792</v>
      </c>
      <c r="C785" s="916"/>
      <c r="D785" s="177"/>
      <c r="E785" s="181" t="s">
        <v>1663</v>
      </c>
      <c r="F785" s="176">
        <f t="shared" ref="F785:J785" si="133">F786</f>
        <v>1281.5</v>
      </c>
      <c r="G785" s="176">
        <f>G786</f>
        <v>15432.9</v>
      </c>
      <c r="H785" s="176">
        <f t="shared" si="133"/>
        <v>15732</v>
      </c>
      <c r="I785" s="176">
        <f t="shared" si="133"/>
        <v>16202.6</v>
      </c>
      <c r="J785" s="176">
        <f t="shared" si="133"/>
        <v>16364.5</v>
      </c>
      <c r="K785" s="177"/>
      <c r="L785" s="177"/>
      <c r="M785" s="177"/>
      <c r="N785" s="177"/>
      <c r="O785" s="177"/>
      <c r="P785" s="177"/>
      <c r="Q785" s="177"/>
    </row>
    <row r="786" spans="1:17" ht="45" x14ac:dyDescent="0.2">
      <c r="A786" s="1321"/>
      <c r="B786" s="1368"/>
      <c r="C786" s="1369">
        <v>201</v>
      </c>
      <c r="D786" s="1316"/>
      <c r="E786" s="1340" t="s">
        <v>1506</v>
      </c>
      <c r="F786" s="1371">
        <v>1281.5</v>
      </c>
      <c r="G786" s="1371">
        <v>15432.9</v>
      </c>
      <c r="H786" s="1371">
        <v>15732</v>
      </c>
      <c r="I786" s="1371">
        <v>16202.6</v>
      </c>
      <c r="J786" s="1371">
        <v>16364.5</v>
      </c>
      <c r="K786" s="910" t="s">
        <v>910</v>
      </c>
      <c r="L786" s="119" t="s">
        <v>1008</v>
      </c>
      <c r="M786" s="917">
        <v>12</v>
      </c>
      <c r="N786" s="917">
        <v>4</v>
      </c>
      <c r="O786" s="917">
        <v>2</v>
      </c>
      <c r="P786" s="917">
        <v>2</v>
      </c>
      <c r="Q786" s="917">
        <v>2</v>
      </c>
    </row>
    <row r="787" spans="1:17" ht="60" x14ac:dyDescent="0.2">
      <c r="A787" s="1322"/>
      <c r="B787" s="1368"/>
      <c r="C787" s="1370"/>
      <c r="D787" s="1318"/>
      <c r="E787" s="1341"/>
      <c r="F787" s="1372"/>
      <c r="G787" s="1372"/>
      <c r="H787" s="1372"/>
      <c r="I787" s="1372"/>
      <c r="J787" s="1372"/>
      <c r="K787" s="910" t="s">
        <v>911</v>
      </c>
      <c r="L787" s="119" t="s">
        <v>1008</v>
      </c>
      <c r="M787" s="917">
        <v>9</v>
      </c>
      <c r="N787" s="917">
        <v>8</v>
      </c>
      <c r="O787" s="917">
        <v>10</v>
      </c>
      <c r="P787" s="917">
        <v>10</v>
      </c>
      <c r="Q787" s="917">
        <v>10</v>
      </c>
    </row>
    <row r="788" spans="1:17" ht="14.25" x14ac:dyDescent="0.2">
      <c r="A788" s="1310" t="s">
        <v>35</v>
      </c>
      <c r="B788" s="1310"/>
      <c r="C788" s="1310"/>
      <c r="D788" s="1310"/>
      <c r="E788" s="1310"/>
      <c r="F788" s="371">
        <f>F785</f>
        <v>1281.5</v>
      </c>
      <c r="G788" s="371">
        <f t="shared" ref="G788:J788" si="134">G785</f>
        <v>15432.9</v>
      </c>
      <c r="H788" s="371">
        <f t="shared" si="134"/>
        <v>15732</v>
      </c>
      <c r="I788" s="371">
        <f t="shared" si="134"/>
        <v>16202.6</v>
      </c>
      <c r="J788" s="371">
        <f t="shared" si="134"/>
        <v>16364.5</v>
      </c>
      <c r="K788" s="918"/>
      <c r="L788" s="918"/>
      <c r="M788" s="918"/>
      <c r="N788" s="918"/>
      <c r="O788" s="918"/>
      <c r="P788" s="918"/>
      <c r="Q788" s="918"/>
    </row>
    <row r="789" spans="1:17" ht="14.25" x14ac:dyDescent="0.2">
      <c r="A789" s="1312" t="s">
        <v>2055</v>
      </c>
      <c r="B789" s="1319"/>
      <c r="C789" s="1313"/>
      <c r="D789" s="1313"/>
      <c r="E789" s="1313"/>
      <c r="F789" s="1313"/>
      <c r="G789" s="1313"/>
      <c r="H789" s="1313"/>
      <c r="I789" s="1313"/>
      <c r="J789" s="1313"/>
      <c r="K789" s="1313"/>
      <c r="L789" s="1313"/>
      <c r="M789" s="1313"/>
      <c r="N789" s="1313"/>
      <c r="O789" s="1313"/>
      <c r="P789" s="1313"/>
      <c r="Q789" s="1314"/>
    </row>
    <row r="790" spans="1:17" ht="42.75" x14ac:dyDescent="0.2">
      <c r="A790" s="1354">
        <v>80</v>
      </c>
      <c r="B790" s="919">
        <v>1</v>
      </c>
      <c r="C790" s="342"/>
      <c r="D790" s="342"/>
      <c r="E790" s="920" t="s">
        <v>1664</v>
      </c>
      <c r="F790" s="1232">
        <f>F791+F792</f>
        <v>75641.5</v>
      </c>
      <c r="G790" s="1232">
        <f t="shared" ref="G790:J790" si="135">G791+G792</f>
        <v>75859.800000000017</v>
      </c>
      <c r="H790" s="1232">
        <f t="shared" si="135"/>
        <v>103447.3</v>
      </c>
      <c r="I790" s="1232">
        <f t="shared" si="135"/>
        <v>108282.5</v>
      </c>
      <c r="J790" s="1232">
        <f t="shared" si="135"/>
        <v>113393.09999999999</v>
      </c>
      <c r="K790" s="921" t="s">
        <v>1033</v>
      </c>
      <c r="L790" s="344" t="s">
        <v>3</v>
      </c>
      <c r="M790" s="922"/>
      <c r="N790" s="922"/>
      <c r="O790" s="922"/>
      <c r="P790" s="922"/>
      <c r="Q790" s="922"/>
    </row>
    <row r="791" spans="1:17" ht="30" x14ac:dyDescent="0.2">
      <c r="A791" s="1355"/>
      <c r="B791" s="923"/>
      <c r="C791" s="348">
        <v>1</v>
      </c>
      <c r="D791" s="341"/>
      <c r="E791" s="351" t="s">
        <v>896</v>
      </c>
      <c r="F791" s="1233">
        <v>40213.9</v>
      </c>
      <c r="G791" s="1233">
        <f>73768.6/2+1500.3/2+590.9</f>
        <v>38225.350000000006</v>
      </c>
      <c r="H791" s="818">
        <f>101280.6/2+2166.7/2</f>
        <v>51723.65</v>
      </c>
      <c r="I791" s="818">
        <f>106100.8/2+2181.7/2</f>
        <v>54141.25</v>
      </c>
      <c r="J791" s="818">
        <f>111140.4/2+2252.7/2</f>
        <v>56696.549999999996</v>
      </c>
      <c r="K791" s="330"/>
      <c r="L791" s="331"/>
      <c r="M791" s="924"/>
      <c r="N791" s="458"/>
      <c r="O791" s="458"/>
      <c r="P791" s="463"/>
      <c r="Q791" s="458"/>
    </row>
    <row r="792" spans="1:17" ht="30" x14ac:dyDescent="0.2">
      <c r="A792" s="1355"/>
      <c r="B792" s="923"/>
      <c r="C792" s="361">
        <v>2</v>
      </c>
      <c r="D792" s="363"/>
      <c r="E792" s="351" t="s">
        <v>1665</v>
      </c>
      <c r="F792" s="1233">
        <v>35427.599999999999</v>
      </c>
      <c r="G792" s="1233">
        <f>36884.3+1500.3/2</f>
        <v>37634.450000000004</v>
      </c>
      <c r="H792" s="818">
        <f>2166.7/2+101280.6/2</f>
        <v>51723.65</v>
      </c>
      <c r="I792" s="818">
        <f>106100.8/2+2181.7/2</f>
        <v>54141.25</v>
      </c>
      <c r="J792" s="818">
        <f>111140.4/2+2252.7/2</f>
        <v>56696.549999999996</v>
      </c>
      <c r="K792" s="330"/>
      <c r="L792" s="331"/>
      <c r="M792" s="924"/>
      <c r="N792" s="458"/>
      <c r="O792" s="458"/>
      <c r="P792" s="458"/>
      <c r="Q792" s="458"/>
    </row>
    <row r="793" spans="1:17" ht="42.75" x14ac:dyDescent="0.2">
      <c r="A793" s="1355"/>
      <c r="B793" s="901" t="s">
        <v>1882</v>
      </c>
      <c r="C793" s="925"/>
      <c r="D793" s="925"/>
      <c r="E793" s="333" t="s">
        <v>1666</v>
      </c>
      <c r="F793" s="926">
        <f>F794+F796+F797+F795</f>
        <v>122545.40000000001</v>
      </c>
      <c r="G793" s="926">
        <f t="shared" ref="G793:J793" si="136">G794+G796+G797+G795</f>
        <v>123144.4</v>
      </c>
      <c r="H793" s="926">
        <f t="shared" si="136"/>
        <v>173004.69999999998</v>
      </c>
      <c r="I793" s="926">
        <f t="shared" si="136"/>
        <v>173575.09999999998</v>
      </c>
      <c r="J793" s="926">
        <f t="shared" si="136"/>
        <v>173892.6</v>
      </c>
      <c r="K793" s="927" t="s">
        <v>912</v>
      </c>
      <c r="L793" s="928"/>
      <c r="M793" s="929"/>
      <c r="N793" s="456"/>
      <c r="O793" s="930"/>
      <c r="P793" s="458"/>
      <c r="Q793" s="930"/>
    </row>
    <row r="794" spans="1:17" ht="45" x14ac:dyDescent="0.2">
      <c r="A794" s="1355"/>
      <c r="B794" s="925"/>
      <c r="C794" s="931" t="s">
        <v>5</v>
      </c>
      <c r="D794" s="925"/>
      <c r="E794" s="330" t="s">
        <v>913</v>
      </c>
      <c r="F794" s="1234">
        <v>33130.300000000003</v>
      </c>
      <c r="G794" s="1234">
        <v>32740</v>
      </c>
      <c r="H794" s="1234">
        <v>43239.6</v>
      </c>
      <c r="I794" s="1234">
        <v>43527.6</v>
      </c>
      <c r="J794" s="1234">
        <v>43729</v>
      </c>
      <c r="K794" s="928" t="s">
        <v>914</v>
      </c>
      <c r="L794" s="331" t="s">
        <v>180</v>
      </c>
      <c r="M794" s="924">
        <v>8751</v>
      </c>
      <c r="N794" s="458">
        <v>8751</v>
      </c>
      <c r="O794" s="49">
        <v>9000</v>
      </c>
      <c r="P794" s="458">
        <v>9000</v>
      </c>
      <c r="Q794" s="49">
        <v>9000</v>
      </c>
    </row>
    <row r="795" spans="1:17" ht="90" x14ac:dyDescent="0.2">
      <c r="A795" s="1355"/>
      <c r="B795" s="925"/>
      <c r="C795" s="931" t="s">
        <v>6</v>
      </c>
      <c r="D795" s="925"/>
      <c r="E795" s="330" t="s">
        <v>915</v>
      </c>
      <c r="F795" s="1234">
        <v>16265</v>
      </c>
      <c r="G795" s="1234">
        <v>16224.5</v>
      </c>
      <c r="H795" s="1234">
        <v>24648.400000000001</v>
      </c>
      <c r="I795" s="1234">
        <v>24728.799999999999</v>
      </c>
      <c r="J795" s="1234">
        <v>24808.400000000001</v>
      </c>
      <c r="K795" s="928" t="s">
        <v>1670</v>
      </c>
      <c r="L795" s="331" t="s">
        <v>180</v>
      </c>
      <c r="M795" s="924">
        <v>20</v>
      </c>
      <c r="N795" s="49">
        <v>20</v>
      </c>
      <c r="O795" s="49">
        <v>25</v>
      </c>
      <c r="P795" s="458">
        <v>25</v>
      </c>
      <c r="Q795" s="49">
        <v>25</v>
      </c>
    </row>
    <row r="796" spans="1:17" ht="105" x14ac:dyDescent="0.2">
      <c r="A796" s="1355"/>
      <c r="B796" s="925"/>
      <c r="C796" s="931" t="s">
        <v>4</v>
      </c>
      <c r="D796" s="925"/>
      <c r="E796" s="330" t="s">
        <v>1667</v>
      </c>
      <c r="F796" s="1234">
        <v>49712.800000000003</v>
      </c>
      <c r="G796" s="1234">
        <v>49280.3</v>
      </c>
      <c r="H796" s="1234">
        <v>70301.7</v>
      </c>
      <c r="I796" s="1234">
        <v>70434.7</v>
      </c>
      <c r="J796" s="1234">
        <v>70444.7</v>
      </c>
      <c r="K796" s="928" t="s">
        <v>1669</v>
      </c>
      <c r="L796" s="331" t="s">
        <v>180</v>
      </c>
      <c r="M796" s="924">
        <v>5</v>
      </c>
      <c r="N796" s="458">
        <v>5</v>
      </c>
      <c r="O796" s="49">
        <v>5</v>
      </c>
      <c r="P796" s="458">
        <v>5</v>
      </c>
      <c r="Q796" s="49">
        <v>5</v>
      </c>
    </row>
    <row r="797" spans="1:17" ht="75" x14ac:dyDescent="0.2">
      <c r="A797" s="1355"/>
      <c r="B797" s="925"/>
      <c r="C797" s="931" t="s">
        <v>7</v>
      </c>
      <c r="D797" s="925"/>
      <c r="E797" s="330" t="s">
        <v>2056</v>
      </c>
      <c r="F797" s="22">
        <v>23437.3</v>
      </c>
      <c r="G797" s="22">
        <v>24899.599999999999</v>
      </c>
      <c r="H797" s="818">
        <v>34815</v>
      </c>
      <c r="I797" s="818">
        <v>34884</v>
      </c>
      <c r="J797" s="818">
        <v>34910.5</v>
      </c>
      <c r="K797" s="928" t="s">
        <v>1668</v>
      </c>
      <c r="L797" s="331" t="s">
        <v>180</v>
      </c>
      <c r="M797" s="924">
        <v>15</v>
      </c>
      <c r="N797" s="458">
        <v>15</v>
      </c>
      <c r="O797" s="197">
        <v>20</v>
      </c>
      <c r="P797" s="458">
        <v>20</v>
      </c>
      <c r="Q797" s="197">
        <v>20</v>
      </c>
    </row>
    <row r="798" spans="1:17" ht="42.75" x14ac:dyDescent="0.2">
      <c r="A798" s="1355"/>
      <c r="B798" s="901" t="s">
        <v>1883</v>
      </c>
      <c r="C798" s="908"/>
      <c r="D798" s="908"/>
      <c r="E798" s="333" t="s">
        <v>1671</v>
      </c>
      <c r="F798" s="1235">
        <f>F799+F800+F801</f>
        <v>123899.2</v>
      </c>
      <c r="G798" s="1235">
        <f t="shared" ref="G798:J798" si="137">G799+G800+G801</f>
        <v>127444.59999999999</v>
      </c>
      <c r="H798" s="1235">
        <f t="shared" si="137"/>
        <v>160290.9</v>
      </c>
      <c r="I798" s="1235">
        <f t="shared" si="137"/>
        <v>159752.5</v>
      </c>
      <c r="J798" s="1235">
        <f t="shared" si="137"/>
        <v>159135.5</v>
      </c>
      <c r="K798" s="927" t="s">
        <v>1034</v>
      </c>
      <c r="L798" s="927"/>
      <c r="M798" s="929"/>
      <c r="N798" s="456"/>
      <c r="O798" s="930"/>
      <c r="P798" s="458"/>
      <c r="Q798" s="930"/>
    </row>
    <row r="799" spans="1:17" ht="135" x14ac:dyDescent="0.2">
      <c r="A799" s="1355"/>
      <c r="B799" s="925"/>
      <c r="C799" s="931" t="s">
        <v>5</v>
      </c>
      <c r="D799" s="925"/>
      <c r="E799" s="330" t="s">
        <v>916</v>
      </c>
      <c r="F799" s="1236">
        <v>56847.6</v>
      </c>
      <c r="G799" s="1236">
        <v>58007.6</v>
      </c>
      <c r="H799" s="818">
        <v>82885.2</v>
      </c>
      <c r="I799" s="818">
        <v>64727.35</v>
      </c>
      <c r="J799" s="818">
        <v>64557.35</v>
      </c>
      <c r="K799" s="932" t="s">
        <v>1672</v>
      </c>
      <c r="L799" s="331" t="s">
        <v>917</v>
      </c>
      <c r="M799" s="924">
        <v>2041.5</v>
      </c>
      <c r="N799" s="458">
        <v>2041.5</v>
      </c>
      <c r="O799" s="197">
        <v>2500</v>
      </c>
      <c r="P799" s="463">
        <v>2600</v>
      </c>
      <c r="Q799" s="197">
        <v>2600</v>
      </c>
    </row>
    <row r="800" spans="1:17" ht="90" x14ac:dyDescent="0.2">
      <c r="A800" s="1355"/>
      <c r="B800" s="925"/>
      <c r="C800" s="931" t="s">
        <v>6</v>
      </c>
      <c r="D800" s="925"/>
      <c r="E800" s="928" t="s">
        <v>1673</v>
      </c>
      <c r="F800" s="1236">
        <v>42308.4</v>
      </c>
      <c r="G800" s="1236">
        <v>44723.8</v>
      </c>
      <c r="H800" s="1236">
        <v>65358.8</v>
      </c>
      <c r="I800" s="1236">
        <v>58709.15</v>
      </c>
      <c r="J800" s="1236">
        <v>58972.15</v>
      </c>
      <c r="K800" s="815" t="s">
        <v>2057</v>
      </c>
      <c r="L800" s="331" t="s">
        <v>180</v>
      </c>
      <c r="M800" s="924" t="s">
        <v>918</v>
      </c>
      <c r="N800" s="458" t="s">
        <v>918</v>
      </c>
      <c r="O800" s="458" t="s">
        <v>919</v>
      </c>
      <c r="P800" s="458" t="s">
        <v>919</v>
      </c>
      <c r="Q800" s="458" t="s">
        <v>919</v>
      </c>
    </row>
    <row r="801" spans="1:17" ht="120" x14ac:dyDescent="0.2">
      <c r="A801" s="1355"/>
      <c r="B801" s="925"/>
      <c r="C801" s="931" t="s">
        <v>4</v>
      </c>
      <c r="D801" s="925"/>
      <c r="E801" s="928" t="s">
        <v>920</v>
      </c>
      <c r="F801" s="1234">
        <v>24743.200000000001</v>
      </c>
      <c r="G801" s="1234">
        <v>24713.200000000001</v>
      </c>
      <c r="H801" s="818">
        <v>12046.9</v>
      </c>
      <c r="I801" s="818">
        <v>36316</v>
      </c>
      <c r="J801" s="818">
        <v>35606</v>
      </c>
      <c r="K801" s="815" t="s">
        <v>1674</v>
      </c>
      <c r="L801" s="331" t="s">
        <v>180</v>
      </c>
      <c r="M801" s="924">
        <v>18</v>
      </c>
      <c r="N801" s="458">
        <v>18</v>
      </c>
      <c r="O801" s="458">
        <v>25</v>
      </c>
      <c r="P801" s="458">
        <v>25</v>
      </c>
      <c r="Q801" s="458">
        <v>26</v>
      </c>
    </row>
    <row r="802" spans="1:17" ht="28.5" x14ac:dyDescent="0.2">
      <c r="A802" s="1355"/>
      <c r="B802" s="901" t="s">
        <v>1884</v>
      </c>
      <c r="C802" s="908"/>
      <c r="D802" s="908"/>
      <c r="E802" s="927" t="s">
        <v>921</v>
      </c>
      <c r="F802" s="1238">
        <f>F803+F804+F805</f>
        <v>57476.2</v>
      </c>
      <c r="G802" s="1238">
        <f t="shared" ref="G802:J802" si="138">G803+G804+G805</f>
        <v>61985.999999999993</v>
      </c>
      <c r="H802" s="1238">
        <f t="shared" si="138"/>
        <v>87687.5</v>
      </c>
      <c r="I802" s="1238">
        <f t="shared" si="138"/>
        <v>87968.6</v>
      </c>
      <c r="J802" s="1238">
        <f t="shared" si="138"/>
        <v>88510</v>
      </c>
      <c r="K802" s="927" t="s">
        <v>922</v>
      </c>
      <c r="L802" s="927"/>
      <c r="M802" s="929"/>
      <c r="N802" s="456"/>
      <c r="O802" s="930"/>
      <c r="P802" s="458"/>
      <c r="Q802" s="930"/>
    </row>
    <row r="803" spans="1:17" ht="105" x14ac:dyDescent="0.2">
      <c r="A803" s="1355"/>
      <c r="B803" s="925"/>
      <c r="C803" s="931" t="s">
        <v>5</v>
      </c>
      <c r="D803" s="925"/>
      <c r="E803" s="330" t="s">
        <v>923</v>
      </c>
      <c r="F803" s="818">
        <v>18560</v>
      </c>
      <c r="G803" s="818">
        <v>18841.599999999999</v>
      </c>
      <c r="H803" s="818">
        <v>25905.5</v>
      </c>
      <c r="I803" s="818">
        <v>25924.5</v>
      </c>
      <c r="J803" s="818">
        <v>25999.5</v>
      </c>
      <c r="K803" s="928" t="s">
        <v>924</v>
      </c>
      <c r="L803" s="331" t="s">
        <v>180</v>
      </c>
      <c r="M803" s="924">
        <v>30</v>
      </c>
      <c r="N803" s="458">
        <v>30</v>
      </c>
      <c r="O803" s="458">
        <v>35</v>
      </c>
      <c r="P803" s="458">
        <v>35</v>
      </c>
      <c r="Q803" s="458">
        <v>40</v>
      </c>
    </row>
    <row r="804" spans="1:17" ht="105" x14ac:dyDescent="0.2">
      <c r="A804" s="1355"/>
      <c r="B804" s="925"/>
      <c r="C804" s="931" t="s">
        <v>6</v>
      </c>
      <c r="D804" s="925"/>
      <c r="E804" s="928" t="s">
        <v>1675</v>
      </c>
      <c r="F804" s="1236">
        <v>19304.2</v>
      </c>
      <c r="G804" s="1236">
        <v>22942.3</v>
      </c>
      <c r="H804" s="1236">
        <v>28680.7</v>
      </c>
      <c r="I804" s="1236">
        <v>28720.7</v>
      </c>
      <c r="J804" s="1236">
        <v>28832.1</v>
      </c>
      <c r="K804" s="928" t="s">
        <v>925</v>
      </c>
      <c r="L804" s="331" t="s">
        <v>180</v>
      </c>
      <c r="M804" s="924">
        <v>6</v>
      </c>
      <c r="N804" s="49">
        <v>6</v>
      </c>
      <c r="O804" s="49">
        <v>8</v>
      </c>
      <c r="P804" s="458">
        <v>8</v>
      </c>
      <c r="Q804" s="49">
        <v>9</v>
      </c>
    </row>
    <row r="805" spans="1:17" ht="60" x14ac:dyDescent="0.2">
      <c r="A805" s="1356"/>
      <c r="B805" s="925"/>
      <c r="C805" s="931" t="s">
        <v>4</v>
      </c>
      <c r="D805" s="925"/>
      <c r="E805" s="928" t="s">
        <v>926</v>
      </c>
      <c r="F805" s="487">
        <v>19612</v>
      </c>
      <c r="G805" s="487">
        <v>20202.099999999999</v>
      </c>
      <c r="H805" s="487">
        <v>33101.300000000003</v>
      </c>
      <c r="I805" s="487">
        <v>33323.4</v>
      </c>
      <c r="J805" s="1237">
        <v>33678.400000000001</v>
      </c>
      <c r="K805" s="335" t="s">
        <v>1676</v>
      </c>
      <c r="L805" s="906" t="s">
        <v>180</v>
      </c>
      <c r="M805" s="933" t="s">
        <v>927</v>
      </c>
      <c r="N805" s="459" t="s">
        <v>928</v>
      </c>
      <c r="O805" s="459" t="s">
        <v>929</v>
      </c>
      <c r="P805" s="459" t="s">
        <v>930</v>
      </c>
      <c r="Q805" s="459" t="s">
        <v>930</v>
      </c>
    </row>
    <row r="806" spans="1:17" ht="14.25" x14ac:dyDescent="0.2">
      <c r="A806" s="1310" t="s">
        <v>35</v>
      </c>
      <c r="B806" s="1310"/>
      <c r="C806" s="1310"/>
      <c r="D806" s="1310"/>
      <c r="E806" s="1310"/>
      <c r="F806" s="934">
        <f>F790+F793+F798+F802</f>
        <v>379562.30000000005</v>
      </c>
      <c r="G806" s="934">
        <f t="shared" ref="G806:J806" si="139">G790+G793+G798+G802</f>
        <v>388434.8</v>
      </c>
      <c r="H806" s="934">
        <f>H790+H793+H798+H802-0.1</f>
        <v>524430.30000000005</v>
      </c>
      <c r="I806" s="934">
        <f t="shared" si="139"/>
        <v>529578.69999999995</v>
      </c>
      <c r="J806" s="934">
        <f t="shared" si="139"/>
        <v>534931.19999999995</v>
      </c>
      <c r="K806" s="935"/>
      <c r="L806" s="936"/>
      <c r="M806" s="935"/>
      <c r="N806" s="935"/>
      <c r="O806" s="935"/>
      <c r="P806" s="935"/>
      <c r="Q806" s="935"/>
    </row>
    <row r="807" spans="1:17" ht="14.25" x14ac:dyDescent="0.2">
      <c r="A807" s="1357" t="s">
        <v>2068</v>
      </c>
      <c r="B807" s="1319"/>
      <c r="C807" s="1319"/>
      <c r="D807" s="1319"/>
      <c r="E807" s="1319"/>
      <c r="F807" s="1319"/>
      <c r="G807" s="1319"/>
      <c r="H807" s="1319"/>
      <c r="I807" s="1319"/>
      <c r="J807" s="1319"/>
      <c r="K807" s="1319"/>
      <c r="L807" s="1319"/>
      <c r="M807" s="1319"/>
      <c r="N807" s="1319"/>
      <c r="O807" s="1319"/>
      <c r="P807" s="1319"/>
      <c r="Q807" s="1358"/>
    </row>
    <row r="808" spans="1:17" ht="45" x14ac:dyDescent="0.2">
      <c r="A808" s="1288" t="s">
        <v>931</v>
      </c>
      <c r="B808" s="790" t="s">
        <v>1885</v>
      </c>
      <c r="C808" s="579"/>
      <c r="D808" s="508"/>
      <c r="E808" s="928" t="s">
        <v>1773</v>
      </c>
      <c r="F808" s="176">
        <f>F809</f>
        <v>184542.4</v>
      </c>
      <c r="G808" s="176">
        <f t="shared" ref="G808:J808" si="140">G809</f>
        <v>219541.8</v>
      </c>
      <c r="H808" s="176">
        <f t="shared" si="140"/>
        <v>376835.8</v>
      </c>
      <c r="I808" s="176">
        <f t="shared" si="140"/>
        <v>380165.8</v>
      </c>
      <c r="J808" s="176">
        <f t="shared" si="140"/>
        <v>383755.1</v>
      </c>
      <c r="K808" s="734" t="s">
        <v>932</v>
      </c>
      <c r="L808" s="459" t="s">
        <v>515</v>
      </c>
      <c r="M808" s="23">
        <v>4281</v>
      </c>
      <c r="N808" s="23">
        <v>7135</v>
      </c>
      <c r="O808" s="23">
        <v>7200</v>
      </c>
      <c r="P808" s="23">
        <v>7450</v>
      </c>
      <c r="Q808" s="23">
        <v>7550</v>
      </c>
    </row>
    <row r="809" spans="1:17" ht="45" x14ac:dyDescent="0.2">
      <c r="A809" s="1290"/>
      <c r="B809" s="937"/>
      <c r="C809" s="938">
        <v>2</v>
      </c>
      <c r="D809" s="508"/>
      <c r="E809" s="928" t="s">
        <v>2058</v>
      </c>
      <c r="F809" s="22">
        <v>184542.4</v>
      </c>
      <c r="G809" s="22">
        <v>219541.8</v>
      </c>
      <c r="H809" s="22">
        <f>306035.8+70800</f>
        <v>376835.8</v>
      </c>
      <c r="I809" s="22">
        <f>309165.8+71000</f>
        <v>380165.8</v>
      </c>
      <c r="J809" s="22">
        <f>312255.1+71500</f>
        <v>383755.1</v>
      </c>
      <c r="K809" s="734" t="s">
        <v>932</v>
      </c>
      <c r="L809" s="459" t="s">
        <v>515</v>
      </c>
      <c r="M809" s="23">
        <v>4281</v>
      </c>
      <c r="N809" s="23">
        <v>7135</v>
      </c>
      <c r="O809" s="23">
        <v>7200</v>
      </c>
      <c r="P809" s="23">
        <v>7450</v>
      </c>
      <c r="Q809" s="23">
        <v>7550</v>
      </c>
    </row>
    <row r="810" spans="1:17" ht="14.25" x14ac:dyDescent="0.2">
      <c r="A810" s="1310" t="s">
        <v>35</v>
      </c>
      <c r="B810" s="1310"/>
      <c r="C810" s="1310"/>
      <c r="D810" s="1310"/>
      <c r="E810" s="1310"/>
      <c r="F810" s="391">
        <f>F808</f>
        <v>184542.4</v>
      </c>
      <c r="G810" s="391">
        <f>G808</f>
        <v>219541.8</v>
      </c>
      <c r="H810" s="391">
        <f>H808</f>
        <v>376835.8</v>
      </c>
      <c r="I810" s="391">
        <f>I808</f>
        <v>380165.8</v>
      </c>
      <c r="J810" s="391">
        <f>J808</f>
        <v>383755.1</v>
      </c>
      <c r="K810" s="939"/>
      <c r="L810" s="939"/>
      <c r="M810" s="939"/>
      <c r="N810" s="939"/>
      <c r="O810" s="939"/>
      <c r="P810" s="939"/>
      <c r="Q810" s="939"/>
    </row>
    <row r="811" spans="1:17" ht="14.25" x14ac:dyDescent="0.2">
      <c r="A811" s="1357" t="s">
        <v>2067</v>
      </c>
      <c r="B811" s="1319"/>
      <c r="C811" s="1319"/>
      <c r="D811" s="1319"/>
      <c r="E811" s="1319"/>
      <c r="F811" s="1319"/>
      <c r="G811" s="1319"/>
      <c r="H811" s="1319"/>
      <c r="I811" s="1319"/>
      <c r="J811" s="1319"/>
      <c r="K811" s="1319"/>
      <c r="L811" s="1319"/>
      <c r="M811" s="1319"/>
      <c r="N811" s="1319"/>
      <c r="O811" s="1319"/>
      <c r="P811" s="1319"/>
      <c r="Q811" s="1358"/>
    </row>
    <row r="812" spans="1:17" ht="71.25" x14ac:dyDescent="0.2">
      <c r="A812" s="1359">
        <v>82</v>
      </c>
      <c r="B812" s="919">
        <v>1</v>
      </c>
      <c r="C812" s="363"/>
      <c r="D812" s="940"/>
      <c r="E812" s="333" t="s">
        <v>1677</v>
      </c>
      <c r="F812" s="922">
        <f>SUM(F813:F820)</f>
        <v>11753.8</v>
      </c>
      <c r="G812" s="922">
        <f t="shared" ref="G812:J812" si="141">SUM(G813:G820)</f>
        <v>13174.2</v>
      </c>
      <c r="H812" s="922">
        <f t="shared" si="141"/>
        <v>13588.099999999999</v>
      </c>
      <c r="I812" s="922">
        <f t="shared" si="141"/>
        <v>13866.9</v>
      </c>
      <c r="J812" s="922">
        <f t="shared" si="141"/>
        <v>13912.6</v>
      </c>
      <c r="K812" s="162" t="s">
        <v>36</v>
      </c>
      <c r="L812" s="941" t="s">
        <v>3</v>
      </c>
      <c r="M812" s="942">
        <v>1</v>
      </c>
      <c r="N812" s="942">
        <v>1</v>
      </c>
      <c r="O812" s="942">
        <v>1</v>
      </c>
      <c r="P812" s="942">
        <v>1</v>
      </c>
      <c r="Q812" s="942">
        <v>1</v>
      </c>
    </row>
    <row r="813" spans="1:17" ht="30" x14ac:dyDescent="0.2">
      <c r="A813" s="1360"/>
      <c r="B813" s="892"/>
      <c r="C813" s="369">
        <v>1</v>
      </c>
      <c r="D813" s="363"/>
      <c r="E813" s="330" t="s">
        <v>25</v>
      </c>
      <c r="F813" s="943">
        <v>1386.5</v>
      </c>
      <c r="G813" s="944">
        <v>7701.3</v>
      </c>
      <c r="H813" s="944">
        <v>8215.4</v>
      </c>
      <c r="I813" s="944">
        <v>8394</v>
      </c>
      <c r="J813" s="944">
        <v>8409.7000000000007</v>
      </c>
      <c r="K813" s="376" t="s">
        <v>177</v>
      </c>
      <c r="L813" s="941" t="s">
        <v>24</v>
      </c>
      <c r="M813" s="945" t="s">
        <v>100</v>
      </c>
      <c r="N813" s="946" t="s">
        <v>100</v>
      </c>
      <c r="O813" s="946" t="s">
        <v>100</v>
      </c>
      <c r="P813" s="946" t="s">
        <v>100</v>
      </c>
      <c r="Q813" s="946" t="s">
        <v>100</v>
      </c>
    </row>
    <row r="814" spans="1:17" ht="30" x14ac:dyDescent="0.2">
      <c r="A814" s="1360"/>
      <c r="B814" s="892"/>
      <c r="C814" s="369">
        <v>2</v>
      </c>
      <c r="D814" s="363"/>
      <c r="E814" s="330" t="s">
        <v>1580</v>
      </c>
      <c r="F814" s="943">
        <v>1443.2</v>
      </c>
      <c r="G814" s="944">
        <v>5472.9</v>
      </c>
      <c r="H814" s="944">
        <v>5372.7</v>
      </c>
      <c r="I814" s="944">
        <v>5472.9</v>
      </c>
      <c r="J814" s="944">
        <v>5502.9</v>
      </c>
      <c r="K814" s="376" t="s">
        <v>933</v>
      </c>
      <c r="L814" s="941" t="s">
        <v>3</v>
      </c>
      <c r="M814" s="947">
        <v>1</v>
      </c>
      <c r="N814" s="947">
        <v>1</v>
      </c>
      <c r="O814" s="947">
        <v>1</v>
      </c>
      <c r="P814" s="947">
        <v>1</v>
      </c>
      <c r="Q814" s="947">
        <v>1</v>
      </c>
    </row>
    <row r="815" spans="1:17" ht="30" x14ac:dyDescent="0.2">
      <c r="A815" s="1360"/>
      <c r="B815" s="892"/>
      <c r="C815" s="369">
        <v>3</v>
      </c>
      <c r="D815" s="363"/>
      <c r="E815" s="948" t="s">
        <v>247</v>
      </c>
      <c r="F815" s="943">
        <v>371</v>
      </c>
      <c r="G815" s="944">
        <v>0</v>
      </c>
      <c r="H815" s="944">
        <v>0</v>
      </c>
      <c r="I815" s="944">
        <v>0</v>
      </c>
      <c r="J815" s="944">
        <v>0</v>
      </c>
      <c r="K815" s="376" t="s">
        <v>934</v>
      </c>
      <c r="L815" s="941" t="s">
        <v>3</v>
      </c>
      <c r="M815" s="947">
        <v>1</v>
      </c>
      <c r="N815" s="947">
        <v>1</v>
      </c>
      <c r="O815" s="947">
        <v>1</v>
      </c>
      <c r="P815" s="947">
        <v>1</v>
      </c>
      <c r="Q815" s="947">
        <v>1</v>
      </c>
    </row>
    <row r="816" spans="1:17" ht="30" x14ac:dyDescent="0.2">
      <c r="A816" s="1360"/>
      <c r="B816" s="892"/>
      <c r="C816" s="369">
        <v>4</v>
      </c>
      <c r="D816" s="363"/>
      <c r="E816" s="948" t="s">
        <v>935</v>
      </c>
      <c r="F816" s="943">
        <v>417</v>
      </c>
      <c r="G816" s="944">
        <v>0</v>
      </c>
      <c r="H816" s="944">
        <v>0</v>
      </c>
      <c r="I816" s="944">
        <v>0</v>
      </c>
      <c r="J816" s="944">
        <v>0</v>
      </c>
      <c r="K816" s="376" t="s">
        <v>936</v>
      </c>
      <c r="L816" s="949" t="s">
        <v>1008</v>
      </c>
      <c r="M816" s="945">
        <v>0</v>
      </c>
      <c r="N816" s="945" t="s">
        <v>859</v>
      </c>
      <c r="O816" s="945" t="s">
        <v>859</v>
      </c>
      <c r="P816" s="945" t="s">
        <v>859</v>
      </c>
      <c r="Q816" s="945" t="s">
        <v>859</v>
      </c>
    </row>
    <row r="817" spans="1:17" ht="60" x14ac:dyDescent="0.2">
      <c r="A817" s="1360"/>
      <c r="B817" s="892"/>
      <c r="C817" s="369">
        <v>5</v>
      </c>
      <c r="D817" s="363"/>
      <c r="E817" s="948" t="s">
        <v>1678</v>
      </c>
      <c r="F817" s="943">
        <v>370</v>
      </c>
      <c r="G817" s="944">
        <v>0</v>
      </c>
      <c r="H817" s="944">
        <v>0</v>
      </c>
      <c r="I817" s="944">
        <v>0</v>
      </c>
      <c r="J817" s="944">
        <v>0</v>
      </c>
      <c r="K817" s="376" t="s">
        <v>937</v>
      </c>
      <c r="L817" s="949" t="s">
        <v>1008</v>
      </c>
      <c r="M817" s="945">
        <v>42</v>
      </c>
      <c r="N817" s="950">
        <v>55</v>
      </c>
      <c r="O817" s="950">
        <v>60</v>
      </c>
      <c r="P817" s="950">
        <v>53</v>
      </c>
      <c r="Q817" s="950">
        <v>53</v>
      </c>
    </row>
    <row r="818" spans="1:17" ht="60" x14ac:dyDescent="0.2">
      <c r="A818" s="1360"/>
      <c r="B818" s="892"/>
      <c r="C818" s="369">
        <v>6</v>
      </c>
      <c r="D818" s="363"/>
      <c r="E818" s="134" t="s">
        <v>938</v>
      </c>
      <c r="F818" s="943">
        <v>1722.7</v>
      </c>
      <c r="G818" s="944">
        <v>0</v>
      </c>
      <c r="H818" s="944">
        <v>0</v>
      </c>
      <c r="I818" s="944">
        <v>0</v>
      </c>
      <c r="J818" s="944">
        <v>0</v>
      </c>
      <c r="K818" s="376" t="s">
        <v>939</v>
      </c>
      <c r="L818" s="941" t="s">
        <v>24</v>
      </c>
      <c r="M818" s="945">
        <v>7.1</v>
      </c>
      <c r="N818" s="951">
        <v>7.4</v>
      </c>
      <c r="O818" s="951">
        <v>6.8</v>
      </c>
      <c r="P818" s="951">
        <v>7.1</v>
      </c>
      <c r="Q818" s="951">
        <v>7.1</v>
      </c>
    </row>
    <row r="819" spans="1:17" ht="75" x14ac:dyDescent="0.2">
      <c r="A819" s="1360"/>
      <c r="B819" s="892"/>
      <c r="C819" s="369">
        <v>7</v>
      </c>
      <c r="D819" s="363"/>
      <c r="E819" s="134" t="s">
        <v>1679</v>
      </c>
      <c r="F819" s="943">
        <v>2032.7</v>
      </c>
      <c r="G819" s="944">
        <v>0</v>
      </c>
      <c r="H819" s="944">
        <v>0</v>
      </c>
      <c r="I819" s="944">
        <v>0</v>
      </c>
      <c r="J819" s="944">
        <v>0</v>
      </c>
      <c r="K819" s="376" t="s">
        <v>940</v>
      </c>
      <c r="L819" s="941" t="s">
        <v>3</v>
      </c>
      <c r="M819" s="947">
        <v>1</v>
      </c>
      <c r="N819" s="952">
        <v>1</v>
      </c>
      <c r="O819" s="952">
        <v>1</v>
      </c>
      <c r="P819" s="952">
        <v>1</v>
      </c>
      <c r="Q819" s="952">
        <v>1</v>
      </c>
    </row>
    <row r="820" spans="1:17" ht="60" x14ac:dyDescent="0.2">
      <c r="A820" s="1360"/>
      <c r="B820" s="892"/>
      <c r="C820" s="369">
        <v>8</v>
      </c>
      <c r="D820" s="363"/>
      <c r="E820" s="134" t="s">
        <v>941</v>
      </c>
      <c r="F820" s="943">
        <v>4010.7</v>
      </c>
      <c r="G820" s="944">
        <v>0</v>
      </c>
      <c r="H820" s="944">
        <v>0</v>
      </c>
      <c r="I820" s="944">
        <v>0</v>
      </c>
      <c r="J820" s="944">
        <v>0</v>
      </c>
      <c r="K820" s="376" t="s">
        <v>942</v>
      </c>
      <c r="L820" s="941" t="s">
        <v>3</v>
      </c>
      <c r="M820" s="953">
        <v>0.85509999999999997</v>
      </c>
      <c r="N820" s="952">
        <v>0.9</v>
      </c>
      <c r="O820" s="954">
        <v>0.89100000000000001</v>
      </c>
      <c r="P820" s="952">
        <v>0.92</v>
      </c>
      <c r="Q820" s="952">
        <v>0.92</v>
      </c>
    </row>
    <row r="821" spans="1:17" ht="147.75" x14ac:dyDescent="0.2">
      <c r="A821" s="1360"/>
      <c r="B821" s="955">
        <v>822</v>
      </c>
      <c r="C821" s="956"/>
      <c r="D821" s="957"/>
      <c r="E821" s="162" t="s">
        <v>1774</v>
      </c>
      <c r="F821" s="958">
        <f>F822+F823+F824+F825+F827</f>
        <v>714</v>
      </c>
      <c r="G821" s="958">
        <f t="shared" ref="G821:J821" si="142">G822+G823+G824+G825+G827</f>
        <v>714</v>
      </c>
      <c r="H821" s="958">
        <f t="shared" si="142"/>
        <v>564</v>
      </c>
      <c r="I821" s="958">
        <f t="shared" si="142"/>
        <v>714</v>
      </c>
      <c r="J821" s="958">
        <f t="shared" si="142"/>
        <v>814</v>
      </c>
      <c r="K821" s="106" t="s">
        <v>943</v>
      </c>
      <c r="L821" s="941" t="s">
        <v>3</v>
      </c>
      <c r="M821" s="959">
        <v>100</v>
      </c>
      <c r="N821" s="959">
        <v>100</v>
      </c>
      <c r="O821" s="959">
        <v>100</v>
      </c>
      <c r="P821" s="959">
        <v>100</v>
      </c>
      <c r="Q821" s="959">
        <v>100</v>
      </c>
    </row>
    <row r="822" spans="1:17" ht="30" x14ac:dyDescent="0.2">
      <c r="A822" s="1360"/>
      <c r="B822" s="892"/>
      <c r="C822" s="369">
        <v>1</v>
      </c>
      <c r="D822" s="363"/>
      <c r="E822" s="134" t="s">
        <v>944</v>
      </c>
      <c r="F822" s="943">
        <v>238</v>
      </c>
      <c r="G822" s="960">
        <v>238</v>
      </c>
      <c r="H822" s="960">
        <v>88</v>
      </c>
      <c r="I822" s="960">
        <v>238</v>
      </c>
      <c r="J822" s="960">
        <v>238</v>
      </c>
      <c r="K822" s="134" t="s">
        <v>2059</v>
      </c>
      <c r="L822" s="949" t="s">
        <v>1008</v>
      </c>
      <c r="M822" s="941">
        <v>55</v>
      </c>
      <c r="N822" s="951">
        <v>50</v>
      </c>
      <c r="O822" s="951">
        <v>48</v>
      </c>
      <c r="P822" s="951">
        <v>53</v>
      </c>
      <c r="Q822" s="951">
        <v>53</v>
      </c>
    </row>
    <row r="823" spans="1:17" ht="60" x14ac:dyDescent="0.2">
      <c r="A823" s="1360"/>
      <c r="B823" s="955"/>
      <c r="C823" s="369">
        <v>2</v>
      </c>
      <c r="D823" s="363"/>
      <c r="E823" s="134" t="s">
        <v>945</v>
      </c>
      <c r="F823" s="943">
        <v>132</v>
      </c>
      <c r="G823" s="960">
        <v>132</v>
      </c>
      <c r="H823" s="960">
        <v>132</v>
      </c>
      <c r="I823" s="960">
        <v>132</v>
      </c>
      <c r="J823" s="960">
        <v>132</v>
      </c>
      <c r="K823" s="134" t="s">
        <v>2060</v>
      </c>
      <c r="L823" s="949" t="s">
        <v>1008</v>
      </c>
      <c r="M823" s="941">
        <v>59</v>
      </c>
      <c r="N823" s="951">
        <v>55</v>
      </c>
      <c r="O823" s="951">
        <v>61</v>
      </c>
      <c r="P823" s="951">
        <v>49</v>
      </c>
      <c r="Q823" s="951">
        <v>49</v>
      </c>
    </row>
    <row r="824" spans="1:17" ht="75" x14ac:dyDescent="0.2">
      <c r="A824" s="1360"/>
      <c r="B824" s="955"/>
      <c r="C824" s="369">
        <v>3</v>
      </c>
      <c r="D824" s="363"/>
      <c r="E824" s="134" t="s">
        <v>2063</v>
      </c>
      <c r="F824" s="943">
        <v>131</v>
      </c>
      <c r="G824" s="960">
        <v>131</v>
      </c>
      <c r="H824" s="960">
        <v>131</v>
      </c>
      <c r="I824" s="960">
        <v>131</v>
      </c>
      <c r="J824" s="960">
        <v>131</v>
      </c>
      <c r="K824" s="134" t="s">
        <v>2061</v>
      </c>
      <c r="L824" s="961" t="s">
        <v>3</v>
      </c>
      <c r="M824" s="947">
        <v>1</v>
      </c>
      <c r="N824" s="952">
        <v>1</v>
      </c>
      <c r="O824" s="952">
        <v>1</v>
      </c>
      <c r="P824" s="952">
        <v>1</v>
      </c>
      <c r="Q824" s="952">
        <v>1</v>
      </c>
    </row>
    <row r="825" spans="1:17" ht="45" x14ac:dyDescent="0.2">
      <c r="A825" s="1360"/>
      <c r="B825" s="1362"/>
      <c r="C825" s="1363">
        <v>4</v>
      </c>
      <c r="D825" s="1364"/>
      <c r="E825" s="1365" t="s">
        <v>1680</v>
      </c>
      <c r="F825" s="1366">
        <v>93</v>
      </c>
      <c r="G825" s="1367">
        <v>93</v>
      </c>
      <c r="H825" s="1367">
        <v>93</v>
      </c>
      <c r="I825" s="1367">
        <v>93</v>
      </c>
      <c r="J825" s="1367">
        <v>193</v>
      </c>
      <c r="K825" s="457" t="s">
        <v>946</v>
      </c>
      <c r="L825" s="949" t="s">
        <v>1008</v>
      </c>
      <c r="M825" s="941">
        <v>810</v>
      </c>
      <c r="N825" s="951">
        <v>750</v>
      </c>
      <c r="O825" s="951">
        <v>850</v>
      </c>
      <c r="P825" s="951">
        <v>690</v>
      </c>
      <c r="Q825" s="951">
        <v>690</v>
      </c>
    </row>
    <row r="826" spans="1:17" ht="45" x14ac:dyDescent="0.2">
      <c r="A826" s="1360"/>
      <c r="B826" s="1362"/>
      <c r="C826" s="1363"/>
      <c r="D826" s="1364"/>
      <c r="E826" s="1365"/>
      <c r="F826" s="1366"/>
      <c r="G826" s="1367"/>
      <c r="H826" s="1367"/>
      <c r="I826" s="1367"/>
      <c r="J826" s="1367"/>
      <c r="K826" s="457" t="s">
        <v>2062</v>
      </c>
      <c r="L826" s="949" t="s">
        <v>1008</v>
      </c>
      <c r="M826" s="962">
        <v>100</v>
      </c>
      <c r="N826" s="951">
        <v>80</v>
      </c>
      <c r="O826" s="951">
        <v>95</v>
      </c>
      <c r="P826" s="951">
        <v>70</v>
      </c>
      <c r="Q826" s="951">
        <v>70</v>
      </c>
    </row>
    <row r="827" spans="1:17" ht="75" x14ac:dyDescent="0.2">
      <c r="A827" s="1361"/>
      <c r="B827" s="955"/>
      <c r="C827" s="963" t="s">
        <v>8</v>
      </c>
      <c r="D827" s="363"/>
      <c r="E827" s="457" t="s">
        <v>1681</v>
      </c>
      <c r="F827" s="943">
        <v>120</v>
      </c>
      <c r="G827" s="960">
        <v>120</v>
      </c>
      <c r="H827" s="960">
        <v>120</v>
      </c>
      <c r="I827" s="960">
        <v>120</v>
      </c>
      <c r="J827" s="960">
        <v>120</v>
      </c>
      <c r="K827" s="457" t="s">
        <v>2064</v>
      </c>
      <c r="L827" s="949" t="s">
        <v>3</v>
      </c>
      <c r="M827" s="947">
        <v>1</v>
      </c>
      <c r="N827" s="952">
        <v>1</v>
      </c>
      <c r="O827" s="952">
        <v>1</v>
      </c>
      <c r="P827" s="952">
        <v>1</v>
      </c>
      <c r="Q827" s="952">
        <v>1</v>
      </c>
    </row>
    <row r="828" spans="1:17" ht="15" x14ac:dyDescent="0.25">
      <c r="A828" s="1310" t="s">
        <v>35</v>
      </c>
      <c r="B828" s="1310"/>
      <c r="C828" s="1310"/>
      <c r="D828" s="1310"/>
      <c r="E828" s="1310"/>
      <c r="F828" s="371">
        <f>F812+F821</f>
        <v>12467.8</v>
      </c>
      <c r="G828" s="371">
        <f t="shared" ref="G828:J828" si="143">G812+G821</f>
        <v>13888.2</v>
      </c>
      <c r="H828" s="371">
        <f t="shared" si="143"/>
        <v>14152.099999999999</v>
      </c>
      <c r="I828" s="371">
        <f t="shared" si="143"/>
        <v>14580.9</v>
      </c>
      <c r="J828" s="371">
        <f t="shared" si="143"/>
        <v>14726.6</v>
      </c>
      <c r="K828" s="964"/>
      <c r="L828" s="1311"/>
      <c r="M828" s="1311"/>
      <c r="N828" s="1311"/>
      <c r="O828" s="1311"/>
      <c r="P828" s="1311"/>
      <c r="Q828" s="1311"/>
    </row>
    <row r="829" spans="1:17" ht="14.25" x14ac:dyDescent="0.2">
      <c r="A829" s="1312" t="s">
        <v>2066</v>
      </c>
      <c r="B829" s="1313"/>
      <c r="C829" s="1313"/>
      <c r="D829" s="1313"/>
      <c r="E829" s="1313"/>
      <c r="F829" s="1313"/>
      <c r="G829" s="1313"/>
      <c r="H829" s="1313"/>
      <c r="I829" s="1313"/>
      <c r="J829" s="1313"/>
      <c r="K829" s="1313"/>
      <c r="L829" s="1313"/>
      <c r="M829" s="1313"/>
      <c r="N829" s="1313"/>
      <c r="O829" s="1313"/>
      <c r="P829" s="1313"/>
      <c r="Q829" s="1314"/>
    </row>
    <row r="830" spans="1:17" ht="15" x14ac:dyDescent="0.2">
      <c r="A830" s="1315" t="s">
        <v>947</v>
      </c>
      <c r="B830" s="388" t="s">
        <v>1886</v>
      </c>
      <c r="C830" s="29"/>
      <c r="D830" s="387"/>
      <c r="E830" s="457" t="s">
        <v>1682</v>
      </c>
      <c r="F830" s="314">
        <f>F831</f>
        <v>464.9</v>
      </c>
      <c r="G830" s="314">
        <f t="shared" ref="G830:J830" si="144">G831</f>
        <v>481.3</v>
      </c>
      <c r="H830" s="314">
        <f t="shared" si="144"/>
        <v>490.6</v>
      </c>
      <c r="I830" s="314">
        <f t="shared" si="144"/>
        <v>505.3</v>
      </c>
      <c r="J830" s="314">
        <f t="shared" si="144"/>
        <v>510.3</v>
      </c>
      <c r="K830" s="965"/>
      <c r="L830" s="192"/>
      <c r="M830" s="965"/>
      <c r="N830" s="965"/>
      <c r="O830" s="965"/>
      <c r="P830" s="965"/>
      <c r="Q830" s="965"/>
    </row>
    <row r="831" spans="1:17" ht="60" x14ac:dyDescent="0.2">
      <c r="A831" s="1315"/>
      <c r="B831" s="308"/>
      <c r="C831" s="21" t="s">
        <v>5</v>
      </c>
      <c r="D831" s="308"/>
      <c r="E831" s="457" t="s">
        <v>948</v>
      </c>
      <c r="F831" s="23">
        <v>464.9</v>
      </c>
      <c r="G831" s="23">
        <v>481.3</v>
      </c>
      <c r="H831" s="23">
        <v>490.6</v>
      </c>
      <c r="I831" s="23">
        <v>505.3</v>
      </c>
      <c r="J831" s="23">
        <v>510.3</v>
      </c>
      <c r="K831" s="457" t="s">
        <v>949</v>
      </c>
      <c r="L831" s="192" t="s">
        <v>3</v>
      </c>
      <c r="M831" s="965">
        <v>100</v>
      </c>
      <c r="N831" s="965">
        <v>100</v>
      </c>
      <c r="O831" s="965">
        <v>100</v>
      </c>
      <c r="P831" s="965">
        <v>100</v>
      </c>
      <c r="Q831" s="965">
        <v>100</v>
      </c>
    </row>
    <row r="832" spans="1:17" ht="14.25" x14ac:dyDescent="0.2">
      <c r="A832" s="1310" t="s">
        <v>35</v>
      </c>
      <c r="B832" s="1310"/>
      <c r="C832" s="1310"/>
      <c r="D832" s="1310"/>
      <c r="E832" s="1310"/>
      <c r="F832" s="966">
        <f>F830</f>
        <v>464.9</v>
      </c>
      <c r="G832" s="966">
        <f t="shared" ref="G832:J832" si="145">G830</f>
        <v>481.3</v>
      </c>
      <c r="H832" s="966">
        <f t="shared" si="145"/>
        <v>490.6</v>
      </c>
      <c r="I832" s="966">
        <f t="shared" si="145"/>
        <v>505.3</v>
      </c>
      <c r="J832" s="966">
        <f t="shared" si="145"/>
        <v>510.3</v>
      </c>
      <c r="K832" s="967"/>
      <c r="L832" s="967"/>
      <c r="M832" s="967"/>
      <c r="N832" s="967"/>
      <c r="O832" s="967"/>
      <c r="P832" s="967"/>
      <c r="Q832" s="967"/>
    </row>
    <row r="833" spans="1:17" ht="14.25" x14ac:dyDescent="0.2">
      <c r="A833" s="1312" t="s">
        <v>2065</v>
      </c>
      <c r="B833" s="1313"/>
      <c r="C833" s="1313"/>
      <c r="D833" s="1313"/>
      <c r="E833" s="1313"/>
      <c r="F833" s="1313"/>
      <c r="G833" s="1313"/>
      <c r="H833" s="1313"/>
      <c r="I833" s="1313"/>
      <c r="J833" s="1313"/>
      <c r="K833" s="1313"/>
      <c r="L833" s="1313"/>
      <c r="M833" s="1313"/>
      <c r="N833" s="1313"/>
      <c r="O833" s="1313"/>
      <c r="P833" s="1313"/>
      <c r="Q833" s="1314"/>
    </row>
    <row r="834" spans="1:17" ht="14.25" x14ac:dyDescent="0.2">
      <c r="A834" s="1312" t="s">
        <v>950</v>
      </c>
      <c r="B834" s="1313"/>
      <c r="C834" s="1313"/>
      <c r="D834" s="1313"/>
      <c r="E834" s="1313"/>
      <c r="F834" s="1313"/>
      <c r="G834" s="1313"/>
      <c r="H834" s="1313"/>
      <c r="I834" s="1313"/>
      <c r="J834" s="1313"/>
      <c r="K834" s="1313"/>
      <c r="L834" s="1313"/>
      <c r="M834" s="1313"/>
      <c r="N834" s="1313"/>
      <c r="O834" s="1313"/>
      <c r="P834" s="1313"/>
      <c r="Q834" s="1314"/>
    </row>
    <row r="835" spans="1:17" ht="15" x14ac:dyDescent="0.25">
      <c r="A835" s="1316">
        <v>85</v>
      </c>
      <c r="B835" s="168" t="s">
        <v>0</v>
      </c>
      <c r="C835" s="968"/>
      <c r="D835" s="25"/>
      <c r="E835" s="969" t="s">
        <v>481</v>
      </c>
      <c r="F835" s="176">
        <f>F836</f>
        <v>15684.76</v>
      </c>
      <c r="G835" s="176">
        <f>G836</f>
        <v>17517.8</v>
      </c>
      <c r="H835" s="312">
        <f>H836</f>
        <v>24790.400000000001</v>
      </c>
      <c r="I835" s="312">
        <f>I836</f>
        <v>24790.400000000001</v>
      </c>
      <c r="J835" s="312">
        <f>J836</f>
        <v>24790.400000000001</v>
      </c>
      <c r="K835" s="970" t="s">
        <v>177</v>
      </c>
      <c r="L835" s="29" t="s">
        <v>3</v>
      </c>
      <c r="M835" s="29">
        <f>M836</f>
        <v>85</v>
      </c>
      <c r="N835" s="29">
        <f>N836</f>
        <v>90</v>
      </c>
      <c r="O835" s="29">
        <f>O836</f>
        <v>95</v>
      </c>
      <c r="P835" s="29">
        <f>P836</f>
        <v>100</v>
      </c>
      <c r="Q835" s="29">
        <f>Q836</f>
        <v>100</v>
      </c>
    </row>
    <row r="836" spans="1:17" ht="30" x14ac:dyDescent="0.2">
      <c r="A836" s="1317"/>
      <c r="B836" s="721"/>
      <c r="C836" s="21" t="s">
        <v>5</v>
      </c>
      <c r="D836" s="21"/>
      <c r="E836" s="178" t="s">
        <v>951</v>
      </c>
      <c r="F836" s="336">
        <v>15684.76</v>
      </c>
      <c r="G836" s="336">
        <v>17517.8</v>
      </c>
      <c r="H836" s="336">
        <f>17517.8+7272.6</f>
        <v>24790.400000000001</v>
      </c>
      <c r="I836" s="336">
        <f>17517.8+7272.6</f>
        <v>24790.400000000001</v>
      </c>
      <c r="J836" s="336">
        <f>17517.8+7272.6</f>
        <v>24790.400000000001</v>
      </c>
      <c r="K836" s="178" t="s">
        <v>177</v>
      </c>
      <c r="L836" s="23" t="s">
        <v>3</v>
      </c>
      <c r="M836" s="193">
        <v>85</v>
      </c>
      <c r="N836" s="193">
        <v>90</v>
      </c>
      <c r="O836" s="193">
        <v>95</v>
      </c>
      <c r="P836" s="29">
        <v>100</v>
      </c>
      <c r="Q836" s="29">
        <v>100</v>
      </c>
    </row>
    <row r="837" spans="1:17" ht="73.5" x14ac:dyDescent="0.2">
      <c r="A837" s="1317"/>
      <c r="B837" s="388" t="s">
        <v>1887</v>
      </c>
      <c r="C837" s="311"/>
      <c r="D837" s="21"/>
      <c r="E837" s="181" t="s">
        <v>1683</v>
      </c>
      <c r="F837" s="646">
        <f>F838+F839</f>
        <v>231571.25</v>
      </c>
      <c r="G837" s="176">
        <f>G838+G839</f>
        <v>237407.2</v>
      </c>
      <c r="H837" s="176">
        <f>H838+H839</f>
        <v>261427.19999999998</v>
      </c>
      <c r="I837" s="176">
        <f>I838+I839</f>
        <v>261427.19999999998</v>
      </c>
      <c r="J837" s="971">
        <f>J838+J839</f>
        <v>261427.19999999998</v>
      </c>
      <c r="K837" s="196" t="s">
        <v>952</v>
      </c>
      <c r="L837" s="193" t="s">
        <v>953</v>
      </c>
      <c r="M837" s="193">
        <v>49275</v>
      </c>
      <c r="N837" s="193">
        <v>49275</v>
      </c>
      <c r="O837" s="193">
        <v>49275</v>
      </c>
      <c r="P837" s="193">
        <v>49410</v>
      </c>
      <c r="Q837" s="193">
        <v>49275</v>
      </c>
    </row>
    <row r="838" spans="1:17" ht="15" x14ac:dyDescent="0.25">
      <c r="A838" s="1317"/>
      <c r="B838" s="972"/>
      <c r="C838" s="311" t="s">
        <v>5</v>
      </c>
      <c r="D838" s="311"/>
      <c r="E838" s="196" t="s">
        <v>954</v>
      </c>
      <c r="F838" s="336">
        <f>118484.75+3.6</f>
        <v>118488.35</v>
      </c>
      <c r="G838" s="336">
        <v>123255.3</v>
      </c>
      <c r="H838" s="336">
        <f>123255.3+24020</f>
        <v>147275.29999999999</v>
      </c>
      <c r="I838" s="336">
        <f>123255.3+24020</f>
        <v>147275.29999999999</v>
      </c>
      <c r="J838" s="336">
        <f>123255.3+24020</f>
        <v>147275.29999999999</v>
      </c>
      <c r="K838" s="973" t="s">
        <v>955</v>
      </c>
      <c r="L838" s="193" t="s">
        <v>953</v>
      </c>
      <c r="M838" s="193">
        <v>49275</v>
      </c>
      <c r="N838" s="193">
        <v>49275</v>
      </c>
      <c r="O838" s="193">
        <v>49275</v>
      </c>
      <c r="P838" s="193">
        <v>49410</v>
      </c>
      <c r="Q838" s="193">
        <v>49275</v>
      </c>
    </row>
    <row r="839" spans="1:17" ht="30" x14ac:dyDescent="0.25">
      <c r="A839" s="1317"/>
      <c r="B839" s="972"/>
      <c r="C839" s="311" t="s">
        <v>6</v>
      </c>
      <c r="D839" s="311"/>
      <c r="E839" s="196" t="s">
        <v>956</v>
      </c>
      <c r="F839" s="336">
        <v>113082.9</v>
      </c>
      <c r="G839" s="336">
        <v>114151.9</v>
      </c>
      <c r="H839" s="336">
        <v>114151.9</v>
      </c>
      <c r="I839" s="336">
        <v>114151.9</v>
      </c>
      <c r="J839" s="336">
        <v>114151.9</v>
      </c>
      <c r="K839" s="196" t="s">
        <v>957</v>
      </c>
      <c r="L839" s="192" t="s">
        <v>3</v>
      </c>
      <c r="M839" s="192">
        <v>100</v>
      </c>
      <c r="N839" s="193">
        <v>100</v>
      </c>
      <c r="O839" s="193">
        <v>100</v>
      </c>
      <c r="P839" s="193">
        <v>100</v>
      </c>
      <c r="Q839" s="193">
        <v>100</v>
      </c>
    </row>
    <row r="840" spans="1:17" ht="87.75" x14ac:dyDescent="0.2">
      <c r="A840" s="1317"/>
      <c r="B840" s="388" t="s">
        <v>1888</v>
      </c>
      <c r="C840" s="311"/>
      <c r="D840" s="311"/>
      <c r="E840" s="313" t="s">
        <v>1495</v>
      </c>
      <c r="F840" s="646">
        <f>F841+F842+F843</f>
        <v>128284.64</v>
      </c>
      <c r="G840" s="646">
        <f>G841+G842+G843</f>
        <v>130835.79999999999</v>
      </c>
      <c r="H840" s="646">
        <f>H841+H842+H843</f>
        <v>142313.60000000001</v>
      </c>
      <c r="I840" s="974">
        <f>I841+I842+I843</f>
        <v>142313.60000000001</v>
      </c>
      <c r="J840" s="975">
        <f>J841+J842+J843</f>
        <v>142313.60000000001</v>
      </c>
      <c r="K840" s="196" t="s">
        <v>958</v>
      </c>
      <c r="L840" s="193" t="s">
        <v>953</v>
      </c>
      <c r="M840" s="193">
        <v>21900</v>
      </c>
      <c r="N840" s="193">
        <v>21900</v>
      </c>
      <c r="O840" s="193">
        <v>21900</v>
      </c>
      <c r="P840" s="193">
        <v>21960</v>
      </c>
      <c r="Q840" s="193">
        <v>21900</v>
      </c>
    </row>
    <row r="841" spans="1:17" ht="15" x14ac:dyDescent="0.25">
      <c r="A841" s="1317"/>
      <c r="B841" s="976"/>
      <c r="C841" s="21" t="s">
        <v>5</v>
      </c>
      <c r="D841" s="21"/>
      <c r="E841" s="977" t="s">
        <v>959</v>
      </c>
      <c r="F841" s="24">
        <v>31882.14</v>
      </c>
      <c r="G841" s="24">
        <v>34187.4</v>
      </c>
      <c r="H841" s="24">
        <f>34187.4+8477.8</f>
        <v>42665.2</v>
      </c>
      <c r="I841" s="24">
        <f>34187.4+8477.8</f>
        <v>42665.2</v>
      </c>
      <c r="J841" s="24">
        <f>34187.4+8477.8</f>
        <v>42665.2</v>
      </c>
      <c r="K841" s="973" t="s">
        <v>955</v>
      </c>
      <c r="L841" s="29" t="s">
        <v>953</v>
      </c>
      <c r="M841" s="29">
        <v>21900</v>
      </c>
      <c r="N841" s="29">
        <v>21900</v>
      </c>
      <c r="O841" s="29">
        <v>21900</v>
      </c>
      <c r="P841" s="29">
        <v>21960</v>
      </c>
      <c r="Q841" s="29">
        <v>21900</v>
      </c>
    </row>
    <row r="842" spans="1:17" ht="30" x14ac:dyDescent="0.25">
      <c r="A842" s="1317"/>
      <c r="B842" s="976"/>
      <c r="C842" s="21" t="s">
        <v>6</v>
      </c>
      <c r="D842" s="21"/>
      <c r="E842" s="978" t="s">
        <v>960</v>
      </c>
      <c r="F842" s="22">
        <v>74195</v>
      </c>
      <c r="G842" s="22">
        <v>77100</v>
      </c>
      <c r="H842" s="22">
        <f>77100+3000</f>
        <v>80100</v>
      </c>
      <c r="I842" s="22">
        <f>77100+3000</f>
        <v>80100</v>
      </c>
      <c r="J842" s="22">
        <f>77100+3000</f>
        <v>80100</v>
      </c>
      <c r="K842" s="970" t="s">
        <v>961</v>
      </c>
      <c r="L842" s="29" t="s">
        <v>3</v>
      </c>
      <c r="M842" s="29">
        <v>90</v>
      </c>
      <c r="N842" s="29">
        <v>95</v>
      </c>
      <c r="O842" s="29">
        <v>98</v>
      </c>
      <c r="P842" s="29">
        <v>100</v>
      </c>
      <c r="Q842" s="29">
        <v>100</v>
      </c>
    </row>
    <row r="843" spans="1:17" ht="30" x14ac:dyDescent="0.25">
      <c r="A843" s="1317"/>
      <c r="B843" s="976"/>
      <c r="C843" s="21" t="s">
        <v>4</v>
      </c>
      <c r="D843" s="21"/>
      <c r="E843" s="196" t="s">
        <v>962</v>
      </c>
      <c r="F843" s="22">
        <v>22207.5</v>
      </c>
      <c r="G843" s="22">
        <v>19548.400000000001</v>
      </c>
      <c r="H843" s="22">
        <v>19548.400000000001</v>
      </c>
      <c r="I843" s="22">
        <v>19548.400000000001</v>
      </c>
      <c r="J843" s="22">
        <v>19548.400000000001</v>
      </c>
      <c r="K843" s="196" t="s">
        <v>957</v>
      </c>
      <c r="L843" s="29" t="s">
        <v>3</v>
      </c>
      <c r="M843" s="29">
        <v>100</v>
      </c>
      <c r="N843" s="29">
        <v>100</v>
      </c>
      <c r="O843" s="29">
        <v>100</v>
      </c>
      <c r="P843" s="29">
        <v>100</v>
      </c>
      <c r="Q843" s="29">
        <v>100</v>
      </c>
    </row>
    <row r="844" spans="1:17" ht="44.25" x14ac:dyDescent="0.2">
      <c r="A844" s="1317"/>
      <c r="B844" s="180" t="s">
        <v>1889</v>
      </c>
      <c r="C844" s="21"/>
      <c r="D844" s="21"/>
      <c r="E844" s="181" t="s">
        <v>1496</v>
      </c>
      <c r="F844" s="176">
        <f>F845</f>
        <v>11263.8</v>
      </c>
      <c r="G844" s="176">
        <f>G845</f>
        <v>11263.8</v>
      </c>
      <c r="H844" s="312">
        <f>H845</f>
        <v>11263.8</v>
      </c>
      <c r="I844" s="312">
        <f>I845</f>
        <v>11263.8</v>
      </c>
      <c r="J844" s="312">
        <f>J845</f>
        <v>11263.8</v>
      </c>
      <c r="K844" s="178"/>
      <c r="L844" s="29" t="s">
        <v>180</v>
      </c>
      <c r="M844" s="29">
        <v>75</v>
      </c>
      <c r="N844" s="29">
        <v>37</v>
      </c>
      <c r="O844" s="29">
        <v>37</v>
      </c>
      <c r="P844" s="29">
        <v>37</v>
      </c>
      <c r="Q844" s="29">
        <v>37</v>
      </c>
    </row>
    <row r="845" spans="1:17" ht="45" x14ac:dyDescent="0.25">
      <c r="A845" s="1318"/>
      <c r="B845" s="972"/>
      <c r="C845" s="311" t="s">
        <v>5</v>
      </c>
      <c r="D845" s="979"/>
      <c r="E845" s="978" t="s">
        <v>963</v>
      </c>
      <c r="F845" s="22">
        <v>11263.8</v>
      </c>
      <c r="G845" s="22">
        <v>11263.8</v>
      </c>
      <c r="H845" s="24">
        <v>11263.8</v>
      </c>
      <c r="I845" s="24">
        <v>11263.8</v>
      </c>
      <c r="J845" s="24">
        <v>11263.8</v>
      </c>
      <c r="K845" s="980" t="s">
        <v>964</v>
      </c>
      <c r="L845" s="29" t="s">
        <v>180</v>
      </c>
      <c r="M845" s="29">
        <v>75</v>
      </c>
      <c r="N845" s="29">
        <v>37</v>
      </c>
      <c r="O845" s="29">
        <v>37</v>
      </c>
      <c r="P845" s="29">
        <v>37</v>
      </c>
      <c r="Q845" s="29">
        <v>37</v>
      </c>
    </row>
    <row r="846" spans="1:17" ht="14.25" x14ac:dyDescent="0.2">
      <c r="A846" s="1310" t="s">
        <v>35</v>
      </c>
      <c r="B846" s="1310"/>
      <c r="C846" s="1310"/>
      <c r="D846" s="1310"/>
      <c r="E846" s="1310"/>
      <c r="F846" s="391">
        <f>F835+F837+F840+F844</f>
        <v>386804.45</v>
      </c>
      <c r="G846" s="391">
        <f>G835+G837+G840+G844</f>
        <v>397024.6</v>
      </c>
      <c r="H846" s="391">
        <f>H835+H837+H840+H844</f>
        <v>439794.99999999994</v>
      </c>
      <c r="I846" s="391">
        <f>I835+I837+I840+I844</f>
        <v>439794.99999999994</v>
      </c>
      <c r="J846" s="391">
        <f>J835+J837+J840+J844</f>
        <v>439794.99999999994</v>
      </c>
      <c r="K846" s="981"/>
      <c r="L846" s="982"/>
      <c r="M846" s="982"/>
      <c r="N846" s="982"/>
      <c r="O846" s="982"/>
      <c r="P846" s="982"/>
      <c r="Q846" s="982"/>
    </row>
    <row r="847" spans="1:17" ht="15" thickBot="1" x14ac:dyDescent="0.25">
      <c r="A847" s="1312" t="s">
        <v>965</v>
      </c>
      <c r="B847" s="1313"/>
      <c r="C847" s="1313"/>
      <c r="D847" s="1313"/>
      <c r="E847" s="1313"/>
      <c r="F847" s="1313"/>
      <c r="G847" s="1313"/>
      <c r="H847" s="1313"/>
      <c r="I847" s="1313"/>
      <c r="J847" s="1313"/>
      <c r="K847" s="1313"/>
      <c r="L847" s="1313"/>
      <c r="M847" s="1313"/>
      <c r="N847" s="1313"/>
      <c r="O847" s="1313"/>
      <c r="P847" s="1313"/>
      <c r="Q847" s="1314"/>
    </row>
    <row r="848" spans="1:17" ht="74.25" x14ac:dyDescent="0.2">
      <c r="A848" s="1320">
        <v>85</v>
      </c>
      <c r="B848" s="983">
        <v>1</v>
      </c>
      <c r="C848" s="566"/>
      <c r="D848" s="804"/>
      <c r="E848" s="267" t="s">
        <v>1497</v>
      </c>
      <c r="F848" s="984">
        <f>F849</f>
        <v>17516.900000000001</v>
      </c>
      <c r="G848" s="984">
        <f t="shared" ref="G848:J848" si="146">G849</f>
        <v>17340.900000000001</v>
      </c>
      <c r="H848" s="984">
        <f t="shared" si="146"/>
        <v>27636.1</v>
      </c>
      <c r="I848" s="984">
        <f t="shared" si="146"/>
        <v>27636.1</v>
      </c>
      <c r="J848" s="984">
        <f t="shared" si="146"/>
        <v>27636.1</v>
      </c>
      <c r="K848" s="985" t="s">
        <v>1035</v>
      </c>
      <c r="L848" s="93" t="s">
        <v>3</v>
      </c>
      <c r="M848" s="93"/>
      <c r="N848" s="93"/>
      <c r="O848" s="93"/>
      <c r="P848" s="93"/>
      <c r="Q848" s="93"/>
    </row>
    <row r="849" spans="1:17" ht="30" x14ac:dyDescent="0.2">
      <c r="A849" s="1321"/>
      <c r="B849" s="986"/>
      <c r="C849" s="808">
        <v>1</v>
      </c>
      <c r="D849" s="566"/>
      <c r="E849" s="178" t="s">
        <v>951</v>
      </c>
      <c r="F849" s="987">
        <v>17516.900000000001</v>
      </c>
      <c r="G849" s="988">
        <v>17340.900000000001</v>
      </c>
      <c r="H849" s="987">
        <v>27636.1</v>
      </c>
      <c r="I849" s="987">
        <v>27636.1</v>
      </c>
      <c r="J849" s="987">
        <v>27636.1</v>
      </c>
      <c r="K849" s="376" t="s">
        <v>177</v>
      </c>
      <c r="L849" s="16" t="s">
        <v>24</v>
      </c>
      <c r="M849" s="169"/>
      <c r="N849" s="169"/>
      <c r="O849" s="169"/>
      <c r="P849" s="169"/>
      <c r="Q849" s="169"/>
    </row>
    <row r="850" spans="1:17" ht="89.25" x14ac:dyDescent="0.2">
      <c r="A850" s="1321"/>
      <c r="B850" s="660" t="s">
        <v>1890</v>
      </c>
      <c r="C850" s="549"/>
      <c r="D850" s="549"/>
      <c r="E850" s="162" t="s">
        <v>1775</v>
      </c>
      <c r="F850" s="161">
        <f>SUM(F851:F852)</f>
        <v>76636.2</v>
      </c>
      <c r="G850" s="161">
        <f>SUM(G851:G852)</f>
        <v>90174.6</v>
      </c>
      <c r="H850" s="161">
        <f>SUM(H851:H852)</f>
        <v>115174.6</v>
      </c>
      <c r="I850" s="161">
        <f>SUM(I851:I852)</f>
        <v>116594.3</v>
      </c>
      <c r="J850" s="161">
        <f>SUM(J851:J852)</f>
        <v>117995.5</v>
      </c>
      <c r="K850" s="106" t="s">
        <v>966</v>
      </c>
      <c r="L850" s="16" t="s">
        <v>3</v>
      </c>
      <c r="M850" s="50">
        <v>1</v>
      </c>
      <c r="N850" s="50">
        <v>1</v>
      </c>
      <c r="O850" s="50">
        <v>1</v>
      </c>
      <c r="P850" s="50">
        <v>1</v>
      </c>
      <c r="Q850" s="50">
        <v>1</v>
      </c>
    </row>
    <row r="851" spans="1:17" ht="30" x14ac:dyDescent="0.2">
      <c r="A851" s="1321"/>
      <c r="B851" s="660"/>
      <c r="C851" s="549" t="s">
        <v>5</v>
      </c>
      <c r="D851" s="549"/>
      <c r="E851" s="134" t="s">
        <v>967</v>
      </c>
      <c r="F851" s="989">
        <v>72584.399999999994</v>
      </c>
      <c r="G851" s="990">
        <v>68102.3</v>
      </c>
      <c r="H851" s="987">
        <v>89274.5</v>
      </c>
      <c r="I851" s="987">
        <v>89274.5</v>
      </c>
      <c r="J851" s="987">
        <v>89274.5</v>
      </c>
      <c r="K851" s="134" t="s">
        <v>968</v>
      </c>
      <c r="L851" s="16" t="s">
        <v>3</v>
      </c>
      <c r="M851" s="50">
        <v>0.9</v>
      </c>
      <c r="N851" s="50">
        <v>0.9</v>
      </c>
      <c r="O851" s="50">
        <v>0.9</v>
      </c>
      <c r="P851" s="50">
        <v>0.9</v>
      </c>
      <c r="Q851" s="50">
        <v>0.9</v>
      </c>
    </row>
    <row r="852" spans="1:17" ht="45" x14ac:dyDescent="0.2">
      <c r="A852" s="1322"/>
      <c r="B852" s="660"/>
      <c r="C852" s="549" t="s">
        <v>6</v>
      </c>
      <c r="D852" s="549"/>
      <c r="E852" s="134" t="s">
        <v>969</v>
      </c>
      <c r="F852" s="204">
        <v>4051.8</v>
      </c>
      <c r="G852" s="193">
        <v>22072.3</v>
      </c>
      <c r="H852" s="552">
        <v>25900.1</v>
      </c>
      <c r="I852" s="552">
        <v>27319.8</v>
      </c>
      <c r="J852" s="552">
        <v>28721</v>
      </c>
      <c r="K852" s="655" t="s">
        <v>970</v>
      </c>
      <c r="L852" s="204" t="s">
        <v>3</v>
      </c>
      <c r="M852" s="991">
        <v>0.95</v>
      </c>
      <c r="N852" s="991">
        <v>0.95</v>
      </c>
      <c r="O852" s="991">
        <v>0.95</v>
      </c>
      <c r="P852" s="991">
        <v>0.95</v>
      </c>
      <c r="Q852" s="991">
        <v>0.95</v>
      </c>
    </row>
    <row r="853" spans="1:17" ht="15" x14ac:dyDescent="0.25">
      <c r="A853" s="1310" t="s">
        <v>35</v>
      </c>
      <c r="B853" s="1310"/>
      <c r="C853" s="1310"/>
      <c r="D853" s="1310"/>
      <c r="E853" s="1310"/>
      <c r="F853" s="391">
        <f>F848+F850</f>
        <v>94153.1</v>
      </c>
      <c r="G853" s="391">
        <f t="shared" ref="G853:J853" si="147">G848+G850</f>
        <v>107515.5</v>
      </c>
      <c r="H853" s="391">
        <f t="shared" si="147"/>
        <v>142810.70000000001</v>
      </c>
      <c r="I853" s="391">
        <f t="shared" si="147"/>
        <v>144230.39999999999</v>
      </c>
      <c r="J853" s="391">
        <f t="shared" si="147"/>
        <v>145631.6</v>
      </c>
      <c r="K853" s="339"/>
      <c r="L853" s="1323"/>
      <c r="M853" s="1323"/>
      <c r="N853" s="1323"/>
      <c r="O853" s="1323"/>
      <c r="P853" s="1323"/>
      <c r="Q853" s="1323"/>
    </row>
    <row r="854" spans="1:17" ht="14.25" x14ac:dyDescent="0.2">
      <c r="A854" s="1312" t="s">
        <v>971</v>
      </c>
      <c r="B854" s="1313"/>
      <c r="C854" s="1313"/>
      <c r="D854" s="1313"/>
      <c r="E854" s="1313"/>
      <c r="F854" s="1313"/>
      <c r="G854" s="1313"/>
      <c r="H854" s="1313"/>
      <c r="I854" s="1313"/>
      <c r="J854" s="1313"/>
      <c r="K854" s="1313"/>
      <c r="L854" s="1313"/>
      <c r="M854" s="1313"/>
      <c r="N854" s="1313"/>
      <c r="O854" s="1313"/>
      <c r="P854" s="1313"/>
      <c r="Q854" s="1314"/>
    </row>
    <row r="855" spans="1:17" ht="12.75" customHeight="1" x14ac:dyDescent="0.2">
      <c r="A855" s="1324" t="s">
        <v>972</v>
      </c>
      <c r="B855" s="1324" t="s">
        <v>0</v>
      </c>
      <c r="C855" s="1285"/>
      <c r="D855" s="1285"/>
      <c r="E855" s="1346" t="s">
        <v>481</v>
      </c>
      <c r="F855" s="1348">
        <v>5976.8</v>
      </c>
      <c r="G855" s="1348">
        <v>7661.5</v>
      </c>
      <c r="H855" s="1350"/>
      <c r="I855" s="1350"/>
      <c r="J855" s="1350"/>
      <c r="K855" s="1336" t="s">
        <v>973</v>
      </c>
      <c r="L855" s="1305" t="s">
        <v>191</v>
      </c>
      <c r="M855" s="1305">
        <v>98</v>
      </c>
      <c r="N855" s="1338">
        <v>98</v>
      </c>
      <c r="O855" s="1338">
        <v>98</v>
      </c>
      <c r="P855" s="1338">
        <v>98</v>
      </c>
      <c r="Q855" s="1338">
        <v>98</v>
      </c>
    </row>
    <row r="856" spans="1:17" ht="12.75" customHeight="1" x14ac:dyDescent="0.2">
      <c r="A856" s="1325"/>
      <c r="B856" s="1326"/>
      <c r="C856" s="1286"/>
      <c r="D856" s="1286"/>
      <c r="E856" s="1347"/>
      <c r="F856" s="1349"/>
      <c r="G856" s="1349"/>
      <c r="H856" s="1351"/>
      <c r="I856" s="1351"/>
      <c r="J856" s="1351"/>
      <c r="K856" s="1337"/>
      <c r="L856" s="1306"/>
      <c r="M856" s="1306"/>
      <c r="N856" s="1339"/>
      <c r="O856" s="1339"/>
      <c r="P856" s="1339"/>
      <c r="Q856" s="1339"/>
    </row>
    <row r="857" spans="1:17" ht="30" x14ac:dyDescent="0.2">
      <c r="A857" s="1325"/>
      <c r="B857" s="1285"/>
      <c r="C857" s="21" t="s">
        <v>5</v>
      </c>
      <c r="D857" s="21"/>
      <c r="E857" s="178" t="s">
        <v>951</v>
      </c>
      <c r="F857" s="22">
        <v>1474.3</v>
      </c>
      <c r="G857" s="22">
        <v>1574.2</v>
      </c>
      <c r="H857" s="992"/>
      <c r="I857" s="992"/>
      <c r="J857" s="992"/>
      <c r="K857" s="134"/>
      <c r="L857" s="134"/>
      <c r="M857" s="134"/>
      <c r="N857" s="134"/>
      <c r="O857" s="134"/>
      <c r="P857" s="134"/>
      <c r="Q857" s="134"/>
    </row>
    <row r="858" spans="1:17" ht="15" x14ac:dyDescent="0.2">
      <c r="A858" s="1325"/>
      <c r="B858" s="1302"/>
      <c r="C858" s="21" t="s">
        <v>6</v>
      </c>
      <c r="D858" s="21"/>
      <c r="E858" s="178" t="s">
        <v>1598</v>
      </c>
      <c r="F858" s="22">
        <v>1135.9000000000001</v>
      </c>
      <c r="G858" s="22">
        <v>1187.3</v>
      </c>
      <c r="H858" s="992"/>
      <c r="I858" s="992"/>
      <c r="J858" s="992"/>
      <c r="K858" s="134"/>
      <c r="L858" s="134"/>
      <c r="M858" s="134"/>
      <c r="N858" s="134"/>
      <c r="O858" s="134"/>
      <c r="P858" s="134"/>
      <c r="Q858" s="134"/>
    </row>
    <row r="859" spans="1:17" ht="15" x14ac:dyDescent="0.2">
      <c r="A859" s="1325"/>
      <c r="B859" s="1302"/>
      <c r="C859" s="311" t="s">
        <v>4</v>
      </c>
      <c r="D859" s="21"/>
      <c r="E859" s="385" t="s">
        <v>247</v>
      </c>
      <c r="F859" s="22">
        <v>466.9</v>
      </c>
      <c r="G859" s="22">
        <v>460</v>
      </c>
      <c r="H859" s="992"/>
      <c r="I859" s="992"/>
      <c r="J859" s="992"/>
      <c r="K859" s="134"/>
      <c r="L859" s="134"/>
      <c r="M859" s="134"/>
      <c r="N859" s="134"/>
      <c r="O859" s="134"/>
      <c r="P859" s="134"/>
      <c r="Q859" s="134"/>
    </row>
    <row r="860" spans="1:17" ht="15" x14ac:dyDescent="0.2">
      <c r="A860" s="1325"/>
      <c r="B860" s="1302"/>
      <c r="C860" s="311" t="s">
        <v>7</v>
      </c>
      <c r="D860" s="21"/>
      <c r="E860" s="385" t="s">
        <v>248</v>
      </c>
      <c r="F860" s="22">
        <v>343.9</v>
      </c>
      <c r="G860" s="22">
        <v>352</v>
      </c>
      <c r="H860" s="992"/>
      <c r="I860" s="992"/>
      <c r="J860" s="992"/>
      <c r="K860" s="134"/>
      <c r="L860" s="134"/>
      <c r="M860" s="134"/>
      <c r="N860" s="134"/>
      <c r="O860" s="134"/>
      <c r="P860" s="134"/>
      <c r="Q860" s="134"/>
    </row>
    <row r="861" spans="1:17" ht="15" x14ac:dyDescent="0.2">
      <c r="A861" s="1325"/>
      <c r="B861" s="1286"/>
      <c r="C861" s="311" t="s">
        <v>9</v>
      </c>
      <c r="D861" s="21"/>
      <c r="E861" s="385" t="s">
        <v>974</v>
      </c>
      <c r="F861" s="22">
        <v>2555.8000000000002</v>
      </c>
      <c r="G861" s="22">
        <v>4088</v>
      </c>
      <c r="H861" s="992"/>
      <c r="I861" s="992"/>
      <c r="J861" s="992"/>
      <c r="K861" s="134"/>
      <c r="L861" s="134"/>
      <c r="M861" s="134"/>
      <c r="N861" s="134"/>
      <c r="O861" s="134"/>
      <c r="P861" s="134"/>
      <c r="Q861" s="134"/>
    </row>
    <row r="862" spans="1:17" ht="49.5" customHeight="1" x14ac:dyDescent="0.2">
      <c r="A862" s="1325"/>
      <c r="B862" s="180"/>
      <c r="C862" s="311"/>
      <c r="D862" s="21"/>
      <c r="E862" s="181" t="s">
        <v>1684</v>
      </c>
      <c r="F862" s="176">
        <v>23378.400000000001</v>
      </c>
      <c r="G862" s="176">
        <f>G863+G864+G865+G866+G867</f>
        <v>27273.7</v>
      </c>
      <c r="H862" s="993"/>
      <c r="I862" s="993"/>
      <c r="J862" s="993"/>
      <c r="K862" s="965" t="s">
        <v>975</v>
      </c>
      <c r="L862" s="192" t="s">
        <v>953</v>
      </c>
      <c r="M862" s="655" t="s">
        <v>976</v>
      </c>
      <c r="N862" s="655" t="s">
        <v>976</v>
      </c>
      <c r="O862" s="655" t="s">
        <v>976</v>
      </c>
      <c r="P862" s="655" t="s">
        <v>976</v>
      </c>
      <c r="Q862" s="655" t="s">
        <v>976</v>
      </c>
    </row>
    <row r="863" spans="1:17" ht="12.75" customHeight="1" x14ac:dyDescent="0.2">
      <c r="A863" s="1325"/>
      <c r="B863" s="1285"/>
      <c r="C863" s="1285" t="s">
        <v>5</v>
      </c>
      <c r="D863" s="1285"/>
      <c r="E863" s="1340" t="s">
        <v>977</v>
      </c>
      <c r="F863" s="1342">
        <v>5660.9</v>
      </c>
      <c r="G863" s="1342">
        <v>5960.7</v>
      </c>
      <c r="H863" s="1344"/>
      <c r="I863" s="1344"/>
      <c r="J863" s="1344"/>
      <c r="K863" s="1336" t="s">
        <v>978</v>
      </c>
      <c r="L863" s="1305" t="s">
        <v>953</v>
      </c>
      <c r="M863" s="1352" t="s">
        <v>979</v>
      </c>
      <c r="N863" s="1352" t="s">
        <v>979</v>
      </c>
      <c r="O863" s="1352" t="s">
        <v>979</v>
      </c>
      <c r="P863" s="1352" t="s">
        <v>979</v>
      </c>
      <c r="Q863" s="1352" t="s">
        <v>979</v>
      </c>
    </row>
    <row r="864" spans="1:17" ht="19.5" customHeight="1" x14ac:dyDescent="0.2">
      <c r="A864" s="1325"/>
      <c r="B864" s="1286"/>
      <c r="C864" s="1286"/>
      <c r="D864" s="1286"/>
      <c r="E864" s="1341"/>
      <c r="F864" s="1343"/>
      <c r="G864" s="1343"/>
      <c r="H864" s="1345"/>
      <c r="I864" s="1345"/>
      <c r="J864" s="1345"/>
      <c r="K864" s="1337"/>
      <c r="L864" s="1306"/>
      <c r="M864" s="1353"/>
      <c r="N864" s="1353"/>
      <c r="O864" s="1353"/>
      <c r="P864" s="1353"/>
      <c r="Q864" s="1353"/>
    </row>
    <row r="865" spans="1:17" ht="12.75" customHeight="1" x14ac:dyDescent="0.2">
      <c r="A865" s="1325"/>
      <c r="B865" s="1285"/>
      <c r="C865" s="1285" t="s">
        <v>6</v>
      </c>
      <c r="D865" s="1285"/>
      <c r="E865" s="1340" t="s">
        <v>980</v>
      </c>
      <c r="F865" s="1342">
        <v>930.7</v>
      </c>
      <c r="G865" s="1342">
        <v>1138</v>
      </c>
      <c r="H865" s="1344"/>
      <c r="I865" s="1344"/>
      <c r="J865" s="1344"/>
      <c r="K865" s="1336" t="s">
        <v>981</v>
      </c>
      <c r="L865" s="1305" t="s">
        <v>953</v>
      </c>
      <c r="M865" s="1305">
        <v>501</v>
      </c>
      <c r="N865" s="1338">
        <v>501</v>
      </c>
      <c r="O865" s="1338">
        <v>501</v>
      </c>
      <c r="P865" s="1338">
        <v>501</v>
      </c>
      <c r="Q865" s="1338">
        <v>501</v>
      </c>
    </row>
    <row r="866" spans="1:17" ht="21" customHeight="1" x14ac:dyDescent="0.2">
      <c r="A866" s="1325"/>
      <c r="B866" s="1286"/>
      <c r="C866" s="1286"/>
      <c r="D866" s="1286"/>
      <c r="E866" s="1341"/>
      <c r="F866" s="1343"/>
      <c r="G866" s="1343"/>
      <c r="H866" s="1345"/>
      <c r="I866" s="1345"/>
      <c r="J866" s="1345"/>
      <c r="K866" s="1337"/>
      <c r="L866" s="1306"/>
      <c r="M866" s="1306"/>
      <c r="N866" s="1339"/>
      <c r="O866" s="1339"/>
      <c r="P866" s="1339"/>
      <c r="Q866" s="1339"/>
    </row>
    <row r="867" spans="1:17" ht="12.75" customHeight="1" x14ac:dyDescent="0.2">
      <c r="A867" s="1325"/>
      <c r="B867" s="1285"/>
      <c r="C867" s="1285" t="s">
        <v>4</v>
      </c>
      <c r="D867" s="1285"/>
      <c r="E867" s="1340" t="s">
        <v>982</v>
      </c>
      <c r="F867" s="1342">
        <v>16786.8</v>
      </c>
      <c r="G867" s="1342">
        <v>20175</v>
      </c>
      <c r="H867" s="1344"/>
      <c r="I867" s="1344"/>
      <c r="J867" s="1344"/>
      <c r="K867" s="1336" t="s">
        <v>973</v>
      </c>
      <c r="L867" s="1305" t="s">
        <v>3</v>
      </c>
      <c r="M867" s="1305">
        <v>98</v>
      </c>
      <c r="N867" s="1338">
        <v>98</v>
      </c>
      <c r="O867" s="1338">
        <v>98</v>
      </c>
      <c r="P867" s="1338">
        <v>98</v>
      </c>
      <c r="Q867" s="1338">
        <v>98</v>
      </c>
    </row>
    <row r="868" spans="1:17" ht="23.25" customHeight="1" x14ac:dyDescent="0.2">
      <c r="A868" s="1325"/>
      <c r="B868" s="1286"/>
      <c r="C868" s="1286"/>
      <c r="D868" s="1286"/>
      <c r="E868" s="1341"/>
      <c r="F868" s="1343"/>
      <c r="G868" s="1343"/>
      <c r="H868" s="1345"/>
      <c r="I868" s="1345"/>
      <c r="J868" s="1345"/>
      <c r="K868" s="1337"/>
      <c r="L868" s="1306"/>
      <c r="M868" s="1306"/>
      <c r="N868" s="1339"/>
      <c r="O868" s="1339"/>
      <c r="P868" s="1339"/>
      <c r="Q868" s="1339"/>
    </row>
    <row r="869" spans="1:17" ht="28.5" x14ac:dyDescent="0.2">
      <c r="A869" s="1325"/>
      <c r="B869" s="180" t="s">
        <v>1891</v>
      </c>
      <c r="C869" s="21"/>
      <c r="D869" s="21"/>
      <c r="E869" s="181" t="s">
        <v>983</v>
      </c>
      <c r="F869" s="1176">
        <v>29355.200000000001</v>
      </c>
      <c r="G869" s="176">
        <f>G870</f>
        <v>34935.199999999997</v>
      </c>
      <c r="H869" s="176">
        <f>H870</f>
        <v>43066</v>
      </c>
      <c r="I869" s="176">
        <f>I870</f>
        <v>43506.5</v>
      </c>
      <c r="J869" s="176" t="str">
        <f>J870</f>
        <v>43941,2</v>
      </c>
      <c r="K869" s="225" t="s">
        <v>177</v>
      </c>
      <c r="L869" s="23" t="s">
        <v>191</v>
      </c>
      <c r="M869" s="23">
        <v>98</v>
      </c>
      <c r="N869" s="29">
        <v>98</v>
      </c>
      <c r="O869" s="29">
        <v>98</v>
      </c>
      <c r="P869" s="29">
        <v>98</v>
      </c>
      <c r="Q869" s="29">
        <v>98</v>
      </c>
    </row>
    <row r="870" spans="1:17" ht="45" x14ac:dyDescent="0.2">
      <c r="A870" s="1326"/>
      <c r="B870" s="21"/>
      <c r="C870" s="21" t="s">
        <v>5</v>
      </c>
      <c r="D870" s="21"/>
      <c r="E870" s="178" t="s">
        <v>1685</v>
      </c>
      <c r="F870" s="336">
        <v>29355.199999999997</v>
      </c>
      <c r="G870" s="336">
        <v>34935.199999999997</v>
      </c>
      <c r="H870" s="336">
        <v>43066</v>
      </c>
      <c r="I870" s="336">
        <v>43506.5</v>
      </c>
      <c r="J870" s="336" t="s">
        <v>984</v>
      </c>
      <c r="K870" s="965" t="s">
        <v>975</v>
      </c>
      <c r="L870" s="192" t="s">
        <v>953</v>
      </c>
      <c r="M870" s="655" t="s">
        <v>976</v>
      </c>
      <c r="N870" s="655" t="s">
        <v>976</v>
      </c>
      <c r="O870" s="655" t="s">
        <v>976</v>
      </c>
      <c r="P870" s="655" t="s">
        <v>976</v>
      </c>
      <c r="Q870" s="655" t="s">
        <v>976</v>
      </c>
    </row>
    <row r="871" spans="1:17" ht="15" x14ac:dyDescent="0.25">
      <c r="A871" s="1310" t="s">
        <v>35</v>
      </c>
      <c r="B871" s="1310"/>
      <c r="C871" s="1310"/>
      <c r="D871" s="1310"/>
      <c r="E871" s="1310"/>
      <c r="F871" s="391">
        <f>F855+F862</f>
        <v>29355.200000000001</v>
      </c>
      <c r="G871" s="391">
        <f>G869</f>
        <v>34935.199999999997</v>
      </c>
      <c r="H871" s="391">
        <f>H869</f>
        <v>43066</v>
      </c>
      <c r="I871" s="391">
        <f>I869</f>
        <v>43506.5</v>
      </c>
      <c r="J871" s="391" t="str">
        <f>J869</f>
        <v>43941,2</v>
      </c>
      <c r="K871" s="339"/>
      <c r="L871" s="1323"/>
      <c r="M871" s="1323"/>
      <c r="N871" s="1323"/>
      <c r="O871" s="1323"/>
      <c r="P871" s="1323"/>
      <c r="Q871" s="1323"/>
    </row>
    <row r="872" spans="1:17" ht="14.25" x14ac:dyDescent="0.2">
      <c r="A872" s="1310" t="s">
        <v>985</v>
      </c>
      <c r="B872" s="1310"/>
      <c r="C872" s="1310"/>
      <c r="D872" s="1310"/>
      <c r="E872" s="1310"/>
      <c r="F872" s="966">
        <f>F846+F853+F871</f>
        <v>510312.75000000006</v>
      </c>
      <c r="G872" s="966">
        <f>G846+G853+G871</f>
        <v>539475.29999999993</v>
      </c>
      <c r="H872" s="966">
        <f>H846+H853+H871</f>
        <v>625671.69999999995</v>
      </c>
      <c r="I872" s="966">
        <f>I846+I853+I871</f>
        <v>627531.89999999991</v>
      </c>
      <c r="J872" s="966">
        <f>J846+J853+J871</f>
        <v>629367.79999999993</v>
      </c>
      <c r="K872" s="967"/>
      <c r="L872" s="967"/>
      <c r="M872" s="967"/>
      <c r="N872" s="967"/>
      <c r="O872" s="967"/>
      <c r="P872" s="967"/>
      <c r="Q872" s="967"/>
    </row>
    <row r="873" spans="1:17" ht="14.25" x14ac:dyDescent="0.2">
      <c r="A873" s="1312" t="s">
        <v>1796</v>
      </c>
      <c r="B873" s="1319"/>
      <c r="C873" s="1313"/>
      <c r="D873" s="1313"/>
      <c r="E873" s="1313"/>
      <c r="F873" s="1313"/>
      <c r="G873" s="1313"/>
      <c r="H873" s="1313"/>
      <c r="I873" s="1313"/>
      <c r="J873" s="1313"/>
      <c r="K873" s="1313"/>
      <c r="L873" s="1313"/>
      <c r="M873" s="1313"/>
      <c r="N873" s="1313"/>
      <c r="O873" s="1313"/>
      <c r="P873" s="1313"/>
      <c r="Q873" s="1314"/>
    </row>
    <row r="874" spans="1:17" ht="87" customHeight="1" x14ac:dyDescent="0.2">
      <c r="A874" s="1320">
        <v>88</v>
      </c>
      <c r="B874" s="919">
        <v>1</v>
      </c>
      <c r="C874" s="994"/>
      <c r="D874" s="995"/>
      <c r="E874" s="343" t="s">
        <v>2069</v>
      </c>
      <c r="F874" s="324">
        <f>F875</f>
        <v>8303.7999999999993</v>
      </c>
      <c r="G874" s="324">
        <f t="shared" ref="G874:J874" si="148">G875</f>
        <v>7179.1</v>
      </c>
      <c r="H874" s="324">
        <f t="shared" si="148"/>
        <v>10558.2</v>
      </c>
      <c r="I874" s="324">
        <f t="shared" si="148"/>
        <v>10781.1</v>
      </c>
      <c r="J874" s="324">
        <f t="shared" si="148"/>
        <v>10888.8</v>
      </c>
      <c r="K874" s="921" t="s">
        <v>986</v>
      </c>
      <c r="L874" s="344" t="s">
        <v>3</v>
      </c>
      <c r="M874" s="344">
        <v>100</v>
      </c>
      <c r="N874" s="344">
        <v>100</v>
      </c>
      <c r="O874" s="344">
        <v>100</v>
      </c>
      <c r="P874" s="996">
        <v>100</v>
      </c>
      <c r="Q874" s="344">
        <v>100</v>
      </c>
    </row>
    <row r="875" spans="1:17" ht="30" x14ac:dyDescent="0.2">
      <c r="A875" s="1321"/>
      <c r="B875" s="340"/>
      <c r="C875" s="311" t="s">
        <v>5</v>
      </c>
      <c r="D875" s="997"/>
      <c r="E875" s="178" t="s">
        <v>951</v>
      </c>
      <c r="F875" s="998">
        <v>8303.7999999999993</v>
      </c>
      <c r="G875" s="998">
        <v>7179.1</v>
      </c>
      <c r="H875" s="998">
        <v>10558.2</v>
      </c>
      <c r="I875" s="998">
        <v>10781.1</v>
      </c>
      <c r="J875" s="998">
        <v>10888.8</v>
      </c>
      <c r="K875" s="999"/>
      <c r="L875" s="1000"/>
      <c r="M875" s="1000"/>
      <c r="N875" s="1000"/>
      <c r="O875" s="1000"/>
      <c r="P875" s="1001"/>
      <c r="Q875" s="1000"/>
    </row>
    <row r="876" spans="1:17" ht="118.5" x14ac:dyDescent="0.2">
      <c r="A876" s="1321"/>
      <c r="B876" s="901" t="s">
        <v>1892</v>
      </c>
      <c r="C876" s="311"/>
      <c r="D876" s="909"/>
      <c r="E876" s="1002" t="s">
        <v>1686</v>
      </c>
      <c r="F876" s="904">
        <f>F877</f>
        <v>27625.287</v>
      </c>
      <c r="G876" s="904">
        <f t="shared" ref="G876:J876" si="149">G877</f>
        <v>26530</v>
      </c>
      <c r="H876" s="904">
        <f t="shared" si="149"/>
        <v>30268.100000000002</v>
      </c>
      <c r="I876" s="904">
        <f t="shared" si="149"/>
        <v>30462.799999999999</v>
      </c>
      <c r="J876" s="904">
        <f t="shared" si="149"/>
        <v>30767.200000000001</v>
      </c>
      <c r="K876" s="1002" t="s">
        <v>987</v>
      </c>
      <c r="L876" s="906" t="s">
        <v>3</v>
      </c>
      <c r="M876" s="907">
        <v>100</v>
      </c>
      <c r="N876" s="907">
        <v>100</v>
      </c>
      <c r="O876" s="907">
        <v>100</v>
      </c>
      <c r="P876" s="907">
        <v>100</v>
      </c>
      <c r="Q876" s="907">
        <v>100</v>
      </c>
    </row>
    <row r="877" spans="1:17" ht="90" x14ac:dyDescent="0.2">
      <c r="A877" s="1322"/>
      <c r="B877" s="901"/>
      <c r="C877" s="311" t="s">
        <v>5</v>
      </c>
      <c r="D877" s="909"/>
      <c r="E877" s="367" t="s">
        <v>1776</v>
      </c>
      <c r="F877" s="337">
        <v>27625.287</v>
      </c>
      <c r="G877" s="337">
        <v>26530</v>
      </c>
      <c r="H877" s="337">
        <f>9844.4+1466.1+1000+406.2+764.2+12366.3+517+657.4+661.3+2585.2</f>
        <v>30268.100000000002</v>
      </c>
      <c r="I877" s="1003">
        <v>30462.799999999999</v>
      </c>
      <c r="J877" s="1003">
        <v>30767.200000000001</v>
      </c>
      <c r="K877" s="1004"/>
      <c r="L877" s="906"/>
      <c r="M877" s="907"/>
      <c r="N877" s="907"/>
      <c r="O877" s="907"/>
      <c r="P877" s="907"/>
      <c r="Q877" s="907"/>
    </row>
    <row r="878" spans="1:17" ht="15" x14ac:dyDescent="0.25">
      <c r="A878" s="1310" t="s">
        <v>35</v>
      </c>
      <c r="B878" s="1310"/>
      <c r="C878" s="1310"/>
      <c r="D878" s="1310"/>
      <c r="E878" s="1310"/>
      <c r="F878" s="371">
        <f>F874+F876</f>
        <v>35929.087</v>
      </c>
      <c r="G878" s="371">
        <f t="shared" ref="G878:J878" si="150">G874+G876</f>
        <v>33709.1</v>
      </c>
      <c r="H878" s="371">
        <f t="shared" si="150"/>
        <v>40826.300000000003</v>
      </c>
      <c r="I878" s="371">
        <f t="shared" si="150"/>
        <v>41243.9</v>
      </c>
      <c r="J878" s="371">
        <f t="shared" si="150"/>
        <v>41656</v>
      </c>
      <c r="K878" s="339"/>
      <c r="L878" s="1311"/>
      <c r="M878" s="1311"/>
      <c r="N878" s="1311"/>
      <c r="O878" s="1311"/>
      <c r="P878" s="1311"/>
      <c r="Q878" s="1311"/>
    </row>
  </sheetData>
  <mergeCells count="1039">
    <mergeCell ref="J595:J596"/>
    <mergeCell ref="E593:E594"/>
    <mergeCell ref="F593:F594"/>
    <mergeCell ref="G593:G594"/>
    <mergeCell ref="H593:H594"/>
    <mergeCell ref="I593:I594"/>
    <mergeCell ref="J593:J594"/>
    <mergeCell ref="B595:B596"/>
    <mergeCell ref="C595:C596"/>
    <mergeCell ref="D595:D596"/>
    <mergeCell ref="E595:E596"/>
    <mergeCell ref="B586:B588"/>
    <mergeCell ref="C586:C588"/>
    <mergeCell ref="D586:D588"/>
    <mergeCell ref="E586:E588"/>
    <mergeCell ref="O355:Q355"/>
    <mergeCell ref="B356:B363"/>
    <mergeCell ref="J356:J362"/>
    <mergeCell ref="L361:L362"/>
    <mergeCell ref="C416:C417"/>
    <mergeCell ref="D416:D417"/>
    <mergeCell ref="J416:J417"/>
    <mergeCell ref="C399:C401"/>
    <mergeCell ref="D399:D401"/>
    <mergeCell ref="H393:H394"/>
    <mergeCell ref="I393:I394"/>
    <mergeCell ref="J393:J394"/>
    <mergeCell ref="I369:I370"/>
    <mergeCell ref="J369:J370"/>
    <mergeCell ref="K369:K370"/>
    <mergeCell ref="L363:L364"/>
    <mergeCell ref="L369:L370"/>
    <mergeCell ref="B673:B674"/>
    <mergeCell ref="B675:B676"/>
    <mergeCell ref="F583:F585"/>
    <mergeCell ref="F586:F588"/>
    <mergeCell ref="G586:G588"/>
    <mergeCell ref="H586:H588"/>
    <mergeCell ref="I586:I588"/>
    <mergeCell ref="J586:J588"/>
    <mergeCell ref="F589:F591"/>
    <mergeCell ref="G589:G591"/>
    <mergeCell ref="H589:H591"/>
    <mergeCell ref="I589:I591"/>
    <mergeCell ref="J589:J591"/>
    <mergeCell ref="F595:F596"/>
    <mergeCell ref="G595:G596"/>
    <mergeCell ref="H595:H596"/>
    <mergeCell ref="I595:I596"/>
    <mergeCell ref="B589:B591"/>
    <mergeCell ref="C589:C591"/>
    <mergeCell ref="D589:D591"/>
    <mergeCell ref="E589:E591"/>
    <mergeCell ref="A606:E606"/>
    <mergeCell ref="A607:Q607"/>
    <mergeCell ref="B611:B612"/>
    <mergeCell ref="C611:C612"/>
    <mergeCell ref="D611:D612"/>
    <mergeCell ref="E611:E612"/>
    <mergeCell ref="F611:F612"/>
    <mergeCell ref="G611:G612"/>
    <mergeCell ref="H611:H612"/>
    <mergeCell ref="I611:I612"/>
    <mergeCell ref="J611:J612"/>
    <mergeCell ref="L424:L425"/>
    <mergeCell ref="M424:M425"/>
    <mergeCell ref="N424:N425"/>
    <mergeCell ref="O424:O425"/>
    <mergeCell ref="P424:P425"/>
    <mergeCell ref="Q424:Q425"/>
    <mergeCell ref="Q399:Q400"/>
    <mergeCell ref="D375:D376"/>
    <mergeCell ref="G375:G376"/>
    <mergeCell ref="E371:E372"/>
    <mergeCell ref="I375:I376"/>
    <mergeCell ref="E393:E394"/>
    <mergeCell ref="F393:F394"/>
    <mergeCell ref="K424:K425"/>
    <mergeCell ref="A337:E337"/>
    <mergeCell ref="G406:G409"/>
    <mergeCell ref="H406:H409"/>
    <mergeCell ref="I406:I409"/>
    <mergeCell ref="A353:E353"/>
    <mergeCell ref="J424:J425"/>
    <mergeCell ref="G418:G419"/>
    <mergeCell ref="G369:G370"/>
    <mergeCell ref="C356:C362"/>
    <mergeCell ref="H418:H419"/>
    <mergeCell ref="I418:I419"/>
    <mergeCell ref="N369:N370"/>
    <mergeCell ref="O369:O370"/>
    <mergeCell ref="P369:P370"/>
    <mergeCell ref="B367:B391"/>
    <mergeCell ref="J402:J404"/>
    <mergeCell ref="K280:Q280"/>
    <mergeCell ref="H369:H370"/>
    <mergeCell ref="H356:H362"/>
    <mergeCell ref="I356:I362"/>
    <mergeCell ref="J246:J247"/>
    <mergeCell ref="C363:C365"/>
    <mergeCell ref="K361:K362"/>
    <mergeCell ref="F399:F401"/>
    <mergeCell ref="G363:G365"/>
    <mergeCell ref="C369:C370"/>
    <mergeCell ref="D369:D370"/>
    <mergeCell ref="C375:C376"/>
    <mergeCell ref="P361:P362"/>
    <mergeCell ref="A263:E263"/>
    <mergeCell ref="K276:K277"/>
    <mergeCell ref="A273:Q273"/>
    <mergeCell ref="L1:Q1"/>
    <mergeCell ref="A223:A226"/>
    <mergeCell ref="D356:D362"/>
    <mergeCell ref="E356:E362"/>
    <mergeCell ref="G411:G415"/>
    <mergeCell ref="E416:E417"/>
    <mergeCell ref="F416:F417"/>
    <mergeCell ref="G416:G417"/>
    <mergeCell ref="H411:H415"/>
    <mergeCell ref="C418:C419"/>
    <mergeCell ref="F363:F365"/>
    <mergeCell ref="E406:E409"/>
    <mergeCell ref="E369:E370"/>
    <mergeCell ref="F369:F370"/>
    <mergeCell ref="F402:F404"/>
    <mergeCell ref="B246:B247"/>
    <mergeCell ref="G399:G401"/>
    <mergeCell ref="I371:I372"/>
    <mergeCell ref="J371:J372"/>
    <mergeCell ref="E375:E376"/>
    <mergeCell ref="H402:H404"/>
    <mergeCell ref="J375:J376"/>
    <mergeCell ref="D406:D409"/>
    <mergeCell ref="C402:C404"/>
    <mergeCell ref="D402:D404"/>
    <mergeCell ref="E430:E444"/>
    <mergeCell ref="F430:F444"/>
    <mergeCell ref="M430:M431"/>
    <mergeCell ref="K430:K431"/>
    <mergeCell ref="G430:G444"/>
    <mergeCell ref="A282:A287"/>
    <mergeCell ref="B424:B425"/>
    <mergeCell ref="F424:F425"/>
    <mergeCell ref="G424:G425"/>
    <mergeCell ref="H424:H425"/>
    <mergeCell ref="I424:I425"/>
    <mergeCell ref="D275:D278"/>
    <mergeCell ref="D393:D394"/>
    <mergeCell ref="J406:J409"/>
    <mergeCell ref="A338:Q338"/>
    <mergeCell ref="Q361:Q362"/>
    <mergeCell ref="Q369:Q370"/>
    <mergeCell ref="Q430:Q431"/>
    <mergeCell ref="I430:I444"/>
    <mergeCell ref="J430:J444"/>
    <mergeCell ref="A422:E422"/>
    <mergeCell ref="E418:E419"/>
    <mergeCell ref="E402:E404"/>
    <mergeCell ref="C411:C415"/>
    <mergeCell ref="D411:D415"/>
    <mergeCell ref="E399:E401"/>
    <mergeCell ref="N361:N362"/>
    <mergeCell ref="G393:G394"/>
    <mergeCell ref="A355:A421"/>
    <mergeCell ref="D418:D419"/>
    <mergeCell ref="C393:C394"/>
    <mergeCell ref="G356:G362"/>
    <mergeCell ref="H363:H365"/>
    <mergeCell ref="I363:I365"/>
    <mergeCell ref="C371:C372"/>
    <mergeCell ref="D371:D372"/>
    <mergeCell ref="J418:J419"/>
    <mergeCell ref="L375:L376"/>
    <mergeCell ref="O361:O362"/>
    <mergeCell ref="A354:Q354"/>
    <mergeCell ref="E446:E459"/>
    <mergeCell ref="F446:F459"/>
    <mergeCell ref="G446:G459"/>
    <mergeCell ref="H446:H459"/>
    <mergeCell ref="H430:H444"/>
    <mergeCell ref="A429:A485"/>
    <mergeCell ref="H460:H476"/>
    <mergeCell ref="A428:Q428"/>
    <mergeCell ref="Q481:Q482"/>
    <mergeCell ref="B477:B482"/>
    <mergeCell ref="C477:C482"/>
    <mergeCell ref="D477:D482"/>
    <mergeCell ref="G460:G476"/>
    <mergeCell ref="N430:N431"/>
    <mergeCell ref="O430:O431"/>
    <mergeCell ref="A427:E427"/>
    <mergeCell ref="G402:G404"/>
    <mergeCell ref="I411:I415"/>
    <mergeCell ref="B393:B409"/>
    <mergeCell ref="F406:F409"/>
    <mergeCell ref="C406:C409"/>
    <mergeCell ref="F418:F419"/>
    <mergeCell ref="H416:H417"/>
    <mergeCell ref="H399:H401"/>
    <mergeCell ref="I402:I404"/>
    <mergeCell ref="F356:F362"/>
    <mergeCell ref="K399:K400"/>
    <mergeCell ref="E363:E365"/>
    <mergeCell ref="L399:L400"/>
    <mergeCell ref="M399:M400"/>
    <mergeCell ref="N399:N400"/>
    <mergeCell ref="O399:O400"/>
    <mergeCell ref="P399:P400"/>
    <mergeCell ref="J399:J401"/>
    <mergeCell ref="F411:F415"/>
    <mergeCell ref="H375:H376"/>
    <mergeCell ref="I399:I401"/>
    <mergeCell ref="J363:J365"/>
    <mergeCell ref="K375:K376"/>
    <mergeCell ref="N375:N376"/>
    <mergeCell ref="O375:O376"/>
    <mergeCell ref="P375:P376"/>
    <mergeCell ref="A3:Q3"/>
    <mergeCell ref="F5:J5"/>
    <mergeCell ref="C10:C15"/>
    <mergeCell ref="E10:E15"/>
    <mergeCell ref="F10:F15"/>
    <mergeCell ref="G10:G15"/>
    <mergeCell ref="H10:H15"/>
    <mergeCell ref="I10:I15"/>
    <mergeCell ref="J10:J15"/>
    <mergeCell ref="B10:B15"/>
    <mergeCell ref="D10:D15"/>
    <mergeCell ref="A126:A134"/>
    <mergeCell ref="A135:E135"/>
    <mergeCell ref="H28:H30"/>
    <mergeCell ref="G28:G30"/>
    <mergeCell ref="F28:F30"/>
    <mergeCell ref="E28:E30"/>
    <mergeCell ref="A9:A16"/>
    <mergeCell ref="A32:Q32"/>
    <mergeCell ref="A33:A35"/>
    <mergeCell ref="A36:E36"/>
    <mergeCell ref="C46:C47"/>
    <mergeCell ref="B46:B47"/>
    <mergeCell ref="D46:D47"/>
    <mergeCell ref="E46:E47"/>
    <mergeCell ref="F46:F47"/>
    <mergeCell ref="G46:G47"/>
    <mergeCell ref="H46:H47"/>
    <mergeCell ref="I46:I47"/>
    <mergeCell ref="J46:J47"/>
    <mergeCell ref="B127:B132"/>
    <mergeCell ref="C127:C132"/>
    <mergeCell ref="A125:Q125"/>
    <mergeCell ref="J28:J30"/>
    <mergeCell ref="A54:E54"/>
    <mergeCell ref="F127:F132"/>
    <mergeCell ref="A28:A30"/>
    <mergeCell ref="C28:C30"/>
    <mergeCell ref="B28:B30"/>
    <mergeCell ref="C52:C53"/>
    <mergeCell ref="D52:D53"/>
    <mergeCell ref="E52:E53"/>
    <mergeCell ref="A17:E17"/>
    <mergeCell ref="D28:D30"/>
    <mergeCell ref="A25:E25"/>
    <mergeCell ref="A18:O18"/>
    <mergeCell ref="A19:A24"/>
    <mergeCell ref="I28:I30"/>
    <mergeCell ref="A38:A53"/>
    <mergeCell ref="A26:O26"/>
    <mergeCell ref="B79:B86"/>
    <mergeCell ref="B88:B103"/>
    <mergeCell ref="B105:B108"/>
    <mergeCell ref="B114:B115"/>
    <mergeCell ref="D127:D132"/>
    <mergeCell ref="A37:Q37"/>
    <mergeCell ref="K89:K91"/>
    <mergeCell ref="A31:E31"/>
    <mergeCell ref="A55:Q55"/>
    <mergeCell ref="A66:Q66"/>
    <mergeCell ref="A56:A64"/>
    <mergeCell ref="A65:E65"/>
    <mergeCell ref="A67:A75"/>
    <mergeCell ref="A76:E76"/>
    <mergeCell ref="A281:Q281"/>
    <mergeCell ref="L276:L277"/>
    <mergeCell ref="M276:M277"/>
    <mergeCell ref="N276:N277"/>
    <mergeCell ref="O276:O277"/>
    <mergeCell ref="P276:P277"/>
    <mergeCell ref="Q276:Q277"/>
    <mergeCell ref="A336:E336"/>
    <mergeCell ref="B430:B444"/>
    <mergeCell ref="C430:C444"/>
    <mergeCell ref="D430:D444"/>
    <mergeCell ref="A173:Q173"/>
    <mergeCell ref="A188:Q188"/>
    <mergeCell ref="H195:H196"/>
    <mergeCell ref="A174:A186"/>
    <mergeCell ref="J210:J211"/>
    <mergeCell ref="K210:K211"/>
    <mergeCell ref="L210:L211"/>
    <mergeCell ref="A189:A192"/>
    <mergeCell ref="B185:B186"/>
    <mergeCell ref="B195:B196"/>
    <mergeCell ref="Q195:Q196"/>
    <mergeCell ref="B199:B200"/>
    <mergeCell ref="C199:C200"/>
    <mergeCell ref="D199:D200"/>
    <mergeCell ref="C195:C196"/>
    <mergeCell ref="I195:I196"/>
    <mergeCell ref="J195:J196"/>
    <mergeCell ref="B275:B278"/>
    <mergeCell ref="A194:Q194"/>
    <mergeCell ref="F195:F196"/>
    <mergeCell ref="P195:P196"/>
    <mergeCell ref="A275:A279"/>
    <mergeCell ref="F275:F278"/>
    <mergeCell ref="G275:G278"/>
    <mergeCell ref="H275:H278"/>
    <mergeCell ref="I275:I278"/>
    <mergeCell ref="B230:B233"/>
    <mergeCell ref="J244:J245"/>
    <mergeCell ref="K244:K245"/>
    <mergeCell ref="C246:C247"/>
    <mergeCell ref="O210:O211"/>
    <mergeCell ref="P210:P211"/>
    <mergeCell ref="H210:H211"/>
    <mergeCell ref="P481:P482"/>
    <mergeCell ref="E477:E482"/>
    <mergeCell ref="F477:F482"/>
    <mergeCell ref="G477:G482"/>
    <mergeCell ref="H477:H482"/>
    <mergeCell ref="I477:I482"/>
    <mergeCell ref="J477:J482"/>
    <mergeCell ref="L481:L482"/>
    <mergeCell ref="I446:I459"/>
    <mergeCell ref="J446:J459"/>
    <mergeCell ref="B460:B476"/>
    <mergeCell ref="C460:C476"/>
    <mergeCell ref="D460:D476"/>
    <mergeCell ref="E460:E476"/>
    <mergeCell ref="F460:F476"/>
    <mergeCell ref="P430:P431"/>
    <mergeCell ref="G260:G261"/>
    <mergeCell ref="H260:H261"/>
    <mergeCell ref="I260:I261"/>
    <mergeCell ref="A274:Q274"/>
    <mergeCell ref="E127:E132"/>
    <mergeCell ref="N199:N200"/>
    <mergeCell ref="O199:O200"/>
    <mergeCell ref="O195:O196"/>
    <mergeCell ref="L195:L196"/>
    <mergeCell ref="M195:M196"/>
    <mergeCell ref="N195:N196"/>
    <mergeCell ref="J199:J200"/>
    <mergeCell ref="B207:B208"/>
    <mergeCell ref="C207:C208"/>
    <mergeCell ref="D207:D208"/>
    <mergeCell ref="M210:M211"/>
    <mergeCell ref="N210:N211"/>
    <mergeCell ref="A250:E250"/>
    <mergeCell ref="A137:A140"/>
    <mergeCell ref="A141:E141"/>
    <mergeCell ref="A172:E172"/>
    <mergeCell ref="A142:Q142"/>
    <mergeCell ref="K195:K196"/>
    <mergeCell ref="A187:E187"/>
    <mergeCell ref="I210:I211"/>
    <mergeCell ref="G207:G208"/>
    <mergeCell ref="H207:H208"/>
    <mergeCell ref="I207:I208"/>
    <mergeCell ref="J207:J208"/>
    <mergeCell ref="H199:H200"/>
    <mergeCell ref="I199:I200"/>
    <mergeCell ref="B144:B149"/>
    <mergeCell ref="G195:G196"/>
    <mergeCell ref="E207:E208"/>
    <mergeCell ref="O207:O208"/>
    <mergeCell ref="P207:P208"/>
    <mergeCell ref="L213:L214"/>
    <mergeCell ref="A217:A220"/>
    <mergeCell ref="A229:A241"/>
    <mergeCell ref="D246:D247"/>
    <mergeCell ref="E246:E247"/>
    <mergeCell ref="A244:A249"/>
    <mergeCell ref="A228:Q228"/>
    <mergeCell ref="A243:Q243"/>
    <mergeCell ref="H246:H247"/>
    <mergeCell ref="I246:I247"/>
    <mergeCell ref="A253:A262"/>
    <mergeCell ref="A216:Q216"/>
    <mergeCell ref="A222:Q222"/>
    <mergeCell ref="Q210:Q211"/>
    <mergeCell ref="H244:H245"/>
    <mergeCell ref="I244:I245"/>
    <mergeCell ref="A251:E251"/>
    <mergeCell ref="B260:B261"/>
    <mergeCell ref="B210:B211"/>
    <mergeCell ref="A221:E221"/>
    <mergeCell ref="A227:E227"/>
    <mergeCell ref="B244:B245"/>
    <mergeCell ref="C244:C245"/>
    <mergeCell ref="D244:D245"/>
    <mergeCell ref="J260:J261"/>
    <mergeCell ref="A215:E215"/>
    <mergeCell ref="D210:D211"/>
    <mergeCell ref="E210:E211"/>
    <mergeCell ref="A78:A122"/>
    <mergeCell ref="A123:E123"/>
    <mergeCell ref="A124:E124"/>
    <mergeCell ref="D195:D196"/>
    <mergeCell ref="A195:A214"/>
    <mergeCell ref="F210:F211"/>
    <mergeCell ref="G210:G211"/>
    <mergeCell ref="G127:G132"/>
    <mergeCell ref="F207:F208"/>
    <mergeCell ref="A136:Q136"/>
    <mergeCell ref="A193:E193"/>
    <mergeCell ref="H127:H132"/>
    <mergeCell ref="I127:I132"/>
    <mergeCell ref="J127:J132"/>
    <mergeCell ref="Q199:Q200"/>
    <mergeCell ref="B201:B204"/>
    <mergeCell ref="C201:C204"/>
    <mergeCell ref="D201:D204"/>
    <mergeCell ref="Q207:Q208"/>
    <mergeCell ref="P199:P200"/>
    <mergeCell ref="E195:E196"/>
    <mergeCell ref="C210:C211"/>
    <mergeCell ref="N207:N208"/>
    <mergeCell ref="K199:K200"/>
    <mergeCell ref="L199:L200"/>
    <mergeCell ref="M199:M200"/>
    <mergeCell ref="A143:A170"/>
    <mergeCell ref="I201:I204"/>
    <mergeCell ref="J201:J204"/>
    <mergeCell ref="E199:E200"/>
    <mergeCell ref="F199:F200"/>
    <mergeCell ref="G199:G200"/>
    <mergeCell ref="E244:E245"/>
    <mergeCell ref="A264:Q264"/>
    <mergeCell ref="A280:E280"/>
    <mergeCell ref="J275:J278"/>
    <mergeCell ref="C260:C261"/>
    <mergeCell ref="D260:D261"/>
    <mergeCell ref="A265:A271"/>
    <mergeCell ref="B410:B420"/>
    <mergeCell ref="E201:E204"/>
    <mergeCell ref="F201:F204"/>
    <mergeCell ref="G201:G204"/>
    <mergeCell ref="H201:H204"/>
    <mergeCell ref="L207:L208"/>
    <mergeCell ref="M207:M208"/>
    <mergeCell ref="N244:N245"/>
    <mergeCell ref="O244:O245"/>
    <mergeCell ref="L244:L245"/>
    <mergeCell ref="P244:P245"/>
    <mergeCell ref="C275:C278"/>
    <mergeCell ref="E260:E261"/>
    <mergeCell ref="F260:F261"/>
    <mergeCell ref="E275:E278"/>
    <mergeCell ref="A242:E242"/>
    <mergeCell ref="A252:Q252"/>
    <mergeCell ref="K207:K208"/>
    <mergeCell ref="F246:F247"/>
    <mergeCell ref="G246:G247"/>
    <mergeCell ref="F244:F245"/>
    <mergeCell ref="G244:G245"/>
    <mergeCell ref="M244:M245"/>
    <mergeCell ref="A272:E272"/>
    <mergeCell ref="Q244:Q245"/>
    <mergeCell ref="G499:G500"/>
    <mergeCell ref="H499:H500"/>
    <mergeCell ref="I499:I500"/>
    <mergeCell ref="J499:J500"/>
    <mergeCell ref="B492:B494"/>
    <mergeCell ref="C492:C494"/>
    <mergeCell ref="D492:D494"/>
    <mergeCell ref="E492:E494"/>
    <mergeCell ref="F492:F494"/>
    <mergeCell ref="G492:G494"/>
    <mergeCell ref="H492:H494"/>
    <mergeCell ref="I492:I494"/>
    <mergeCell ref="J492:J494"/>
    <mergeCell ref="A288:E288"/>
    <mergeCell ref="A289:Q289"/>
    <mergeCell ref="A290:A335"/>
    <mergeCell ref="B495:B498"/>
    <mergeCell ref="C495:C498"/>
    <mergeCell ref="D495:D498"/>
    <mergeCell ref="E495:E498"/>
    <mergeCell ref="F495:F498"/>
    <mergeCell ref="G495:G498"/>
    <mergeCell ref="H495:H498"/>
    <mergeCell ref="I495:I498"/>
    <mergeCell ref="J495:J498"/>
    <mergeCell ref="I460:I476"/>
    <mergeCell ref="J460:J476"/>
    <mergeCell ref="A486:E486"/>
    <mergeCell ref="B446:B459"/>
    <mergeCell ref="C446:C459"/>
    <mergeCell ref="D446:D459"/>
    <mergeCell ref="J411:J415"/>
    <mergeCell ref="A487:O487"/>
    <mergeCell ref="L430:L431"/>
    <mergeCell ref="K481:K482"/>
    <mergeCell ref="M481:M482"/>
    <mergeCell ref="N481:N482"/>
    <mergeCell ref="O481:O482"/>
    <mergeCell ref="A424:A426"/>
    <mergeCell ref="E411:E415"/>
    <mergeCell ref="A339:A352"/>
    <mergeCell ref="A423:Q423"/>
    <mergeCell ref="I416:I417"/>
    <mergeCell ref="Q375:Q376"/>
    <mergeCell ref="G371:G372"/>
    <mergeCell ref="H371:H372"/>
    <mergeCell ref="C509:C510"/>
    <mergeCell ref="D509:D510"/>
    <mergeCell ref="E509:E510"/>
    <mergeCell ref="F509:F510"/>
    <mergeCell ref="G509:G510"/>
    <mergeCell ref="H509:H510"/>
    <mergeCell ref="I509:I510"/>
    <mergeCell ref="J509:J510"/>
    <mergeCell ref="B507:B508"/>
    <mergeCell ref="C507:C508"/>
    <mergeCell ref="D507:D508"/>
    <mergeCell ref="E507:E508"/>
    <mergeCell ref="F507:F508"/>
    <mergeCell ref="G507:G508"/>
    <mergeCell ref="H507:H508"/>
    <mergeCell ref="I507:I508"/>
    <mergeCell ref="J507:J508"/>
    <mergeCell ref="B502:B503"/>
    <mergeCell ref="C502:C503"/>
    <mergeCell ref="D502:D503"/>
    <mergeCell ref="E502:E503"/>
    <mergeCell ref="F502:F503"/>
    <mergeCell ref="G502:G503"/>
    <mergeCell ref="H502:H503"/>
    <mergeCell ref="I502:I503"/>
    <mergeCell ref="J502:J503"/>
    <mergeCell ref="B499:B500"/>
    <mergeCell ref="C499:C500"/>
    <mergeCell ref="D499:D500"/>
    <mergeCell ref="E499:E500"/>
    <mergeCell ref="B514:B516"/>
    <mergeCell ref="C514:C516"/>
    <mergeCell ref="D514:D516"/>
    <mergeCell ref="E514:E516"/>
    <mergeCell ref="F514:F516"/>
    <mergeCell ref="G514:G516"/>
    <mergeCell ref="H514:H516"/>
    <mergeCell ref="I514:I516"/>
    <mergeCell ref="J514:J516"/>
    <mergeCell ref="B511:B513"/>
    <mergeCell ref="C511:C513"/>
    <mergeCell ref="D511:D513"/>
    <mergeCell ref="E511:E513"/>
    <mergeCell ref="F511:F513"/>
    <mergeCell ref="G511:G513"/>
    <mergeCell ref="H511:H513"/>
    <mergeCell ref="I511:I513"/>
    <mergeCell ref="J511:J513"/>
    <mergeCell ref="B509:B510"/>
    <mergeCell ref="F499:F500"/>
    <mergeCell ref="B520:B522"/>
    <mergeCell ref="C520:C522"/>
    <mergeCell ref="D520:D522"/>
    <mergeCell ref="E520:E522"/>
    <mergeCell ref="F520:F522"/>
    <mergeCell ref="G520:G522"/>
    <mergeCell ref="H520:H522"/>
    <mergeCell ref="I520:I522"/>
    <mergeCell ref="J520:J522"/>
    <mergeCell ref="B517:B519"/>
    <mergeCell ref="C517:C519"/>
    <mergeCell ref="D517:D519"/>
    <mergeCell ref="E517:E519"/>
    <mergeCell ref="F517:F519"/>
    <mergeCell ref="G517:G519"/>
    <mergeCell ref="H517:H519"/>
    <mergeCell ref="I517:I519"/>
    <mergeCell ref="J517:J519"/>
    <mergeCell ref="B526:B527"/>
    <mergeCell ref="C526:C527"/>
    <mergeCell ref="D526:D527"/>
    <mergeCell ref="E526:E527"/>
    <mergeCell ref="F526:F527"/>
    <mergeCell ref="G526:G527"/>
    <mergeCell ref="H526:H527"/>
    <mergeCell ref="I526:I527"/>
    <mergeCell ref="J526:J527"/>
    <mergeCell ref="B523:B524"/>
    <mergeCell ref="C523:C524"/>
    <mergeCell ref="D523:D524"/>
    <mergeCell ref="E523:E524"/>
    <mergeCell ref="F523:F524"/>
    <mergeCell ref="G523:G524"/>
    <mergeCell ref="H523:H524"/>
    <mergeCell ref="I523:I524"/>
    <mergeCell ref="J523:J524"/>
    <mergeCell ref="B532:B535"/>
    <mergeCell ref="C532:C535"/>
    <mergeCell ref="D532:D535"/>
    <mergeCell ref="E532:E535"/>
    <mergeCell ref="F532:F535"/>
    <mergeCell ref="G532:G535"/>
    <mergeCell ref="H532:H535"/>
    <mergeCell ref="I532:I535"/>
    <mergeCell ref="J532:J535"/>
    <mergeCell ref="B528:B529"/>
    <mergeCell ref="C528:C529"/>
    <mergeCell ref="D528:D529"/>
    <mergeCell ref="E528:E529"/>
    <mergeCell ref="F528:F529"/>
    <mergeCell ref="G528:G529"/>
    <mergeCell ref="H528:H529"/>
    <mergeCell ref="I528:I529"/>
    <mergeCell ref="J528:J529"/>
    <mergeCell ref="A543:E543"/>
    <mergeCell ref="L543:Q543"/>
    <mergeCell ref="A544:O544"/>
    <mergeCell ref="A554:E554"/>
    <mergeCell ref="L554:Q554"/>
    <mergeCell ref="A555:K555"/>
    <mergeCell ref="A571:Q571"/>
    <mergeCell ref="B538:B539"/>
    <mergeCell ref="C538:C539"/>
    <mergeCell ref="D538:D539"/>
    <mergeCell ref="E538:E539"/>
    <mergeCell ref="F538:F539"/>
    <mergeCell ref="G538:G539"/>
    <mergeCell ref="H538:H539"/>
    <mergeCell ref="I538:I539"/>
    <mergeCell ref="J538:J539"/>
    <mergeCell ref="B536:B537"/>
    <mergeCell ref="C536:C537"/>
    <mergeCell ref="D536:D537"/>
    <mergeCell ref="E536:E537"/>
    <mergeCell ref="F536:F537"/>
    <mergeCell ref="G536:G537"/>
    <mergeCell ref="H536:H537"/>
    <mergeCell ref="I536:I537"/>
    <mergeCell ref="J536:J537"/>
    <mergeCell ref="K580:K581"/>
    <mergeCell ref="L580:L581"/>
    <mergeCell ref="M580:M581"/>
    <mergeCell ref="N580:N581"/>
    <mergeCell ref="O580:O581"/>
    <mergeCell ref="P580:P581"/>
    <mergeCell ref="Q580:Q581"/>
    <mergeCell ref="B583:B585"/>
    <mergeCell ref="C583:C585"/>
    <mergeCell ref="D583:D585"/>
    <mergeCell ref="E583:E585"/>
    <mergeCell ref="E576:E582"/>
    <mergeCell ref="F576:F582"/>
    <mergeCell ref="G576:G582"/>
    <mergeCell ref="H576:H582"/>
    <mergeCell ref="I576:I582"/>
    <mergeCell ref="J576:J582"/>
    <mergeCell ref="H583:H585"/>
    <mergeCell ref="I583:I585"/>
    <mergeCell ref="J583:J585"/>
    <mergeCell ref="G583:G585"/>
    <mergeCell ref="J599:J600"/>
    <mergeCell ref="B602:B605"/>
    <mergeCell ref="C602:C605"/>
    <mergeCell ref="D602:D605"/>
    <mergeCell ref="E602:E605"/>
    <mergeCell ref="F602:F605"/>
    <mergeCell ref="G602:G605"/>
    <mergeCell ref="H602:H605"/>
    <mergeCell ref="I602:I605"/>
    <mergeCell ref="J602:J605"/>
    <mergeCell ref="B599:B600"/>
    <mergeCell ref="C599:C600"/>
    <mergeCell ref="D599:D600"/>
    <mergeCell ref="E599:E600"/>
    <mergeCell ref="F599:F600"/>
    <mergeCell ref="G599:G600"/>
    <mergeCell ref="H599:H600"/>
    <mergeCell ref="I599:I600"/>
    <mergeCell ref="F616:F617"/>
    <mergeCell ref="G616:G617"/>
    <mergeCell ref="H616:H617"/>
    <mergeCell ref="I616:I617"/>
    <mergeCell ref="J616:J617"/>
    <mergeCell ref="B618:B619"/>
    <mergeCell ref="C618:C619"/>
    <mergeCell ref="D618:D619"/>
    <mergeCell ref="E618:E619"/>
    <mergeCell ref="F618:F619"/>
    <mergeCell ref="G618:G619"/>
    <mergeCell ref="H618:H619"/>
    <mergeCell ref="I618:I619"/>
    <mergeCell ref="J618:J619"/>
    <mergeCell ref="B616:B617"/>
    <mergeCell ref="C616:C617"/>
    <mergeCell ref="D616:D617"/>
    <mergeCell ref="E616:E617"/>
    <mergeCell ref="J626:J627"/>
    <mergeCell ref="A628:E628"/>
    <mergeCell ref="A629:Q629"/>
    <mergeCell ref="A634:E634"/>
    <mergeCell ref="L634:Q634"/>
    <mergeCell ref="A635:Q635"/>
    <mergeCell ref="A630:A633"/>
    <mergeCell ref="A636:A640"/>
    <mergeCell ref="B626:B627"/>
    <mergeCell ref="C626:C627"/>
    <mergeCell ref="D626:D627"/>
    <mergeCell ref="E626:E627"/>
    <mergeCell ref="F626:F627"/>
    <mergeCell ref="G626:G627"/>
    <mergeCell ref="H626:H627"/>
    <mergeCell ref="I626:I627"/>
    <mergeCell ref="D654:D655"/>
    <mergeCell ref="E654:E655"/>
    <mergeCell ref="F654:F655"/>
    <mergeCell ref="G654:G655"/>
    <mergeCell ref="H654:H655"/>
    <mergeCell ref="I654:I655"/>
    <mergeCell ref="J654:J655"/>
    <mergeCell ref="A643:E643"/>
    <mergeCell ref="L643:Q643"/>
    <mergeCell ref="A644:O644"/>
    <mergeCell ref="K647:K648"/>
    <mergeCell ref="A649:E649"/>
    <mergeCell ref="L649:Q649"/>
    <mergeCell ref="A650:Q650"/>
    <mergeCell ref="K638:K639"/>
    <mergeCell ref="A688:E688"/>
    <mergeCell ref="L688:O688"/>
    <mergeCell ref="A689:Q689"/>
    <mergeCell ref="E678:E680"/>
    <mergeCell ref="F678:F680"/>
    <mergeCell ref="G678:G680"/>
    <mergeCell ref="H678:H680"/>
    <mergeCell ref="I678:I680"/>
    <mergeCell ref="J678:J680"/>
    <mergeCell ref="A681:E681"/>
    <mergeCell ref="L681:O681"/>
    <mergeCell ref="A682:Q682"/>
    <mergeCell ref="A663:A680"/>
    <mergeCell ref="B678:B680"/>
    <mergeCell ref="C678:C680"/>
    <mergeCell ref="D678:D680"/>
    <mergeCell ref="C673:C674"/>
    <mergeCell ref="D673:D674"/>
    <mergeCell ref="E673:E674"/>
    <mergeCell ref="F673:F674"/>
    <mergeCell ref="G673:G674"/>
    <mergeCell ref="H673:H674"/>
    <mergeCell ref="I673:I674"/>
    <mergeCell ref="J673:J674"/>
    <mergeCell ref="C675:C676"/>
    <mergeCell ref="D675:D676"/>
    <mergeCell ref="E675:E676"/>
    <mergeCell ref="C668:C672"/>
    <mergeCell ref="D668:D672"/>
    <mergeCell ref="E668:E672"/>
    <mergeCell ref="F668:F672"/>
    <mergeCell ref="G668:G672"/>
    <mergeCell ref="B700:B702"/>
    <mergeCell ref="C700:C702"/>
    <mergeCell ref="D700:D702"/>
    <mergeCell ref="E700:E702"/>
    <mergeCell ref="F700:F702"/>
    <mergeCell ref="G700:G702"/>
    <mergeCell ref="H700:H702"/>
    <mergeCell ref="I700:I702"/>
    <mergeCell ref="J700:J702"/>
    <mergeCell ref="A695:Q695"/>
    <mergeCell ref="J690:J691"/>
    <mergeCell ref="K690:K691"/>
    <mergeCell ref="L690:L691"/>
    <mergeCell ref="M690:M691"/>
    <mergeCell ref="N690:N691"/>
    <mergeCell ref="O690:O691"/>
    <mergeCell ref="P690:P691"/>
    <mergeCell ref="Q690:Q691"/>
    <mergeCell ref="A694:E694"/>
    <mergeCell ref="L694:O694"/>
    <mergeCell ref="A690:A693"/>
    <mergeCell ref="B690:B691"/>
    <mergeCell ref="C690:C691"/>
    <mergeCell ref="D690:D691"/>
    <mergeCell ref="E690:E691"/>
    <mergeCell ref="F690:F691"/>
    <mergeCell ref="G690:G691"/>
    <mergeCell ref="H690:H691"/>
    <mergeCell ref="I690:I691"/>
    <mergeCell ref="J703:J705"/>
    <mergeCell ref="B706:B708"/>
    <mergeCell ref="C706:C708"/>
    <mergeCell ref="D706:D708"/>
    <mergeCell ref="E706:E708"/>
    <mergeCell ref="F706:F708"/>
    <mergeCell ref="G706:G708"/>
    <mergeCell ref="H706:H708"/>
    <mergeCell ref="I706:I708"/>
    <mergeCell ref="J706:J708"/>
    <mergeCell ref="B703:B705"/>
    <mergeCell ref="C703:C705"/>
    <mergeCell ref="D703:D705"/>
    <mergeCell ref="E703:E705"/>
    <mergeCell ref="F703:F705"/>
    <mergeCell ref="G703:G705"/>
    <mergeCell ref="H703:H705"/>
    <mergeCell ref="I703:I705"/>
    <mergeCell ref="J717:J719"/>
    <mergeCell ref="B722:B723"/>
    <mergeCell ref="C722:C723"/>
    <mergeCell ref="D722:D723"/>
    <mergeCell ref="E722:E723"/>
    <mergeCell ref="F722:F723"/>
    <mergeCell ref="G722:G723"/>
    <mergeCell ref="H722:H723"/>
    <mergeCell ref="I722:I723"/>
    <mergeCell ref="J722:J723"/>
    <mergeCell ref="B710:B715"/>
    <mergeCell ref="C710:C715"/>
    <mergeCell ref="D710:D715"/>
    <mergeCell ref="E710:E715"/>
    <mergeCell ref="F710:F715"/>
    <mergeCell ref="G710:G715"/>
    <mergeCell ref="H710:H715"/>
    <mergeCell ref="I710:I715"/>
    <mergeCell ref="J710:J715"/>
    <mergeCell ref="A752:E752"/>
    <mergeCell ref="A753:Q753"/>
    <mergeCell ref="A754:A757"/>
    <mergeCell ref="A758:E758"/>
    <mergeCell ref="A759:Q759"/>
    <mergeCell ref="A760:A771"/>
    <mergeCell ref="J724:J725"/>
    <mergeCell ref="A726:E726"/>
    <mergeCell ref="L726:O726"/>
    <mergeCell ref="A727:Q727"/>
    <mergeCell ref="A728:A730"/>
    <mergeCell ref="A731:E731"/>
    <mergeCell ref="L731:Q731"/>
    <mergeCell ref="A732:Q732"/>
    <mergeCell ref="A733:A751"/>
    <mergeCell ref="A696:A725"/>
    <mergeCell ref="B717:B719"/>
    <mergeCell ref="C717:C719"/>
    <mergeCell ref="D717:D719"/>
    <mergeCell ref="B724:B725"/>
    <mergeCell ref="C724:C725"/>
    <mergeCell ref="D724:D725"/>
    <mergeCell ref="E724:E725"/>
    <mergeCell ref="F724:F725"/>
    <mergeCell ref="G724:G725"/>
    <mergeCell ref="H724:H725"/>
    <mergeCell ref="I724:I725"/>
    <mergeCell ref="E717:E719"/>
    <mergeCell ref="F717:F719"/>
    <mergeCell ref="G717:G719"/>
    <mergeCell ref="H717:H719"/>
    <mergeCell ref="I717:I719"/>
    <mergeCell ref="A790:A805"/>
    <mergeCell ref="A806:E806"/>
    <mergeCell ref="A807:Q807"/>
    <mergeCell ref="A808:A809"/>
    <mergeCell ref="A810:E810"/>
    <mergeCell ref="A811:Q811"/>
    <mergeCell ref="A812:A827"/>
    <mergeCell ref="B825:B826"/>
    <mergeCell ref="C825:C826"/>
    <mergeCell ref="D825:D826"/>
    <mergeCell ref="E825:E826"/>
    <mergeCell ref="F825:F826"/>
    <mergeCell ref="G825:G826"/>
    <mergeCell ref="H825:H826"/>
    <mergeCell ref="I825:I826"/>
    <mergeCell ref="J825:J826"/>
    <mergeCell ref="A772:E772"/>
    <mergeCell ref="A773:Q773"/>
    <mergeCell ref="A774:A782"/>
    <mergeCell ref="A783:E783"/>
    <mergeCell ref="L783:Q783"/>
    <mergeCell ref="A784:Q784"/>
    <mergeCell ref="A785:A787"/>
    <mergeCell ref="B786:B787"/>
    <mergeCell ref="C786:C787"/>
    <mergeCell ref="D786:D787"/>
    <mergeCell ref="E786:E787"/>
    <mergeCell ref="F786:F787"/>
    <mergeCell ref="G786:G787"/>
    <mergeCell ref="H786:H787"/>
    <mergeCell ref="I786:I787"/>
    <mergeCell ref="J786:J787"/>
    <mergeCell ref="C855:C856"/>
    <mergeCell ref="D855:D856"/>
    <mergeCell ref="E855:E856"/>
    <mergeCell ref="F855:F856"/>
    <mergeCell ref="G855:G856"/>
    <mergeCell ref="H855:H856"/>
    <mergeCell ref="I855:I856"/>
    <mergeCell ref="J855:J856"/>
    <mergeCell ref="K855:K856"/>
    <mergeCell ref="L855:L856"/>
    <mergeCell ref="M855:M856"/>
    <mergeCell ref="N855:N856"/>
    <mergeCell ref="O855:O856"/>
    <mergeCell ref="P855:P856"/>
    <mergeCell ref="Q855:Q856"/>
    <mergeCell ref="G867:G868"/>
    <mergeCell ref="H867:H868"/>
    <mergeCell ref="I867:I868"/>
    <mergeCell ref="J867:J868"/>
    <mergeCell ref="K863:K864"/>
    <mergeCell ref="L863:L864"/>
    <mergeCell ref="M863:M864"/>
    <mergeCell ref="N863:N864"/>
    <mergeCell ref="O863:O864"/>
    <mergeCell ref="P863:P864"/>
    <mergeCell ref="Q863:Q864"/>
    <mergeCell ref="D865:D866"/>
    <mergeCell ref="E865:E866"/>
    <mergeCell ref="F865:F866"/>
    <mergeCell ref="G865:G866"/>
    <mergeCell ref="H865:H866"/>
    <mergeCell ref="I865:I866"/>
    <mergeCell ref="J865:J866"/>
    <mergeCell ref="K865:K866"/>
    <mergeCell ref="L865:L866"/>
    <mergeCell ref="M865:M866"/>
    <mergeCell ref="N865:N866"/>
    <mergeCell ref="O865:O866"/>
    <mergeCell ref="P865:P866"/>
    <mergeCell ref="Q865:Q866"/>
    <mergeCell ref="B863:B864"/>
    <mergeCell ref="C863:C864"/>
    <mergeCell ref="D863:D864"/>
    <mergeCell ref="E863:E864"/>
    <mergeCell ref="F863:F864"/>
    <mergeCell ref="G863:G864"/>
    <mergeCell ref="H863:H864"/>
    <mergeCell ref="I863:I864"/>
    <mergeCell ref="J863:J864"/>
    <mergeCell ref="A872:E872"/>
    <mergeCell ref="A873:Q873"/>
    <mergeCell ref="A874:A877"/>
    <mergeCell ref="A878:E878"/>
    <mergeCell ref="L878:Q878"/>
    <mergeCell ref="A488:A542"/>
    <mergeCell ref="A558:E558"/>
    <mergeCell ref="A545:A553"/>
    <mergeCell ref="A556:A557"/>
    <mergeCell ref="A572:A605"/>
    <mergeCell ref="C576:C582"/>
    <mergeCell ref="B576:B582"/>
    <mergeCell ref="D576:D582"/>
    <mergeCell ref="C593:C594"/>
    <mergeCell ref="D593:D594"/>
    <mergeCell ref="B593:B594"/>
    <mergeCell ref="A608:A627"/>
    <mergeCell ref="K618:K619"/>
    <mergeCell ref="K867:K868"/>
    <mergeCell ref="L867:L868"/>
    <mergeCell ref="M867:M868"/>
    <mergeCell ref="N867:N868"/>
    <mergeCell ref="O867:O868"/>
    <mergeCell ref="P867:P868"/>
    <mergeCell ref="Q867:Q868"/>
    <mergeCell ref="A871:E871"/>
    <mergeCell ref="L871:Q871"/>
    <mergeCell ref="B867:B868"/>
    <mergeCell ref="C867:C868"/>
    <mergeCell ref="D867:D868"/>
    <mergeCell ref="E867:E868"/>
    <mergeCell ref="F867:F868"/>
    <mergeCell ref="N5:Q6"/>
    <mergeCell ref="F6:J6"/>
    <mergeCell ref="A8:O8"/>
    <mergeCell ref="B857:B861"/>
    <mergeCell ref="A645:A648"/>
    <mergeCell ref="L647:L648"/>
    <mergeCell ref="M647:M648"/>
    <mergeCell ref="N647:N648"/>
    <mergeCell ref="O647:O648"/>
    <mergeCell ref="P647:P648"/>
    <mergeCell ref="Q647:Q648"/>
    <mergeCell ref="A651:A656"/>
    <mergeCell ref="A828:E828"/>
    <mergeCell ref="L828:Q828"/>
    <mergeCell ref="A829:Q829"/>
    <mergeCell ref="A830:A831"/>
    <mergeCell ref="A832:E832"/>
    <mergeCell ref="A833:Q833"/>
    <mergeCell ref="A834:Q834"/>
    <mergeCell ref="A835:A845"/>
    <mergeCell ref="A846:E846"/>
    <mergeCell ref="A788:E788"/>
    <mergeCell ref="A789:Q789"/>
    <mergeCell ref="A847:Q847"/>
    <mergeCell ref="A848:A852"/>
    <mergeCell ref="A853:E853"/>
    <mergeCell ref="L853:Q853"/>
    <mergeCell ref="A854:Q854"/>
    <mergeCell ref="A855:A870"/>
    <mergeCell ref="B855:B856"/>
    <mergeCell ref="B865:B866"/>
    <mergeCell ref="C865:C866"/>
    <mergeCell ref="A683:A687"/>
    <mergeCell ref="A5:A7"/>
    <mergeCell ref="B5:B7"/>
    <mergeCell ref="C5:C7"/>
    <mergeCell ref="D5:D7"/>
    <mergeCell ref="E5:E7"/>
    <mergeCell ref="K5:K7"/>
    <mergeCell ref="K657:P657"/>
    <mergeCell ref="A658:Q658"/>
    <mergeCell ref="K661:P661"/>
    <mergeCell ref="A662:Q662"/>
    <mergeCell ref="H668:H672"/>
    <mergeCell ref="I668:I672"/>
    <mergeCell ref="J668:J672"/>
    <mergeCell ref="A659:A660"/>
    <mergeCell ref="B654:B655"/>
    <mergeCell ref="C654:C655"/>
    <mergeCell ref="A559:O559"/>
    <mergeCell ref="A560:A569"/>
    <mergeCell ref="B561:B563"/>
    <mergeCell ref="C561:C563"/>
    <mergeCell ref="D561:D563"/>
    <mergeCell ref="E561:E563"/>
    <mergeCell ref="F561:F563"/>
    <mergeCell ref="G561:G563"/>
    <mergeCell ref="H561:H563"/>
    <mergeCell ref="I561:I563"/>
    <mergeCell ref="J561:J563"/>
    <mergeCell ref="A570:E570"/>
    <mergeCell ref="L570:Q570"/>
    <mergeCell ref="L5:L7"/>
    <mergeCell ref="M5:M6"/>
  </mergeCells>
  <printOptions horizontalCentered="1"/>
  <pageMargins left="0.59055118110236227" right="0.59055118110236227" top="0.59055118110236227" bottom="0.59055118110236227" header="0.39370078740157483" footer="0.39370078740157483"/>
  <pageSetup paperSize="9" scale="48" fitToHeight="0" orientation="landscape" r:id="rId1"/>
  <headerFooter>
    <oddFooter>&amp;R&amp;"Times New Roman,обычный"&amp;10&amp;P</oddFooter>
  </headerFooter>
  <rowBreaks count="6" manualBreakCount="6">
    <brk id="200" max="16" man="1"/>
    <brk id="417" max="16" man="1"/>
    <brk id="560" max="16" man="1"/>
    <brk id="594" max="16" man="1"/>
    <brk id="657" max="16" man="1"/>
    <brk id="721"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55"/>
  <sheetViews>
    <sheetView view="pageBreakPreview" zoomScaleNormal="100" zoomScaleSheetLayoutView="100" workbookViewId="0">
      <selection activeCell="E1" sqref="E1"/>
    </sheetView>
  </sheetViews>
  <sheetFormatPr defaultColWidth="9.140625" defaultRowHeight="15" x14ac:dyDescent="0.25"/>
  <cols>
    <col min="1" max="1" width="6.42578125" style="1" customWidth="1"/>
    <col min="2" max="2" width="7.42578125" style="3" customWidth="1"/>
    <col min="3" max="3" width="8.140625" style="3" customWidth="1"/>
    <col min="4" max="4" width="7.42578125" style="1" customWidth="1"/>
    <col min="5" max="5" width="47.5703125" style="1" customWidth="1"/>
    <col min="6" max="6" width="15.42578125" style="2" customWidth="1"/>
    <col min="7" max="7" width="15.28515625" style="2" customWidth="1"/>
    <col min="8" max="8" width="15.42578125" style="2" customWidth="1"/>
    <col min="9" max="9" width="15.28515625" style="2" customWidth="1"/>
    <col min="10" max="10" width="15.85546875" style="2" customWidth="1"/>
    <col min="11" max="11" width="37.28515625" style="1" customWidth="1"/>
    <col min="12" max="12" width="12.140625" style="3" customWidth="1"/>
    <col min="13" max="13" width="13.7109375" style="3" customWidth="1"/>
    <col min="14" max="14" width="15.28515625" style="3" customWidth="1"/>
    <col min="15" max="17" width="12" style="3" customWidth="1"/>
    <col min="18" max="16384" width="9.140625" style="1"/>
  </cols>
  <sheetData>
    <row r="1" spans="1:17" ht="76.5" customHeight="1" x14ac:dyDescent="0.25">
      <c r="E1" s="5"/>
      <c r="F1" s="7"/>
      <c r="G1" s="7"/>
      <c r="H1" s="7"/>
      <c r="I1" s="7"/>
      <c r="J1" s="7"/>
      <c r="K1" s="5"/>
      <c r="L1" s="1805" t="s">
        <v>2093</v>
      </c>
      <c r="M1" s="1805"/>
      <c r="N1" s="1805"/>
      <c r="O1" s="1805"/>
      <c r="P1" s="1805"/>
      <c r="Q1" s="1805"/>
    </row>
    <row r="2" spans="1:17" ht="15.75" x14ac:dyDescent="0.25">
      <c r="E2" s="5"/>
      <c r="F2" s="7"/>
      <c r="G2" s="7"/>
      <c r="H2" s="7"/>
      <c r="I2" s="7"/>
      <c r="J2" s="7"/>
      <c r="K2" s="5"/>
      <c r="L2" s="84"/>
      <c r="M2" s="84"/>
      <c r="N2" s="84"/>
      <c r="O2" s="84"/>
      <c r="P2" s="84"/>
      <c r="Q2" s="84"/>
    </row>
    <row r="3" spans="1:17" ht="16.5" x14ac:dyDescent="0.25">
      <c r="A3" s="1691" t="s">
        <v>1456</v>
      </c>
      <c r="B3" s="1691"/>
      <c r="C3" s="1691"/>
      <c r="D3" s="1691"/>
      <c r="E3" s="1691"/>
      <c r="F3" s="1691"/>
      <c r="G3" s="1691"/>
      <c r="H3" s="1691"/>
      <c r="I3" s="1691"/>
      <c r="J3" s="1691"/>
      <c r="K3" s="1691"/>
      <c r="L3" s="1691"/>
      <c r="M3" s="1691"/>
      <c r="N3" s="1691"/>
      <c r="O3" s="1691"/>
      <c r="P3" s="1691"/>
      <c r="Q3" s="1691"/>
    </row>
    <row r="5" spans="1:17" x14ac:dyDescent="0.25">
      <c r="A5" s="1267" t="s">
        <v>1517</v>
      </c>
      <c r="B5" s="1270" t="s">
        <v>1514</v>
      </c>
      <c r="C5" s="1270" t="s">
        <v>1515</v>
      </c>
      <c r="D5" s="1270" t="s">
        <v>1516</v>
      </c>
      <c r="E5" s="1267" t="s">
        <v>1449</v>
      </c>
      <c r="F5" s="1692" t="s">
        <v>1450</v>
      </c>
      <c r="G5" s="1692"/>
      <c r="H5" s="1692"/>
      <c r="I5" s="1692"/>
      <c r="J5" s="1692"/>
      <c r="K5" s="1273" t="s">
        <v>1451</v>
      </c>
      <c r="L5" s="1273" t="s">
        <v>1452</v>
      </c>
      <c r="M5" s="1273" t="s">
        <v>1453</v>
      </c>
      <c r="N5" s="1273" t="s">
        <v>1454</v>
      </c>
      <c r="O5" s="1273"/>
      <c r="P5" s="1273"/>
      <c r="Q5" s="1273"/>
    </row>
    <row r="6" spans="1:17" x14ac:dyDescent="0.25">
      <c r="A6" s="1268"/>
      <c r="B6" s="1271"/>
      <c r="C6" s="1271"/>
      <c r="D6" s="1271"/>
      <c r="E6" s="1268"/>
      <c r="F6" s="1298" t="s">
        <v>1455</v>
      </c>
      <c r="G6" s="1298"/>
      <c r="H6" s="1298"/>
      <c r="I6" s="1298"/>
      <c r="J6" s="1298"/>
      <c r="K6" s="1273"/>
      <c r="L6" s="1273"/>
      <c r="M6" s="1273"/>
      <c r="N6" s="1273"/>
      <c r="O6" s="1273"/>
      <c r="P6" s="1273"/>
      <c r="Q6" s="1273"/>
    </row>
    <row r="7" spans="1:17" x14ac:dyDescent="0.25">
      <c r="A7" s="1269"/>
      <c r="B7" s="1272"/>
      <c r="C7" s="1272"/>
      <c r="D7" s="1272"/>
      <c r="E7" s="1269"/>
      <c r="F7" s="85">
        <v>2021</v>
      </c>
      <c r="G7" s="85">
        <v>2022</v>
      </c>
      <c r="H7" s="85">
        <v>2023</v>
      </c>
      <c r="I7" s="85">
        <v>2024</v>
      </c>
      <c r="J7" s="85">
        <v>2025</v>
      </c>
      <c r="K7" s="1273"/>
      <c r="L7" s="1273"/>
      <c r="M7" s="85">
        <v>2021</v>
      </c>
      <c r="N7" s="85">
        <v>2022</v>
      </c>
      <c r="O7" s="85">
        <v>2023</v>
      </c>
      <c r="P7" s="85">
        <v>2024</v>
      </c>
      <c r="Q7" s="85">
        <v>2025</v>
      </c>
    </row>
    <row r="8" spans="1:17" ht="24.75" customHeight="1" x14ac:dyDescent="0.25">
      <c r="A8" s="1923" t="s">
        <v>218</v>
      </c>
      <c r="B8" s="1924"/>
      <c r="C8" s="1924"/>
      <c r="D8" s="1924"/>
      <c r="E8" s="1924"/>
      <c r="F8" s="1924"/>
      <c r="G8" s="1924"/>
      <c r="H8" s="1924"/>
      <c r="I8" s="1924"/>
      <c r="J8" s="1924"/>
      <c r="K8" s="1924"/>
      <c r="L8" s="1924"/>
      <c r="M8" s="1924"/>
      <c r="N8" s="1924"/>
      <c r="O8" s="1924"/>
      <c r="P8" s="1924"/>
      <c r="Q8" s="1924"/>
    </row>
    <row r="9" spans="1:17" s="4" customFormat="1" x14ac:dyDescent="0.25">
      <c r="A9" s="1838">
        <v>25</v>
      </c>
      <c r="B9" s="1838" t="s">
        <v>0</v>
      </c>
      <c r="C9" s="1838"/>
      <c r="D9" s="1838"/>
      <c r="E9" s="1925" t="s">
        <v>1687</v>
      </c>
      <c r="F9" s="1927">
        <v>81988.7</v>
      </c>
      <c r="G9" s="1929">
        <v>232271.2</v>
      </c>
      <c r="H9" s="1927">
        <f>H11+H12</f>
        <v>439345.9</v>
      </c>
      <c r="I9" s="1927">
        <f t="shared" ref="I9:J9" si="0">I11+I12</f>
        <v>443998.10000000003</v>
      </c>
      <c r="J9" s="1927">
        <f t="shared" si="0"/>
        <v>456336.39999999997</v>
      </c>
      <c r="K9" s="1948" t="s">
        <v>177</v>
      </c>
      <c r="L9" s="1950" t="s">
        <v>191</v>
      </c>
      <c r="M9" s="1965">
        <v>16.8</v>
      </c>
      <c r="N9" s="1965">
        <v>4.0999999999999996</v>
      </c>
      <c r="O9" s="1965">
        <v>5</v>
      </c>
      <c r="P9" s="1965">
        <v>5</v>
      </c>
      <c r="Q9" s="1965">
        <v>5</v>
      </c>
    </row>
    <row r="10" spans="1:17" s="4" customFormat="1" x14ac:dyDescent="0.25">
      <c r="A10" s="1846"/>
      <c r="B10" s="1839"/>
      <c r="C10" s="1839"/>
      <c r="D10" s="1839"/>
      <c r="E10" s="1926"/>
      <c r="F10" s="1928"/>
      <c r="G10" s="1928"/>
      <c r="H10" s="1928"/>
      <c r="I10" s="1928"/>
      <c r="J10" s="1928"/>
      <c r="K10" s="1949"/>
      <c r="L10" s="1951"/>
      <c r="M10" s="1951"/>
      <c r="N10" s="1951"/>
      <c r="O10" s="1951"/>
      <c r="P10" s="1951"/>
      <c r="Q10" s="1951"/>
    </row>
    <row r="11" spans="1:17" s="4" customFormat="1" ht="30" x14ac:dyDescent="0.25">
      <c r="A11" s="1846"/>
      <c r="B11" s="1838"/>
      <c r="C11" s="81" t="s">
        <v>5</v>
      </c>
      <c r="D11" s="70"/>
      <c r="E11" s="178" t="s">
        <v>951</v>
      </c>
      <c r="F11" s="1006">
        <v>41807.599999999999</v>
      </c>
      <c r="G11" s="1007">
        <v>171263.9</v>
      </c>
      <c r="H11" s="1006">
        <v>372881.3</v>
      </c>
      <c r="I11" s="1006">
        <v>380908.80000000005</v>
      </c>
      <c r="J11" s="1008">
        <v>392949.8</v>
      </c>
      <c r="K11" s="1009"/>
      <c r="L11" s="432"/>
      <c r="M11" s="432"/>
      <c r="N11" s="432"/>
      <c r="O11" s="432"/>
      <c r="P11" s="432"/>
      <c r="Q11" s="432"/>
    </row>
    <row r="12" spans="1:17" s="4" customFormat="1" ht="30" x14ac:dyDescent="0.25">
      <c r="A12" s="1846"/>
      <c r="B12" s="1839"/>
      <c r="C12" s="81" t="s">
        <v>6</v>
      </c>
      <c r="D12" s="70"/>
      <c r="E12" s="178" t="s">
        <v>1688</v>
      </c>
      <c r="F12" s="1006">
        <v>40181.1</v>
      </c>
      <c r="G12" s="1007">
        <v>61007.3</v>
      </c>
      <c r="H12" s="1006">
        <v>66464.600000000006</v>
      </c>
      <c r="I12" s="1006">
        <v>63089.3</v>
      </c>
      <c r="J12" s="1008">
        <v>63386.6</v>
      </c>
      <c r="K12" s="1009"/>
      <c r="L12" s="432"/>
      <c r="M12" s="432"/>
      <c r="N12" s="432"/>
      <c r="O12" s="432"/>
      <c r="P12" s="432"/>
      <c r="Q12" s="432"/>
    </row>
    <row r="13" spans="1:17" s="4" customFormat="1" x14ac:dyDescent="0.25">
      <c r="A13" s="1846"/>
      <c r="B13" s="1838" t="s">
        <v>1893</v>
      </c>
      <c r="C13" s="1838"/>
      <c r="D13" s="1838"/>
      <c r="E13" s="1847" t="s">
        <v>198</v>
      </c>
      <c r="F13" s="1930">
        <v>120751.3</v>
      </c>
      <c r="G13" s="1930">
        <v>182411.4</v>
      </c>
      <c r="H13" s="1930">
        <f>H15+H17+H18+H19+H20+H22+H26+H28</f>
        <v>218578.4</v>
      </c>
      <c r="I13" s="1930">
        <f>I15+I17+I18+I19+I20+I22+I26+I28</f>
        <v>207536.40000000002</v>
      </c>
      <c r="J13" s="1930">
        <f t="shared" ref="J13" si="1">J15+J17+J18+J19+J20+J22+J26+J28</f>
        <v>212324.9</v>
      </c>
      <c r="K13" s="1952" t="s">
        <v>207</v>
      </c>
      <c r="L13" s="1954" t="s">
        <v>3</v>
      </c>
      <c r="M13" s="1954">
        <v>63</v>
      </c>
      <c r="N13" s="1954">
        <v>63</v>
      </c>
      <c r="O13" s="1954">
        <v>62</v>
      </c>
      <c r="P13" s="1954">
        <v>62</v>
      </c>
      <c r="Q13" s="1954">
        <v>62</v>
      </c>
    </row>
    <row r="14" spans="1:17" s="4" customFormat="1" x14ac:dyDescent="0.25">
      <c r="A14" s="1846"/>
      <c r="B14" s="1839"/>
      <c r="C14" s="1839"/>
      <c r="D14" s="1839"/>
      <c r="E14" s="1848"/>
      <c r="F14" s="1928"/>
      <c r="G14" s="1928"/>
      <c r="H14" s="1928"/>
      <c r="I14" s="1928"/>
      <c r="J14" s="1928"/>
      <c r="K14" s="1953"/>
      <c r="L14" s="1953"/>
      <c r="M14" s="1953"/>
      <c r="N14" s="1953"/>
      <c r="O14" s="1953"/>
      <c r="P14" s="1953"/>
      <c r="Q14" s="1953"/>
    </row>
    <row r="15" spans="1:17" s="4" customFormat="1" ht="15" customHeight="1" x14ac:dyDescent="0.25">
      <c r="A15" s="1846"/>
      <c r="B15" s="1838"/>
      <c r="C15" s="1840" t="s">
        <v>5</v>
      </c>
      <c r="D15" s="1840"/>
      <c r="E15" s="1920" t="s">
        <v>1689</v>
      </c>
      <c r="F15" s="1931">
        <v>9600</v>
      </c>
      <c r="G15" s="1932">
        <v>66502.399999999994</v>
      </c>
      <c r="H15" s="1934">
        <v>218578.4</v>
      </c>
      <c r="I15" s="1934">
        <f>91841.1+115695.3</f>
        <v>207536.40000000002</v>
      </c>
      <c r="J15" s="1934">
        <f>92756.4+119568.5</f>
        <v>212324.9</v>
      </c>
      <c r="K15" s="1010" t="s">
        <v>207</v>
      </c>
      <c r="L15" s="1011" t="s">
        <v>3</v>
      </c>
      <c r="M15" s="1011">
        <v>63</v>
      </c>
      <c r="N15" s="1011">
        <v>63</v>
      </c>
      <c r="O15" s="1011">
        <v>62</v>
      </c>
      <c r="P15" s="1011">
        <v>62</v>
      </c>
      <c r="Q15" s="1011">
        <v>62</v>
      </c>
    </row>
    <row r="16" spans="1:17" s="4" customFormat="1" ht="30" x14ac:dyDescent="0.25">
      <c r="A16" s="1846"/>
      <c r="B16" s="1846"/>
      <c r="C16" s="1841"/>
      <c r="D16" s="1841"/>
      <c r="E16" s="1922"/>
      <c r="F16" s="1928"/>
      <c r="G16" s="1933"/>
      <c r="H16" s="1933"/>
      <c r="I16" s="1933"/>
      <c r="J16" s="1933"/>
      <c r="K16" s="1012" t="s">
        <v>1416</v>
      </c>
      <c r="L16" s="1011" t="s">
        <v>3</v>
      </c>
      <c r="M16" s="1011"/>
      <c r="N16" s="1011"/>
      <c r="O16" s="1011">
        <v>104.9</v>
      </c>
      <c r="P16" s="1011">
        <v>104.4</v>
      </c>
      <c r="Q16" s="1011">
        <v>104.5</v>
      </c>
    </row>
    <row r="17" spans="1:17" s="4" customFormat="1" ht="45" x14ac:dyDescent="0.25">
      <c r="A17" s="1846"/>
      <c r="B17" s="1846"/>
      <c r="C17" s="81" t="s">
        <v>6</v>
      </c>
      <c r="D17" s="81"/>
      <c r="E17" s="1005" t="s">
        <v>1415</v>
      </c>
      <c r="F17" s="1013">
        <v>1180</v>
      </c>
      <c r="G17" s="1014">
        <v>9499.1999999999989</v>
      </c>
      <c r="H17" s="1013"/>
      <c r="I17" s="1006"/>
      <c r="J17" s="1006"/>
      <c r="K17" s="1010" t="s">
        <v>2070</v>
      </c>
      <c r="L17" s="1011" t="s">
        <v>1413</v>
      </c>
      <c r="M17" s="1015">
        <v>122</v>
      </c>
      <c r="N17" s="1015">
        <v>119</v>
      </c>
      <c r="O17" s="1015">
        <v>119</v>
      </c>
      <c r="P17" s="1015">
        <v>119</v>
      </c>
      <c r="Q17" s="1015">
        <v>119</v>
      </c>
    </row>
    <row r="18" spans="1:17" s="4" customFormat="1" ht="30" x14ac:dyDescent="0.25">
      <c r="A18" s="1846"/>
      <c r="B18" s="1846"/>
      <c r="C18" s="81" t="s">
        <v>4</v>
      </c>
      <c r="D18" s="81"/>
      <c r="E18" s="1005" t="s">
        <v>2071</v>
      </c>
      <c r="F18" s="1013">
        <v>500</v>
      </c>
      <c r="G18" s="1014">
        <v>2375.6999999999998</v>
      </c>
      <c r="H18" s="1013"/>
      <c r="I18" s="1006"/>
      <c r="J18" s="1006"/>
      <c r="K18" s="1016" t="s">
        <v>1695</v>
      </c>
      <c r="L18" s="1015" t="s">
        <v>1414</v>
      </c>
      <c r="M18" s="1017">
        <v>3000000</v>
      </c>
      <c r="N18" s="1017">
        <v>3000000</v>
      </c>
      <c r="O18" s="1017">
        <v>4000000</v>
      </c>
      <c r="P18" s="1017">
        <v>6500000</v>
      </c>
      <c r="Q18" s="1017">
        <v>6500000</v>
      </c>
    </row>
    <row r="19" spans="1:17" s="4" customFormat="1" ht="30" x14ac:dyDescent="0.25">
      <c r="A19" s="1846"/>
      <c r="B19" s="1846"/>
      <c r="C19" s="81" t="s">
        <v>7</v>
      </c>
      <c r="D19" s="81"/>
      <c r="E19" s="1005" t="s">
        <v>1690</v>
      </c>
      <c r="F19" s="1018">
        <v>380</v>
      </c>
      <c r="G19" s="1014">
        <v>2320.4</v>
      </c>
      <c r="H19" s="1018"/>
      <c r="I19" s="1006"/>
      <c r="J19" s="1006"/>
      <c r="K19" s="1010" t="s">
        <v>1696</v>
      </c>
      <c r="L19" s="1019" t="s">
        <v>20</v>
      </c>
      <c r="M19" s="1020">
        <v>600</v>
      </c>
      <c r="N19" s="1020">
        <v>600</v>
      </c>
      <c r="O19" s="1020">
        <v>600</v>
      </c>
      <c r="P19" s="1020">
        <v>1000</v>
      </c>
      <c r="Q19" s="1020">
        <v>1000</v>
      </c>
    </row>
    <row r="20" spans="1:17" s="4" customFormat="1" ht="30" x14ac:dyDescent="0.25">
      <c r="A20" s="1846"/>
      <c r="B20" s="1846"/>
      <c r="C20" s="1840" t="s">
        <v>8</v>
      </c>
      <c r="D20" s="1840"/>
      <c r="E20" s="1920" t="s">
        <v>1417</v>
      </c>
      <c r="F20" s="1935">
        <v>1350</v>
      </c>
      <c r="G20" s="1937">
        <v>8095.7999999999993</v>
      </c>
      <c r="H20" s="1935"/>
      <c r="I20" s="1935"/>
      <c r="J20" s="1935"/>
      <c r="K20" s="1010" t="s">
        <v>1418</v>
      </c>
      <c r="L20" s="1019" t="s">
        <v>20</v>
      </c>
      <c r="M20" s="1020">
        <v>18089.849999999999</v>
      </c>
      <c r="N20" s="1020">
        <v>16528.560000000001</v>
      </c>
      <c r="O20" s="1020">
        <v>14172.05</v>
      </c>
      <c r="P20" s="1020">
        <v>10026.41</v>
      </c>
      <c r="Q20" s="1020">
        <v>10026.41</v>
      </c>
    </row>
    <row r="21" spans="1:17" s="4" customFormat="1" ht="30" x14ac:dyDescent="0.25">
      <c r="A21" s="1846"/>
      <c r="B21" s="1846"/>
      <c r="C21" s="1841"/>
      <c r="D21" s="1841"/>
      <c r="E21" s="1922"/>
      <c r="F21" s="1936"/>
      <c r="G21" s="1936"/>
      <c r="H21" s="1936"/>
      <c r="I21" s="1936"/>
      <c r="J21" s="1936"/>
      <c r="K21" s="1016" t="s">
        <v>1419</v>
      </c>
      <c r="L21" s="1019" t="s">
        <v>20</v>
      </c>
      <c r="M21" s="1020">
        <v>25826.09</v>
      </c>
      <c r="N21" s="1020">
        <v>33648.089999999997</v>
      </c>
      <c r="O21" s="1020">
        <v>43163.78</v>
      </c>
      <c r="P21" s="1020">
        <v>26920.97</v>
      </c>
      <c r="Q21" s="1020">
        <v>26920.97</v>
      </c>
    </row>
    <row r="22" spans="1:17" s="4" customFormat="1" ht="30" x14ac:dyDescent="0.25">
      <c r="A22" s="1846"/>
      <c r="B22" s="1846"/>
      <c r="C22" s="1840" t="s">
        <v>9</v>
      </c>
      <c r="D22" s="1840"/>
      <c r="E22" s="1920" t="s">
        <v>1691</v>
      </c>
      <c r="F22" s="1938">
        <v>860</v>
      </c>
      <c r="G22" s="1940">
        <v>5017.6000000000004</v>
      </c>
      <c r="H22" s="1938"/>
      <c r="I22" s="1938"/>
      <c r="J22" s="1938"/>
      <c r="K22" s="1021" t="s">
        <v>1697</v>
      </c>
      <c r="L22" s="1015" t="s">
        <v>192</v>
      </c>
      <c r="M22" s="1015">
        <v>0</v>
      </c>
      <c r="N22" s="1015">
        <v>0</v>
      </c>
      <c r="O22" s="1015">
        <v>0</v>
      </c>
      <c r="P22" s="1015">
        <v>0</v>
      </c>
      <c r="Q22" s="1015">
        <v>0</v>
      </c>
    </row>
    <row r="23" spans="1:17" s="4" customFormat="1" ht="45" x14ac:dyDescent="0.25">
      <c r="A23" s="1846"/>
      <c r="B23" s="1846"/>
      <c r="C23" s="1845"/>
      <c r="D23" s="1845"/>
      <c r="E23" s="1921"/>
      <c r="F23" s="1939"/>
      <c r="G23" s="1939"/>
      <c r="H23" s="1939"/>
      <c r="I23" s="1939"/>
      <c r="J23" s="1939"/>
      <c r="K23" s="1010" t="s">
        <v>1698</v>
      </c>
      <c r="L23" s="1015" t="s">
        <v>3</v>
      </c>
      <c r="M23" s="1015" t="s">
        <v>193</v>
      </c>
      <c r="N23" s="1015" t="s">
        <v>193</v>
      </c>
      <c r="O23" s="1015" t="s">
        <v>193</v>
      </c>
      <c r="P23" s="1015" t="s">
        <v>193</v>
      </c>
      <c r="Q23" s="1015" t="s">
        <v>193</v>
      </c>
    </row>
    <row r="24" spans="1:17" s="4" customFormat="1" ht="30" x14ac:dyDescent="0.25">
      <c r="A24" s="1846"/>
      <c r="B24" s="1846"/>
      <c r="C24" s="1845"/>
      <c r="D24" s="1845"/>
      <c r="E24" s="1921"/>
      <c r="F24" s="1939"/>
      <c r="G24" s="1939"/>
      <c r="H24" s="1939"/>
      <c r="I24" s="1939"/>
      <c r="J24" s="1939"/>
      <c r="K24" s="1010" t="s">
        <v>1699</v>
      </c>
      <c r="L24" s="1015" t="s">
        <v>3</v>
      </c>
      <c r="M24" s="1015">
        <v>100</v>
      </c>
      <c r="N24" s="1015">
        <v>100</v>
      </c>
      <c r="O24" s="1015">
        <v>100</v>
      </c>
      <c r="P24" s="1015">
        <v>100</v>
      </c>
      <c r="Q24" s="1015">
        <v>100</v>
      </c>
    </row>
    <row r="25" spans="1:17" s="4" customFormat="1" ht="30" x14ac:dyDescent="0.25">
      <c r="A25" s="1846"/>
      <c r="B25" s="1846"/>
      <c r="C25" s="1841"/>
      <c r="D25" s="1841"/>
      <c r="E25" s="1922"/>
      <c r="F25" s="1936"/>
      <c r="G25" s="1936"/>
      <c r="H25" s="1936"/>
      <c r="I25" s="1939"/>
      <c r="J25" s="1939"/>
      <c r="K25" s="1010" t="s">
        <v>1420</v>
      </c>
      <c r="L25" s="1015" t="s">
        <v>192</v>
      </c>
      <c r="M25" s="1015">
        <v>0</v>
      </c>
      <c r="N25" s="1015">
        <v>0</v>
      </c>
      <c r="O25" s="1015">
        <v>0</v>
      </c>
      <c r="P25" s="1015">
        <v>0</v>
      </c>
      <c r="Q25" s="1015">
        <v>0</v>
      </c>
    </row>
    <row r="26" spans="1:17" s="4" customFormat="1" ht="45" x14ac:dyDescent="0.25">
      <c r="A26" s="1846"/>
      <c r="B26" s="1846"/>
      <c r="C26" s="1840" t="s">
        <v>10</v>
      </c>
      <c r="D26" s="1838"/>
      <c r="E26" s="1920" t="s">
        <v>1422</v>
      </c>
      <c r="F26" s="1941">
        <v>980</v>
      </c>
      <c r="G26" s="1941">
        <v>6856.4000000000005</v>
      </c>
      <c r="H26" s="1941"/>
      <c r="I26" s="1941"/>
      <c r="J26" s="1941"/>
      <c r="K26" s="1022" t="s">
        <v>1421</v>
      </c>
      <c r="L26" s="1015" t="s">
        <v>3</v>
      </c>
      <c r="M26" s="1015">
        <v>22.5</v>
      </c>
      <c r="N26" s="1015">
        <v>22.5</v>
      </c>
      <c r="O26" s="1015">
        <v>22.5</v>
      </c>
      <c r="P26" s="1015">
        <v>22.5</v>
      </c>
      <c r="Q26" s="1015">
        <v>22.5</v>
      </c>
    </row>
    <row r="27" spans="1:17" s="4" customFormat="1" ht="45" x14ac:dyDescent="0.25">
      <c r="A27" s="1846"/>
      <c r="B27" s="1846"/>
      <c r="C27" s="1841"/>
      <c r="D27" s="1839"/>
      <c r="E27" s="1922"/>
      <c r="F27" s="1942"/>
      <c r="G27" s="1942"/>
      <c r="H27" s="1942"/>
      <c r="I27" s="1942"/>
      <c r="J27" s="1942"/>
      <c r="K27" s="1022" t="s">
        <v>1423</v>
      </c>
      <c r="L27" s="1015" t="s">
        <v>3</v>
      </c>
      <c r="M27" s="1015">
        <v>0.5</v>
      </c>
      <c r="N27" s="1015">
        <v>0.5</v>
      </c>
      <c r="O27" s="1015">
        <v>0.5</v>
      </c>
      <c r="P27" s="1015">
        <v>0.5</v>
      </c>
      <c r="Q27" s="1015">
        <v>0.5</v>
      </c>
    </row>
    <row r="28" spans="1:17" s="4" customFormat="1" ht="60" x14ac:dyDescent="0.25">
      <c r="A28" s="1846"/>
      <c r="B28" s="1839"/>
      <c r="C28" s="81" t="s">
        <v>11</v>
      </c>
      <c r="D28" s="70"/>
      <c r="E28" s="1005" t="s">
        <v>199</v>
      </c>
      <c r="F28" s="1013">
        <v>111151.3</v>
      </c>
      <c r="G28" s="1014">
        <v>115909</v>
      </c>
      <c r="H28" s="1023"/>
      <c r="I28" s="47"/>
      <c r="J28" s="47"/>
      <c r="K28" s="1022" t="s">
        <v>1700</v>
      </c>
      <c r="L28" s="1015" t="s">
        <v>208</v>
      </c>
      <c r="M28" s="1015">
        <v>71</v>
      </c>
      <c r="N28" s="1015">
        <v>71</v>
      </c>
      <c r="O28" s="1015">
        <v>75</v>
      </c>
      <c r="P28" s="1015">
        <v>75</v>
      </c>
      <c r="Q28" s="1015">
        <v>75</v>
      </c>
    </row>
    <row r="29" spans="1:17" s="4" customFormat="1" ht="38.25" customHeight="1" x14ac:dyDescent="0.25">
      <c r="A29" s="1846"/>
      <c r="B29" s="1838" t="s">
        <v>1894</v>
      </c>
      <c r="C29" s="1840"/>
      <c r="D29" s="1838"/>
      <c r="E29" s="1847" t="s">
        <v>1692</v>
      </c>
      <c r="F29" s="1930">
        <v>9400</v>
      </c>
      <c r="G29" s="1929">
        <v>137566.79999999999</v>
      </c>
      <c r="H29" s="1930">
        <f>H31+H32</f>
        <v>154201.69999999998</v>
      </c>
      <c r="I29" s="1930">
        <f t="shared" ref="I29:J29" si="2">I31+I32</f>
        <v>133153.09999999998</v>
      </c>
      <c r="J29" s="1930">
        <f t="shared" si="2"/>
        <v>158382.39999999999</v>
      </c>
      <c r="K29" s="1955" t="s">
        <v>1701</v>
      </c>
      <c r="L29" s="1956" t="s">
        <v>3</v>
      </c>
      <c r="M29" s="1956"/>
      <c r="N29" s="1956"/>
      <c r="O29" s="1956">
        <v>100</v>
      </c>
      <c r="P29" s="1956">
        <v>100</v>
      </c>
      <c r="Q29" s="1956">
        <v>100</v>
      </c>
    </row>
    <row r="30" spans="1:17" s="4" customFormat="1" x14ac:dyDescent="0.25">
      <c r="A30" s="1846"/>
      <c r="B30" s="1839"/>
      <c r="C30" s="1841"/>
      <c r="D30" s="1839"/>
      <c r="E30" s="1848"/>
      <c r="F30" s="1928"/>
      <c r="G30" s="1928"/>
      <c r="H30" s="1928"/>
      <c r="I30" s="1928"/>
      <c r="J30" s="1928"/>
      <c r="K30" s="1953"/>
      <c r="L30" s="1953"/>
      <c r="M30" s="1953"/>
      <c r="N30" s="1953"/>
      <c r="O30" s="1953"/>
      <c r="P30" s="1953"/>
      <c r="Q30" s="1953"/>
    </row>
    <row r="31" spans="1:17" s="4" customFormat="1" ht="30" x14ac:dyDescent="0.25">
      <c r="A31" s="1846"/>
      <c r="B31" s="70"/>
      <c r="C31" s="81" t="s">
        <v>5</v>
      </c>
      <c r="D31" s="70"/>
      <c r="E31" s="1005" t="s">
        <v>1693</v>
      </c>
      <c r="F31" s="1018">
        <v>4700</v>
      </c>
      <c r="G31" s="1014">
        <v>22836.399999999998</v>
      </c>
      <c r="H31" s="1018">
        <v>38441.299999999996</v>
      </c>
      <c r="I31" s="1018">
        <v>37731.199999999997</v>
      </c>
      <c r="J31" s="1018">
        <v>38110</v>
      </c>
      <c r="K31" s="1955" t="s">
        <v>1424</v>
      </c>
      <c r="L31" s="1956" t="s">
        <v>3</v>
      </c>
      <c r="M31" s="1956"/>
      <c r="N31" s="1956"/>
      <c r="O31" s="1956">
        <v>100</v>
      </c>
      <c r="P31" s="1956">
        <v>100</v>
      </c>
      <c r="Q31" s="1956">
        <v>100</v>
      </c>
    </row>
    <row r="32" spans="1:17" s="4" customFormat="1" ht="30" x14ac:dyDescent="0.25">
      <c r="A32" s="1846"/>
      <c r="B32" s="70"/>
      <c r="C32" s="81" t="s">
        <v>6</v>
      </c>
      <c r="D32" s="70"/>
      <c r="E32" s="1005" t="s">
        <v>1694</v>
      </c>
      <c r="F32" s="1018">
        <v>4700</v>
      </c>
      <c r="G32" s="1014">
        <v>114730.4</v>
      </c>
      <c r="H32" s="1018">
        <v>115760.4</v>
      </c>
      <c r="I32" s="1018">
        <f>121442.9-26021</f>
        <v>95421.9</v>
      </c>
      <c r="J32" s="1018">
        <v>120272.4</v>
      </c>
      <c r="K32" s="1953"/>
      <c r="L32" s="1953"/>
      <c r="M32" s="1953"/>
      <c r="N32" s="1953"/>
      <c r="O32" s="1953"/>
      <c r="P32" s="1953"/>
      <c r="Q32" s="1953"/>
    </row>
    <row r="33" spans="1:17" s="4" customFormat="1" x14ac:dyDescent="0.25">
      <c r="A33" s="1846"/>
      <c r="B33" s="1838" t="s">
        <v>1895</v>
      </c>
      <c r="C33" s="1840"/>
      <c r="D33" s="1838"/>
      <c r="E33" s="1847" t="s">
        <v>1702</v>
      </c>
      <c r="F33" s="1930">
        <f>F35+F36+F41+F42+F43</f>
        <v>134172.90000000002</v>
      </c>
      <c r="G33" s="1930">
        <f t="shared" ref="G33" si="3">G35+G36+G41+G42+G43</f>
        <v>174791.2</v>
      </c>
      <c r="H33" s="1930">
        <f>H35+H36+H41+H42+H43</f>
        <v>277662.3</v>
      </c>
      <c r="I33" s="1930">
        <f t="shared" ref="I33:J33" si="4">I35+I36+I41+I42+I43</f>
        <v>304506.8</v>
      </c>
      <c r="J33" s="1930">
        <f t="shared" si="4"/>
        <v>281431.3</v>
      </c>
      <c r="K33" s="1957"/>
      <c r="L33" s="1959"/>
      <c r="M33" s="1959"/>
      <c r="N33" s="1959"/>
      <c r="O33" s="1959"/>
      <c r="P33" s="1959"/>
      <c r="Q33" s="1959"/>
    </row>
    <row r="34" spans="1:17" s="4" customFormat="1" x14ac:dyDescent="0.25">
      <c r="A34" s="1846"/>
      <c r="B34" s="1839"/>
      <c r="C34" s="1841"/>
      <c r="D34" s="1839"/>
      <c r="E34" s="1848"/>
      <c r="F34" s="1928"/>
      <c r="G34" s="1928"/>
      <c r="H34" s="1928"/>
      <c r="I34" s="1928"/>
      <c r="J34" s="1928"/>
      <c r="K34" s="1958"/>
      <c r="L34" s="1960"/>
      <c r="M34" s="1960"/>
      <c r="N34" s="1960"/>
      <c r="O34" s="1960"/>
      <c r="P34" s="1960"/>
      <c r="Q34" s="1960"/>
    </row>
    <row r="35" spans="1:17" s="4" customFormat="1" ht="60" x14ac:dyDescent="0.25">
      <c r="A35" s="1846"/>
      <c r="B35" s="1838"/>
      <c r="C35" s="81" t="s">
        <v>5</v>
      </c>
      <c r="D35" s="70"/>
      <c r="E35" s="1005" t="s">
        <v>200</v>
      </c>
      <c r="F35" s="1024">
        <v>19598.099999999999</v>
      </c>
      <c r="G35" s="1025">
        <v>20108.099999999999</v>
      </c>
      <c r="H35" s="1024">
        <v>22553</v>
      </c>
      <c r="I35" s="1024">
        <v>23139.4</v>
      </c>
      <c r="J35" s="1024">
        <v>23725.1</v>
      </c>
      <c r="K35" s="1026" t="s">
        <v>1425</v>
      </c>
      <c r="L35" s="1015" t="s">
        <v>515</v>
      </c>
      <c r="M35" s="1015">
        <v>4698</v>
      </c>
      <c r="N35" s="1015">
        <v>4930</v>
      </c>
      <c r="O35" s="1015">
        <v>5200</v>
      </c>
      <c r="P35" s="1015">
        <v>5460</v>
      </c>
      <c r="Q35" s="1015">
        <v>5730</v>
      </c>
    </row>
    <row r="36" spans="1:17" s="4" customFormat="1" ht="45" x14ac:dyDescent="0.25">
      <c r="A36" s="1846"/>
      <c r="B36" s="1846"/>
      <c r="C36" s="1840" t="s">
        <v>6</v>
      </c>
      <c r="D36" s="1838"/>
      <c r="E36" s="1920" t="s">
        <v>201</v>
      </c>
      <c r="F36" s="1943">
        <v>16946.2</v>
      </c>
      <c r="G36" s="1946">
        <v>16946.2</v>
      </c>
      <c r="H36" s="1943">
        <v>20840</v>
      </c>
      <c r="I36" s="1943">
        <f>18032.7+1680</f>
        <v>19712.7</v>
      </c>
      <c r="J36" s="1943">
        <v>19061.2</v>
      </c>
      <c r="K36" s="1010" t="s">
        <v>209</v>
      </c>
      <c r="L36" s="1015" t="s">
        <v>210</v>
      </c>
      <c r="M36" s="1015">
        <v>5</v>
      </c>
      <c r="N36" s="1015">
        <v>5</v>
      </c>
      <c r="O36" s="1015">
        <v>5</v>
      </c>
      <c r="P36" s="1015">
        <v>5</v>
      </c>
      <c r="Q36" s="1015">
        <v>5</v>
      </c>
    </row>
    <row r="37" spans="1:17" s="4" customFormat="1" x14ac:dyDescent="0.25">
      <c r="A37" s="1846"/>
      <c r="B37" s="1846"/>
      <c r="C37" s="1845"/>
      <c r="D37" s="1846"/>
      <c r="E37" s="1921"/>
      <c r="F37" s="1944"/>
      <c r="G37" s="1944"/>
      <c r="H37" s="1944"/>
      <c r="I37" s="1944"/>
      <c r="J37" s="1944"/>
      <c r="K37" s="95" t="s">
        <v>1703</v>
      </c>
      <c r="L37" s="1027" t="s">
        <v>210</v>
      </c>
      <c r="M37" s="1027" t="s">
        <v>194</v>
      </c>
      <c r="N37" s="1027" t="s">
        <v>194</v>
      </c>
      <c r="O37" s="1027" t="s">
        <v>194</v>
      </c>
      <c r="P37" s="1027" t="s">
        <v>194</v>
      </c>
      <c r="Q37" s="1027" t="s">
        <v>194</v>
      </c>
    </row>
    <row r="38" spans="1:17" s="4" customFormat="1" ht="57" customHeight="1" x14ac:dyDescent="0.25">
      <c r="A38" s="1846"/>
      <c r="B38" s="1846"/>
      <c r="C38" s="1845"/>
      <c r="D38" s="1846"/>
      <c r="E38" s="1921"/>
      <c r="F38" s="1944"/>
      <c r="G38" s="1944"/>
      <c r="H38" s="1944"/>
      <c r="I38" s="1944"/>
      <c r="J38" s="1944"/>
      <c r="K38" s="1010" t="s">
        <v>211</v>
      </c>
      <c r="L38" s="1015" t="s">
        <v>212</v>
      </c>
      <c r="M38" s="1015">
        <v>100</v>
      </c>
      <c r="N38" s="1015">
        <v>100</v>
      </c>
      <c r="O38" s="1015">
        <v>100</v>
      </c>
      <c r="P38" s="1015">
        <v>100</v>
      </c>
      <c r="Q38" s="1015">
        <v>100</v>
      </c>
    </row>
    <row r="39" spans="1:17" s="4" customFormat="1" ht="60" x14ac:dyDescent="0.25">
      <c r="A39" s="1846"/>
      <c r="B39" s="1846"/>
      <c r="C39" s="1845"/>
      <c r="D39" s="1846"/>
      <c r="E39" s="1921"/>
      <c r="F39" s="1944"/>
      <c r="G39" s="1944"/>
      <c r="H39" s="1944"/>
      <c r="I39" s="1944"/>
      <c r="J39" s="1944"/>
      <c r="K39" s="1010" t="s">
        <v>552</v>
      </c>
      <c r="L39" s="1015" t="s">
        <v>554</v>
      </c>
      <c r="M39" s="1015" t="s">
        <v>195</v>
      </c>
      <c r="N39" s="1015" t="s">
        <v>195</v>
      </c>
      <c r="O39" s="1015" t="s">
        <v>195</v>
      </c>
      <c r="P39" s="1015" t="s">
        <v>195</v>
      </c>
      <c r="Q39" s="1015" t="s">
        <v>195</v>
      </c>
    </row>
    <row r="40" spans="1:17" s="4" customFormat="1" ht="30" x14ac:dyDescent="0.25">
      <c r="A40" s="1846"/>
      <c r="B40" s="1846"/>
      <c r="C40" s="1841"/>
      <c r="D40" s="1839"/>
      <c r="E40" s="1922"/>
      <c r="F40" s="1945"/>
      <c r="G40" s="1945"/>
      <c r="H40" s="1945"/>
      <c r="I40" s="1945"/>
      <c r="J40" s="1945"/>
      <c r="K40" s="1028" t="s">
        <v>553</v>
      </c>
      <c r="L40" s="1015" t="s">
        <v>3</v>
      </c>
      <c r="M40" s="1015">
        <v>100</v>
      </c>
      <c r="N40" s="1015">
        <v>100</v>
      </c>
      <c r="O40" s="1015">
        <v>100</v>
      </c>
      <c r="P40" s="1015">
        <v>100</v>
      </c>
      <c r="Q40" s="1015">
        <v>100</v>
      </c>
    </row>
    <row r="41" spans="1:17" s="4" customFormat="1" ht="60" x14ac:dyDescent="0.25">
      <c r="A41" s="1846"/>
      <c r="B41" s="1846"/>
      <c r="C41" s="81" t="s">
        <v>4</v>
      </c>
      <c r="D41" s="70"/>
      <c r="E41" s="1005" t="s">
        <v>1704</v>
      </c>
      <c r="F41" s="1029">
        <v>10203</v>
      </c>
      <c r="G41" s="1030">
        <v>22763</v>
      </c>
      <c r="H41" s="1029">
        <v>31195.5</v>
      </c>
      <c r="I41" s="1029">
        <v>31482.7</v>
      </c>
      <c r="J41" s="1029">
        <v>31766.9</v>
      </c>
      <c r="K41" s="1031" t="s">
        <v>1705</v>
      </c>
      <c r="L41" s="1015" t="s">
        <v>3</v>
      </c>
      <c r="M41" s="1015">
        <v>100</v>
      </c>
      <c r="N41" s="1015">
        <v>100</v>
      </c>
      <c r="O41" s="1015">
        <v>100</v>
      </c>
      <c r="P41" s="1015">
        <v>100</v>
      </c>
      <c r="Q41" s="1015">
        <v>100</v>
      </c>
    </row>
    <row r="42" spans="1:17" s="4" customFormat="1" ht="60" x14ac:dyDescent="0.25">
      <c r="A42" s="1846"/>
      <c r="B42" s="1846"/>
      <c r="C42" s="81" t="s">
        <v>7</v>
      </c>
      <c r="D42" s="70"/>
      <c r="E42" s="1005" t="s">
        <v>1706</v>
      </c>
      <c r="F42" s="1029">
        <v>87425.600000000006</v>
      </c>
      <c r="G42" s="1030">
        <v>110595.70000000001</v>
      </c>
      <c r="H42" s="1029">
        <v>144074.1</v>
      </c>
      <c r="I42" s="1029">
        <f>120220.2+50362</f>
        <v>170582.2</v>
      </c>
      <c r="J42" s="1029">
        <v>146697.29999999999</v>
      </c>
      <c r="K42" s="1032" t="s">
        <v>1426</v>
      </c>
      <c r="L42" s="1033" t="s">
        <v>20</v>
      </c>
      <c r="M42" s="1034">
        <v>11284.5</v>
      </c>
      <c r="N42" s="1034">
        <v>5149.6000000000004</v>
      </c>
      <c r="O42" s="1034">
        <v>11237.9</v>
      </c>
      <c r="P42" s="1034">
        <v>26250</v>
      </c>
      <c r="Q42" s="1034">
        <v>29260</v>
      </c>
    </row>
    <row r="43" spans="1:17" s="4" customFormat="1" ht="30" x14ac:dyDescent="0.25">
      <c r="A43" s="1846"/>
      <c r="B43" s="1846"/>
      <c r="C43" s="1840" t="s">
        <v>8</v>
      </c>
      <c r="D43" s="1838"/>
      <c r="E43" s="1920" t="s">
        <v>202</v>
      </c>
      <c r="F43" s="1941"/>
      <c r="G43" s="1961">
        <v>4378.2</v>
      </c>
      <c r="H43" s="1941">
        <v>58999.7</v>
      </c>
      <c r="I43" s="1943">
        <v>59589.8</v>
      </c>
      <c r="J43" s="1964">
        <v>60180.799999999996</v>
      </c>
      <c r="K43" s="1035" t="s">
        <v>1427</v>
      </c>
      <c r="L43" s="1036"/>
      <c r="M43" s="1037"/>
      <c r="N43" s="1038">
        <v>166</v>
      </c>
      <c r="O43" s="1038">
        <v>450</v>
      </c>
      <c r="P43" s="1038">
        <v>500</v>
      </c>
      <c r="Q43" s="1038">
        <v>500</v>
      </c>
    </row>
    <row r="44" spans="1:17" s="4" customFormat="1" ht="45" x14ac:dyDescent="0.25">
      <c r="A44" s="1846"/>
      <c r="B44" s="1839"/>
      <c r="C44" s="1841"/>
      <c r="D44" s="1839"/>
      <c r="E44" s="1922"/>
      <c r="F44" s="1942"/>
      <c r="G44" s="1962"/>
      <c r="H44" s="1942"/>
      <c r="I44" s="1963"/>
      <c r="J44" s="1964"/>
      <c r="K44" s="1039" t="s">
        <v>1428</v>
      </c>
      <c r="L44" s="1036" t="s">
        <v>3</v>
      </c>
      <c r="M44" s="1037"/>
      <c r="N44" s="1038">
        <v>25</v>
      </c>
      <c r="O44" s="1038">
        <v>90</v>
      </c>
      <c r="P44" s="1038">
        <v>100</v>
      </c>
      <c r="Q44" s="1038">
        <v>100</v>
      </c>
    </row>
    <row r="45" spans="1:17" s="4" customFormat="1" ht="60" x14ac:dyDescent="0.25">
      <c r="A45" s="1846"/>
      <c r="B45" s="1838" t="s">
        <v>1896</v>
      </c>
      <c r="C45" s="1840"/>
      <c r="D45" s="1838"/>
      <c r="E45" s="1847" t="s">
        <v>1707</v>
      </c>
      <c r="F45" s="1930">
        <v>2161028.2000000002</v>
      </c>
      <c r="G45" s="1929">
        <v>2577199.3000000003</v>
      </c>
      <c r="H45" s="1930">
        <f>H48+H49+H50+H51+H52</f>
        <v>2919068.2</v>
      </c>
      <c r="I45" s="1930">
        <f t="shared" ref="I45:J45" si="5">I48+I49+I50+I51+I52</f>
        <v>2948919.3</v>
      </c>
      <c r="J45" s="1930">
        <f t="shared" si="5"/>
        <v>2978382.1</v>
      </c>
      <c r="K45" s="1040" t="s">
        <v>213</v>
      </c>
      <c r="L45" s="16" t="s">
        <v>3</v>
      </c>
      <c r="M45" s="16">
        <v>100</v>
      </c>
      <c r="N45" s="16">
        <v>96.9</v>
      </c>
      <c r="O45" s="16">
        <v>100</v>
      </c>
      <c r="P45" s="16">
        <v>100</v>
      </c>
      <c r="Q45" s="16">
        <v>100</v>
      </c>
    </row>
    <row r="46" spans="1:17" s="4" customFormat="1" ht="75" x14ac:dyDescent="0.25">
      <c r="A46" s="1846"/>
      <c r="B46" s="1839"/>
      <c r="C46" s="1841"/>
      <c r="D46" s="1839"/>
      <c r="E46" s="1848"/>
      <c r="F46" s="1928"/>
      <c r="G46" s="1928"/>
      <c r="H46" s="1928"/>
      <c r="I46" s="1928"/>
      <c r="J46" s="1928"/>
      <c r="K46" s="1010" t="s">
        <v>214</v>
      </c>
      <c r="L46" s="16" t="s">
        <v>3</v>
      </c>
      <c r="M46" s="16">
        <v>96</v>
      </c>
      <c r="N46" s="16">
        <v>100</v>
      </c>
      <c r="O46" s="16">
        <v>100</v>
      </c>
      <c r="P46" s="16">
        <v>100</v>
      </c>
      <c r="Q46" s="16">
        <v>100</v>
      </c>
    </row>
    <row r="47" spans="1:17" s="4" customFormat="1" hidden="1" x14ac:dyDescent="0.25">
      <c r="A47" s="1846"/>
      <c r="B47" s="70"/>
      <c r="C47" s="81"/>
      <c r="D47" s="70"/>
      <c r="E47" s="67"/>
      <c r="F47" s="68">
        <v>1465419.9</v>
      </c>
      <c r="G47" s="69">
        <v>1581261.0000000002</v>
      </c>
      <c r="H47" s="68">
        <v>1611304.9999999998</v>
      </c>
      <c r="I47" s="68">
        <v>1627784.7999999998</v>
      </c>
      <c r="J47" s="68">
        <v>1644050.3</v>
      </c>
      <c r="K47" s="34"/>
      <c r="L47" s="34"/>
      <c r="M47" s="35"/>
      <c r="N47" s="35"/>
      <c r="O47" s="35"/>
      <c r="P47" s="36"/>
      <c r="Q47" s="36"/>
    </row>
    <row r="48" spans="1:17" s="4" customFormat="1" ht="60" x14ac:dyDescent="0.25">
      <c r="A48" s="1846"/>
      <c r="B48" s="70"/>
      <c r="C48" s="81" t="s">
        <v>5</v>
      </c>
      <c r="D48" s="70"/>
      <c r="E48" s="1005" t="s">
        <v>1708</v>
      </c>
      <c r="F48" s="1013">
        <v>202705.2</v>
      </c>
      <c r="G48" s="1007">
        <v>244016</v>
      </c>
      <c r="H48" s="1013">
        <v>282060.89999999997</v>
      </c>
      <c r="I48" s="1013">
        <v>282060.90000000002</v>
      </c>
      <c r="J48" s="1013">
        <v>282060.79999999999</v>
      </c>
      <c r="K48" s="1040" t="s">
        <v>213</v>
      </c>
      <c r="L48" s="1015" t="s">
        <v>3</v>
      </c>
      <c r="M48" s="16">
        <v>100</v>
      </c>
      <c r="N48" s="16">
        <v>96.9</v>
      </c>
      <c r="O48" s="16">
        <v>100</v>
      </c>
      <c r="P48" s="16">
        <v>100</v>
      </c>
      <c r="Q48" s="16">
        <v>100</v>
      </c>
    </row>
    <row r="49" spans="1:17" s="4" customFormat="1" ht="60" x14ac:dyDescent="0.25">
      <c r="A49" s="1846"/>
      <c r="B49" s="1041"/>
      <c r="C49" s="81" t="s">
        <v>6</v>
      </c>
      <c r="D49" s="70"/>
      <c r="E49" s="1005" t="s">
        <v>206</v>
      </c>
      <c r="F49" s="1013">
        <v>1262714.7</v>
      </c>
      <c r="G49" s="1007">
        <v>1337245.0000000002</v>
      </c>
      <c r="H49" s="1013">
        <v>1329244.0999999999</v>
      </c>
      <c r="I49" s="1013">
        <v>1345723.9</v>
      </c>
      <c r="J49" s="1013">
        <v>1361989.5</v>
      </c>
      <c r="K49" s="1040" t="s">
        <v>1710</v>
      </c>
      <c r="L49" s="1015" t="s">
        <v>196</v>
      </c>
      <c r="M49" s="1042">
        <v>1.6E-2</v>
      </c>
      <c r="N49" s="1042">
        <v>1.4999999999999999E-2</v>
      </c>
      <c r="O49" s="1042">
        <v>2.4E-2</v>
      </c>
      <c r="P49" s="1042">
        <v>2.5000000000000001E-2</v>
      </c>
      <c r="Q49" s="1042">
        <v>0.03</v>
      </c>
    </row>
    <row r="50" spans="1:17" s="4" customFormat="1" ht="75" x14ac:dyDescent="0.25">
      <c r="A50" s="1846"/>
      <c r="B50" s="1041"/>
      <c r="C50" s="81" t="s">
        <v>4</v>
      </c>
      <c r="D50" s="70"/>
      <c r="E50" s="1005" t="s">
        <v>1709</v>
      </c>
      <c r="F50" s="1013">
        <v>170227.4</v>
      </c>
      <c r="G50" s="1007">
        <v>186547.4</v>
      </c>
      <c r="H50" s="1013">
        <v>226408.1</v>
      </c>
      <c r="I50" s="1013">
        <v>228715.80000000002</v>
      </c>
      <c r="J50" s="1013">
        <v>230993.40000000002</v>
      </c>
      <c r="K50" s="1010" t="s">
        <v>214</v>
      </c>
      <c r="L50" s="1015" t="s">
        <v>3</v>
      </c>
      <c r="M50" s="16">
        <v>96.9</v>
      </c>
      <c r="N50" s="16">
        <v>100</v>
      </c>
      <c r="O50" s="16">
        <v>100</v>
      </c>
      <c r="P50" s="16">
        <v>100</v>
      </c>
      <c r="Q50" s="16">
        <v>100</v>
      </c>
    </row>
    <row r="51" spans="1:17" s="4" customFormat="1" ht="90" x14ac:dyDescent="0.25">
      <c r="A51" s="1846"/>
      <c r="B51" s="1041"/>
      <c r="C51" s="81" t="s">
        <v>7</v>
      </c>
      <c r="D51" s="70"/>
      <c r="E51" s="1005" t="s">
        <v>203</v>
      </c>
      <c r="F51" s="1013">
        <v>525380.9</v>
      </c>
      <c r="G51" s="1007">
        <v>809390.9</v>
      </c>
      <c r="H51" s="1013">
        <v>824355.10000000009</v>
      </c>
      <c r="I51" s="1013">
        <v>832790.20000000007</v>
      </c>
      <c r="J51" s="1013">
        <v>841115.60000000009</v>
      </c>
      <c r="K51" s="1010" t="s">
        <v>1711</v>
      </c>
      <c r="L51" s="1015" t="s">
        <v>197</v>
      </c>
      <c r="M51" s="1042">
        <v>1.7000000000000001E-2</v>
      </c>
      <c r="N51" s="1042">
        <v>1.7977759118815457E-2</v>
      </c>
      <c r="O51" s="1042">
        <v>1.5247518715391843E-2</v>
      </c>
      <c r="P51" s="1042">
        <v>1.5247518715391843E-2</v>
      </c>
      <c r="Q51" s="1042">
        <v>1.4E-2</v>
      </c>
    </row>
    <row r="52" spans="1:17" s="4" customFormat="1" ht="30" x14ac:dyDescent="0.25">
      <c r="A52" s="1846"/>
      <c r="B52" s="1041"/>
      <c r="C52" s="81" t="s">
        <v>8</v>
      </c>
      <c r="D52" s="70"/>
      <c r="E52" s="1005" t="s">
        <v>1713</v>
      </c>
      <c r="F52" s="1013"/>
      <c r="G52" s="1007"/>
      <c r="H52" s="1013">
        <v>257000</v>
      </c>
      <c r="I52" s="1013">
        <v>259628.5</v>
      </c>
      <c r="J52" s="1013">
        <v>262222.8</v>
      </c>
      <c r="K52" s="1010" t="s">
        <v>1712</v>
      </c>
      <c r="L52" s="1015" t="s">
        <v>3</v>
      </c>
      <c r="M52" s="1042"/>
      <c r="N52" s="16">
        <v>75</v>
      </c>
      <c r="O52" s="16">
        <v>100</v>
      </c>
      <c r="P52" s="16">
        <v>100</v>
      </c>
      <c r="Q52" s="16">
        <v>100</v>
      </c>
    </row>
    <row r="53" spans="1:17" s="4" customFormat="1" ht="60" x14ac:dyDescent="0.25">
      <c r="A53" s="1846"/>
      <c r="B53" s="70" t="s">
        <v>1897</v>
      </c>
      <c r="C53" s="81"/>
      <c r="D53" s="70"/>
      <c r="E53" s="67" t="s">
        <v>1714</v>
      </c>
      <c r="F53" s="91">
        <v>36084</v>
      </c>
      <c r="G53" s="91">
        <v>36084</v>
      </c>
      <c r="H53" s="91">
        <f>H54+H55</f>
        <v>36769.599999999999</v>
      </c>
      <c r="I53" s="91">
        <f t="shared" ref="I53:J53" si="6">I54+I55</f>
        <v>37145.699999999997</v>
      </c>
      <c r="J53" s="91">
        <f t="shared" si="6"/>
        <v>37516.800000000003</v>
      </c>
      <c r="K53" s="134" t="s">
        <v>215</v>
      </c>
      <c r="L53" s="16" t="s">
        <v>1413</v>
      </c>
      <c r="M53" s="16">
        <v>91</v>
      </c>
      <c r="N53" s="16">
        <v>92</v>
      </c>
      <c r="O53" s="16">
        <v>93</v>
      </c>
      <c r="P53" s="16">
        <v>93</v>
      </c>
      <c r="Q53" s="16">
        <v>93</v>
      </c>
    </row>
    <row r="54" spans="1:17" s="4" customFormat="1" ht="60" x14ac:dyDescent="0.25">
      <c r="A54" s="1846"/>
      <c r="B54" s="70"/>
      <c r="C54" s="81" t="s">
        <v>5</v>
      </c>
      <c r="D54" s="70"/>
      <c r="E54" s="1005" t="s">
        <v>204</v>
      </c>
      <c r="F54" s="654">
        <v>21223.7</v>
      </c>
      <c r="G54" s="654">
        <v>19922.599999999999</v>
      </c>
      <c r="H54" s="654">
        <v>21536.799999999999</v>
      </c>
      <c r="I54" s="654">
        <v>21141.9</v>
      </c>
      <c r="J54" s="654">
        <v>21242.3</v>
      </c>
      <c r="K54" s="134" t="s">
        <v>215</v>
      </c>
      <c r="L54" s="16" t="s">
        <v>1413</v>
      </c>
      <c r="M54" s="16">
        <v>91</v>
      </c>
      <c r="N54" s="16">
        <v>92</v>
      </c>
      <c r="O54" s="16">
        <v>93</v>
      </c>
      <c r="P54" s="16">
        <v>93</v>
      </c>
      <c r="Q54" s="16">
        <v>93</v>
      </c>
    </row>
    <row r="55" spans="1:17" s="4" customFormat="1" ht="30" x14ac:dyDescent="0.25">
      <c r="A55" s="1846"/>
      <c r="B55" s="1838"/>
      <c r="C55" s="1842" t="s">
        <v>6</v>
      </c>
      <c r="D55" s="1843"/>
      <c r="E55" s="1844" t="s">
        <v>2072</v>
      </c>
      <c r="F55" s="1293">
        <v>14860.3</v>
      </c>
      <c r="G55" s="1293">
        <v>16161.4</v>
      </c>
      <c r="H55" s="1293">
        <v>15232.8</v>
      </c>
      <c r="I55" s="1947">
        <v>16003.8</v>
      </c>
      <c r="J55" s="1947">
        <v>16274.5</v>
      </c>
      <c r="K55" s="134" t="s">
        <v>216</v>
      </c>
      <c r="L55" s="458" t="s">
        <v>1429</v>
      </c>
      <c r="M55" s="839">
        <v>542</v>
      </c>
      <c r="N55" s="1043">
        <v>565</v>
      </c>
      <c r="O55" s="839">
        <v>1700</v>
      </c>
      <c r="P55" s="839">
        <v>1800</v>
      </c>
      <c r="Q55" s="839">
        <v>1800</v>
      </c>
    </row>
    <row r="56" spans="1:17" s="4" customFormat="1" ht="45" x14ac:dyDescent="0.25">
      <c r="A56" s="1846"/>
      <c r="B56" s="1839"/>
      <c r="C56" s="1842"/>
      <c r="D56" s="1843"/>
      <c r="E56" s="1844"/>
      <c r="F56" s="1293"/>
      <c r="G56" s="1293"/>
      <c r="H56" s="1293"/>
      <c r="I56" s="1947"/>
      <c r="J56" s="1947"/>
      <c r="K56" s="134" t="s">
        <v>217</v>
      </c>
      <c r="L56" s="16" t="s">
        <v>1413</v>
      </c>
      <c r="M56" s="16">
        <v>297</v>
      </c>
      <c r="N56" s="310">
        <v>300</v>
      </c>
      <c r="O56" s="310">
        <v>310</v>
      </c>
      <c r="P56" s="310">
        <v>315</v>
      </c>
      <c r="Q56" s="310">
        <v>315</v>
      </c>
    </row>
    <row r="57" spans="1:17" s="4" customFormat="1" ht="28.5" x14ac:dyDescent="0.25">
      <c r="A57" s="1846"/>
      <c r="B57" s="1058" t="s">
        <v>1880</v>
      </c>
      <c r="C57" s="1153"/>
      <c r="D57" s="1058"/>
      <c r="E57" s="1181" t="s">
        <v>205</v>
      </c>
      <c r="F57" s="1182">
        <v>3173529.1</v>
      </c>
      <c r="G57" s="1182">
        <v>4612239.9000000004</v>
      </c>
      <c r="H57" s="1182">
        <f>H58</f>
        <v>5787759</v>
      </c>
      <c r="I57" s="1182">
        <f t="shared" ref="I57:J57" si="7">I58</f>
        <v>4831737.5</v>
      </c>
      <c r="J57" s="1182">
        <f t="shared" si="7"/>
        <v>1611485</v>
      </c>
      <c r="K57" s="134"/>
      <c r="L57" s="1177"/>
      <c r="M57" s="1177"/>
      <c r="N57" s="310"/>
      <c r="O57" s="310"/>
      <c r="P57" s="310"/>
      <c r="Q57" s="310"/>
    </row>
    <row r="58" spans="1:17" s="4" customFormat="1" ht="30" x14ac:dyDescent="0.25">
      <c r="A58" s="1846"/>
      <c r="B58" s="1178"/>
      <c r="C58" s="1178" t="s">
        <v>5</v>
      </c>
      <c r="D58" s="1178"/>
      <c r="E58" s="1179" t="s">
        <v>205</v>
      </c>
      <c r="F58" s="1180">
        <v>3173529.1</v>
      </c>
      <c r="G58" s="1180">
        <v>4612239.9000000004</v>
      </c>
      <c r="H58" s="1180">
        <v>5787759</v>
      </c>
      <c r="I58" s="1180">
        <v>4831737.5</v>
      </c>
      <c r="J58" s="1180">
        <v>1611485</v>
      </c>
      <c r="K58" s="1044"/>
      <c r="L58" s="1045"/>
      <c r="M58" s="1015"/>
      <c r="N58" s="1046"/>
      <c r="O58" s="1046"/>
      <c r="P58" s="1046"/>
      <c r="Q58" s="1046"/>
    </row>
    <row r="59" spans="1:17" s="4" customFormat="1" x14ac:dyDescent="0.25">
      <c r="A59" s="1610" t="s">
        <v>35</v>
      </c>
      <c r="B59" s="1611"/>
      <c r="C59" s="1611"/>
      <c r="D59" s="1611"/>
      <c r="E59" s="1909"/>
      <c r="F59" s="1047">
        <v>5716954.2000000002</v>
      </c>
      <c r="G59" s="1047">
        <f>G9+G13+G29+G33+G45+G53+G58</f>
        <v>7952563.8000000007</v>
      </c>
      <c r="H59" s="1047">
        <f>H9+H13+H29+H33+H45+H53+H57</f>
        <v>9833385.0999999996</v>
      </c>
      <c r="I59" s="1047">
        <f>I9+I13+I29+I33+I45+I53+I57</f>
        <v>8906996.9000000004</v>
      </c>
      <c r="J59" s="1047">
        <f t="shared" ref="J59" si="8">J9+J13+J29+J33+J45+J53+J57</f>
        <v>5735858.9000000004</v>
      </c>
      <c r="K59" s="1048"/>
      <c r="L59" s="1048"/>
      <c r="M59" s="1048"/>
      <c r="N59" s="1048"/>
      <c r="O59" s="1048"/>
      <c r="P59" s="1048"/>
      <c r="Q59" s="1048"/>
    </row>
    <row r="60" spans="1:17" s="4" customFormat="1" ht="22.5" customHeight="1" x14ac:dyDescent="0.25">
      <c r="A60" s="1923" t="s">
        <v>521</v>
      </c>
      <c r="B60" s="1924"/>
      <c r="C60" s="1924"/>
      <c r="D60" s="1924"/>
      <c r="E60" s="1924"/>
      <c r="F60" s="1924"/>
      <c r="G60" s="1924"/>
      <c r="H60" s="1924"/>
      <c r="I60" s="1924"/>
      <c r="J60" s="1924"/>
      <c r="K60" s="1924"/>
      <c r="L60" s="1924"/>
      <c r="M60" s="1924"/>
      <c r="N60" s="1924"/>
      <c r="O60" s="1924"/>
      <c r="P60" s="1924"/>
      <c r="Q60" s="1924"/>
    </row>
    <row r="61" spans="1:17" s="4" customFormat="1" x14ac:dyDescent="0.25">
      <c r="A61" s="1838">
        <v>34</v>
      </c>
      <c r="B61" s="1049" t="s">
        <v>0</v>
      </c>
      <c r="C61" s="1049"/>
      <c r="D61" s="1049"/>
      <c r="E61" s="1050" t="s">
        <v>522</v>
      </c>
      <c r="F61" s="1051">
        <v>632345.1</v>
      </c>
      <c r="G61" s="1051">
        <v>782624.6</v>
      </c>
      <c r="H61" s="1051">
        <f>H62+H63</f>
        <v>998617</v>
      </c>
      <c r="I61" s="1051">
        <f t="shared" ref="I61:J61" si="9">I62+I63</f>
        <v>1006148.1</v>
      </c>
      <c r="J61" s="1051">
        <f t="shared" si="9"/>
        <v>1010140.7</v>
      </c>
      <c r="K61" s="1052" t="s">
        <v>177</v>
      </c>
      <c r="L61" s="1053" t="s">
        <v>191</v>
      </c>
      <c r="M61" s="1053">
        <v>30</v>
      </c>
      <c r="N61" s="1053">
        <v>32</v>
      </c>
      <c r="O61" s="1053">
        <v>35</v>
      </c>
      <c r="P61" s="1053">
        <v>37</v>
      </c>
      <c r="Q61" s="1053">
        <v>40</v>
      </c>
    </row>
    <row r="62" spans="1:17" s="4" customFormat="1" ht="30" x14ac:dyDescent="0.25">
      <c r="A62" s="1846"/>
      <c r="B62" s="70"/>
      <c r="C62" s="81" t="s">
        <v>5</v>
      </c>
      <c r="D62" s="70"/>
      <c r="E62" s="1005" t="s">
        <v>25</v>
      </c>
      <c r="F62" s="1054">
        <v>632345.1</v>
      </c>
      <c r="G62" s="1055">
        <v>468762.9</v>
      </c>
      <c r="H62" s="1055">
        <v>467222.9</v>
      </c>
      <c r="I62" s="1055">
        <v>474754</v>
      </c>
      <c r="J62" s="1055">
        <v>478746.6</v>
      </c>
      <c r="K62" s="1005"/>
      <c r="L62" s="1046"/>
      <c r="M62" s="1046"/>
      <c r="N62" s="1046"/>
      <c r="O62" s="1046"/>
      <c r="P62" s="1046"/>
      <c r="Q62" s="1046"/>
    </row>
    <row r="63" spans="1:17" s="4" customFormat="1" ht="30" x14ac:dyDescent="0.25">
      <c r="A63" s="1846"/>
      <c r="B63" s="70"/>
      <c r="C63" s="81" t="s">
        <v>6</v>
      </c>
      <c r="D63" s="70"/>
      <c r="E63" s="1005" t="s">
        <v>1688</v>
      </c>
      <c r="F63" s="1055"/>
      <c r="G63" s="1055">
        <v>313861.7</v>
      </c>
      <c r="H63" s="1055">
        <v>531394.1</v>
      </c>
      <c r="I63" s="1055">
        <v>531394.1</v>
      </c>
      <c r="J63" s="1055">
        <v>531394.1</v>
      </c>
      <c r="K63" s="1005"/>
      <c r="L63" s="1046"/>
      <c r="M63" s="1046"/>
      <c r="N63" s="1046"/>
      <c r="O63" s="1046"/>
      <c r="P63" s="1046"/>
      <c r="Q63" s="1046"/>
    </row>
    <row r="64" spans="1:17" s="4" customFormat="1" ht="89.25" x14ac:dyDescent="0.25">
      <c r="A64" s="1846"/>
      <c r="B64" s="70" t="s">
        <v>1898</v>
      </c>
      <c r="C64" s="81"/>
      <c r="D64" s="70"/>
      <c r="E64" s="1005" t="s">
        <v>1777</v>
      </c>
      <c r="F64" s="1056">
        <v>3500471.5</v>
      </c>
      <c r="G64" s="1056">
        <v>4724857.5999999996</v>
      </c>
      <c r="H64" s="1056">
        <f>H65+H68</f>
        <v>7403327.2999999998</v>
      </c>
      <c r="I64" s="1056">
        <f t="shared" ref="I64:J64" si="10">I65+I68</f>
        <v>8457727.3000000007</v>
      </c>
      <c r="J64" s="1056">
        <f t="shared" si="10"/>
        <v>8220227.2999999998</v>
      </c>
      <c r="K64" s="67" t="s">
        <v>523</v>
      </c>
      <c r="L64" s="1046" t="s">
        <v>3</v>
      </c>
      <c r="M64" s="1046">
        <v>22</v>
      </c>
      <c r="N64" s="1046">
        <v>24</v>
      </c>
      <c r="O64" s="1046">
        <v>26</v>
      </c>
      <c r="P64" s="1046">
        <v>28</v>
      </c>
      <c r="Q64" s="1046">
        <v>33</v>
      </c>
    </row>
    <row r="65" spans="1:17" s="4" customFormat="1" ht="45" x14ac:dyDescent="0.25">
      <c r="A65" s="1846"/>
      <c r="B65" s="1049"/>
      <c r="C65" s="1840" t="s">
        <v>5</v>
      </c>
      <c r="D65" s="1049"/>
      <c r="E65" s="1917" t="s">
        <v>524</v>
      </c>
      <c r="F65" s="1910">
        <v>3500471.5</v>
      </c>
      <c r="G65" s="1910">
        <v>3830249.6</v>
      </c>
      <c r="H65" s="1910">
        <v>7403327.2999999998</v>
      </c>
      <c r="I65" s="1910">
        <v>7403227.2999999998</v>
      </c>
      <c r="J65" s="1910">
        <v>7403227.2999999998</v>
      </c>
      <c r="K65" s="1005" t="s">
        <v>525</v>
      </c>
      <c r="L65" s="1057" t="s">
        <v>3</v>
      </c>
      <c r="M65" s="1057">
        <v>82</v>
      </c>
      <c r="N65" s="1057">
        <v>85</v>
      </c>
      <c r="O65" s="1057">
        <v>87</v>
      </c>
      <c r="P65" s="1057">
        <v>89</v>
      </c>
      <c r="Q65" s="1057">
        <v>90</v>
      </c>
    </row>
    <row r="66" spans="1:17" s="4" customFormat="1" ht="45" x14ac:dyDescent="0.25">
      <c r="A66" s="1846"/>
      <c r="B66" s="83"/>
      <c r="C66" s="1845"/>
      <c r="D66" s="83"/>
      <c r="E66" s="1918"/>
      <c r="F66" s="1911"/>
      <c r="G66" s="1911"/>
      <c r="H66" s="1911"/>
      <c r="I66" s="1911"/>
      <c r="J66" s="1911"/>
      <c r="K66" s="1005" t="s">
        <v>526</v>
      </c>
      <c r="L66" s="1057" t="s">
        <v>3</v>
      </c>
      <c r="M66" s="1057">
        <v>4</v>
      </c>
      <c r="N66" s="1057">
        <v>4.5</v>
      </c>
      <c r="O66" s="1057">
        <v>5</v>
      </c>
      <c r="P66" s="1057">
        <v>6</v>
      </c>
      <c r="Q66" s="1057">
        <v>7</v>
      </c>
    </row>
    <row r="67" spans="1:17" s="4" customFormat="1" ht="45" x14ac:dyDescent="0.25">
      <c r="A67" s="1846"/>
      <c r="B67" s="1058"/>
      <c r="C67" s="1841"/>
      <c r="D67" s="1058"/>
      <c r="E67" s="1919"/>
      <c r="F67" s="1912"/>
      <c r="G67" s="1912"/>
      <c r="H67" s="1912"/>
      <c r="I67" s="1912"/>
      <c r="J67" s="1912"/>
      <c r="K67" s="1005" t="s">
        <v>527</v>
      </c>
      <c r="L67" s="1057" t="s">
        <v>3</v>
      </c>
      <c r="M67" s="1057">
        <v>42</v>
      </c>
      <c r="N67" s="1057">
        <v>45</v>
      </c>
      <c r="O67" s="1057">
        <v>50</v>
      </c>
      <c r="P67" s="1057">
        <v>52</v>
      </c>
      <c r="Q67" s="1057">
        <v>55</v>
      </c>
    </row>
    <row r="68" spans="1:17" s="4" customFormat="1" ht="30" x14ac:dyDescent="0.25">
      <c r="A68" s="1846"/>
      <c r="B68" s="1049"/>
      <c r="C68" s="1840" t="s">
        <v>6</v>
      </c>
      <c r="D68" s="1049"/>
      <c r="E68" s="1917" t="s">
        <v>528</v>
      </c>
      <c r="F68" s="1910">
        <v>0</v>
      </c>
      <c r="G68" s="1910">
        <v>894608</v>
      </c>
      <c r="H68" s="1910"/>
      <c r="I68" s="1910">
        <v>1054500</v>
      </c>
      <c r="J68" s="1910">
        <v>817000</v>
      </c>
      <c r="K68" s="1005" t="s">
        <v>529</v>
      </c>
      <c r="L68" s="1057" t="s">
        <v>87</v>
      </c>
      <c r="M68" s="1057">
        <v>100</v>
      </c>
      <c r="N68" s="1057">
        <v>100</v>
      </c>
      <c r="O68" s="1057">
        <v>200</v>
      </c>
      <c r="P68" s="1057">
        <v>400</v>
      </c>
      <c r="Q68" s="1057">
        <v>500</v>
      </c>
    </row>
    <row r="69" spans="1:17" s="4" customFormat="1" ht="45" x14ac:dyDescent="0.25">
      <c r="A69" s="1846"/>
      <c r="B69" s="1058"/>
      <c r="C69" s="1841"/>
      <c r="D69" s="1058"/>
      <c r="E69" s="1919"/>
      <c r="F69" s="1912"/>
      <c r="G69" s="1912"/>
      <c r="H69" s="1912"/>
      <c r="I69" s="1912"/>
      <c r="J69" s="1912"/>
      <c r="K69" s="1005" t="s">
        <v>530</v>
      </c>
      <c r="L69" s="1057" t="s">
        <v>87</v>
      </c>
      <c r="M69" s="1057">
        <v>100</v>
      </c>
      <c r="N69" s="1057">
        <v>150</v>
      </c>
      <c r="O69" s="1057">
        <v>200</v>
      </c>
      <c r="P69" s="1057">
        <v>250</v>
      </c>
      <c r="Q69" s="1057">
        <v>300</v>
      </c>
    </row>
    <row r="70" spans="1:17" s="4" customFormat="1" ht="74.25" x14ac:dyDescent="0.25">
      <c r="A70" s="1846"/>
      <c r="B70" s="70" t="s">
        <v>1899</v>
      </c>
      <c r="C70" s="81"/>
      <c r="D70" s="70"/>
      <c r="E70" s="67" t="s">
        <v>2073</v>
      </c>
      <c r="F70" s="1056">
        <v>22768214.600000001</v>
      </c>
      <c r="G70" s="1056">
        <v>23648689.699999999</v>
      </c>
      <c r="H70" s="1056">
        <f>H71+H74</f>
        <v>40107330.699999996</v>
      </c>
      <c r="I70" s="1056">
        <f t="shared" ref="I70:J70" si="11">I71+I74</f>
        <v>40633626.799999997</v>
      </c>
      <c r="J70" s="1056">
        <f t="shared" si="11"/>
        <v>41156230.399999999</v>
      </c>
      <c r="K70" s="67" t="s">
        <v>531</v>
      </c>
      <c r="L70" s="1046" t="s">
        <v>3</v>
      </c>
      <c r="M70" s="1046">
        <v>98</v>
      </c>
      <c r="N70" s="1046">
        <v>98</v>
      </c>
      <c r="O70" s="1046">
        <v>98</v>
      </c>
      <c r="P70" s="1046">
        <v>98</v>
      </c>
      <c r="Q70" s="1046">
        <v>98</v>
      </c>
    </row>
    <row r="71" spans="1:17" s="4" customFormat="1" ht="90" x14ac:dyDescent="0.25">
      <c r="A71" s="1846"/>
      <c r="B71" s="1838"/>
      <c r="C71" s="1840" t="s">
        <v>5</v>
      </c>
      <c r="D71" s="1838"/>
      <c r="E71" s="1917" t="s">
        <v>1715</v>
      </c>
      <c r="F71" s="1910">
        <v>22644748.699999999</v>
      </c>
      <c r="G71" s="1910">
        <v>23525223.800000001</v>
      </c>
      <c r="H71" s="1910">
        <v>39906146.899999999</v>
      </c>
      <c r="I71" s="1910">
        <v>40432443</v>
      </c>
      <c r="J71" s="1910">
        <v>40955046.600000001</v>
      </c>
      <c r="K71" s="1005" t="s">
        <v>532</v>
      </c>
      <c r="L71" s="1057" t="s">
        <v>3</v>
      </c>
      <c r="M71" s="1057">
        <v>0.5</v>
      </c>
      <c r="N71" s="1057">
        <v>0.5</v>
      </c>
      <c r="O71" s="1057">
        <v>0.5</v>
      </c>
      <c r="P71" s="1057">
        <v>0.5</v>
      </c>
      <c r="Q71" s="1057">
        <v>0.5</v>
      </c>
    </row>
    <row r="72" spans="1:17" s="4" customFormat="1" ht="45" x14ac:dyDescent="0.25">
      <c r="A72" s="1846"/>
      <c r="B72" s="1846"/>
      <c r="C72" s="1845"/>
      <c r="D72" s="1846"/>
      <c r="E72" s="1918"/>
      <c r="F72" s="1911"/>
      <c r="G72" s="1911"/>
      <c r="H72" s="1911"/>
      <c r="I72" s="1911"/>
      <c r="J72" s="1911"/>
      <c r="K72" s="1005" t="s">
        <v>533</v>
      </c>
      <c r="L72" s="1057" t="s">
        <v>3</v>
      </c>
      <c r="M72" s="1057">
        <v>6.5</v>
      </c>
      <c r="N72" s="1057">
        <v>7</v>
      </c>
      <c r="O72" s="1057">
        <v>7.5</v>
      </c>
      <c r="P72" s="1057">
        <v>8</v>
      </c>
      <c r="Q72" s="1057">
        <v>8.5</v>
      </c>
    </row>
    <row r="73" spans="1:17" s="4" customFormat="1" ht="30" x14ac:dyDescent="0.25">
      <c r="A73" s="1846"/>
      <c r="B73" s="1839"/>
      <c r="C73" s="1841"/>
      <c r="D73" s="1839"/>
      <c r="E73" s="1919"/>
      <c r="F73" s="1912"/>
      <c r="G73" s="1912"/>
      <c r="H73" s="1912"/>
      <c r="I73" s="1912"/>
      <c r="J73" s="1912"/>
      <c r="K73" s="1005" t="s">
        <v>534</v>
      </c>
      <c r="L73" s="1057" t="s">
        <v>18</v>
      </c>
      <c r="M73" s="1057">
        <v>120.5</v>
      </c>
      <c r="N73" s="1057">
        <v>119.8</v>
      </c>
      <c r="O73" s="1057">
        <v>122</v>
      </c>
      <c r="P73" s="1057">
        <v>123</v>
      </c>
      <c r="Q73" s="1057">
        <v>125</v>
      </c>
    </row>
    <row r="74" spans="1:17" s="4" customFormat="1" ht="45" x14ac:dyDescent="0.25">
      <c r="A74" s="1846"/>
      <c r="B74" s="70"/>
      <c r="C74" s="81" t="s">
        <v>6</v>
      </c>
      <c r="D74" s="70"/>
      <c r="E74" s="1005" t="s">
        <v>535</v>
      </c>
      <c r="F74" s="1055">
        <v>123465.9</v>
      </c>
      <c r="G74" s="1055">
        <v>123465.9</v>
      </c>
      <c r="H74" s="1055">
        <v>201183.8</v>
      </c>
      <c r="I74" s="1055">
        <v>201183.8</v>
      </c>
      <c r="J74" s="1055">
        <v>201183.8</v>
      </c>
      <c r="K74" s="1005" t="s">
        <v>536</v>
      </c>
      <c r="L74" s="1057" t="s">
        <v>3</v>
      </c>
      <c r="M74" s="1057">
        <v>25</v>
      </c>
      <c r="N74" s="1057">
        <v>26</v>
      </c>
      <c r="O74" s="1057">
        <v>27</v>
      </c>
      <c r="P74" s="1057">
        <v>28</v>
      </c>
      <c r="Q74" s="1057">
        <v>29</v>
      </c>
    </row>
    <row r="75" spans="1:17" s="4" customFormat="1" ht="60" x14ac:dyDescent="0.25">
      <c r="A75" s="1846"/>
      <c r="B75" s="1838" t="s">
        <v>1900</v>
      </c>
      <c r="C75" s="1840"/>
      <c r="D75" s="1838"/>
      <c r="E75" s="1913" t="s">
        <v>1716</v>
      </c>
      <c r="F75" s="1915">
        <v>1891626.8</v>
      </c>
      <c r="G75" s="1915">
        <v>1903387.8</v>
      </c>
      <c r="H75" s="1915">
        <f>H77+H79+H80</f>
        <v>2823659.6</v>
      </c>
      <c r="I75" s="1915">
        <f t="shared" ref="I75:J75" si="12">I77+I79+I80</f>
        <v>3260913.7</v>
      </c>
      <c r="J75" s="1915">
        <f t="shared" si="12"/>
        <v>2843471.2</v>
      </c>
      <c r="K75" s="1005" t="s">
        <v>537</v>
      </c>
      <c r="L75" s="1057" t="s">
        <v>3</v>
      </c>
      <c r="M75" s="1057">
        <v>33.799999999999997</v>
      </c>
      <c r="N75" s="1057">
        <v>33.799999999999997</v>
      </c>
      <c r="O75" s="1057">
        <v>34.799999999999997</v>
      </c>
      <c r="P75" s="1057">
        <v>35.799999999999997</v>
      </c>
      <c r="Q75" s="1057">
        <v>36.799999999999997</v>
      </c>
    </row>
    <row r="76" spans="1:17" s="4" customFormat="1" ht="105" x14ac:dyDescent="0.25">
      <c r="A76" s="1846"/>
      <c r="B76" s="1839"/>
      <c r="C76" s="1841"/>
      <c r="D76" s="1839"/>
      <c r="E76" s="1914"/>
      <c r="F76" s="1916"/>
      <c r="G76" s="1916"/>
      <c r="H76" s="1916"/>
      <c r="I76" s="1916"/>
      <c r="J76" s="1916"/>
      <c r="K76" s="1005" t="s">
        <v>2074</v>
      </c>
      <c r="L76" s="1057" t="s">
        <v>3</v>
      </c>
      <c r="M76" s="1057">
        <v>65</v>
      </c>
      <c r="N76" s="1057">
        <v>70</v>
      </c>
      <c r="O76" s="1057">
        <v>75</v>
      </c>
      <c r="P76" s="1057">
        <v>77</v>
      </c>
      <c r="Q76" s="1057">
        <v>78</v>
      </c>
    </row>
    <row r="77" spans="1:17" s="4" customFormat="1" ht="45" x14ac:dyDescent="0.25">
      <c r="A77" s="1846"/>
      <c r="B77" s="1049"/>
      <c r="C77" s="1840" t="s">
        <v>5</v>
      </c>
      <c r="D77" s="1049"/>
      <c r="E77" s="1917" t="s">
        <v>1717</v>
      </c>
      <c r="F77" s="1910">
        <v>1412170.6</v>
      </c>
      <c r="G77" s="1910">
        <v>1414370.6</v>
      </c>
      <c r="H77" s="1910">
        <v>2125180.9</v>
      </c>
      <c r="I77" s="1910">
        <v>2134992.5</v>
      </c>
      <c r="J77" s="1910">
        <v>2144992.5</v>
      </c>
      <c r="K77" s="1005" t="s">
        <v>538</v>
      </c>
      <c r="L77" s="1057" t="s">
        <v>3</v>
      </c>
      <c r="M77" s="1057">
        <v>11</v>
      </c>
      <c r="N77" s="1057">
        <v>12</v>
      </c>
      <c r="O77" s="1057">
        <v>13</v>
      </c>
      <c r="P77" s="1057">
        <v>14</v>
      </c>
      <c r="Q77" s="1057">
        <v>15</v>
      </c>
    </row>
    <row r="78" spans="1:17" s="4" customFormat="1" ht="75" x14ac:dyDescent="0.25">
      <c r="A78" s="1846"/>
      <c r="B78" s="1058"/>
      <c r="C78" s="1841"/>
      <c r="D78" s="1058"/>
      <c r="E78" s="1919"/>
      <c r="F78" s="1912"/>
      <c r="G78" s="1912"/>
      <c r="H78" s="1912"/>
      <c r="I78" s="1912"/>
      <c r="J78" s="1912"/>
      <c r="K78" s="1005" t="s">
        <v>539</v>
      </c>
      <c r="L78" s="1057" t="s">
        <v>3</v>
      </c>
      <c r="M78" s="1057">
        <v>12</v>
      </c>
      <c r="N78" s="1057">
        <v>12</v>
      </c>
      <c r="O78" s="1057">
        <v>13</v>
      </c>
      <c r="P78" s="1057">
        <v>14</v>
      </c>
      <c r="Q78" s="1057">
        <v>15</v>
      </c>
    </row>
    <row r="79" spans="1:17" s="4" customFormat="1" ht="60" x14ac:dyDescent="0.25">
      <c r="A79" s="1846"/>
      <c r="B79" s="70"/>
      <c r="C79" s="81" t="s">
        <v>8</v>
      </c>
      <c r="D79" s="70"/>
      <c r="E79" s="1005" t="s">
        <v>1718</v>
      </c>
      <c r="F79" s="1055">
        <v>257197.2</v>
      </c>
      <c r="G79" s="1055">
        <v>257197.2</v>
      </c>
      <c r="H79" s="1055">
        <v>419679</v>
      </c>
      <c r="I79" s="1055">
        <v>419679</v>
      </c>
      <c r="J79" s="1055">
        <v>419679</v>
      </c>
      <c r="K79" s="1005" t="s">
        <v>540</v>
      </c>
      <c r="L79" s="1057" t="s">
        <v>3</v>
      </c>
      <c r="M79" s="1057">
        <v>22.8</v>
      </c>
      <c r="N79" s="1057">
        <v>22.8</v>
      </c>
      <c r="O79" s="1057">
        <v>22.8</v>
      </c>
      <c r="P79" s="1057">
        <v>22.8</v>
      </c>
      <c r="Q79" s="1057">
        <v>22.8</v>
      </c>
    </row>
    <row r="80" spans="1:17" s="4" customFormat="1" ht="90" x14ac:dyDescent="0.25">
      <c r="A80" s="1846"/>
      <c r="B80" s="70"/>
      <c r="C80" s="81" t="s">
        <v>10</v>
      </c>
      <c r="D80" s="70"/>
      <c r="E80" s="1005" t="s">
        <v>541</v>
      </c>
      <c r="F80" s="1055">
        <v>222259</v>
      </c>
      <c r="G80" s="1055">
        <v>231820</v>
      </c>
      <c r="H80" s="1055">
        <v>278799.7</v>
      </c>
      <c r="I80" s="1055">
        <v>706242.2</v>
      </c>
      <c r="J80" s="1055">
        <v>278799.7</v>
      </c>
      <c r="K80" s="1005" t="s">
        <v>542</v>
      </c>
      <c r="L80" s="1057" t="s">
        <v>3</v>
      </c>
      <c r="M80" s="1057">
        <v>45</v>
      </c>
      <c r="N80" s="1057">
        <v>50</v>
      </c>
      <c r="O80" s="1057">
        <v>52</v>
      </c>
      <c r="P80" s="1057">
        <v>53</v>
      </c>
      <c r="Q80" s="1057">
        <v>55</v>
      </c>
    </row>
    <row r="81" spans="1:17" s="4" customFormat="1" ht="89.25" x14ac:dyDescent="0.25">
      <c r="A81" s="1846"/>
      <c r="B81" s="70" t="s">
        <v>1901</v>
      </c>
      <c r="C81" s="81"/>
      <c r="D81" s="70"/>
      <c r="E81" s="67" t="s">
        <v>1719</v>
      </c>
      <c r="F81" s="1056">
        <v>5105036.4000000004</v>
      </c>
      <c r="G81" s="1056">
        <v>6816625.7000000002</v>
      </c>
      <c r="H81" s="1056">
        <f>H82+H83</f>
        <v>7643869.2000000002</v>
      </c>
      <c r="I81" s="1056">
        <f t="shared" ref="I81:J81" si="13">I82+I83</f>
        <v>7853005.2999999998</v>
      </c>
      <c r="J81" s="1056">
        <f t="shared" si="13"/>
        <v>7853005.2999999998</v>
      </c>
      <c r="K81" s="67" t="s">
        <v>543</v>
      </c>
      <c r="L81" s="1046" t="s">
        <v>3</v>
      </c>
      <c r="M81" s="1046">
        <v>19.7</v>
      </c>
      <c r="N81" s="1046">
        <v>19.7</v>
      </c>
      <c r="O81" s="1046">
        <v>19.7</v>
      </c>
      <c r="P81" s="1046">
        <v>19.7</v>
      </c>
      <c r="Q81" s="1046">
        <v>19.7</v>
      </c>
    </row>
    <row r="82" spans="1:17" s="4" customFormat="1" ht="45" x14ac:dyDescent="0.25">
      <c r="A82" s="1846"/>
      <c r="B82" s="70"/>
      <c r="C82" s="81" t="s">
        <v>5</v>
      </c>
      <c r="D82" s="70"/>
      <c r="E82" s="1005" t="s">
        <v>1720</v>
      </c>
      <c r="F82" s="1055">
        <v>589772</v>
      </c>
      <c r="G82" s="1055">
        <v>589772</v>
      </c>
      <c r="H82" s="1055">
        <v>1307942.5</v>
      </c>
      <c r="I82" s="1055">
        <v>1307942.5</v>
      </c>
      <c r="J82" s="1055">
        <v>1307942.5</v>
      </c>
      <c r="K82" s="1005" t="s">
        <v>544</v>
      </c>
      <c r="L82" s="1057" t="s">
        <v>3</v>
      </c>
      <c r="M82" s="1057">
        <v>2.6</v>
      </c>
      <c r="N82" s="1057">
        <v>2.6</v>
      </c>
      <c r="O82" s="1057">
        <v>2.6</v>
      </c>
      <c r="P82" s="1057">
        <v>2.6</v>
      </c>
      <c r="Q82" s="1057">
        <v>2.6</v>
      </c>
    </row>
    <row r="83" spans="1:17" s="4" customFormat="1" ht="30" x14ac:dyDescent="0.25">
      <c r="A83" s="1846"/>
      <c r="B83" s="70"/>
      <c r="C83" s="81" t="s">
        <v>6</v>
      </c>
      <c r="D83" s="70"/>
      <c r="E83" s="1005" t="s">
        <v>545</v>
      </c>
      <c r="F83" s="1055">
        <v>4515264.4000000004</v>
      </c>
      <c r="G83" s="1055">
        <v>6226853.7000000002</v>
      </c>
      <c r="H83" s="1055">
        <v>6335926.7000000002</v>
      </c>
      <c r="I83" s="1055">
        <v>6545062.7999999998</v>
      </c>
      <c r="J83" s="1055">
        <v>6545062.7999999998</v>
      </c>
      <c r="K83" s="1005" t="s">
        <v>546</v>
      </c>
      <c r="L83" s="1057" t="s">
        <v>3</v>
      </c>
      <c r="M83" s="1057">
        <v>97.4</v>
      </c>
      <c r="N83" s="1057">
        <v>97.4</v>
      </c>
      <c r="O83" s="1057">
        <v>97.4</v>
      </c>
      <c r="P83" s="1057">
        <v>97.4</v>
      </c>
      <c r="Q83" s="1057">
        <v>97.4</v>
      </c>
    </row>
    <row r="84" spans="1:17" s="4" customFormat="1" ht="119.25" x14ac:dyDescent="0.25">
      <c r="A84" s="1846"/>
      <c r="B84" s="70" t="s">
        <v>1902</v>
      </c>
      <c r="C84" s="81"/>
      <c r="D84" s="70"/>
      <c r="E84" s="1005" t="s">
        <v>2075</v>
      </c>
      <c r="F84" s="1056">
        <v>148229</v>
      </c>
      <c r="G84" s="1056">
        <v>148885.1</v>
      </c>
      <c r="H84" s="1056">
        <f>H85+H86+H87</f>
        <v>1967063.3</v>
      </c>
      <c r="I84" s="1056">
        <f t="shared" ref="I84:J84" si="14">I85+I86+I87</f>
        <v>220438.3</v>
      </c>
      <c r="J84" s="1056">
        <f t="shared" si="14"/>
        <v>220438.3</v>
      </c>
      <c r="K84" s="1005" t="s">
        <v>547</v>
      </c>
      <c r="L84" s="1057" t="s">
        <v>3</v>
      </c>
      <c r="M84" s="1057">
        <v>65</v>
      </c>
      <c r="N84" s="1057">
        <v>65</v>
      </c>
      <c r="O84" s="1057">
        <v>65</v>
      </c>
      <c r="P84" s="1057">
        <v>70</v>
      </c>
      <c r="Q84" s="1057">
        <v>70</v>
      </c>
    </row>
    <row r="85" spans="1:17" s="4" customFormat="1" ht="90" x14ac:dyDescent="0.25">
      <c r="A85" s="1846"/>
      <c r="B85" s="70"/>
      <c r="C85" s="81" t="s">
        <v>5</v>
      </c>
      <c r="D85" s="70"/>
      <c r="E85" s="1005" t="s">
        <v>548</v>
      </c>
      <c r="F85" s="1055">
        <v>146537.1</v>
      </c>
      <c r="G85" s="1055">
        <v>146567.5</v>
      </c>
      <c r="H85" s="1055">
        <v>218088.3</v>
      </c>
      <c r="I85" s="1055">
        <v>218088.3</v>
      </c>
      <c r="J85" s="1055">
        <v>218088.3</v>
      </c>
      <c r="K85" s="1005" t="s">
        <v>549</v>
      </c>
      <c r="L85" s="1057" t="s">
        <v>1</v>
      </c>
      <c r="M85" s="1057">
        <v>5</v>
      </c>
      <c r="N85" s="1057">
        <v>5</v>
      </c>
      <c r="O85" s="1057">
        <v>10</v>
      </c>
      <c r="P85" s="1057">
        <v>15</v>
      </c>
      <c r="Q85" s="1057">
        <v>20</v>
      </c>
    </row>
    <row r="86" spans="1:17" s="4" customFormat="1" ht="75" x14ac:dyDescent="0.25">
      <c r="A86" s="1846"/>
      <c r="B86" s="70"/>
      <c r="C86" s="81" t="s">
        <v>6</v>
      </c>
      <c r="D86" s="70"/>
      <c r="E86" s="1005" t="s">
        <v>1721</v>
      </c>
      <c r="F86" s="1055">
        <v>1691.9</v>
      </c>
      <c r="G86" s="1055">
        <v>2317.6</v>
      </c>
      <c r="H86" s="1055">
        <v>2350</v>
      </c>
      <c r="I86" s="1055">
        <v>2350</v>
      </c>
      <c r="J86" s="1055">
        <v>2350</v>
      </c>
      <c r="K86" s="1005" t="s">
        <v>550</v>
      </c>
      <c r="L86" s="1057" t="s">
        <v>13</v>
      </c>
      <c r="M86" s="1057">
        <v>0</v>
      </c>
      <c r="N86" s="1057">
        <v>5</v>
      </c>
      <c r="O86" s="1057">
        <v>10</v>
      </c>
      <c r="P86" s="1057">
        <v>15</v>
      </c>
      <c r="Q86" s="1057">
        <v>20</v>
      </c>
    </row>
    <row r="87" spans="1:17" s="4" customFormat="1" ht="30" x14ac:dyDescent="0.25">
      <c r="A87" s="1839"/>
      <c r="B87" s="70"/>
      <c r="C87" s="81" t="s">
        <v>4</v>
      </c>
      <c r="D87" s="70"/>
      <c r="E87" s="1005" t="s">
        <v>551</v>
      </c>
      <c r="F87" s="1055">
        <v>479570</v>
      </c>
      <c r="G87" s="1055">
        <v>1444898</v>
      </c>
      <c r="H87" s="1055">
        <v>1746625</v>
      </c>
      <c r="I87" s="1055"/>
      <c r="J87" s="1055"/>
      <c r="K87" s="1046"/>
      <c r="L87" s="1046"/>
      <c r="M87" s="1046"/>
      <c r="N87" s="1046"/>
      <c r="O87" s="1046"/>
      <c r="P87" s="1046"/>
      <c r="Q87" s="1046"/>
    </row>
    <row r="88" spans="1:17" s="4" customFormat="1" x14ac:dyDescent="0.25">
      <c r="A88" s="1610" t="s">
        <v>35</v>
      </c>
      <c r="B88" s="1611"/>
      <c r="C88" s="1611"/>
      <c r="D88" s="1611"/>
      <c r="E88" s="1909"/>
      <c r="F88" s="1059">
        <v>34525493.399999999</v>
      </c>
      <c r="G88" s="1059">
        <v>39469968.5</v>
      </c>
      <c r="H88" s="1059">
        <f>H61+H64+H70+H75+H81+H84</f>
        <v>60943867.100000001</v>
      </c>
      <c r="I88" s="1059">
        <f t="shared" ref="I88:J88" si="15">I61+I64+I70+I75+I81+I84</f>
        <v>61431859.499999993</v>
      </c>
      <c r="J88" s="1059">
        <f t="shared" si="15"/>
        <v>61303513.199999996</v>
      </c>
      <c r="K88" s="1048"/>
      <c r="L88" s="1048"/>
      <c r="M88" s="1048"/>
      <c r="N88" s="1048"/>
      <c r="O88" s="1048"/>
      <c r="P88" s="1048"/>
      <c r="Q88" s="1048"/>
    </row>
    <row r="89" spans="1:17" s="4" customFormat="1" ht="21.75" customHeight="1" x14ac:dyDescent="0.25">
      <c r="A89" s="1287" t="s">
        <v>1036</v>
      </c>
      <c r="B89" s="1287" t="s">
        <v>610</v>
      </c>
      <c r="C89" s="1287"/>
      <c r="D89" s="1287"/>
      <c r="E89" s="1287"/>
      <c r="F89" s="1287"/>
      <c r="G89" s="1287"/>
      <c r="H89" s="1287"/>
      <c r="I89" s="1287"/>
      <c r="J89" s="1287"/>
      <c r="K89" s="1287"/>
      <c r="L89" s="1287"/>
      <c r="M89" s="1287"/>
      <c r="N89" s="1287"/>
      <c r="O89" s="1287"/>
      <c r="P89" s="720"/>
      <c r="Q89" s="720"/>
    </row>
    <row r="90" spans="1:17" s="4" customFormat="1" x14ac:dyDescent="0.25">
      <c r="A90" s="1288">
        <v>37</v>
      </c>
      <c r="B90" s="1895" t="s">
        <v>0</v>
      </c>
      <c r="C90" s="1907"/>
      <c r="D90" s="1503"/>
      <c r="E90" s="1908" t="s">
        <v>1778</v>
      </c>
      <c r="F90" s="1888">
        <v>121610.93032</v>
      </c>
      <c r="G90" s="1888">
        <v>147069.011</v>
      </c>
      <c r="H90" s="1888">
        <f>H94+H99</f>
        <v>184983.6</v>
      </c>
      <c r="I90" s="1888">
        <f t="shared" ref="I90:J90" si="16">I94+I99</f>
        <v>208377.1</v>
      </c>
      <c r="J90" s="1888">
        <f t="shared" si="16"/>
        <v>208377.1</v>
      </c>
      <c r="K90" s="1403"/>
      <c r="L90" s="1866"/>
      <c r="M90" s="1399">
        <v>23.5</v>
      </c>
      <c r="N90" s="1866">
        <v>28</v>
      </c>
      <c r="O90" s="1866">
        <v>28</v>
      </c>
      <c r="P90" s="1866">
        <v>28</v>
      </c>
      <c r="Q90" s="1866">
        <v>28</v>
      </c>
    </row>
    <row r="91" spans="1:17" s="4" customFormat="1" x14ac:dyDescent="0.25">
      <c r="A91" s="1289"/>
      <c r="B91" s="1895"/>
      <c r="C91" s="1907"/>
      <c r="D91" s="1503"/>
      <c r="E91" s="1903"/>
      <c r="F91" s="1888"/>
      <c r="G91" s="1888"/>
      <c r="H91" s="1888"/>
      <c r="I91" s="1888"/>
      <c r="J91" s="1888"/>
      <c r="K91" s="1403"/>
      <c r="L91" s="1866"/>
      <c r="M91" s="1400"/>
      <c r="N91" s="1866"/>
      <c r="O91" s="1866"/>
      <c r="P91" s="1866"/>
      <c r="Q91" s="1866"/>
    </row>
    <row r="92" spans="1:17" s="4" customFormat="1" x14ac:dyDescent="0.25">
      <c r="A92" s="1289"/>
      <c r="B92" s="1895"/>
      <c r="C92" s="1907"/>
      <c r="D92" s="1503"/>
      <c r="E92" s="1903"/>
      <c r="F92" s="1888"/>
      <c r="G92" s="1888"/>
      <c r="H92" s="1888"/>
      <c r="I92" s="1888"/>
      <c r="J92" s="1888"/>
      <c r="K92" s="1403"/>
      <c r="L92" s="1866"/>
      <c r="M92" s="1400"/>
      <c r="N92" s="1866"/>
      <c r="O92" s="1866"/>
      <c r="P92" s="1866"/>
      <c r="Q92" s="1866"/>
    </row>
    <row r="93" spans="1:17" s="4" customFormat="1" x14ac:dyDescent="0.25">
      <c r="A93" s="1289"/>
      <c r="B93" s="1895"/>
      <c r="C93" s="1907"/>
      <c r="D93" s="1503"/>
      <c r="E93" s="1903"/>
      <c r="F93" s="1888"/>
      <c r="G93" s="1888"/>
      <c r="H93" s="1888"/>
      <c r="I93" s="1888"/>
      <c r="J93" s="1888"/>
      <c r="K93" s="1403"/>
      <c r="L93" s="1866"/>
      <c r="M93" s="1401"/>
      <c r="N93" s="1866"/>
      <c r="O93" s="1866"/>
      <c r="P93" s="1866"/>
      <c r="Q93" s="1866"/>
    </row>
    <row r="94" spans="1:17" s="4" customFormat="1" ht="45" x14ac:dyDescent="0.25">
      <c r="A94" s="1289"/>
      <c r="B94" s="1824"/>
      <c r="C94" s="1503" t="s">
        <v>5</v>
      </c>
      <c r="D94" s="1503"/>
      <c r="E94" s="1906" t="s">
        <v>25</v>
      </c>
      <c r="F94" s="1866">
        <v>66162.498160000003</v>
      </c>
      <c r="G94" s="1866">
        <v>54022.400000000001</v>
      </c>
      <c r="H94" s="1866">
        <v>69631.600000000006</v>
      </c>
      <c r="I94" s="1866">
        <v>69631.600000000006</v>
      </c>
      <c r="J94" s="1866">
        <v>69631.600000000006</v>
      </c>
      <c r="K94" s="428" t="s">
        <v>1037</v>
      </c>
      <c r="L94" s="406" t="s">
        <v>2076</v>
      </c>
      <c r="M94" s="406">
        <v>39</v>
      </c>
      <c r="N94" s="406">
        <v>39</v>
      </c>
      <c r="O94" s="406">
        <v>38</v>
      </c>
      <c r="P94" s="406">
        <v>38</v>
      </c>
      <c r="Q94" s="406">
        <v>38</v>
      </c>
    </row>
    <row r="95" spans="1:17" s="4" customFormat="1" ht="45" x14ac:dyDescent="0.25">
      <c r="A95" s="1289"/>
      <c r="B95" s="1825"/>
      <c r="C95" s="1503"/>
      <c r="D95" s="1503"/>
      <c r="E95" s="1906"/>
      <c r="F95" s="1866"/>
      <c r="G95" s="1866"/>
      <c r="H95" s="1866"/>
      <c r="I95" s="1866"/>
      <c r="J95" s="1866"/>
      <c r="K95" s="593" t="s">
        <v>1038</v>
      </c>
      <c r="L95" s="406" t="s">
        <v>1039</v>
      </c>
      <c r="M95" s="406">
        <v>13</v>
      </c>
      <c r="N95" s="406">
        <v>13</v>
      </c>
      <c r="O95" s="406">
        <v>14</v>
      </c>
      <c r="P95" s="406">
        <v>14</v>
      </c>
      <c r="Q95" s="406">
        <v>14</v>
      </c>
    </row>
    <row r="96" spans="1:17" s="4" customFormat="1" ht="45" x14ac:dyDescent="0.25">
      <c r="A96" s="1289"/>
      <c r="B96" s="1825"/>
      <c r="C96" s="1503"/>
      <c r="D96" s="1503"/>
      <c r="E96" s="1906"/>
      <c r="F96" s="1866"/>
      <c r="G96" s="1866"/>
      <c r="H96" s="1866"/>
      <c r="I96" s="1866"/>
      <c r="J96" s="1866"/>
      <c r="K96" s="593" t="s">
        <v>1040</v>
      </c>
      <c r="L96" s="406" t="s">
        <v>1039</v>
      </c>
      <c r="M96" s="406"/>
      <c r="N96" s="406"/>
      <c r="O96" s="406"/>
      <c r="P96" s="406"/>
      <c r="Q96" s="406"/>
    </row>
    <row r="97" spans="1:17" s="4" customFormat="1" ht="30" x14ac:dyDescent="0.25">
      <c r="A97" s="1289"/>
      <c r="B97" s="1825"/>
      <c r="C97" s="1503"/>
      <c r="D97" s="1503"/>
      <c r="E97" s="1906"/>
      <c r="F97" s="1866"/>
      <c r="G97" s="1866"/>
      <c r="H97" s="1866"/>
      <c r="I97" s="1866"/>
      <c r="J97" s="1866"/>
      <c r="K97" s="593" t="s">
        <v>1041</v>
      </c>
      <c r="L97" s="406" t="s">
        <v>1042</v>
      </c>
      <c r="M97" s="406">
        <v>262.89999999999998</v>
      </c>
      <c r="N97" s="406">
        <v>262.89999999999998</v>
      </c>
      <c r="O97" s="406">
        <v>262.89999999999998</v>
      </c>
      <c r="P97" s="406">
        <v>262.89999999999998</v>
      </c>
      <c r="Q97" s="406">
        <v>262.89999999999998</v>
      </c>
    </row>
    <row r="98" spans="1:17" s="4" customFormat="1" x14ac:dyDescent="0.25">
      <c r="A98" s="1289"/>
      <c r="B98" s="1831"/>
      <c r="C98" s="1503"/>
      <c r="D98" s="1503"/>
      <c r="E98" s="1906"/>
      <c r="F98" s="1866"/>
      <c r="G98" s="1866"/>
      <c r="H98" s="1866"/>
      <c r="I98" s="1866"/>
      <c r="J98" s="1866"/>
      <c r="K98" s="593" t="s">
        <v>177</v>
      </c>
      <c r="L98" s="406" t="s">
        <v>1043</v>
      </c>
      <c r="M98" s="406">
        <v>27</v>
      </c>
      <c r="N98" s="406">
        <v>27</v>
      </c>
      <c r="O98" s="406" t="s">
        <v>1044</v>
      </c>
      <c r="P98" s="406" t="s">
        <v>1044</v>
      </c>
      <c r="Q98" s="406" t="s">
        <v>1044</v>
      </c>
    </row>
    <row r="99" spans="1:17" s="4" customFormat="1" ht="165" x14ac:dyDescent="0.25">
      <c r="A99" s="1289"/>
      <c r="B99" s="1824"/>
      <c r="C99" s="1503" t="s">
        <v>6</v>
      </c>
      <c r="D99" s="1503"/>
      <c r="E99" s="1906" t="s">
        <v>1580</v>
      </c>
      <c r="F99" s="1866">
        <v>55448.432159999997</v>
      </c>
      <c r="G99" s="1866">
        <v>93046.611000000004</v>
      </c>
      <c r="H99" s="1866">
        <v>115352</v>
      </c>
      <c r="I99" s="1866">
        <v>138745.5</v>
      </c>
      <c r="J99" s="1866">
        <v>138745.5</v>
      </c>
      <c r="K99" s="597" t="s">
        <v>1045</v>
      </c>
      <c r="L99" s="406" t="s">
        <v>3</v>
      </c>
      <c r="M99" s="406">
        <v>100</v>
      </c>
      <c r="N99" s="406">
        <v>100</v>
      </c>
      <c r="O99" s="406">
        <v>100</v>
      </c>
      <c r="P99" s="429">
        <v>100</v>
      </c>
      <c r="Q99" s="429">
        <v>100</v>
      </c>
    </row>
    <row r="100" spans="1:17" s="4" customFormat="1" ht="30" x14ac:dyDescent="0.25">
      <c r="A100" s="1289"/>
      <c r="B100" s="1831"/>
      <c r="C100" s="1503"/>
      <c r="D100" s="1503"/>
      <c r="E100" s="1906"/>
      <c r="F100" s="1866"/>
      <c r="G100" s="1866"/>
      <c r="H100" s="1866"/>
      <c r="I100" s="1866"/>
      <c r="J100" s="1866"/>
      <c r="K100" s="593" t="s">
        <v>1046</v>
      </c>
      <c r="L100" s="406" t="s">
        <v>3</v>
      </c>
      <c r="M100" s="1060">
        <v>0.85</v>
      </c>
      <c r="N100" s="1060">
        <v>0.85</v>
      </c>
      <c r="O100" s="1060">
        <v>0.9</v>
      </c>
      <c r="P100" s="1061">
        <v>0.95</v>
      </c>
      <c r="Q100" s="1061">
        <v>0.95</v>
      </c>
    </row>
    <row r="101" spans="1:17" s="4" customFormat="1" ht="134.25" x14ac:dyDescent="0.25">
      <c r="A101" s="1289"/>
      <c r="B101" s="511" t="s">
        <v>1903</v>
      </c>
      <c r="C101" s="1062"/>
      <c r="D101" s="1062"/>
      <c r="E101" s="423" t="s">
        <v>1722</v>
      </c>
      <c r="F101" s="670">
        <v>3303999.3863199996</v>
      </c>
      <c r="G101" s="670">
        <v>1774633.2389999998</v>
      </c>
      <c r="H101" s="670">
        <f>H102+H106+H108+H110+H113+H114+H115</f>
        <v>1847047.2599999998</v>
      </c>
      <c r="I101" s="670">
        <f t="shared" ref="I101:J101" si="17">I102+I106+I108+I110+I113+I114+I115</f>
        <v>1790086.0599999994</v>
      </c>
      <c r="J101" s="670">
        <f t="shared" si="17"/>
        <v>1790086.0599999994</v>
      </c>
      <c r="K101" s="406"/>
      <c r="L101" s="406"/>
      <c r="M101" s="406"/>
      <c r="N101" s="406"/>
      <c r="O101" s="406"/>
      <c r="P101" s="406"/>
      <c r="Q101" s="406"/>
    </row>
    <row r="102" spans="1:17" s="4" customFormat="1" x14ac:dyDescent="0.25">
      <c r="A102" s="1289"/>
      <c r="B102" s="1860"/>
      <c r="C102" s="1503" t="s">
        <v>5</v>
      </c>
      <c r="D102" s="1503"/>
      <c r="E102" s="1903" t="s">
        <v>1047</v>
      </c>
      <c r="F102" s="1905">
        <v>1223156.0435799998</v>
      </c>
      <c r="G102" s="1905">
        <v>1184469.9620000001</v>
      </c>
      <c r="H102" s="1905">
        <v>1215994.5</v>
      </c>
      <c r="I102" s="1905">
        <v>1214187.0999999996</v>
      </c>
      <c r="J102" s="1905">
        <v>1214187.0999999996</v>
      </c>
      <c r="K102" s="593" t="s">
        <v>1048</v>
      </c>
      <c r="L102" s="406" t="s">
        <v>1049</v>
      </c>
      <c r="M102" s="406">
        <v>18</v>
      </c>
      <c r="N102" s="406">
        <v>18</v>
      </c>
      <c r="O102" s="406">
        <v>19</v>
      </c>
      <c r="P102" s="406">
        <v>20</v>
      </c>
      <c r="Q102" s="406">
        <v>20</v>
      </c>
    </row>
    <row r="103" spans="1:17" s="4" customFormat="1" ht="45" x14ac:dyDescent="0.25">
      <c r="A103" s="1289"/>
      <c r="B103" s="1860"/>
      <c r="C103" s="1503"/>
      <c r="D103" s="1503"/>
      <c r="E103" s="1903"/>
      <c r="F103" s="1905"/>
      <c r="G103" s="1905"/>
      <c r="H103" s="1905"/>
      <c r="I103" s="1905"/>
      <c r="J103" s="1905"/>
      <c r="K103" s="593" t="s">
        <v>1050</v>
      </c>
      <c r="L103" s="406" t="s">
        <v>1051</v>
      </c>
      <c r="M103" s="406">
        <v>11</v>
      </c>
      <c r="N103" s="406">
        <v>11</v>
      </c>
      <c r="O103" s="406">
        <v>10.5</v>
      </c>
      <c r="P103" s="406">
        <v>10</v>
      </c>
      <c r="Q103" s="406">
        <v>10</v>
      </c>
    </row>
    <row r="104" spans="1:17" s="4" customFormat="1" ht="45" x14ac:dyDescent="0.25">
      <c r="A104" s="1289"/>
      <c r="B104" s="1860"/>
      <c r="C104" s="1503"/>
      <c r="D104" s="1503"/>
      <c r="E104" s="1903"/>
      <c r="F104" s="1905"/>
      <c r="G104" s="1905"/>
      <c r="H104" s="1905"/>
      <c r="I104" s="1905"/>
      <c r="J104" s="1905"/>
      <c r="K104" s="593" t="s">
        <v>1052</v>
      </c>
      <c r="L104" s="406" t="s">
        <v>1051</v>
      </c>
      <c r="M104" s="406">
        <v>140</v>
      </c>
      <c r="N104" s="406">
        <v>140</v>
      </c>
      <c r="O104" s="406">
        <v>130</v>
      </c>
      <c r="P104" s="406">
        <v>120</v>
      </c>
      <c r="Q104" s="406">
        <v>120</v>
      </c>
    </row>
    <row r="105" spans="1:17" s="4" customFormat="1" ht="45" x14ac:dyDescent="0.25">
      <c r="A105" s="1289"/>
      <c r="B105" s="1860"/>
      <c r="C105" s="1503"/>
      <c r="D105" s="1503"/>
      <c r="E105" s="1903"/>
      <c r="F105" s="1905"/>
      <c r="G105" s="1905"/>
      <c r="H105" s="1905"/>
      <c r="I105" s="1905"/>
      <c r="J105" s="1905"/>
      <c r="K105" s="593" t="s">
        <v>1053</v>
      </c>
      <c r="L105" s="406" t="s">
        <v>1051</v>
      </c>
      <c r="M105" s="406">
        <v>420</v>
      </c>
      <c r="N105" s="406">
        <v>420</v>
      </c>
      <c r="O105" s="406">
        <v>410</v>
      </c>
      <c r="P105" s="406">
        <v>400</v>
      </c>
      <c r="Q105" s="406">
        <v>400</v>
      </c>
    </row>
    <row r="106" spans="1:17" s="4" customFormat="1" ht="30" x14ac:dyDescent="0.25">
      <c r="A106" s="1289"/>
      <c r="B106" s="1860"/>
      <c r="C106" s="1503" t="s">
        <v>6</v>
      </c>
      <c r="D106" s="1503"/>
      <c r="E106" s="1903" t="s">
        <v>1054</v>
      </c>
      <c r="F106" s="1866">
        <v>1760441.37121</v>
      </c>
      <c r="G106" s="1866">
        <v>154499.38500000001</v>
      </c>
      <c r="H106" s="1866">
        <v>176247.5</v>
      </c>
      <c r="I106" s="1866">
        <v>152854.1</v>
      </c>
      <c r="J106" s="1866">
        <v>152854.1</v>
      </c>
      <c r="K106" s="593" t="s">
        <v>1055</v>
      </c>
      <c r="L106" s="406" t="s">
        <v>3</v>
      </c>
      <c r="M106" s="406" t="s">
        <v>1056</v>
      </c>
      <c r="N106" s="406" t="s">
        <v>1056</v>
      </c>
      <c r="O106" s="406" t="s">
        <v>1056</v>
      </c>
      <c r="P106" s="406" t="s">
        <v>1057</v>
      </c>
      <c r="Q106" s="406" t="s">
        <v>1057</v>
      </c>
    </row>
    <row r="107" spans="1:17" s="4" customFormat="1" ht="90" x14ac:dyDescent="0.25">
      <c r="A107" s="1289"/>
      <c r="B107" s="1860"/>
      <c r="C107" s="1503"/>
      <c r="D107" s="1503"/>
      <c r="E107" s="1903"/>
      <c r="F107" s="1866"/>
      <c r="G107" s="1866"/>
      <c r="H107" s="1866"/>
      <c r="I107" s="1866"/>
      <c r="J107" s="1866"/>
      <c r="K107" s="593" t="s">
        <v>1058</v>
      </c>
      <c r="L107" s="406" t="s">
        <v>1059</v>
      </c>
      <c r="M107" s="406" t="s">
        <v>1060</v>
      </c>
      <c r="N107" s="406" t="s">
        <v>1060</v>
      </c>
      <c r="O107" s="406" t="s">
        <v>1060</v>
      </c>
      <c r="P107" s="406" t="s">
        <v>1060</v>
      </c>
      <c r="Q107" s="406" t="s">
        <v>1060</v>
      </c>
    </row>
    <row r="108" spans="1:17" s="4" customFormat="1" ht="45" x14ac:dyDescent="0.25">
      <c r="A108" s="1289"/>
      <c r="B108" s="1860"/>
      <c r="C108" s="1503" t="s">
        <v>4</v>
      </c>
      <c r="D108" s="1503"/>
      <c r="E108" s="1903" t="s">
        <v>1061</v>
      </c>
      <c r="F108" s="1866">
        <v>32605.00101</v>
      </c>
      <c r="G108" s="1866">
        <v>44888.220999999998</v>
      </c>
      <c r="H108" s="1866">
        <v>43606.2</v>
      </c>
      <c r="I108" s="1866">
        <v>43606.2</v>
      </c>
      <c r="J108" s="1866">
        <v>43606.2</v>
      </c>
      <c r="K108" s="593" t="s">
        <v>2077</v>
      </c>
      <c r="L108" s="406" t="s">
        <v>190</v>
      </c>
      <c r="M108" s="406">
        <v>7</v>
      </c>
      <c r="N108" s="406">
        <v>7</v>
      </c>
      <c r="O108" s="406">
        <v>8</v>
      </c>
      <c r="P108" s="406">
        <v>7</v>
      </c>
      <c r="Q108" s="406">
        <v>8</v>
      </c>
    </row>
    <row r="109" spans="1:17" s="4" customFormat="1" ht="30" x14ac:dyDescent="0.25">
      <c r="A109" s="1289"/>
      <c r="B109" s="1860"/>
      <c r="C109" s="1503"/>
      <c r="D109" s="1503"/>
      <c r="E109" s="1903"/>
      <c r="F109" s="1866"/>
      <c r="G109" s="1866"/>
      <c r="H109" s="1866"/>
      <c r="I109" s="1866"/>
      <c r="J109" s="1866"/>
      <c r="K109" s="428" t="s">
        <v>1062</v>
      </c>
      <c r="L109" s="406" t="s">
        <v>1063</v>
      </c>
      <c r="M109" s="406">
        <v>4</v>
      </c>
      <c r="N109" s="406">
        <v>4</v>
      </c>
      <c r="O109" s="406">
        <v>4</v>
      </c>
      <c r="P109" s="406">
        <v>4</v>
      </c>
      <c r="Q109" s="406">
        <v>4</v>
      </c>
    </row>
    <row r="110" spans="1:17" s="4" customFormat="1" ht="45" x14ac:dyDescent="0.25">
      <c r="A110" s="1289"/>
      <c r="B110" s="1860"/>
      <c r="C110" s="1503" t="s">
        <v>7</v>
      </c>
      <c r="D110" s="1503"/>
      <c r="E110" s="1903" t="s">
        <v>1064</v>
      </c>
      <c r="F110" s="1866">
        <v>146316.03829</v>
      </c>
      <c r="G110" s="1866">
        <v>269168.00800000003</v>
      </c>
      <c r="H110" s="1866">
        <v>270133.09999999998</v>
      </c>
      <c r="I110" s="1866">
        <v>270133.09999999998</v>
      </c>
      <c r="J110" s="1866">
        <v>270133.09999999998</v>
      </c>
      <c r="K110" s="428" t="s">
        <v>1065</v>
      </c>
      <c r="L110" s="406" t="s">
        <v>1051</v>
      </c>
      <c r="M110" s="406">
        <v>12</v>
      </c>
      <c r="N110" s="406">
        <v>12</v>
      </c>
      <c r="O110" s="406">
        <v>12</v>
      </c>
      <c r="P110" s="406">
        <v>11</v>
      </c>
      <c r="Q110" s="406">
        <v>11</v>
      </c>
    </row>
    <row r="111" spans="1:17" s="4" customFormat="1" ht="60" x14ac:dyDescent="0.25">
      <c r="A111" s="1289"/>
      <c r="B111" s="1860"/>
      <c r="C111" s="1503"/>
      <c r="D111" s="1503"/>
      <c r="E111" s="1903"/>
      <c r="F111" s="1866"/>
      <c r="G111" s="1866"/>
      <c r="H111" s="1866"/>
      <c r="I111" s="1866"/>
      <c r="J111" s="1866"/>
      <c r="K111" s="428" t="s">
        <v>1066</v>
      </c>
      <c r="L111" s="406" t="s">
        <v>3</v>
      </c>
      <c r="M111" s="406">
        <v>95</v>
      </c>
      <c r="N111" s="406">
        <v>95</v>
      </c>
      <c r="O111" s="406">
        <v>95</v>
      </c>
      <c r="P111" s="406">
        <v>95</v>
      </c>
      <c r="Q111" s="406">
        <v>95</v>
      </c>
    </row>
    <row r="112" spans="1:17" s="4" customFormat="1" ht="30" x14ac:dyDescent="0.25">
      <c r="A112" s="1289"/>
      <c r="B112" s="1860"/>
      <c r="C112" s="1503"/>
      <c r="D112" s="1503"/>
      <c r="E112" s="1903"/>
      <c r="F112" s="1866"/>
      <c r="G112" s="1866"/>
      <c r="H112" s="1866"/>
      <c r="I112" s="1866"/>
      <c r="J112" s="1866"/>
      <c r="K112" s="428" t="s">
        <v>1067</v>
      </c>
      <c r="L112" s="406" t="s">
        <v>3</v>
      </c>
      <c r="M112" s="406">
        <v>80</v>
      </c>
      <c r="N112" s="406">
        <v>80</v>
      </c>
      <c r="O112" s="406">
        <v>90</v>
      </c>
      <c r="P112" s="406">
        <v>93</v>
      </c>
      <c r="Q112" s="406">
        <v>93</v>
      </c>
    </row>
    <row r="113" spans="1:17" s="4" customFormat="1" ht="105" x14ac:dyDescent="0.25">
      <c r="A113" s="1289"/>
      <c r="B113" s="1860"/>
      <c r="C113" s="491" t="s">
        <v>8</v>
      </c>
      <c r="D113" s="491"/>
      <c r="E113" s="428" t="s">
        <v>1068</v>
      </c>
      <c r="F113" s="429">
        <v>0</v>
      </c>
      <c r="G113" s="429">
        <v>5000</v>
      </c>
      <c r="H113" s="429">
        <v>0</v>
      </c>
      <c r="I113" s="429">
        <v>0</v>
      </c>
      <c r="J113" s="429">
        <v>0</v>
      </c>
      <c r="K113" s="593" t="s">
        <v>2078</v>
      </c>
      <c r="L113" s="406" t="s">
        <v>190</v>
      </c>
      <c r="M113" s="406">
        <v>2500</v>
      </c>
      <c r="N113" s="406">
        <v>2500</v>
      </c>
      <c r="O113" s="406">
        <v>2500</v>
      </c>
      <c r="P113" s="406">
        <v>2500</v>
      </c>
      <c r="Q113" s="406">
        <v>2500</v>
      </c>
    </row>
    <row r="114" spans="1:17" s="4" customFormat="1" ht="60" x14ac:dyDescent="0.25">
      <c r="A114" s="1289"/>
      <c r="B114" s="1860"/>
      <c r="C114" s="491" t="s">
        <v>9</v>
      </c>
      <c r="D114" s="491"/>
      <c r="E114" s="428" t="s">
        <v>1069</v>
      </c>
      <c r="F114" s="406">
        <v>121331.81533000001</v>
      </c>
      <c r="G114" s="406">
        <v>95101.637999999992</v>
      </c>
      <c r="H114" s="406">
        <v>118399.8</v>
      </c>
      <c r="I114" s="406">
        <v>86639.4</v>
      </c>
      <c r="J114" s="406">
        <v>86639.4</v>
      </c>
      <c r="K114" s="593" t="s">
        <v>2079</v>
      </c>
      <c r="L114" s="406" t="s">
        <v>1070</v>
      </c>
      <c r="M114" s="406">
        <v>200</v>
      </c>
      <c r="N114" s="406">
        <v>200</v>
      </c>
      <c r="O114" s="406">
        <v>200</v>
      </c>
      <c r="P114" s="406">
        <v>200</v>
      </c>
      <c r="Q114" s="406">
        <v>200</v>
      </c>
    </row>
    <row r="115" spans="1:17" s="4" customFormat="1" ht="59.25" customHeight="1" x14ac:dyDescent="0.25">
      <c r="A115" s="1289"/>
      <c r="B115" s="1860"/>
      <c r="C115" s="1503" t="s">
        <v>10</v>
      </c>
      <c r="D115" s="1503"/>
      <c r="E115" s="1903" t="s">
        <v>1071</v>
      </c>
      <c r="F115" s="1904">
        <v>20149.116900000001</v>
      </c>
      <c r="G115" s="1904">
        <v>21506.025000000001</v>
      </c>
      <c r="H115" s="1904">
        <v>22666.16</v>
      </c>
      <c r="I115" s="1904">
        <v>22666.16</v>
      </c>
      <c r="J115" s="1904">
        <v>22666.16</v>
      </c>
      <c r="K115" s="593" t="s">
        <v>1072</v>
      </c>
      <c r="L115" s="406" t="s">
        <v>1073</v>
      </c>
      <c r="M115" s="429">
        <v>250</v>
      </c>
      <c r="N115" s="429">
        <v>250</v>
      </c>
      <c r="O115" s="429">
        <v>250</v>
      </c>
      <c r="P115" s="429">
        <v>250</v>
      </c>
      <c r="Q115" s="429">
        <v>250</v>
      </c>
    </row>
    <row r="116" spans="1:17" s="4" customFormat="1" ht="30" x14ac:dyDescent="0.25">
      <c r="A116" s="1289"/>
      <c r="B116" s="1860"/>
      <c r="C116" s="1503"/>
      <c r="D116" s="1503"/>
      <c r="E116" s="1903"/>
      <c r="F116" s="1904"/>
      <c r="G116" s="1904"/>
      <c r="H116" s="1904"/>
      <c r="I116" s="1904"/>
      <c r="J116" s="1904"/>
      <c r="K116" s="593" t="s">
        <v>1074</v>
      </c>
      <c r="L116" s="406" t="s">
        <v>1075</v>
      </c>
      <c r="M116" s="406">
        <v>85</v>
      </c>
      <c r="N116" s="406">
        <v>85</v>
      </c>
      <c r="O116" s="406">
        <v>85</v>
      </c>
      <c r="P116" s="406">
        <v>85</v>
      </c>
      <c r="Q116" s="406">
        <v>85</v>
      </c>
    </row>
    <row r="117" spans="1:17" s="4" customFormat="1" ht="118.5" x14ac:dyDescent="0.25">
      <c r="A117" s="1289"/>
      <c r="B117" s="511" t="s">
        <v>1904</v>
      </c>
      <c r="C117" s="511"/>
      <c r="D117" s="511"/>
      <c r="E117" s="423" t="s">
        <v>1779</v>
      </c>
      <c r="F117" s="1063">
        <v>1902091.1950500002</v>
      </c>
      <c r="G117" s="1063">
        <v>2866803.0160000003</v>
      </c>
      <c r="H117" s="1063">
        <f>H118+H120+H122+H124+H125+H130+H136+H137+H138</f>
        <v>3714198.5</v>
      </c>
      <c r="I117" s="1063">
        <f t="shared" ref="I117:J117" si="18">I118+I120+I122+I124+I125+I130+I136+I137+I138</f>
        <v>4006500.5</v>
      </c>
      <c r="J117" s="1063">
        <f t="shared" si="18"/>
        <v>3953566.1999999997</v>
      </c>
      <c r="K117" s="605"/>
      <c r="L117" s="670"/>
      <c r="M117" s="670"/>
      <c r="N117" s="670"/>
      <c r="O117" s="670"/>
      <c r="P117" s="670"/>
      <c r="Q117" s="670"/>
    </row>
    <row r="118" spans="1:17" s="4" customFormat="1" ht="75" x14ac:dyDescent="0.25">
      <c r="A118" s="1289"/>
      <c r="B118" s="1503"/>
      <c r="C118" s="1503" t="s">
        <v>5</v>
      </c>
      <c r="D118" s="1503"/>
      <c r="E118" s="1903" t="s">
        <v>1076</v>
      </c>
      <c r="F118" s="1902">
        <v>83921.919850000006</v>
      </c>
      <c r="G118" s="1902">
        <v>123925.73000000001</v>
      </c>
      <c r="H118" s="1902">
        <v>135372.20000000001</v>
      </c>
      <c r="I118" s="1902">
        <v>135372.20000000001</v>
      </c>
      <c r="J118" s="1902">
        <v>135372.20000000001</v>
      </c>
      <c r="K118" s="593" t="s">
        <v>1077</v>
      </c>
      <c r="L118" s="406" t="s">
        <v>3</v>
      </c>
      <c r="M118" s="406">
        <v>70</v>
      </c>
      <c r="N118" s="406">
        <v>70</v>
      </c>
      <c r="O118" s="406">
        <v>80</v>
      </c>
      <c r="P118" s="406">
        <v>80</v>
      </c>
      <c r="Q118" s="406">
        <v>80</v>
      </c>
    </row>
    <row r="119" spans="1:17" s="4" customFormat="1" ht="45" x14ac:dyDescent="0.25">
      <c r="A119" s="1289"/>
      <c r="B119" s="1503"/>
      <c r="C119" s="1503"/>
      <c r="D119" s="1503"/>
      <c r="E119" s="1903"/>
      <c r="F119" s="1902"/>
      <c r="G119" s="1902"/>
      <c r="H119" s="1902"/>
      <c r="I119" s="1902"/>
      <c r="J119" s="1902"/>
      <c r="K119" s="593" t="s">
        <v>1078</v>
      </c>
      <c r="L119" s="406" t="s">
        <v>3</v>
      </c>
      <c r="M119" s="406">
        <v>90</v>
      </c>
      <c r="N119" s="406">
        <v>90</v>
      </c>
      <c r="O119" s="406">
        <v>90</v>
      </c>
      <c r="P119" s="406">
        <v>100</v>
      </c>
      <c r="Q119" s="406">
        <v>100</v>
      </c>
    </row>
    <row r="120" spans="1:17" s="4" customFormat="1" x14ac:dyDescent="0.25">
      <c r="A120" s="1289"/>
      <c r="B120" s="1503"/>
      <c r="C120" s="1503" t="s">
        <v>6</v>
      </c>
      <c r="D120" s="1503"/>
      <c r="E120" s="1409" t="s">
        <v>1079</v>
      </c>
      <c r="F120" s="1866">
        <v>14989.856749999999</v>
      </c>
      <c r="G120" s="1866">
        <v>24134.3</v>
      </c>
      <c r="H120" s="1866">
        <v>28198.600000000002</v>
      </c>
      <c r="I120" s="1866">
        <v>28198.600000000002</v>
      </c>
      <c r="J120" s="1866">
        <v>28198.600000000002</v>
      </c>
      <c r="K120" s="428" t="s">
        <v>1080</v>
      </c>
      <c r="L120" s="406"/>
      <c r="M120" s="406"/>
      <c r="N120" s="406"/>
      <c r="O120" s="406"/>
      <c r="P120" s="406"/>
      <c r="Q120" s="406"/>
    </row>
    <row r="121" spans="1:17" s="4" customFormat="1" ht="30" x14ac:dyDescent="0.25">
      <c r="A121" s="1289"/>
      <c r="B121" s="1503"/>
      <c r="C121" s="1503"/>
      <c r="D121" s="1503"/>
      <c r="E121" s="1409"/>
      <c r="F121" s="1866"/>
      <c r="G121" s="1866"/>
      <c r="H121" s="1866"/>
      <c r="I121" s="1866"/>
      <c r="J121" s="1866"/>
      <c r="K121" s="428" t="s">
        <v>1081</v>
      </c>
      <c r="L121" s="406" t="s">
        <v>1082</v>
      </c>
      <c r="M121" s="406">
        <v>26500</v>
      </c>
      <c r="N121" s="406">
        <v>26500</v>
      </c>
      <c r="O121" s="406">
        <v>27000</v>
      </c>
      <c r="P121" s="406">
        <v>27500</v>
      </c>
      <c r="Q121" s="406">
        <v>27500</v>
      </c>
    </row>
    <row r="122" spans="1:17" s="4" customFormat="1" ht="45" x14ac:dyDescent="0.25">
      <c r="A122" s="1289"/>
      <c r="B122" s="1503"/>
      <c r="C122" s="1503" t="s">
        <v>4</v>
      </c>
      <c r="D122" s="1503"/>
      <c r="E122" s="1903" t="s">
        <v>1083</v>
      </c>
      <c r="F122" s="1866">
        <v>146097.59711</v>
      </c>
      <c r="G122" s="1866">
        <v>239625.337</v>
      </c>
      <c r="H122" s="1866">
        <v>218290.3</v>
      </c>
      <c r="I122" s="1866">
        <v>276365.3</v>
      </c>
      <c r="J122" s="1866">
        <v>337344.3</v>
      </c>
      <c r="K122" s="593" t="s">
        <v>1084</v>
      </c>
      <c r="L122" s="406" t="s">
        <v>1049</v>
      </c>
      <c r="M122" s="406">
        <v>40</v>
      </c>
      <c r="N122" s="406">
        <v>40</v>
      </c>
      <c r="O122" s="406">
        <v>50</v>
      </c>
      <c r="P122" s="406">
        <v>50</v>
      </c>
      <c r="Q122" s="406">
        <v>50</v>
      </c>
    </row>
    <row r="123" spans="1:17" s="4" customFormat="1" ht="75" x14ac:dyDescent="0.25">
      <c r="A123" s="1289"/>
      <c r="B123" s="1503"/>
      <c r="C123" s="1503"/>
      <c r="D123" s="1503"/>
      <c r="E123" s="1903"/>
      <c r="F123" s="1866"/>
      <c r="G123" s="1866"/>
      <c r="H123" s="1866"/>
      <c r="I123" s="1866"/>
      <c r="J123" s="1866"/>
      <c r="K123" s="593" t="s">
        <v>1085</v>
      </c>
      <c r="L123" s="406" t="s">
        <v>1049</v>
      </c>
      <c r="M123" s="406"/>
      <c r="N123" s="406"/>
      <c r="O123" s="406"/>
      <c r="P123" s="406"/>
      <c r="Q123" s="406"/>
    </row>
    <row r="124" spans="1:17" s="4" customFormat="1" ht="30" x14ac:dyDescent="0.25">
      <c r="A124" s="1289"/>
      <c r="B124" s="1503"/>
      <c r="C124" s="491" t="s">
        <v>7</v>
      </c>
      <c r="D124" s="491"/>
      <c r="E124" s="428" t="s">
        <v>1086</v>
      </c>
      <c r="F124" s="406">
        <v>172595.22855</v>
      </c>
      <c r="G124" s="406">
        <v>187391.38099999999</v>
      </c>
      <c r="H124" s="406">
        <v>228034.7</v>
      </c>
      <c r="I124" s="406">
        <v>241042.7</v>
      </c>
      <c r="J124" s="406">
        <v>241042.7</v>
      </c>
      <c r="K124" s="593" t="s">
        <v>1087</v>
      </c>
      <c r="L124" s="406" t="s">
        <v>1088</v>
      </c>
      <c r="M124" s="406">
        <v>24000</v>
      </c>
      <c r="N124" s="406">
        <v>24000</v>
      </c>
      <c r="O124" s="406">
        <v>24000</v>
      </c>
      <c r="P124" s="406">
        <v>24000</v>
      </c>
      <c r="Q124" s="406">
        <v>24000</v>
      </c>
    </row>
    <row r="125" spans="1:17" s="4" customFormat="1" ht="30" x14ac:dyDescent="0.25">
      <c r="A125" s="1289"/>
      <c r="B125" s="1503"/>
      <c r="C125" s="1503" t="s">
        <v>8</v>
      </c>
      <c r="D125" s="1503"/>
      <c r="E125" s="1903" t="s">
        <v>1089</v>
      </c>
      <c r="F125" s="1902">
        <v>50689.628880000004</v>
      </c>
      <c r="G125" s="1902">
        <v>527000</v>
      </c>
      <c r="H125" s="1902">
        <v>0</v>
      </c>
      <c r="I125" s="1902">
        <v>0</v>
      </c>
      <c r="J125" s="1902">
        <v>0</v>
      </c>
      <c r="K125" s="593" t="s">
        <v>2080</v>
      </c>
      <c r="L125" s="406" t="s">
        <v>1082</v>
      </c>
      <c r="M125" s="406">
        <v>22000</v>
      </c>
      <c r="N125" s="406">
        <v>22000</v>
      </c>
      <c r="O125" s="406">
        <v>23000</v>
      </c>
      <c r="P125" s="406">
        <v>23000</v>
      </c>
      <c r="Q125" s="406">
        <v>23000</v>
      </c>
    </row>
    <row r="126" spans="1:17" s="4" customFormat="1" ht="45" x14ac:dyDescent="0.25">
      <c r="A126" s="1289"/>
      <c r="B126" s="1503"/>
      <c r="C126" s="1503"/>
      <c r="D126" s="1503"/>
      <c r="E126" s="1903"/>
      <c r="F126" s="1902"/>
      <c r="G126" s="1902"/>
      <c r="H126" s="1902"/>
      <c r="I126" s="1902"/>
      <c r="J126" s="1902"/>
      <c r="K126" s="593" t="s">
        <v>1090</v>
      </c>
      <c r="L126" s="406" t="s">
        <v>3</v>
      </c>
      <c r="M126" s="1064">
        <v>0.5</v>
      </c>
      <c r="N126" s="1064">
        <v>0.5</v>
      </c>
      <c r="O126" s="1064">
        <v>1</v>
      </c>
      <c r="P126" s="1064">
        <v>0</v>
      </c>
      <c r="Q126" s="1064">
        <v>1</v>
      </c>
    </row>
    <row r="127" spans="1:17" s="4" customFormat="1" ht="45" x14ac:dyDescent="0.25">
      <c r="A127" s="1289"/>
      <c r="B127" s="1503"/>
      <c r="C127" s="1503"/>
      <c r="D127" s="1503"/>
      <c r="E127" s="1903"/>
      <c r="F127" s="1902"/>
      <c r="G127" s="1902"/>
      <c r="H127" s="1902"/>
      <c r="I127" s="1902"/>
      <c r="J127" s="1902"/>
      <c r="K127" s="593" t="s">
        <v>1091</v>
      </c>
      <c r="L127" s="406" t="s">
        <v>3</v>
      </c>
      <c r="M127" s="406">
        <v>100</v>
      </c>
      <c r="N127" s="406">
        <v>100</v>
      </c>
      <c r="O127" s="406">
        <v>100</v>
      </c>
      <c r="P127" s="406">
        <v>100</v>
      </c>
      <c r="Q127" s="406">
        <v>100</v>
      </c>
    </row>
    <row r="128" spans="1:17" s="4" customFormat="1" ht="30" x14ac:dyDescent="0.25">
      <c r="A128" s="1289"/>
      <c r="B128" s="1503"/>
      <c r="C128" s="1503"/>
      <c r="D128" s="1503"/>
      <c r="E128" s="1903"/>
      <c r="F128" s="1902"/>
      <c r="G128" s="1902"/>
      <c r="H128" s="1902"/>
      <c r="I128" s="1902"/>
      <c r="J128" s="1902"/>
      <c r="K128" s="593" t="s">
        <v>1092</v>
      </c>
      <c r="L128" s="406" t="s">
        <v>3</v>
      </c>
      <c r="M128" s="406">
        <v>40</v>
      </c>
      <c r="N128" s="406">
        <v>40</v>
      </c>
      <c r="O128" s="406">
        <v>50</v>
      </c>
      <c r="P128" s="406">
        <v>50</v>
      </c>
      <c r="Q128" s="406">
        <v>50</v>
      </c>
    </row>
    <row r="129" spans="1:17" s="4" customFormat="1" ht="30" x14ac:dyDescent="0.25">
      <c r="A129" s="1289"/>
      <c r="B129" s="1503"/>
      <c r="C129" s="1503"/>
      <c r="D129" s="1503"/>
      <c r="E129" s="1903"/>
      <c r="F129" s="1902"/>
      <c r="G129" s="1902"/>
      <c r="H129" s="1902"/>
      <c r="I129" s="1902"/>
      <c r="J129" s="1902"/>
      <c r="K129" s="593" t="s">
        <v>1093</v>
      </c>
      <c r="L129" s="406" t="s">
        <v>3</v>
      </c>
      <c r="M129" s="406">
        <v>100</v>
      </c>
      <c r="N129" s="406">
        <v>100</v>
      </c>
      <c r="O129" s="406">
        <v>100</v>
      </c>
      <c r="P129" s="406">
        <v>100</v>
      </c>
      <c r="Q129" s="406">
        <v>100</v>
      </c>
    </row>
    <row r="130" spans="1:17" s="4" customFormat="1" x14ac:dyDescent="0.25">
      <c r="A130" s="1289"/>
      <c r="B130" s="1503"/>
      <c r="C130" s="1503" t="s">
        <v>9</v>
      </c>
      <c r="D130" s="1503"/>
      <c r="E130" s="1899" t="s">
        <v>1723</v>
      </c>
      <c r="F130" s="1902">
        <v>131838.94747000001</v>
      </c>
      <c r="G130" s="1902">
        <v>112385.993</v>
      </c>
      <c r="H130" s="1902">
        <v>121773.6</v>
      </c>
      <c r="I130" s="1902">
        <v>138762.5</v>
      </c>
      <c r="J130" s="1902">
        <v>138762.5</v>
      </c>
      <c r="K130" s="593"/>
      <c r="L130" s="406" t="s">
        <v>3</v>
      </c>
      <c r="M130" s="406">
        <v>99</v>
      </c>
      <c r="N130" s="406">
        <v>99</v>
      </c>
      <c r="O130" s="406">
        <v>99</v>
      </c>
      <c r="P130" s="406">
        <v>99</v>
      </c>
      <c r="Q130" s="406">
        <v>99</v>
      </c>
    </row>
    <row r="131" spans="1:17" s="4" customFormat="1" ht="45" x14ac:dyDescent="0.25">
      <c r="A131" s="1289"/>
      <c r="B131" s="1503"/>
      <c r="C131" s="1503"/>
      <c r="D131" s="1503"/>
      <c r="E131" s="1900"/>
      <c r="F131" s="1902"/>
      <c r="G131" s="1902"/>
      <c r="H131" s="1902"/>
      <c r="I131" s="1902"/>
      <c r="J131" s="1902"/>
      <c r="K131" s="593" t="s">
        <v>1094</v>
      </c>
      <c r="L131" s="619" t="s">
        <v>3</v>
      </c>
      <c r="M131" s="406">
        <v>45</v>
      </c>
      <c r="N131" s="406">
        <v>45</v>
      </c>
      <c r="O131" s="406">
        <v>47</v>
      </c>
      <c r="P131" s="406">
        <v>47</v>
      </c>
      <c r="Q131" s="406">
        <v>47</v>
      </c>
    </row>
    <row r="132" spans="1:17" s="4" customFormat="1" ht="45" x14ac:dyDescent="0.25">
      <c r="A132" s="1289"/>
      <c r="B132" s="1503"/>
      <c r="C132" s="1503"/>
      <c r="D132" s="1503"/>
      <c r="E132" s="1900"/>
      <c r="F132" s="1902"/>
      <c r="G132" s="1902"/>
      <c r="H132" s="1902"/>
      <c r="I132" s="1902"/>
      <c r="J132" s="1902"/>
      <c r="K132" s="593" t="s">
        <v>1095</v>
      </c>
      <c r="L132" s="1065" t="s">
        <v>3</v>
      </c>
      <c r="M132" s="406">
        <v>11</v>
      </c>
      <c r="N132" s="406">
        <v>11</v>
      </c>
      <c r="O132" s="406">
        <v>11</v>
      </c>
      <c r="P132" s="406">
        <v>11</v>
      </c>
      <c r="Q132" s="406">
        <v>11</v>
      </c>
    </row>
    <row r="133" spans="1:17" s="4" customFormat="1" ht="30" x14ac:dyDescent="0.25">
      <c r="A133" s="1289"/>
      <c r="B133" s="1503"/>
      <c r="C133" s="1503"/>
      <c r="D133" s="1503"/>
      <c r="E133" s="1900"/>
      <c r="F133" s="1902"/>
      <c r="G133" s="1902"/>
      <c r="H133" s="1902"/>
      <c r="I133" s="1902"/>
      <c r="J133" s="1902"/>
      <c r="K133" s="620" t="s">
        <v>1096</v>
      </c>
      <c r="L133" s="406" t="s">
        <v>1082</v>
      </c>
      <c r="M133" s="406">
        <v>12.2</v>
      </c>
      <c r="N133" s="406">
        <v>12.2</v>
      </c>
      <c r="O133" s="406">
        <v>12.1</v>
      </c>
      <c r="P133" s="406">
        <v>12.1</v>
      </c>
      <c r="Q133" s="406">
        <v>12.1</v>
      </c>
    </row>
    <row r="134" spans="1:17" s="4" customFormat="1" ht="45" x14ac:dyDescent="0.25">
      <c r="A134" s="1289"/>
      <c r="B134" s="1503"/>
      <c r="C134" s="1503"/>
      <c r="D134" s="1503"/>
      <c r="E134" s="1900"/>
      <c r="F134" s="1902"/>
      <c r="G134" s="1902"/>
      <c r="H134" s="1902"/>
      <c r="I134" s="1902"/>
      <c r="J134" s="1902"/>
      <c r="K134" s="593" t="s">
        <v>1097</v>
      </c>
      <c r="L134" s="406" t="s">
        <v>3</v>
      </c>
      <c r="M134" s="406">
        <v>80.2</v>
      </c>
      <c r="N134" s="406">
        <v>80.2</v>
      </c>
      <c r="O134" s="406">
        <v>80.5</v>
      </c>
      <c r="P134" s="406">
        <v>10.5</v>
      </c>
      <c r="Q134" s="406">
        <v>10.5</v>
      </c>
    </row>
    <row r="135" spans="1:17" s="4" customFormat="1" ht="45" x14ac:dyDescent="0.25">
      <c r="A135" s="1289"/>
      <c r="B135" s="1503"/>
      <c r="C135" s="1503"/>
      <c r="D135" s="1503"/>
      <c r="E135" s="1901"/>
      <c r="F135" s="1902"/>
      <c r="G135" s="1902"/>
      <c r="H135" s="1902"/>
      <c r="I135" s="1902"/>
      <c r="J135" s="1902"/>
      <c r="K135" s="593" t="s">
        <v>1098</v>
      </c>
      <c r="L135" s="406" t="s">
        <v>1051</v>
      </c>
      <c r="M135" s="406">
        <v>837.8</v>
      </c>
      <c r="N135" s="406">
        <v>837.8</v>
      </c>
      <c r="O135" s="406">
        <v>837.8</v>
      </c>
      <c r="P135" s="406">
        <v>837.8</v>
      </c>
      <c r="Q135" s="406">
        <v>837.8</v>
      </c>
    </row>
    <row r="136" spans="1:17" s="4" customFormat="1" ht="30" x14ac:dyDescent="0.25">
      <c r="A136" s="1289"/>
      <c r="B136" s="1503"/>
      <c r="C136" s="491" t="s">
        <v>10</v>
      </c>
      <c r="D136" s="491"/>
      <c r="E136" s="428" t="s">
        <v>1099</v>
      </c>
      <c r="F136" s="406">
        <v>268433.40824999998</v>
      </c>
      <c r="G136" s="406">
        <v>579489.47699999996</v>
      </c>
      <c r="H136" s="406">
        <v>594155.30000000005</v>
      </c>
      <c r="I136" s="406">
        <v>594190.80000000005</v>
      </c>
      <c r="J136" s="406">
        <v>594190.80000000005</v>
      </c>
      <c r="K136" s="593" t="s">
        <v>1100</v>
      </c>
      <c r="L136" s="406" t="s">
        <v>1101</v>
      </c>
      <c r="M136" s="406">
        <v>17900</v>
      </c>
      <c r="N136" s="406">
        <v>17900</v>
      </c>
      <c r="O136" s="406">
        <v>17900</v>
      </c>
      <c r="P136" s="406">
        <v>17900</v>
      </c>
      <c r="Q136" s="406">
        <v>17900</v>
      </c>
    </row>
    <row r="137" spans="1:17" s="4" customFormat="1" ht="105" x14ac:dyDescent="0.25">
      <c r="A137" s="1289"/>
      <c r="B137" s="1503"/>
      <c r="C137" s="491" t="s">
        <v>11</v>
      </c>
      <c r="D137" s="491"/>
      <c r="E137" s="428" t="s">
        <v>2081</v>
      </c>
      <c r="F137" s="406">
        <v>925066.57547000004</v>
      </c>
      <c r="G137" s="406">
        <v>909173.3</v>
      </c>
      <c r="H137" s="406">
        <v>2195903.7999999998</v>
      </c>
      <c r="I137" s="406">
        <v>2400148.4</v>
      </c>
      <c r="J137" s="406">
        <v>2286235.0999999996</v>
      </c>
      <c r="K137" s="593" t="s">
        <v>1102</v>
      </c>
      <c r="L137" s="406" t="s">
        <v>1082</v>
      </c>
      <c r="M137" s="406">
        <v>1400</v>
      </c>
      <c r="N137" s="406">
        <v>1400</v>
      </c>
      <c r="O137" s="406">
        <v>1500</v>
      </c>
      <c r="P137" s="406">
        <v>1500</v>
      </c>
      <c r="Q137" s="406">
        <v>1500</v>
      </c>
    </row>
    <row r="138" spans="1:17" s="4" customFormat="1" ht="60" x14ac:dyDescent="0.25">
      <c r="A138" s="1289"/>
      <c r="B138" s="1503"/>
      <c r="C138" s="491" t="s">
        <v>14</v>
      </c>
      <c r="D138" s="491"/>
      <c r="E138" s="428" t="s">
        <v>1103</v>
      </c>
      <c r="F138" s="406">
        <v>108458.03272</v>
      </c>
      <c r="G138" s="406">
        <v>163677.49799999999</v>
      </c>
      <c r="H138" s="406">
        <v>192470</v>
      </c>
      <c r="I138" s="406">
        <v>192420</v>
      </c>
      <c r="J138" s="406">
        <v>192420</v>
      </c>
      <c r="K138" s="593" t="s">
        <v>1104</v>
      </c>
      <c r="L138" s="593" t="s">
        <v>1082</v>
      </c>
      <c r="M138" s="593">
        <v>18200</v>
      </c>
      <c r="N138" s="593">
        <v>18200</v>
      </c>
      <c r="O138" s="593" t="s">
        <v>1105</v>
      </c>
      <c r="P138" s="593" t="s">
        <v>1105</v>
      </c>
      <c r="Q138" s="593" t="s">
        <v>1105</v>
      </c>
    </row>
    <row r="139" spans="1:17" s="4" customFormat="1" ht="102.75" x14ac:dyDescent="0.25">
      <c r="A139" s="1289"/>
      <c r="B139" s="511" t="s">
        <v>1905</v>
      </c>
      <c r="C139" s="511"/>
      <c r="D139" s="511"/>
      <c r="E139" s="423" t="s">
        <v>1780</v>
      </c>
      <c r="F139" s="670">
        <v>1381471.1072899997</v>
      </c>
      <c r="G139" s="670">
        <v>1789689.672</v>
      </c>
      <c r="H139" s="670">
        <f>H142+H144+H146</f>
        <v>1879017.6</v>
      </c>
      <c r="I139" s="670">
        <f t="shared" ref="I139:J139" si="19">I142+I144+I146</f>
        <v>1937093.4</v>
      </c>
      <c r="J139" s="670">
        <f t="shared" si="19"/>
        <v>1998072.7000000002</v>
      </c>
      <c r="K139" s="605"/>
      <c r="L139" s="670"/>
      <c r="M139" s="670"/>
      <c r="N139" s="670"/>
      <c r="O139" s="670"/>
      <c r="P139" s="670"/>
      <c r="Q139" s="670"/>
    </row>
    <row r="140" spans="1:17" s="4" customFormat="1" ht="45" x14ac:dyDescent="0.25">
      <c r="A140" s="1289"/>
      <c r="B140" s="1860"/>
      <c r="C140" s="1468" t="s">
        <v>5</v>
      </c>
      <c r="D140" s="1503"/>
      <c r="E140" s="1903" t="s">
        <v>1106</v>
      </c>
      <c r="F140" s="1866">
        <v>0</v>
      </c>
      <c r="G140" s="1866">
        <v>0</v>
      </c>
      <c r="H140" s="1866">
        <v>0</v>
      </c>
      <c r="I140" s="1866">
        <v>0</v>
      </c>
      <c r="J140" s="1866">
        <v>0</v>
      </c>
      <c r="K140" s="593" t="s">
        <v>1107</v>
      </c>
      <c r="L140" s="406" t="s">
        <v>1108</v>
      </c>
      <c r="M140" s="406"/>
      <c r="N140" s="406"/>
      <c r="O140" s="406"/>
      <c r="P140" s="406"/>
      <c r="Q140" s="406"/>
    </row>
    <row r="141" spans="1:17" s="4" customFormat="1" ht="75" x14ac:dyDescent="0.25">
      <c r="A141" s="1289"/>
      <c r="B141" s="1860"/>
      <c r="C141" s="1469"/>
      <c r="D141" s="1503"/>
      <c r="E141" s="1903"/>
      <c r="F141" s="1866"/>
      <c r="G141" s="1866"/>
      <c r="H141" s="1866"/>
      <c r="I141" s="1866"/>
      <c r="J141" s="1866"/>
      <c r="K141" s="593" t="s">
        <v>1109</v>
      </c>
      <c r="L141" s="406" t="s">
        <v>1082</v>
      </c>
      <c r="M141" s="406"/>
      <c r="N141" s="406"/>
      <c r="O141" s="406"/>
      <c r="P141" s="406"/>
      <c r="Q141" s="406"/>
    </row>
    <row r="142" spans="1:17" s="4" customFormat="1" ht="45" x14ac:dyDescent="0.25">
      <c r="A142" s="1289"/>
      <c r="B142" s="1860"/>
      <c r="C142" s="1503" t="s">
        <v>6</v>
      </c>
      <c r="D142" s="1503"/>
      <c r="E142" s="1903" t="s">
        <v>1110</v>
      </c>
      <c r="F142" s="1866">
        <v>969186.84960999992</v>
      </c>
      <c r="G142" s="1866">
        <v>1226617.9979999999</v>
      </c>
      <c r="H142" s="1866">
        <v>1285533</v>
      </c>
      <c r="I142" s="1866">
        <v>1343608.2999999998</v>
      </c>
      <c r="J142" s="1866">
        <v>1404588.6</v>
      </c>
      <c r="K142" s="593" t="s">
        <v>1111</v>
      </c>
      <c r="L142" s="406" t="s">
        <v>1082</v>
      </c>
      <c r="M142" s="406">
        <v>378</v>
      </c>
      <c r="N142" s="406">
        <v>378</v>
      </c>
      <c r="O142" s="406">
        <v>380</v>
      </c>
      <c r="P142" s="429">
        <v>380</v>
      </c>
      <c r="Q142" s="429">
        <v>380</v>
      </c>
    </row>
    <row r="143" spans="1:17" s="4" customFormat="1" ht="60" x14ac:dyDescent="0.25">
      <c r="A143" s="1289"/>
      <c r="B143" s="1860"/>
      <c r="C143" s="1503"/>
      <c r="D143" s="1503"/>
      <c r="E143" s="1903"/>
      <c r="F143" s="1866"/>
      <c r="G143" s="1866"/>
      <c r="H143" s="1866"/>
      <c r="I143" s="1866"/>
      <c r="J143" s="1866"/>
      <c r="K143" s="593" t="s">
        <v>1112</v>
      </c>
      <c r="L143" s="406" t="s">
        <v>1082</v>
      </c>
      <c r="M143" s="406">
        <v>345</v>
      </c>
      <c r="N143" s="406">
        <v>345</v>
      </c>
      <c r="O143" s="406">
        <v>345</v>
      </c>
      <c r="P143" s="406">
        <v>345</v>
      </c>
      <c r="Q143" s="406">
        <v>345</v>
      </c>
    </row>
    <row r="144" spans="1:17" s="4" customFormat="1" ht="60" x14ac:dyDescent="0.25">
      <c r="A144" s="1289"/>
      <c r="B144" s="1860"/>
      <c r="C144" s="1503" t="s">
        <v>4</v>
      </c>
      <c r="D144" s="1503"/>
      <c r="E144" s="1409" t="s">
        <v>1113</v>
      </c>
      <c r="F144" s="1866">
        <v>169908.60952</v>
      </c>
      <c r="G144" s="1866">
        <v>245310.99900000001</v>
      </c>
      <c r="H144" s="1866">
        <v>240692.6</v>
      </c>
      <c r="I144" s="1866">
        <v>240692.6</v>
      </c>
      <c r="J144" s="1866">
        <v>240692</v>
      </c>
      <c r="K144" s="593" t="s">
        <v>1114</v>
      </c>
      <c r="L144" s="406" t="s">
        <v>1082</v>
      </c>
      <c r="M144" s="406">
        <v>345</v>
      </c>
      <c r="N144" s="406">
        <v>345</v>
      </c>
      <c r="O144" s="406">
        <v>345</v>
      </c>
      <c r="P144" s="406">
        <v>345</v>
      </c>
      <c r="Q144" s="406">
        <v>345</v>
      </c>
    </row>
    <row r="145" spans="1:17" s="4" customFormat="1" ht="45" x14ac:dyDescent="0.25">
      <c r="A145" s="1289"/>
      <c r="B145" s="1860"/>
      <c r="C145" s="1503"/>
      <c r="D145" s="1503"/>
      <c r="E145" s="1409"/>
      <c r="F145" s="1866"/>
      <c r="G145" s="1866"/>
      <c r="H145" s="1866"/>
      <c r="I145" s="1866"/>
      <c r="J145" s="1866"/>
      <c r="K145" s="593" t="s">
        <v>1115</v>
      </c>
      <c r="L145" s="406" t="s">
        <v>1082</v>
      </c>
      <c r="M145" s="406">
        <v>305</v>
      </c>
      <c r="N145" s="406">
        <v>305</v>
      </c>
      <c r="O145" s="406">
        <v>367</v>
      </c>
      <c r="P145" s="406">
        <v>367</v>
      </c>
      <c r="Q145" s="406">
        <v>367</v>
      </c>
    </row>
    <row r="146" spans="1:17" s="4" customFormat="1" ht="45" x14ac:dyDescent="0.25">
      <c r="A146" s="1289"/>
      <c r="B146" s="1860"/>
      <c r="C146" s="491" t="s">
        <v>7</v>
      </c>
      <c r="D146" s="491"/>
      <c r="E146" s="428" t="s">
        <v>1116</v>
      </c>
      <c r="F146" s="406">
        <v>242375.64815999998</v>
      </c>
      <c r="G146" s="406">
        <v>317760.67499999999</v>
      </c>
      <c r="H146" s="406">
        <v>352792</v>
      </c>
      <c r="I146" s="406">
        <f>352792.1+0.4</f>
        <v>352792.5</v>
      </c>
      <c r="J146" s="406">
        <v>352792.1</v>
      </c>
      <c r="K146" s="593" t="s">
        <v>1117</v>
      </c>
      <c r="L146" s="406" t="s">
        <v>1082</v>
      </c>
      <c r="M146" s="406" t="s">
        <v>1118</v>
      </c>
      <c r="N146" s="406" t="s">
        <v>1118</v>
      </c>
      <c r="O146" s="406" t="s">
        <v>1118</v>
      </c>
      <c r="P146" s="406" t="s">
        <v>1119</v>
      </c>
      <c r="Q146" s="406" t="s">
        <v>1118</v>
      </c>
    </row>
    <row r="147" spans="1:17" s="4" customFormat="1" x14ac:dyDescent="0.25">
      <c r="A147" s="1290"/>
      <c r="B147" s="511" t="s">
        <v>1005</v>
      </c>
      <c r="C147" s="511" t="s">
        <v>682</v>
      </c>
      <c r="D147" s="491"/>
      <c r="E147" s="1005" t="s">
        <v>1724</v>
      </c>
      <c r="F147" s="406">
        <v>1993</v>
      </c>
      <c r="G147" s="406">
        <v>79560</v>
      </c>
      <c r="H147" s="406">
        <v>2143921</v>
      </c>
      <c r="I147" s="406">
        <v>2169680</v>
      </c>
      <c r="J147" s="406">
        <v>2408440</v>
      </c>
      <c r="K147" s="593"/>
      <c r="L147" s="406"/>
      <c r="M147" s="406"/>
      <c r="N147" s="406"/>
      <c r="O147" s="406"/>
      <c r="P147" s="406"/>
      <c r="Q147" s="406"/>
    </row>
    <row r="148" spans="1:17" s="4" customFormat="1" x14ac:dyDescent="0.25">
      <c r="A148" s="1896" t="s">
        <v>679</v>
      </c>
      <c r="B148" s="1897"/>
      <c r="C148" s="1897"/>
      <c r="D148" s="1897"/>
      <c r="E148" s="1898"/>
      <c r="F148" s="1066">
        <v>6711165.6189799998</v>
      </c>
      <c r="G148" s="1066">
        <v>6657754.9380000001</v>
      </c>
      <c r="H148" s="1066">
        <f>H90+H101+H117+H139+H147</f>
        <v>9769167.959999999</v>
      </c>
      <c r="I148" s="1066">
        <f>I90+I101+I117+I139+I147</f>
        <v>10111737.059999999</v>
      </c>
      <c r="J148" s="1066">
        <f>J90+J101+J117+J139+J147</f>
        <v>10358542.059999999</v>
      </c>
      <c r="K148" s="1067"/>
      <c r="L148" s="1068"/>
      <c r="M148" s="1068"/>
      <c r="N148" s="1068"/>
      <c r="O148" s="1068"/>
      <c r="P148" s="1068"/>
      <c r="Q148" s="1068"/>
    </row>
    <row r="149" spans="1:17" s="4" customFormat="1" ht="18" customHeight="1" x14ac:dyDescent="0.25">
      <c r="A149" s="1312" t="s">
        <v>1120</v>
      </c>
      <c r="B149" s="1313"/>
      <c r="C149" s="1313"/>
      <c r="D149" s="1313"/>
      <c r="E149" s="1313"/>
      <c r="F149" s="1313"/>
      <c r="G149" s="1313"/>
      <c r="H149" s="1313"/>
      <c r="I149" s="1313"/>
      <c r="J149" s="1313"/>
      <c r="K149" s="1313"/>
      <c r="L149" s="1313"/>
      <c r="M149" s="1313"/>
      <c r="N149" s="1313"/>
      <c r="O149" s="1313"/>
      <c r="P149" s="1313"/>
      <c r="Q149" s="1313"/>
    </row>
    <row r="150" spans="1:17" s="4" customFormat="1" ht="74.25" x14ac:dyDescent="0.25">
      <c r="A150" s="1828">
        <v>41</v>
      </c>
      <c r="B150" s="449" t="s">
        <v>0</v>
      </c>
      <c r="C150" s="511"/>
      <c r="D150" s="511"/>
      <c r="E150" s="423" t="s">
        <v>1781</v>
      </c>
      <c r="F150" s="670">
        <f>F151+F152</f>
        <v>155114.90000000002</v>
      </c>
      <c r="G150" s="670">
        <f t="shared" ref="G150:J150" si="20">G151+G152</f>
        <v>152219.29999999999</v>
      </c>
      <c r="H150" s="670">
        <f t="shared" si="20"/>
        <v>162547.6</v>
      </c>
      <c r="I150" s="670">
        <f t="shared" si="20"/>
        <v>164378.5</v>
      </c>
      <c r="J150" s="670">
        <f t="shared" si="20"/>
        <v>166576.5</v>
      </c>
      <c r="K150" s="605" t="s">
        <v>177</v>
      </c>
      <c r="L150" s="670" t="s">
        <v>722</v>
      </c>
      <c r="M150" s="670">
        <v>29.9</v>
      </c>
      <c r="N150" s="670">
        <v>30.8</v>
      </c>
      <c r="O150" s="670">
        <v>40</v>
      </c>
      <c r="P150" s="670">
        <v>42</v>
      </c>
      <c r="Q150" s="670">
        <v>45</v>
      </c>
    </row>
    <row r="151" spans="1:17" s="4" customFormat="1" ht="30" x14ac:dyDescent="0.25">
      <c r="A151" s="1829"/>
      <c r="B151" s="473"/>
      <c r="C151" s="473" t="s">
        <v>5</v>
      </c>
      <c r="D151" s="473"/>
      <c r="E151" s="597" t="s">
        <v>1725</v>
      </c>
      <c r="F151" s="761">
        <v>74991.3</v>
      </c>
      <c r="G151" s="640">
        <v>63264.2</v>
      </c>
      <c r="H151" s="640">
        <v>73592.5</v>
      </c>
      <c r="I151" s="640">
        <v>74622.5</v>
      </c>
      <c r="J151" s="640">
        <v>75772.5</v>
      </c>
      <c r="K151" s="593"/>
      <c r="L151" s="670">
        <v>0</v>
      </c>
      <c r="M151" s="670">
        <v>0</v>
      </c>
      <c r="N151" s="670">
        <v>0</v>
      </c>
      <c r="O151" s="670">
        <v>0</v>
      </c>
      <c r="P151" s="670">
        <v>0</v>
      </c>
      <c r="Q151" s="670">
        <v>0</v>
      </c>
    </row>
    <row r="152" spans="1:17" s="4" customFormat="1" x14ac:dyDescent="0.25">
      <c r="A152" s="1829"/>
      <c r="B152" s="473"/>
      <c r="C152" s="473" t="s">
        <v>6</v>
      </c>
      <c r="D152" s="473"/>
      <c r="E152" s="597" t="s">
        <v>1598</v>
      </c>
      <c r="F152" s="761">
        <v>80123.600000000006</v>
      </c>
      <c r="G152" s="640">
        <v>88955.1</v>
      </c>
      <c r="H152" s="640">
        <v>88955.1</v>
      </c>
      <c r="I152" s="640">
        <v>89756</v>
      </c>
      <c r="J152" s="640">
        <v>90804</v>
      </c>
      <c r="K152" s="593"/>
      <c r="L152" s="670">
        <v>0</v>
      </c>
      <c r="M152" s="670">
        <v>0</v>
      </c>
      <c r="N152" s="670">
        <v>0</v>
      </c>
      <c r="O152" s="670">
        <v>0</v>
      </c>
      <c r="P152" s="670">
        <v>0</v>
      </c>
      <c r="Q152" s="670">
        <v>0</v>
      </c>
    </row>
    <row r="153" spans="1:17" s="4" customFormat="1" ht="28.5" x14ac:dyDescent="0.25">
      <c r="A153" s="1829"/>
      <c r="B153" s="1860" t="s">
        <v>1906</v>
      </c>
      <c r="C153" s="1860"/>
      <c r="D153" s="1895"/>
      <c r="E153" s="1887" t="s">
        <v>1507</v>
      </c>
      <c r="F153" s="1888">
        <f>F156+F159+F162+F163+F166+F167+F168+F169</f>
        <v>300313.3</v>
      </c>
      <c r="G153" s="1888">
        <f t="shared" ref="G153:J153" si="21">G156+G159+G162+G163+G166+G167+G168+G169</f>
        <v>428095.3</v>
      </c>
      <c r="H153" s="1888">
        <f t="shared" si="21"/>
        <v>1363687.9</v>
      </c>
      <c r="I153" s="1888">
        <f t="shared" si="21"/>
        <v>1274732.1000000001</v>
      </c>
      <c r="J153" s="1888">
        <f t="shared" si="21"/>
        <v>1406540</v>
      </c>
      <c r="K153" s="1069" t="s">
        <v>1123</v>
      </c>
      <c r="L153" s="670" t="s">
        <v>20</v>
      </c>
      <c r="M153" s="670">
        <v>144560.5</v>
      </c>
      <c r="N153" s="424">
        <v>165038.5</v>
      </c>
      <c r="O153" s="424">
        <v>174472.1</v>
      </c>
      <c r="P153" s="424">
        <v>184354.2</v>
      </c>
      <c r="Q153" s="424">
        <v>197197.4</v>
      </c>
    </row>
    <row r="154" spans="1:17" s="4" customFormat="1" ht="42.75" x14ac:dyDescent="0.25">
      <c r="A154" s="1829"/>
      <c r="B154" s="1860"/>
      <c r="C154" s="1860"/>
      <c r="D154" s="1895"/>
      <c r="E154" s="1887"/>
      <c r="F154" s="1888"/>
      <c r="G154" s="1888"/>
      <c r="H154" s="1888"/>
      <c r="I154" s="1888"/>
      <c r="J154" s="1888"/>
      <c r="K154" s="605" t="s">
        <v>1124</v>
      </c>
      <c r="L154" s="670" t="s">
        <v>3</v>
      </c>
      <c r="M154" s="670">
        <v>101.9</v>
      </c>
      <c r="N154" s="424">
        <v>102</v>
      </c>
      <c r="O154" s="424">
        <v>102.2</v>
      </c>
      <c r="P154" s="424">
        <v>102.3</v>
      </c>
      <c r="Q154" s="424">
        <v>102.4</v>
      </c>
    </row>
    <row r="155" spans="1:17" s="4" customFormat="1" ht="50.25" customHeight="1" x14ac:dyDescent="0.25">
      <c r="A155" s="1829"/>
      <c r="B155" s="1860"/>
      <c r="C155" s="1860"/>
      <c r="D155" s="1895"/>
      <c r="E155" s="1887"/>
      <c r="F155" s="1888"/>
      <c r="G155" s="1888"/>
      <c r="H155" s="1888"/>
      <c r="I155" s="1888"/>
      <c r="J155" s="1888"/>
      <c r="K155" s="1070" t="s">
        <v>1125</v>
      </c>
      <c r="L155" s="1071" t="s">
        <v>828</v>
      </c>
      <c r="M155" s="670">
        <v>9030.9</v>
      </c>
      <c r="N155" s="670">
        <v>9030.9</v>
      </c>
      <c r="O155" s="670">
        <v>9030.9</v>
      </c>
      <c r="P155" s="670">
        <v>9030.9</v>
      </c>
      <c r="Q155" s="670">
        <v>9030.9</v>
      </c>
    </row>
    <row r="156" spans="1:17" s="4" customFormat="1" ht="30" x14ac:dyDescent="0.25">
      <c r="A156" s="1829"/>
      <c r="B156" s="1468"/>
      <c r="C156" s="1468" t="s">
        <v>5</v>
      </c>
      <c r="D156" s="1468"/>
      <c r="E156" s="1396" t="s">
        <v>1126</v>
      </c>
      <c r="F156" s="1399">
        <v>5653.8</v>
      </c>
      <c r="G156" s="1399">
        <v>4851.3</v>
      </c>
      <c r="H156" s="1399">
        <v>4801.3</v>
      </c>
      <c r="I156" s="1399">
        <v>4851.5</v>
      </c>
      <c r="J156" s="1399">
        <v>4891.5</v>
      </c>
      <c r="K156" s="1072" t="s">
        <v>1430</v>
      </c>
      <c r="L156" s="406" t="s">
        <v>3</v>
      </c>
      <c r="M156" s="406"/>
      <c r="N156" s="429">
        <v>9.7000000000000003E-2</v>
      </c>
      <c r="O156" s="429"/>
      <c r="P156" s="429"/>
      <c r="Q156" s="429"/>
    </row>
    <row r="157" spans="1:17" s="4" customFormat="1" x14ac:dyDescent="0.25">
      <c r="A157" s="1829"/>
      <c r="B157" s="1501"/>
      <c r="C157" s="1501"/>
      <c r="D157" s="1501"/>
      <c r="E157" s="1397"/>
      <c r="F157" s="1400"/>
      <c r="G157" s="1400"/>
      <c r="H157" s="1400"/>
      <c r="I157" s="1400"/>
      <c r="J157" s="1400"/>
      <c r="K157" s="1072" t="s">
        <v>1127</v>
      </c>
      <c r="L157" s="406" t="s">
        <v>1128</v>
      </c>
      <c r="M157" s="406">
        <v>82000</v>
      </c>
      <c r="N157" s="429">
        <v>90000</v>
      </c>
      <c r="O157" s="429">
        <v>90000</v>
      </c>
      <c r="P157" s="429">
        <v>90000</v>
      </c>
      <c r="Q157" s="429">
        <v>90000</v>
      </c>
    </row>
    <row r="158" spans="1:17" s="4" customFormat="1" x14ac:dyDescent="0.25">
      <c r="A158" s="1829"/>
      <c r="B158" s="1501"/>
      <c r="C158" s="1501"/>
      <c r="D158" s="1469"/>
      <c r="E158" s="1397"/>
      <c r="F158" s="1400"/>
      <c r="G158" s="1401"/>
      <c r="H158" s="1400"/>
      <c r="I158" s="1400"/>
      <c r="J158" s="1400"/>
      <c r="K158" s="1072" t="s">
        <v>1129</v>
      </c>
      <c r="L158" s="406" t="s">
        <v>1128</v>
      </c>
      <c r="M158" s="406">
        <v>0</v>
      </c>
      <c r="N158" s="429">
        <v>30000</v>
      </c>
      <c r="O158" s="429">
        <v>30000</v>
      </c>
      <c r="P158" s="429">
        <v>30000</v>
      </c>
      <c r="Q158" s="429">
        <v>30000</v>
      </c>
    </row>
    <row r="159" spans="1:17" s="4" customFormat="1" ht="45.75" customHeight="1" x14ac:dyDescent="0.25">
      <c r="A159" s="1829"/>
      <c r="B159" s="1468"/>
      <c r="C159" s="1468" t="s">
        <v>6</v>
      </c>
      <c r="D159" s="1468"/>
      <c r="E159" s="1396" t="s">
        <v>1130</v>
      </c>
      <c r="F159" s="1399">
        <v>5134.3999999999996</v>
      </c>
      <c r="G159" s="1399">
        <v>4337.5</v>
      </c>
      <c r="H159" s="1399">
        <v>4807.5</v>
      </c>
      <c r="I159" s="1399">
        <v>4851.3</v>
      </c>
      <c r="J159" s="1399">
        <v>4891.3</v>
      </c>
      <c r="K159" s="1073" t="s">
        <v>1131</v>
      </c>
      <c r="L159" s="406" t="s">
        <v>20</v>
      </c>
      <c r="M159" s="406">
        <v>139</v>
      </c>
      <c r="N159" s="429">
        <v>143</v>
      </c>
      <c r="O159" s="429">
        <v>147</v>
      </c>
      <c r="P159" s="429">
        <v>151</v>
      </c>
      <c r="Q159" s="429">
        <v>154</v>
      </c>
    </row>
    <row r="160" spans="1:17" s="4" customFormat="1" ht="30" x14ac:dyDescent="0.25">
      <c r="A160" s="1829"/>
      <c r="B160" s="1501"/>
      <c r="C160" s="1501"/>
      <c r="D160" s="1501"/>
      <c r="E160" s="1397"/>
      <c r="F160" s="1400"/>
      <c r="G160" s="1400"/>
      <c r="H160" s="1400"/>
      <c r="I160" s="1400"/>
      <c r="J160" s="1400"/>
      <c r="K160" s="1074" t="s">
        <v>1132</v>
      </c>
      <c r="L160" s="1075" t="s">
        <v>1133</v>
      </c>
      <c r="M160" s="406">
        <v>3977.9</v>
      </c>
      <c r="N160" s="406">
        <v>3977.9</v>
      </c>
      <c r="O160" s="406">
        <v>3977.9</v>
      </c>
      <c r="P160" s="406">
        <v>3977.9</v>
      </c>
      <c r="Q160" s="406">
        <v>3977.9</v>
      </c>
    </row>
    <row r="161" spans="1:17" s="4" customFormat="1" ht="30" x14ac:dyDescent="0.25">
      <c r="A161" s="1829"/>
      <c r="B161" s="1501"/>
      <c r="C161" s="1501"/>
      <c r="D161" s="1469"/>
      <c r="E161" s="1397"/>
      <c r="F161" s="1400"/>
      <c r="G161" s="1401"/>
      <c r="H161" s="1400"/>
      <c r="I161" s="1400"/>
      <c r="J161" s="1400"/>
      <c r="K161" s="1074" t="s">
        <v>1134</v>
      </c>
      <c r="L161" s="1075" t="s">
        <v>190</v>
      </c>
      <c r="M161" s="406">
        <v>454</v>
      </c>
      <c r="N161" s="406">
        <v>454</v>
      </c>
      <c r="O161" s="406">
        <v>454</v>
      </c>
      <c r="P161" s="406">
        <v>454</v>
      </c>
      <c r="Q161" s="406">
        <v>454</v>
      </c>
    </row>
    <row r="162" spans="1:17" s="4" customFormat="1" ht="45" x14ac:dyDescent="0.25">
      <c r="A162" s="1829"/>
      <c r="B162" s="473"/>
      <c r="C162" s="473" t="s">
        <v>4</v>
      </c>
      <c r="D162" s="473"/>
      <c r="E162" s="597" t="s">
        <v>1726</v>
      </c>
      <c r="F162" s="640">
        <v>5921.2</v>
      </c>
      <c r="G162" s="640">
        <v>6118.7</v>
      </c>
      <c r="H162" s="640">
        <v>7085.4</v>
      </c>
      <c r="I162" s="640">
        <v>7142.1</v>
      </c>
      <c r="J162" s="640">
        <v>7186.9</v>
      </c>
      <c r="K162" s="593" t="s">
        <v>1135</v>
      </c>
      <c r="L162" s="429" t="s">
        <v>1136</v>
      </c>
      <c r="M162" s="406">
        <v>19</v>
      </c>
      <c r="N162" s="429">
        <v>20</v>
      </c>
      <c r="O162" s="429">
        <v>21</v>
      </c>
      <c r="P162" s="429">
        <v>21</v>
      </c>
      <c r="Q162" s="429">
        <v>22</v>
      </c>
    </row>
    <row r="163" spans="1:17" s="4" customFormat="1" ht="30" x14ac:dyDescent="0.25">
      <c r="A163" s="1829"/>
      <c r="B163" s="1468"/>
      <c r="C163" s="1468" t="s">
        <v>7</v>
      </c>
      <c r="D163" s="1468"/>
      <c r="E163" s="1396" t="s">
        <v>1137</v>
      </c>
      <c r="F163" s="1399">
        <v>16940.7</v>
      </c>
      <c r="G163" s="1399">
        <v>12335.8</v>
      </c>
      <c r="H163" s="1399">
        <v>20804.7</v>
      </c>
      <c r="I163" s="1399">
        <v>21717.200000000001</v>
      </c>
      <c r="J163" s="1399">
        <v>18340.3</v>
      </c>
      <c r="K163" s="593" t="s">
        <v>1138</v>
      </c>
      <c r="L163" s="406" t="s">
        <v>1139</v>
      </c>
      <c r="M163" s="429">
        <v>10344.200000000001</v>
      </c>
      <c r="N163" s="429">
        <v>20000</v>
      </c>
      <c r="O163" s="429">
        <v>30000</v>
      </c>
      <c r="P163" s="429">
        <v>40000</v>
      </c>
      <c r="Q163" s="429">
        <v>50000</v>
      </c>
    </row>
    <row r="164" spans="1:17" s="4" customFormat="1" ht="45" x14ac:dyDescent="0.25">
      <c r="A164" s="1829"/>
      <c r="B164" s="1501"/>
      <c r="C164" s="1501"/>
      <c r="D164" s="1501"/>
      <c r="E164" s="1397"/>
      <c r="F164" s="1400"/>
      <c r="G164" s="1400"/>
      <c r="H164" s="1400"/>
      <c r="I164" s="1400"/>
      <c r="J164" s="1400"/>
      <c r="K164" s="593" t="s">
        <v>1140</v>
      </c>
      <c r="L164" s="406" t="s">
        <v>1141</v>
      </c>
      <c r="M164" s="429">
        <v>17.600000000000001</v>
      </c>
      <c r="N164" s="429">
        <v>18</v>
      </c>
      <c r="O164" s="429">
        <v>19</v>
      </c>
      <c r="P164" s="429">
        <v>20</v>
      </c>
      <c r="Q164" s="429">
        <v>21</v>
      </c>
    </row>
    <row r="165" spans="1:17" s="4" customFormat="1" ht="30" x14ac:dyDescent="0.25">
      <c r="A165" s="1829"/>
      <c r="B165" s="1501"/>
      <c r="C165" s="1501"/>
      <c r="D165" s="1469"/>
      <c r="E165" s="1397"/>
      <c r="F165" s="1400"/>
      <c r="G165" s="1400"/>
      <c r="H165" s="1400"/>
      <c r="I165" s="1400"/>
      <c r="J165" s="1400"/>
      <c r="K165" s="1072" t="s">
        <v>1142</v>
      </c>
      <c r="L165" s="1075" t="s">
        <v>190</v>
      </c>
      <c r="M165" s="406">
        <v>12476</v>
      </c>
      <c r="N165" s="429">
        <v>12000</v>
      </c>
      <c r="O165" s="429">
        <v>12000</v>
      </c>
      <c r="P165" s="429">
        <v>12000</v>
      </c>
      <c r="Q165" s="429">
        <v>12000</v>
      </c>
    </row>
    <row r="166" spans="1:17" s="4" customFormat="1" ht="30" x14ac:dyDescent="0.25">
      <c r="A166" s="1829"/>
      <c r="B166" s="473"/>
      <c r="C166" s="473" t="s">
        <v>8</v>
      </c>
      <c r="D166" s="473"/>
      <c r="E166" s="597" t="s">
        <v>1727</v>
      </c>
      <c r="F166" s="640">
        <v>82359</v>
      </c>
      <c r="G166" s="640">
        <v>0</v>
      </c>
      <c r="H166" s="640">
        <v>0</v>
      </c>
      <c r="I166" s="640">
        <v>0</v>
      </c>
      <c r="J166" s="640">
        <v>0</v>
      </c>
      <c r="K166" s="593" t="s">
        <v>1122</v>
      </c>
      <c r="L166" s="670">
        <v>0</v>
      </c>
      <c r="M166" s="670">
        <v>0</v>
      </c>
      <c r="N166" s="670">
        <v>0</v>
      </c>
      <c r="O166" s="670">
        <v>0</v>
      </c>
      <c r="P166" s="670">
        <v>0</v>
      </c>
      <c r="Q166" s="670">
        <v>0</v>
      </c>
    </row>
    <row r="167" spans="1:17" s="4" customFormat="1" ht="45" x14ac:dyDescent="0.25">
      <c r="A167" s="1829"/>
      <c r="B167" s="473"/>
      <c r="C167" s="473" t="s">
        <v>9</v>
      </c>
      <c r="D167" s="1062"/>
      <c r="E167" s="597" t="s">
        <v>1728</v>
      </c>
      <c r="F167" s="640">
        <v>152943.9</v>
      </c>
      <c r="G167" s="640">
        <v>400452</v>
      </c>
      <c r="H167" s="640">
        <v>911004</v>
      </c>
      <c r="I167" s="640">
        <v>440577.5</v>
      </c>
      <c r="J167" s="640">
        <v>0</v>
      </c>
      <c r="K167" s="593" t="s">
        <v>1143</v>
      </c>
      <c r="L167" s="406" t="s">
        <v>3</v>
      </c>
      <c r="M167" s="406"/>
      <c r="N167" s="429"/>
      <c r="O167" s="429"/>
      <c r="P167" s="429"/>
      <c r="Q167" s="429"/>
    </row>
    <row r="168" spans="1:17" s="4" customFormat="1" ht="30" x14ac:dyDescent="0.25">
      <c r="A168" s="1829"/>
      <c r="B168" s="491"/>
      <c r="C168" s="491" t="s">
        <v>10</v>
      </c>
      <c r="D168" s="491"/>
      <c r="E168" s="593" t="s">
        <v>1729</v>
      </c>
      <c r="F168" s="406">
        <v>31360.3</v>
      </c>
      <c r="G168" s="640">
        <v>0</v>
      </c>
      <c r="H168" s="406">
        <v>191350</v>
      </c>
      <c r="I168" s="406">
        <v>189625</v>
      </c>
      <c r="J168" s="406">
        <v>126445</v>
      </c>
      <c r="K168" s="593"/>
      <c r="L168" s="670">
        <v>0</v>
      </c>
      <c r="M168" s="670">
        <v>0</v>
      </c>
      <c r="N168" s="670">
        <v>0</v>
      </c>
      <c r="O168" s="670">
        <v>0</v>
      </c>
      <c r="P168" s="670">
        <v>0</v>
      </c>
      <c r="Q168" s="670">
        <v>0</v>
      </c>
    </row>
    <row r="169" spans="1:17" s="4" customFormat="1" ht="30" x14ac:dyDescent="0.25">
      <c r="A169" s="1829"/>
      <c r="B169" s="473"/>
      <c r="C169" s="473" t="s">
        <v>11</v>
      </c>
      <c r="D169" s="473"/>
      <c r="E169" s="597" t="s">
        <v>1144</v>
      </c>
      <c r="F169" s="640">
        <v>0</v>
      </c>
      <c r="G169" s="640">
        <v>0</v>
      </c>
      <c r="H169" s="640">
        <v>223835</v>
      </c>
      <c r="I169" s="640">
        <v>605967.5</v>
      </c>
      <c r="J169" s="640">
        <v>1244785</v>
      </c>
      <c r="K169" s="593"/>
      <c r="L169" s="670"/>
      <c r="M169" s="670"/>
      <c r="N169" s="670"/>
      <c r="O169" s="670"/>
      <c r="P169" s="670"/>
      <c r="Q169" s="670"/>
    </row>
    <row r="170" spans="1:17" s="4" customFormat="1" ht="28.5" x14ac:dyDescent="0.25">
      <c r="A170" s="1829"/>
      <c r="B170" s="1824" t="s">
        <v>1907</v>
      </c>
      <c r="C170" s="1891"/>
      <c r="D170" s="1891"/>
      <c r="E170" s="1893" t="s">
        <v>1498</v>
      </c>
      <c r="F170" s="1880">
        <f>F174+F180+F183+F189+F192+F194+F197+F198</f>
        <v>207916.1</v>
      </c>
      <c r="G170" s="1880">
        <f>G174+G180+G183+G189+G192+G194+G197+G198</f>
        <v>214489.9</v>
      </c>
      <c r="H170" s="1880">
        <f>H174+H180+H183+H189+H192+H194+H197+H198</f>
        <v>237075.30000000002</v>
      </c>
      <c r="I170" s="1880">
        <f>I174+I180+I183+I189+I192+I194+I197+I198</f>
        <v>237029.7</v>
      </c>
      <c r="J170" s="1880">
        <f>J174+J180+J183+J189+J192+J194+J197+J198</f>
        <v>242089.80000000005</v>
      </c>
      <c r="K170" s="423" t="s">
        <v>1145</v>
      </c>
      <c r="L170" s="670" t="s">
        <v>20</v>
      </c>
      <c r="M170" s="670">
        <v>172283.2</v>
      </c>
      <c r="N170" s="424">
        <v>194134.8</v>
      </c>
      <c r="O170" s="424">
        <v>211502.3</v>
      </c>
      <c r="P170" s="424">
        <v>233232.6</v>
      </c>
      <c r="Q170" s="424">
        <v>261029.2</v>
      </c>
    </row>
    <row r="171" spans="1:17" s="4" customFormat="1" ht="42.75" x14ac:dyDescent="0.25">
      <c r="A171" s="1829"/>
      <c r="B171" s="1825"/>
      <c r="C171" s="1892"/>
      <c r="D171" s="1892"/>
      <c r="E171" s="1894"/>
      <c r="F171" s="1881"/>
      <c r="G171" s="1881"/>
      <c r="H171" s="1881"/>
      <c r="I171" s="1881"/>
      <c r="J171" s="1881"/>
      <c r="K171" s="1076" t="s">
        <v>1146</v>
      </c>
      <c r="L171" s="670" t="s">
        <v>3</v>
      </c>
      <c r="M171" s="670">
        <v>88.4</v>
      </c>
      <c r="N171" s="424">
        <v>102.2</v>
      </c>
      <c r="O171" s="424">
        <v>102.2</v>
      </c>
      <c r="P171" s="424">
        <v>102.4</v>
      </c>
      <c r="Q171" s="424">
        <v>102.5</v>
      </c>
    </row>
    <row r="172" spans="1:17" s="4" customFormat="1" ht="28.5" x14ac:dyDescent="0.25">
      <c r="A172" s="1829"/>
      <c r="B172" s="1825"/>
      <c r="C172" s="1892"/>
      <c r="D172" s="1892"/>
      <c r="E172" s="1894"/>
      <c r="F172" s="1881"/>
      <c r="G172" s="1881"/>
      <c r="H172" s="1881"/>
      <c r="I172" s="1881"/>
      <c r="J172" s="1881"/>
      <c r="K172" s="423" t="s">
        <v>1147</v>
      </c>
      <c r="L172" s="670" t="s">
        <v>1148</v>
      </c>
      <c r="M172" s="406"/>
      <c r="N172" s="429"/>
      <c r="O172" s="429"/>
      <c r="P172" s="429"/>
      <c r="Q172" s="429"/>
    </row>
    <row r="173" spans="1:17" s="4" customFormat="1" ht="71.25" x14ac:dyDescent="0.25">
      <c r="A173" s="1829"/>
      <c r="B173" s="1831"/>
      <c r="C173" s="1892"/>
      <c r="D173" s="1892"/>
      <c r="E173" s="1894"/>
      <c r="F173" s="1881"/>
      <c r="G173" s="1881"/>
      <c r="H173" s="1881"/>
      <c r="I173" s="1881"/>
      <c r="J173" s="1881"/>
      <c r="K173" s="1077" t="s">
        <v>1149</v>
      </c>
      <c r="L173" s="1071" t="s">
        <v>20</v>
      </c>
      <c r="M173" s="406">
        <v>42</v>
      </c>
      <c r="N173" s="429">
        <v>80</v>
      </c>
      <c r="O173" s="429">
        <v>80</v>
      </c>
      <c r="P173" s="429">
        <v>80</v>
      </c>
      <c r="Q173" s="429">
        <v>80</v>
      </c>
    </row>
    <row r="174" spans="1:17" s="4" customFormat="1" ht="45" x14ac:dyDescent="0.25">
      <c r="A174" s="1829"/>
      <c r="B174" s="1468"/>
      <c r="C174" s="1468" t="s">
        <v>5</v>
      </c>
      <c r="D174" s="1468"/>
      <c r="E174" s="1396" t="s">
        <v>1150</v>
      </c>
      <c r="F174" s="1399">
        <v>80376.899999999994</v>
      </c>
      <c r="G174" s="1399">
        <v>120810.2</v>
      </c>
      <c r="H174" s="1399">
        <v>147383.70000000001</v>
      </c>
      <c r="I174" s="1399">
        <v>146969.9</v>
      </c>
      <c r="J174" s="1399">
        <v>151162.9</v>
      </c>
      <c r="K174" s="593" t="s">
        <v>1151</v>
      </c>
      <c r="L174" s="1078" t="s">
        <v>828</v>
      </c>
      <c r="M174" s="406">
        <v>49</v>
      </c>
      <c r="N174" s="429">
        <v>70.7</v>
      </c>
      <c r="O174" s="429">
        <v>70.7</v>
      </c>
      <c r="P174" s="429">
        <v>70.7</v>
      </c>
      <c r="Q174" s="429">
        <v>70.7</v>
      </c>
    </row>
    <row r="175" spans="1:17" s="4" customFormat="1" ht="45" x14ac:dyDescent="0.25">
      <c r="A175" s="1829"/>
      <c r="B175" s="1501"/>
      <c r="C175" s="1501"/>
      <c r="D175" s="1501"/>
      <c r="E175" s="1397"/>
      <c r="F175" s="1400"/>
      <c r="G175" s="1400"/>
      <c r="H175" s="1400"/>
      <c r="I175" s="1400"/>
      <c r="J175" s="1400"/>
      <c r="K175" s="593" t="s">
        <v>1152</v>
      </c>
      <c r="L175" s="1078" t="s">
        <v>828</v>
      </c>
      <c r="M175" s="406">
        <v>7.0000000000000007E-2</v>
      </c>
      <c r="N175" s="429">
        <v>0.1</v>
      </c>
      <c r="O175" s="429">
        <v>0.1</v>
      </c>
      <c r="P175" s="429">
        <v>0.1</v>
      </c>
      <c r="Q175" s="429">
        <v>0.1</v>
      </c>
    </row>
    <row r="176" spans="1:17" s="4" customFormat="1" ht="30" x14ac:dyDescent="0.25">
      <c r="A176" s="1829"/>
      <c r="B176" s="1501"/>
      <c r="C176" s="1501"/>
      <c r="D176" s="1501"/>
      <c r="E176" s="1397"/>
      <c r="F176" s="1400"/>
      <c r="G176" s="1400"/>
      <c r="H176" s="1400"/>
      <c r="I176" s="1400"/>
      <c r="J176" s="1400"/>
      <c r="K176" s="593" t="s">
        <v>1153</v>
      </c>
      <c r="L176" s="1078" t="s">
        <v>828</v>
      </c>
      <c r="M176" s="406">
        <v>65</v>
      </c>
      <c r="N176" s="429">
        <v>70</v>
      </c>
      <c r="O176" s="429">
        <v>70</v>
      </c>
      <c r="P176" s="429">
        <v>70</v>
      </c>
      <c r="Q176" s="429">
        <v>70</v>
      </c>
    </row>
    <row r="177" spans="1:17" s="4" customFormat="1" ht="45" x14ac:dyDescent="0.25">
      <c r="A177" s="1829"/>
      <c r="B177" s="1501"/>
      <c r="C177" s="1501"/>
      <c r="D177" s="1501"/>
      <c r="E177" s="1397"/>
      <c r="F177" s="1400"/>
      <c r="G177" s="1400"/>
      <c r="H177" s="1400"/>
      <c r="I177" s="1400"/>
      <c r="J177" s="1400"/>
      <c r="K177" s="593" t="s">
        <v>1154</v>
      </c>
      <c r="L177" s="1078" t="s">
        <v>828</v>
      </c>
      <c r="M177" s="406">
        <v>1.1000000000000001</v>
      </c>
      <c r="N177" s="429">
        <v>1.1000000000000001</v>
      </c>
      <c r="O177" s="429">
        <v>1.1000000000000001</v>
      </c>
      <c r="P177" s="429">
        <v>1.1000000000000001</v>
      </c>
      <c r="Q177" s="429">
        <v>1.1000000000000001</v>
      </c>
    </row>
    <row r="178" spans="1:17" s="4" customFormat="1" ht="45" x14ac:dyDescent="0.25">
      <c r="A178" s="1829"/>
      <c r="B178" s="1501"/>
      <c r="C178" s="1501"/>
      <c r="D178" s="1501"/>
      <c r="E178" s="1397"/>
      <c r="F178" s="1400"/>
      <c r="G178" s="1400"/>
      <c r="H178" s="1400"/>
      <c r="I178" s="1400"/>
      <c r="J178" s="1400"/>
      <c r="K178" s="593" t="s">
        <v>1155</v>
      </c>
      <c r="L178" s="1079" t="s">
        <v>3</v>
      </c>
      <c r="M178" s="406">
        <v>100</v>
      </c>
      <c r="N178" s="429">
        <v>100</v>
      </c>
      <c r="O178" s="429">
        <v>100</v>
      </c>
      <c r="P178" s="429">
        <v>100</v>
      </c>
      <c r="Q178" s="429">
        <v>100</v>
      </c>
    </row>
    <row r="179" spans="1:17" s="4" customFormat="1" ht="30" x14ac:dyDescent="0.25">
      <c r="A179" s="1829"/>
      <c r="B179" s="1501"/>
      <c r="C179" s="1501"/>
      <c r="D179" s="1469"/>
      <c r="E179" s="1397"/>
      <c r="F179" s="1400"/>
      <c r="G179" s="1400"/>
      <c r="H179" s="1400"/>
      <c r="I179" s="1400"/>
      <c r="J179" s="1400"/>
      <c r="K179" s="593" t="s">
        <v>1156</v>
      </c>
      <c r="L179" s="406" t="s">
        <v>3</v>
      </c>
      <c r="M179" s="406">
        <v>97</v>
      </c>
      <c r="N179" s="429">
        <v>100</v>
      </c>
      <c r="O179" s="429">
        <v>100</v>
      </c>
      <c r="P179" s="429">
        <v>100</v>
      </c>
      <c r="Q179" s="429">
        <v>100</v>
      </c>
    </row>
    <row r="180" spans="1:17" s="4" customFormat="1" x14ac:dyDescent="0.25">
      <c r="A180" s="1829"/>
      <c r="B180" s="1468"/>
      <c r="C180" s="1468" t="s">
        <v>6</v>
      </c>
      <c r="D180" s="1468"/>
      <c r="E180" s="1396" t="s">
        <v>1157</v>
      </c>
      <c r="F180" s="1399">
        <v>18447.099999999999</v>
      </c>
      <c r="G180" s="1399">
        <v>22326.799999999999</v>
      </c>
      <c r="H180" s="1399">
        <v>17152.400000000001</v>
      </c>
      <c r="I180" s="1399">
        <v>17104.3</v>
      </c>
      <c r="J180" s="1399">
        <v>17592.2</v>
      </c>
      <c r="K180" s="593" t="s">
        <v>1158</v>
      </c>
      <c r="L180" s="406" t="s">
        <v>190</v>
      </c>
      <c r="M180" s="1080">
        <v>35526</v>
      </c>
      <c r="N180" s="429">
        <v>35000</v>
      </c>
      <c r="O180" s="429">
        <v>35000</v>
      </c>
      <c r="P180" s="429">
        <v>35000</v>
      </c>
      <c r="Q180" s="429">
        <v>35000</v>
      </c>
    </row>
    <row r="181" spans="1:17" s="4" customFormat="1" x14ac:dyDescent="0.25">
      <c r="A181" s="1829"/>
      <c r="B181" s="1501"/>
      <c r="C181" s="1501"/>
      <c r="D181" s="1501"/>
      <c r="E181" s="1397"/>
      <c r="F181" s="1400"/>
      <c r="G181" s="1400"/>
      <c r="H181" s="1400"/>
      <c r="I181" s="1400"/>
      <c r="J181" s="1400"/>
      <c r="K181" s="593" t="s">
        <v>1159</v>
      </c>
      <c r="L181" s="406" t="s">
        <v>190</v>
      </c>
      <c r="M181" s="406">
        <v>12174</v>
      </c>
      <c r="N181" s="429">
        <v>13000</v>
      </c>
      <c r="O181" s="429">
        <v>13000</v>
      </c>
      <c r="P181" s="429">
        <v>13000</v>
      </c>
      <c r="Q181" s="429">
        <v>13000</v>
      </c>
    </row>
    <row r="182" spans="1:17" s="4" customFormat="1" x14ac:dyDescent="0.25">
      <c r="A182" s="1829"/>
      <c r="B182" s="1469"/>
      <c r="C182" s="1469"/>
      <c r="D182" s="1469"/>
      <c r="E182" s="1398"/>
      <c r="F182" s="1401"/>
      <c r="G182" s="1401"/>
      <c r="H182" s="1401"/>
      <c r="I182" s="1401"/>
      <c r="J182" s="1401"/>
      <c r="K182" s="1072" t="s">
        <v>1160</v>
      </c>
      <c r="L182" s="1075" t="s">
        <v>190</v>
      </c>
      <c r="M182" s="406">
        <v>12174</v>
      </c>
      <c r="N182" s="429">
        <v>13000</v>
      </c>
      <c r="O182" s="429">
        <v>13000</v>
      </c>
      <c r="P182" s="429">
        <v>13000</v>
      </c>
      <c r="Q182" s="429">
        <v>13000</v>
      </c>
    </row>
    <row r="183" spans="1:17" s="4" customFormat="1" ht="60" x14ac:dyDescent="0.25">
      <c r="A183" s="1829"/>
      <c r="B183" s="1402"/>
      <c r="C183" s="1393" t="s">
        <v>4</v>
      </c>
      <c r="D183" s="1393"/>
      <c r="E183" s="1403" t="s">
        <v>1730</v>
      </c>
      <c r="F183" s="1399" t="s">
        <v>1161</v>
      </c>
      <c r="G183" s="1399" t="s">
        <v>1162</v>
      </c>
      <c r="H183" s="1399" t="s">
        <v>1163</v>
      </c>
      <c r="I183" s="1399" t="s">
        <v>1164</v>
      </c>
      <c r="J183" s="1399" t="s">
        <v>1165</v>
      </c>
      <c r="K183" s="593" t="s">
        <v>1166</v>
      </c>
      <c r="L183" s="406" t="s">
        <v>828</v>
      </c>
      <c r="M183" s="406">
        <v>50500</v>
      </c>
      <c r="N183" s="406">
        <v>59052</v>
      </c>
      <c r="O183" s="406">
        <v>62000</v>
      </c>
      <c r="P183" s="406">
        <v>64000</v>
      </c>
      <c r="Q183" s="406">
        <v>660000</v>
      </c>
    </row>
    <row r="184" spans="1:17" s="4" customFormat="1" ht="30" x14ac:dyDescent="0.25">
      <c r="A184" s="1829"/>
      <c r="B184" s="1402"/>
      <c r="C184" s="1394"/>
      <c r="D184" s="1394"/>
      <c r="E184" s="1403"/>
      <c r="F184" s="1400"/>
      <c r="G184" s="1889"/>
      <c r="H184" s="1889"/>
      <c r="I184" s="1889"/>
      <c r="J184" s="1889"/>
      <c r="K184" s="593" t="s">
        <v>1167</v>
      </c>
      <c r="L184" s="406"/>
      <c r="M184" s="406"/>
      <c r="N184" s="406"/>
      <c r="O184" s="406"/>
      <c r="P184" s="406"/>
      <c r="Q184" s="406"/>
    </row>
    <row r="185" spans="1:17" s="4" customFormat="1" x14ac:dyDescent="0.25">
      <c r="A185" s="1829"/>
      <c r="B185" s="1402"/>
      <c r="C185" s="1394"/>
      <c r="D185" s="1394"/>
      <c r="E185" s="1403"/>
      <c r="F185" s="1400"/>
      <c r="G185" s="1889"/>
      <c r="H185" s="1889"/>
      <c r="I185" s="1889"/>
      <c r="J185" s="1889"/>
      <c r="K185" s="593" t="s">
        <v>1168</v>
      </c>
      <c r="L185" s="406" t="s">
        <v>1169</v>
      </c>
      <c r="M185" s="429">
        <v>16000</v>
      </c>
      <c r="N185" s="406">
        <v>37000</v>
      </c>
      <c r="O185" s="406">
        <v>37500</v>
      </c>
      <c r="P185" s="406">
        <v>38000</v>
      </c>
      <c r="Q185" s="406">
        <v>38500</v>
      </c>
    </row>
    <row r="186" spans="1:17" s="4" customFormat="1" x14ac:dyDescent="0.25">
      <c r="A186" s="1829"/>
      <c r="B186" s="1402"/>
      <c r="C186" s="1394"/>
      <c r="D186" s="1394"/>
      <c r="E186" s="1403"/>
      <c r="F186" s="1400"/>
      <c r="G186" s="1889"/>
      <c r="H186" s="1889"/>
      <c r="I186" s="1889"/>
      <c r="J186" s="1889"/>
      <c r="K186" s="593" t="s">
        <v>1170</v>
      </c>
      <c r="L186" s="406" t="s">
        <v>1139</v>
      </c>
      <c r="M186" s="429">
        <v>21500</v>
      </c>
      <c r="N186" s="429">
        <v>32000</v>
      </c>
      <c r="O186" s="429">
        <v>32500</v>
      </c>
      <c r="P186" s="429">
        <v>33000</v>
      </c>
      <c r="Q186" s="429">
        <v>33500</v>
      </c>
    </row>
    <row r="187" spans="1:17" s="4" customFormat="1" x14ac:dyDescent="0.25">
      <c r="A187" s="1829"/>
      <c r="B187" s="1402"/>
      <c r="C187" s="1394"/>
      <c r="D187" s="1394"/>
      <c r="E187" s="1403"/>
      <c r="F187" s="1400"/>
      <c r="G187" s="1889"/>
      <c r="H187" s="1889"/>
      <c r="I187" s="1889"/>
      <c r="J187" s="1889"/>
      <c r="K187" s="593" t="s">
        <v>1171</v>
      </c>
      <c r="L187" s="406" t="s">
        <v>1172</v>
      </c>
      <c r="M187" s="429">
        <v>106900</v>
      </c>
      <c r="N187" s="429">
        <v>176500</v>
      </c>
      <c r="O187" s="429">
        <v>177000</v>
      </c>
      <c r="P187" s="429">
        <v>177500</v>
      </c>
      <c r="Q187" s="429">
        <v>178000</v>
      </c>
    </row>
    <row r="188" spans="1:17" x14ac:dyDescent="0.25">
      <c r="A188" s="1829"/>
      <c r="B188" s="1402"/>
      <c r="C188" s="1395"/>
      <c r="D188" s="1395"/>
      <c r="E188" s="1403"/>
      <c r="F188" s="1401"/>
      <c r="G188" s="1890"/>
      <c r="H188" s="1890"/>
      <c r="I188" s="1890"/>
      <c r="J188" s="1890"/>
      <c r="K188" s="593" t="s">
        <v>1173</v>
      </c>
      <c r="L188" s="406" t="s">
        <v>1174</v>
      </c>
      <c r="M188" s="429">
        <v>14800</v>
      </c>
      <c r="N188" s="429">
        <v>25600</v>
      </c>
      <c r="O188" s="429">
        <v>25800</v>
      </c>
      <c r="P188" s="429">
        <v>26000</v>
      </c>
      <c r="Q188" s="429">
        <v>26200</v>
      </c>
    </row>
    <row r="189" spans="1:17" ht="45" x14ac:dyDescent="0.25">
      <c r="A189" s="1829"/>
      <c r="B189" s="1468"/>
      <c r="C189" s="1468" t="s">
        <v>7</v>
      </c>
      <c r="D189" s="1468"/>
      <c r="E189" s="1396" t="s">
        <v>1731</v>
      </c>
      <c r="F189" s="1399">
        <v>64730.6</v>
      </c>
      <c r="G189" s="1399">
        <v>22442.400000000001</v>
      </c>
      <c r="H189" s="1399">
        <v>23560.9</v>
      </c>
      <c r="I189" s="1399">
        <v>23776.5</v>
      </c>
      <c r="J189" s="1399">
        <v>23931.200000000001</v>
      </c>
      <c r="K189" s="593" t="s">
        <v>1175</v>
      </c>
      <c r="L189" s="1078" t="s">
        <v>828</v>
      </c>
      <c r="M189" s="406">
        <v>9.1</v>
      </c>
      <c r="N189" s="406">
        <v>11</v>
      </c>
      <c r="O189" s="406">
        <v>11.5</v>
      </c>
      <c r="P189" s="406">
        <v>12.5</v>
      </c>
      <c r="Q189" s="406">
        <v>12.5</v>
      </c>
    </row>
    <row r="190" spans="1:17" ht="30" x14ac:dyDescent="0.25">
      <c r="A190" s="1829"/>
      <c r="B190" s="1501"/>
      <c r="C190" s="1501"/>
      <c r="D190" s="1501"/>
      <c r="E190" s="1397"/>
      <c r="F190" s="1400"/>
      <c r="G190" s="1400"/>
      <c r="H190" s="1400"/>
      <c r="I190" s="1400"/>
      <c r="J190" s="1400"/>
      <c r="K190" s="1081" t="s">
        <v>1176</v>
      </c>
      <c r="L190" s="1078" t="s">
        <v>828</v>
      </c>
      <c r="M190" s="406">
        <v>2</v>
      </c>
      <c r="N190" s="406">
        <v>2</v>
      </c>
      <c r="O190" s="406">
        <v>2.5</v>
      </c>
      <c r="P190" s="406">
        <v>3</v>
      </c>
      <c r="Q190" s="406">
        <v>3</v>
      </c>
    </row>
    <row r="191" spans="1:17" x14ac:dyDescent="0.25">
      <c r="A191" s="1829"/>
      <c r="B191" s="1501"/>
      <c r="C191" s="1501"/>
      <c r="D191" s="1469"/>
      <c r="E191" s="1397"/>
      <c r="F191" s="1400"/>
      <c r="G191" s="1400"/>
      <c r="H191" s="1400"/>
      <c r="I191" s="1400"/>
      <c r="J191" s="1400"/>
      <c r="K191" s="597" t="s">
        <v>1177</v>
      </c>
      <c r="L191" s="640" t="s">
        <v>1178</v>
      </c>
      <c r="M191" s="640">
        <v>50</v>
      </c>
      <c r="N191" s="640">
        <v>53</v>
      </c>
      <c r="O191" s="640">
        <v>60</v>
      </c>
      <c r="P191" s="640">
        <v>69</v>
      </c>
      <c r="Q191" s="640">
        <v>69</v>
      </c>
    </row>
    <row r="192" spans="1:17" ht="45" x14ac:dyDescent="0.25">
      <c r="A192" s="1829"/>
      <c r="B192" s="1468"/>
      <c r="C192" s="1468" t="s">
        <v>8</v>
      </c>
      <c r="D192" s="1468"/>
      <c r="E192" s="1396" t="s">
        <v>1179</v>
      </c>
      <c r="F192" s="1399">
        <v>3594.8</v>
      </c>
      <c r="G192" s="1399">
        <v>4921.2</v>
      </c>
      <c r="H192" s="1399">
        <v>4161.2</v>
      </c>
      <c r="I192" s="1399">
        <v>4161.2</v>
      </c>
      <c r="J192" s="1399">
        <v>4161.2</v>
      </c>
      <c r="K192" s="593" t="s">
        <v>1180</v>
      </c>
      <c r="L192" s="406" t="s">
        <v>828</v>
      </c>
      <c r="M192" s="406">
        <v>3.6</v>
      </c>
      <c r="N192" s="406">
        <v>3.5</v>
      </c>
      <c r="O192" s="406">
        <v>3.6</v>
      </c>
      <c r="P192" s="406">
        <v>3.7</v>
      </c>
      <c r="Q192" s="406">
        <v>3.7</v>
      </c>
    </row>
    <row r="193" spans="1:17" ht="45" x14ac:dyDescent="0.25">
      <c r="A193" s="1829"/>
      <c r="B193" s="1469"/>
      <c r="C193" s="1469"/>
      <c r="D193" s="1469"/>
      <c r="E193" s="1398"/>
      <c r="F193" s="1401"/>
      <c r="G193" s="1401"/>
      <c r="H193" s="1401"/>
      <c r="I193" s="1401"/>
      <c r="J193" s="1401"/>
      <c r="K193" s="606" t="s">
        <v>1181</v>
      </c>
      <c r="L193" s="1082" t="s">
        <v>1139</v>
      </c>
      <c r="M193" s="1082">
        <v>370</v>
      </c>
      <c r="N193" s="1082">
        <v>370</v>
      </c>
      <c r="O193" s="1082">
        <v>390</v>
      </c>
      <c r="P193" s="1082">
        <v>410</v>
      </c>
      <c r="Q193" s="1082">
        <v>410</v>
      </c>
    </row>
    <row r="194" spans="1:17" ht="45" x14ac:dyDescent="0.25">
      <c r="A194" s="1829"/>
      <c r="B194" s="1468"/>
      <c r="C194" s="1468" t="s">
        <v>9</v>
      </c>
      <c r="D194" s="1468"/>
      <c r="E194" s="1396" t="s">
        <v>1182</v>
      </c>
      <c r="F194" s="1399">
        <v>6388.1</v>
      </c>
      <c r="G194" s="1399">
        <v>6431.6</v>
      </c>
      <c r="H194" s="1399">
        <v>6531.6</v>
      </c>
      <c r="I194" s="1399">
        <v>6531.6</v>
      </c>
      <c r="J194" s="1399">
        <v>6531.6</v>
      </c>
      <c r="K194" s="593" t="s">
        <v>1183</v>
      </c>
      <c r="L194" s="406" t="s">
        <v>1184</v>
      </c>
      <c r="M194" s="406">
        <v>1314</v>
      </c>
      <c r="N194" s="406">
        <v>1390</v>
      </c>
      <c r="O194" s="406">
        <v>1400</v>
      </c>
      <c r="P194" s="406">
        <v>1420</v>
      </c>
      <c r="Q194" s="406">
        <v>1420</v>
      </c>
    </row>
    <row r="195" spans="1:17" ht="45" x14ac:dyDescent="0.25">
      <c r="A195" s="1829"/>
      <c r="B195" s="1501"/>
      <c r="C195" s="1501"/>
      <c r="D195" s="1501"/>
      <c r="E195" s="1397"/>
      <c r="F195" s="1400"/>
      <c r="G195" s="1400"/>
      <c r="H195" s="1400"/>
      <c r="I195" s="1400"/>
      <c r="J195" s="1400"/>
      <c r="K195" s="593" t="s">
        <v>1185</v>
      </c>
      <c r="L195" s="1083" t="s">
        <v>1186</v>
      </c>
      <c r="M195" s="406">
        <v>4641</v>
      </c>
      <c r="N195" s="406">
        <v>4500</v>
      </c>
      <c r="O195" s="406">
        <v>4500</v>
      </c>
      <c r="P195" s="406">
        <v>4500</v>
      </c>
      <c r="Q195" s="406">
        <v>4500</v>
      </c>
    </row>
    <row r="196" spans="1:17" ht="30" x14ac:dyDescent="0.25">
      <c r="A196" s="1829"/>
      <c r="B196" s="1501"/>
      <c r="C196" s="1501"/>
      <c r="D196" s="1469"/>
      <c r="E196" s="1397"/>
      <c r="F196" s="1400"/>
      <c r="G196" s="1400"/>
      <c r="H196" s="1400"/>
      <c r="I196" s="1400"/>
      <c r="J196" s="1400"/>
      <c r="K196" s="1081" t="s">
        <v>1187</v>
      </c>
      <c r="L196" s="1078" t="s">
        <v>1188</v>
      </c>
      <c r="M196" s="1084">
        <v>2461</v>
      </c>
      <c r="N196" s="1084">
        <v>2500</v>
      </c>
      <c r="O196" s="1082">
        <v>2550</v>
      </c>
      <c r="P196" s="1084">
        <v>2600</v>
      </c>
      <c r="Q196" s="1084">
        <v>2650</v>
      </c>
    </row>
    <row r="197" spans="1:17" ht="60" x14ac:dyDescent="0.25">
      <c r="A197" s="1829"/>
      <c r="B197" s="491"/>
      <c r="C197" s="491" t="s">
        <v>10</v>
      </c>
      <c r="D197" s="491"/>
      <c r="E197" s="593" t="s">
        <v>1189</v>
      </c>
      <c r="F197" s="406">
        <v>2915.7</v>
      </c>
      <c r="G197" s="406">
        <v>3752.8</v>
      </c>
      <c r="H197" s="406">
        <v>3752.8</v>
      </c>
      <c r="I197" s="406">
        <v>3784.5</v>
      </c>
      <c r="J197" s="406">
        <v>3819</v>
      </c>
      <c r="K197" s="593" t="s">
        <v>1189</v>
      </c>
      <c r="L197" s="406" t="s">
        <v>1136</v>
      </c>
      <c r="M197" s="406">
        <v>13</v>
      </c>
      <c r="N197" s="406">
        <v>15</v>
      </c>
      <c r="O197" s="406">
        <v>16</v>
      </c>
      <c r="P197" s="406">
        <v>16</v>
      </c>
      <c r="Q197" s="406">
        <v>17</v>
      </c>
    </row>
    <row r="198" spans="1:17" ht="60" x14ac:dyDescent="0.25">
      <c r="A198" s="1829"/>
      <c r="B198" s="1468"/>
      <c r="C198" s="1468" t="s">
        <v>11</v>
      </c>
      <c r="D198" s="1468"/>
      <c r="E198" s="1396" t="s">
        <v>1190</v>
      </c>
      <c r="F198" s="1399">
        <v>11908.7</v>
      </c>
      <c r="G198" s="1399">
        <v>12830.6</v>
      </c>
      <c r="H198" s="1399">
        <v>12914.1</v>
      </c>
      <c r="I198" s="1399">
        <v>12943.1</v>
      </c>
      <c r="J198" s="1399">
        <v>12983.1</v>
      </c>
      <c r="K198" s="593" t="s">
        <v>1191</v>
      </c>
      <c r="L198" s="406" t="s">
        <v>87</v>
      </c>
      <c r="M198" s="406">
        <v>495</v>
      </c>
      <c r="N198" s="406">
        <v>524</v>
      </c>
      <c r="O198" s="406">
        <v>300</v>
      </c>
      <c r="P198" s="406">
        <v>350</v>
      </c>
      <c r="Q198" s="406">
        <v>400</v>
      </c>
    </row>
    <row r="199" spans="1:17" ht="30" x14ac:dyDescent="0.25">
      <c r="A199" s="1829"/>
      <c r="B199" s="1469"/>
      <c r="C199" s="1469"/>
      <c r="D199" s="1469"/>
      <c r="E199" s="1398"/>
      <c r="F199" s="1401"/>
      <c r="G199" s="1401"/>
      <c r="H199" s="1401"/>
      <c r="I199" s="1401"/>
      <c r="J199" s="1401"/>
      <c r="K199" s="593" t="s">
        <v>1192</v>
      </c>
      <c r="L199" s="406" t="s">
        <v>87</v>
      </c>
      <c r="M199" s="406">
        <v>15</v>
      </c>
      <c r="N199" s="406">
        <v>15</v>
      </c>
      <c r="O199" s="406">
        <v>10</v>
      </c>
      <c r="P199" s="406">
        <v>10</v>
      </c>
      <c r="Q199" s="406">
        <v>8</v>
      </c>
    </row>
    <row r="200" spans="1:17" ht="156.75" x14ac:dyDescent="0.25">
      <c r="A200" s="1829"/>
      <c r="B200" s="511" t="s">
        <v>1908</v>
      </c>
      <c r="C200" s="1085"/>
      <c r="D200" s="1085"/>
      <c r="E200" s="605" t="s">
        <v>1732</v>
      </c>
      <c r="F200" s="670">
        <f>F201+F203+F205+F209</f>
        <v>209347.40000000002</v>
      </c>
      <c r="G200" s="670">
        <f t="shared" ref="G200" si="22">G201+G203+G205+G209</f>
        <v>553883.6</v>
      </c>
      <c r="H200" s="670">
        <f>H201+H203+H205+H209</f>
        <v>566136</v>
      </c>
      <c r="I200" s="670">
        <f t="shared" ref="I200:J200" si="23">I201+I203+I205+I209</f>
        <v>576411</v>
      </c>
      <c r="J200" s="670">
        <f t="shared" si="23"/>
        <v>573859</v>
      </c>
      <c r="K200" s="423" t="s">
        <v>2082</v>
      </c>
      <c r="L200" s="670" t="s">
        <v>3</v>
      </c>
      <c r="M200" s="670">
        <v>75</v>
      </c>
      <c r="N200" s="424">
        <v>80</v>
      </c>
      <c r="O200" s="424">
        <v>85</v>
      </c>
      <c r="P200" s="424">
        <v>87</v>
      </c>
      <c r="Q200" s="424">
        <v>87</v>
      </c>
    </row>
    <row r="201" spans="1:17" ht="30" x14ac:dyDescent="0.25">
      <c r="A201" s="1829"/>
      <c r="B201" s="1469"/>
      <c r="C201" s="1469" t="s">
        <v>5</v>
      </c>
      <c r="D201" s="1468"/>
      <c r="E201" s="1398" t="s">
        <v>1193</v>
      </c>
      <c r="F201" s="1401">
        <v>10116.6</v>
      </c>
      <c r="G201" s="1401">
        <v>12276.3</v>
      </c>
      <c r="H201" s="1401">
        <v>13005.4</v>
      </c>
      <c r="I201" s="1401">
        <v>14095.7</v>
      </c>
      <c r="J201" s="1401">
        <v>13162.5</v>
      </c>
      <c r="K201" s="1086" t="s">
        <v>1194</v>
      </c>
      <c r="L201" s="1082" t="s">
        <v>190</v>
      </c>
      <c r="M201" s="1082">
        <v>96</v>
      </c>
      <c r="N201" s="607">
        <v>125</v>
      </c>
      <c r="O201" s="607">
        <v>125</v>
      </c>
      <c r="P201" s="607">
        <v>125</v>
      </c>
      <c r="Q201" s="607">
        <v>125</v>
      </c>
    </row>
    <row r="202" spans="1:17" ht="30" x14ac:dyDescent="0.25">
      <c r="A202" s="1829"/>
      <c r="B202" s="1503"/>
      <c r="C202" s="1503"/>
      <c r="D202" s="1469"/>
      <c r="E202" s="1403"/>
      <c r="F202" s="1866"/>
      <c r="G202" s="1866"/>
      <c r="H202" s="1866"/>
      <c r="I202" s="1866"/>
      <c r="J202" s="1866"/>
      <c r="K202" s="1087" t="s">
        <v>1195</v>
      </c>
      <c r="L202" s="1075" t="s">
        <v>190</v>
      </c>
      <c r="M202" s="406">
        <v>515</v>
      </c>
      <c r="N202" s="429">
        <v>350</v>
      </c>
      <c r="O202" s="429">
        <v>350</v>
      </c>
      <c r="P202" s="429">
        <v>350</v>
      </c>
      <c r="Q202" s="429">
        <v>350</v>
      </c>
    </row>
    <row r="203" spans="1:17" ht="75" x14ac:dyDescent="0.25">
      <c r="A203" s="1829"/>
      <c r="B203" s="1501"/>
      <c r="C203" s="1501" t="s">
        <v>6</v>
      </c>
      <c r="D203" s="1468"/>
      <c r="E203" s="1397" t="s">
        <v>1196</v>
      </c>
      <c r="F203" s="1400">
        <v>63341.3</v>
      </c>
      <c r="G203" s="1400">
        <v>214756.7</v>
      </c>
      <c r="H203" s="1400">
        <v>292549.5</v>
      </c>
      <c r="I203" s="1400">
        <v>285275.40000000002</v>
      </c>
      <c r="J203" s="1400">
        <v>288275.40000000002</v>
      </c>
      <c r="K203" s="1150" t="s">
        <v>2083</v>
      </c>
      <c r="L203" s="1075" t="s">
        <v>3</v>
      </c>
      <c r="M203" s="406">
        <v>15</v>
      </c>
      <c r="N203" s="406">
        <v>17</v>
      </c>
      <c r="O203" s="429">
        <v>17</v>
      </c>
      <c r="P203" s="429">
        <v>20</v>
      </c>
      <c r="Q203" s="429">
        <v>25</v>
      </c>
    </row>
    <row r="204" spans="1:17" ht="60" x14ac:dyDescent="0.25">
      <c r="A204" s="1829"/>
      <c r="B204" s="1469"/>
      <c r="C204" s="1469"/>
      <c r="D204" s="1469"/>
      <c r="E204" s="1398"/>
      <c r="F204" s="1401"/>
      <c r="G204" s="1401"/>
      <c r="H204" s="1401"/>
      <c r="I204" s="1401"/>
      <c r="J204" s="1401"/>
      <c r="K204" s="1088" t="s">
        <v>2084</v>
      </c>
      <c r="L204" s="1075" t="s">
        <v>1197</v>
      </c>
      <c r="M204" s="406">
        <v>180</v>
      </c>
      <c r="N204" s="406">
        <v>200</v>
      </c>
      <c r="O204" s="429">
        <v>200</v>
      </c>
      <c r="P204" s="429">
        <v>240</v>
      </c>
      <c r="Q204" s="429">
        <v>260</v>
      </c>
    </row>
    <row r="205" spans="1:17" ht="30" x14ac:dyDescent="0.25">
      <c r="A205" s="1829"/>
      <c r="B205" s="1468"/>
      <c r="C205" s="1468" t="s">
        <v>4</v>
      </c>
      <c r="D205" s="1468"/>
      <c r="E205" s="1396" t="s">
        <v>1198</v>
      </c>
      <c r="F205" s="1399">
        <v>78409.5</v>
      </c>
      <c r="G205" s="1399">
        <f>296850.6-30000+30000</f>
        <v>296850.59999999998</v>
      </c>
      <c r="H205" s="1399">
        <v>230581.1</v>
      </c>
      <c r="I205" s="1399">
        <v>247039.9</v>
      </c>
      <c r="J205" s="1399">
        <v>242421.1</v>
      </c>
      <c r="K205" s="1089" t="s">
        <v>2085</v>
      </c>
      <c r="L205" s="1090" t="s">
        <v>1199</v>
      </c>
      <c r="M205" s="1082">
        <v>46.8</v>
      </c>
      <c r="N205" s="1082">
        <v>150</v>
      </c>
      <c r="O205" s="429">
        <v>140</v>
      </c>
      <c r="P205" s="429">
        <v>120</v>
      </c>
      <c r="Q205" s="429">
        <v>120</v>
      </c>
    </row>
    <row r="206" spans="1:17" x14ac:dyDescent="0.25">
      <c r="A206" s="1829"/>
      <c r="B206" s="1501"/>
      <c r="C206" s="1501"/>
      <c r="D206" s="1501"/>
      <c r="E206" s="1397"/>
      <c r="F206" s="1400"/>
      <c r="G206" s="1400"/>
      <c r="H206" s="1400"/>
      <c r="I206" s="1400"/>
      <c r="J206" s="1400"/>
      <c r="K206" s="1088" t="s">
        <v>1200</v>
      </c>
      <c r="L206" s="406" t="s">
        <v>1201</v>
      </c>
      <c r="M206" s="406">
        <v>0.4</v>
      </c>
      <c r="N206" s="406">
        <v>22.9</v>
      </c>
      <c r="O206" s="406">
        <v>23.1</v>
      </c>
      <c r="P206" s="429">
        <v>23.5</v>
      </c>
      <c r="Q206" s="429">
        <v>24</v>
      </c>
    </row>
    <row r="207" spans="1:17" ht="30" x14ac:dyDescent="0.25">
      <c r="A207" s="1829"/>
      <c r="B207" s="1501"/>
      <c r="C207" s="1501"/>
      <c r="D207" s="1501"/>
      <c r="E207" s="1397"/>
      <c r="F207" s="1400"/>
      <c r="G207" s="1400"/>
      <c r="H207" s="1400"/>
      <c r="I207" s="1400"/>
      <c r="J207" s="1400"/>
      <c r="K207" s="1088" t="s">
        <v>1202</v>
      </c>
      <c r="L207" s="406" t="s">
        <v>1203</v>
      </c>
      <c r="M207" s="406">
        <v>5.3</v>
      </c>
      <c r="N207" s="406">
        <v>1470</v>
      </c>
      <c r="O207" s="406">
        <v>1500</v>
      </c>
      <c r="P207" s="429">
        <v>1550</v>
      </c>
      <c r="Q207" s="429">
        <v>1700</v>
      </c>
    </row>
    <row r="208" spans="1:17" ht="30" x14ac:dyDescent="0.25">
      <c r="A208" s="1829"/>
      <c r="B208" s="1501"/>
      <c r="C208" s="1501"/>
      <c r="D208" s="1469"/>
      <c r="E208" s="1397"/>
      <c r="F208" s="1400"/>
      <c r="G208" s="1400"/>
      <c r="H208" s="1400"/>
      <c r="I208" s="1400"/>
      <c r="J208" s="1400"/>
      <c r="K208" s="1091" t="s">
        <v>1204</v>
      </c>
      <c r="L208" s="1075" t="s">
        <v>1205</v>
      </c>
      <c r="M208" s="406">
        <v>79800</v>
      </c>
      <c r="N208" s="406">
        <v>177950</v>
      </c>
      <c r="O208" s="406">
        <v>178000</v>
      </c>
      <c r="P208" s="429">
        <v>178500</v>
      </c>
      <c r="Q208" s="429">
        <v>179000</v>
      </c>
    </row>
    <row r="209" spans="1:17" ht="30" x14ac:dyDescent="0.25">
      <c r="A209" s="1829"/>
      <c r="B209" s="473"/>
      <c r="C209" s="473" t="s">
        <v>7</v>
      </c>
      <c r="D209" s="473"/>
      <c r="E209" s="597" t="s">
        <v>1206</v>
      </c>
      <c r="F209" s="640">
        <v>57480</v>
      </c>
      <c r="G209" s="640">
        <v>30000</v>
      </c>
      <c r="H209" s="640">
        <v>30000</v>
      </c>
      <c r="I209" s="640">
        <v>30000</v>
      </c>
      <c r="J209" s="640">
        <v>30000</v>
      </c>
      <c r="K209" s="1088" t="s">
        <v>1207</v>
      </c>
      <c r="L209" s="406" t="s">
        <v>1203</v>
      </c>
      <c r="M209" s="406">
        <v>286.39999999999998</v>
      </c>
      <c r="N209" s="406">
        <v>730</v>
      </c>
      <c r="O209" s="406">
        <v>750</v>
      </c>
      <c r="P209" s="429">
        <v>800</v>
      </c>
      <c r="Q209" s="429">
        <v>830</v>
      </c>
    </row>
    <row r="210" spans="1:17" ht="93.75" customHeight="1" x14ac:dyDescent="0.25">
      <c r="A210" s="1829"/>
      <c r="B210" s="1860" t="s">
        <v>1909</v>
      </c>
      <c r="C210" s="1860"/>
      <c r="D210" s="1860"/>
      <c r="E210" s="1887" t="s">
        <v>2086</v>
      </c>
      <c r="F210" s="1888">
        <f>F212+F213+F219+F221+F222+F225+F227+F229+F232</f>
        <v>615813.50000000012</v>
      </c>
      <c r="G210" s="1888">
        <f>G212+G213+G219+G221+G222+G225+G227+G229+G232</f>
        <v>3623997.6</v>
      </c>
      <c r="H210" s="1888">
        <f>H212+H213+H219+H221+H222+H225+H227+H229+H232</f>
        <v>4440298</v>
      </c>
      <c r="I210" s="1888">
        <f>I212+I213+I219+I221+I222+I225+I227+I229+I232</f>
        <v>3943714.8000000003</v>
      </c>
      <c r="J210" s="1888">
        <f>J212+J213+J219+J221+J222+J225+J227+J229+J232</f>
        <v>3405732.3</v>
      </c>
      <c r="K210" s="1092" t="s">
        <v>1208</v>
      </c>
      <c r="L210" s="670" t="s">
        <v>828</v>
      </c>
      <c r="M210" s="670">
        <v>1024</v>
      </c>
      <c r="N210" s="670">
        <v>1024</v>
      </c>
      <c r="O210" s="670">
        <v>1024</v>
      </c>
      <c r="P210" s="670">
        <v>1024</v>
      </c>
      <c r="Q210" s="670">
        <v>1024</v>
      </c>
    </row>
    <row r="211" spans="1:17" ht="28.5" x14ac:dyDescent="0.25">
      <c r="A211" s="1829"/>
      <c r="B211" s="1860"/>
      <c r="C211" s="1860"/>
      <c r="D211" s="1860"/>
      <c r="E211" s="1887"/>
      <c r="F211" s="1888"/>
      <c r="G211" s="1888"/>
      <c r="H211" s="1888"/>
      <c r="I211" s="1888"/>
      <c r="J211" s="1888"/>
      <c r="K211" s="1092" t="s">
        <v>1209</v>
      </c>
      <c r="L211" s="670" t="s">
        <v>828</v>
      </c>
      <c r="M211" s="670">
        <v>376</v>
      </c>
      <c r="N211" s="670">
        <v>1574</v>
      </c>
      <c r="O211" s="670">
        <v>1574</v>
      </c>
      <c r="P211" s="670">
        <v>1574</v>
      </c>
      <c r="Q211" s="670">
        <v>1574</v>
      </c>
    </row>
    <row r="212" spans="1:17" ht="45" x14ac:dyDescent="0.25">
      <c r="A212" s="1829"/>
      <c r="B212" s="491"/>
      <c r="C212" s="461" t="s">
        <v>5</v>
      </c>
      <c r="D212" s="461"/>
      <c r="E212" s="1093" t="s">
        <v>1210</v>
      </c>
      <c r="F212" s="1084">
        <v>5265.3</v>
      </c>
      <c r="G212" s="1084">
        <v>23720.5</v>
      </c>
      <c r="H212" s="1084">
        <v>24435.5</v>
      </c>
      <c r="I212" s="1084">
        <v>24610.6</v>
      </c>
      <c r="J212" s="1084">
        <v>24798.6</v>
      </c>
      <c r="K212" s="593"/>
      <c r="L212" s="670">
        <v>0</v>
      </c>
      <c r="M212" s="670">
        <v>0</v>
      </c>
      <c r="N212" s="670">
        <v>0</v>
      </c>
      <c r="O212" s="670">
        <v>0</v>
      </c>
      <c r="P212" s="670">
        <v>0</v>
      </c>
      <c r="Q212" s="670">
        <v>0</v>
      </c>
    </row>
    <row r="213" spans="1:17" ht="30" x14ac:dyDescent="0.25">
      <c r="A213" s="1829"/>
      <c r="B213" s="1468"/>
      <c r="C213" s="1468" t="s">
        <v>6</v>
      </c>
      <c r="D213" s="1468"/>
      <c r="E213" s="1403" t="s">
        <v>1733</v>
      </c>
      <c r="F213" s="1866">
        <v>364655.8</v>
      </c>
      <c r="G213" s="1866">
        <v>1171027.1000000001</v>
      </c>
      <c r="H213" s="1866">
        <v>1197731.8999999999</v>
      </c>
      <c r="I213" s="1866">
        <v>1198387.1000000001</v>
      </c>
      <c r="J213" s="1866">
        <v>1212680.3999999999</v>
      </c>
      <c r="K213" s="692" t="s">
        <v>1211</v>
      </c>
      <c r="L213" s="406" t="s">
        <v>1212</v>
      </c>
      <c r="M213" s="429">
        <v>198.3</v>
      </c>
      <c r="N213" s="406">
        <v>420</v>
      </c>
      <c r="O213" s="406">
        <v>200</v>
      </c>
      <c r="P213" s="406">
        <v>180</v>
      </c>
      <c r="Q213" s="406">
        <v>180</v>
      </c>
    </row>
    <row r="214" spans="1:17" ht="30" x14ac:dyDescent="0.25">
      <c r="A214" s="1829"/>
      <c r="B214" s="1501"/>
      <c r="C214" s="1501"/>
      <c r="D214" s="1501"/>
      <c r="E214" s="1885"/>
      <c r="F214" s="1886"/>
      <c r="G214" s="1886"/>
      <c r="H214" s="1886"/>
      <c r="I214" s="1886"/>
      <c r="J214" s="1886"/>
      <c r="K214" s="692" t="s">
        <v>1213</v>
      </c>
      <c r="L214" s="406" t="s">
        <v>180</v>
      </c>
      <c r="M214" s="429">
        <v>297</v>
      </c>
      <c r="N214" s="406">
        <v>854</v>
      </c>
      <c r="O214" s="406">
        <v>600</v>
      </c>
      <c r="P214" s="406">
        <v>515</v>
      </c>
      <c r="Q214" s="406">
        <v>515</v>
      </c>
    </row>
    <row r="215" spans="1:17" ht="30" x14ac:dyDescent="0.25">
      <c r="A215" s="1829"/>
      <c r="B215" s="1501"/>
      <c r="C215" s="1501"/>
      <c r="D215" s="1501"/>
      <c r="E215" s="1885"/>
      <c r="F215" s="1886"/>
      <c r="G215" s="1886"/>
      <c r="H215" s="1886"/>
      <c r="I215" s="1886"/>
      <c r="J215" s="1886"/>
      <c r="K215" s="692" t="s">
        <v>1214</v>
      </c>
      <c r="L215" s="406" t="s">
        <v>180</v>
      </c>
      <c r="M215" s="429">
        <v>484</v>
      </c>
      <c r="N215" s="406">
        <v>648</v>
      </c>
      <c r="O215" s="406">
        <v>470</v>
      </c>
      <c r="P215" s="406">
        <v>401</v>
      </c>
      <c r="Q215" s="406">
        <v>401</v>
      </c>
    </row>
    <row r="216" spans="1:17" ht="30" x14ac:dyDescent="0.25">
      <c r="A216" s="1829"/>
      <c r="B216" s="1501"/>
      <c r="C216" s="1501"/>
      <c r="D216" s="1501"/>
      <c r="E216" s="1885"/>
      <c r="F216" s="1886"/>
      <c r="G216" s="1886"/>
      <c r="H216" s="1886"/>
      <c r="I216" s="1886"/>
      <c r="J216" s="1886"/>
      <c r="K216" s="692" t="s">
        <v>1215</v>
      </c>
      <c r="L216" s="406" t="s">
        <v>180</v>
      </c>
      <c r="M216" s="406">
        <v>0</v>
      </c>
      <c r="N216" s="406">
        <v>83</v>
      </c>
      <c r="O216" s="406">
        <v>68</v>
      </c>
      <c r="P216" s="406">
        <v>55</v>
      </c>
      <c r="Q216" s="406">
        <v>55</v>
      </c>
    </row>
    <row r="217" spans="1:17" x14ac:dyDescent="0.25">
      <c r="A217" s="1829"/>
      <c r="B217" s="1501"/>
      <c r="C217" s="1501"/>
      <c r="D217" s="1501"/>
      <c r="E217" s="1885"/>
      <c r="F217" s="1886"/>
      <c r="G217" s="1886"/>
      <c r="H217" s="1886"/>
      <c r="I217" s="1886"/>
      <c r="J217" s="1886"/>
      <c r="K217" s="692" t="s">
        <v>1216</v>
      </c>
      <c r="L217" s="406" t="s">
        <v>180</v>
      </c>
      <c r="M217" s="406">
        <v>0</v>
      </c>
      <c r="N217" s="406">
        <v>6</v>
      </c>
      <c r="O217" s="406">
        <v>6</v>
      </c>
      <c r="P217" s="406">
        <v>6</v>
      </c>
      <c r="Q217" s="406">
        <v>4</v>
      </c>
    </row>
    <row r="218" spans="1:17" x14ac:dyDescent="0.25">
      <c r="A218" s="1829"/>
      <c r="B218" s="1469"/>
      <c r="C218" s="1501"/>
      <c r="D218" s="1469"/>
      <c r="E218" s="1885"/>
      <c r="F218" s="1886"/>
      <c r="G218" s="1886"/>
      <c r="H218" s="1886"/>
      <c r="I218" s="1886"/>
      <c r="J218" s="1886"/>
      <c r="K218" s="692" t="s">
        <v>1217</v>
      </c>
      <c r="L218" s="406" t="s">
        <v>1218</v>
      </c>
      <c r="M218" s="406">
        <v>0</v>
      </c>
      <c r="N218" s="406">
        <v>4900</v>
      </c>
      <c r="O218" s="406">
        <v>4900</v>
      </c>
      <c r="P218" s="406">
        <v>4900</v>
      </c>
      <c r="Q218" s="406">
        <v>4900</v>
      </c>
    </row>
    <row r="219" spans="1:17" ht="45" x14ac:dyDescent="0.25">
      <c r="A219" s="1829"/>
      <c r="B219" s="1468"/>
      <c r="C219" s="1468" t="s">
        <v>4</v>
      </c>
      <c r="D219" s="1468"/>
      <c r="E219" s="1396" t="s">
        <v>1219</v>
      </c>
      <c r="F219" s="1399">
        <v>4086.7</v>
      </c>
      <c r="G219" s="1399">
        <v>8177.3</v>
      </c>
      <c r="H219" s="1399">
        <v>9324.6</v>
      </c>
      <c r="I219" s="1399">
        <v>9357.1</v>
      </c>
      <c r="J219" s="1399">
        <v>9473.2999999999993</v>
      </c>
      <c r="K219" s="1094" t="s">
        <v>1220</v>
      </c>
      <c r="L219" s="1095" t="s">
        <v>3</v>
      </c>
      <c r="M219" s="406">
        <v>0</v>
      </c>
      <c r="N219" s="1095" t="s">
        <v>748</v>
      </c>
      <c r="O219" s="406">
        <v>0</v>
      </c>
      <c r="P219" s="406">
        <v>0</v>
      </c>
      <c r="Q219" s="406">
        <v>0</v>
      </c>
    </row>
    <row r="220" spans="1:17" ht="45" x14ac:dyDescent="0.25">
      <c r="A220" s="1829"/>
      <c r="B220" s="1501"/>
      <c r="C220" s="1501"/>
      <c r="D220" s="1469"/>
      <c r="E220" s="1397"/>
      <c r="F220" s="1400"/>
      <c r="G220" s="1400"/>
      <c r="H220" s="1400"/>
      <c r="I220" s="1400"/>
      <c r="J220" s="1400"/>
      <c r="K220" s="1096" t="s">
        <v>1221</v>
      </c>
      <c r="L220" s="1095" t="s">
        <v>3</v>
      </c>
      <c r="M220" s="406">
        <v>0</v>
      </c>
      <c r="N220" s="1095" t="s">
        <v>17</v>
      </c>
      <c r="O220" s="406" t="s">
        <v>22</v>
      </c>
      <c r="P220" s="406" t="s">
        <v>1222</v>
      </c>
      <c r="Q220" s="406" t="s">
        <v>747</v>
      </c>
    </row>
    <row r="221" spans="1:17" ht="45" x14ac:dyDescent="0.25">
      <c r="A221" s="1829"/>
      <c r="B221" s="491"/>
      <c r="C221" s="491" t="s">
        <v>7</v>
      </c>
      <c r="D221" s="491"/>
      <c r="E221" s="428" t="s">
        <v>1223</v>
      </c>
      <c r="F221" s="406">
        <v>12541.2</v>
      </c>
      <c r="G221" s="406">
        <v>279520.8</v>
      </c>
      <c r="H221" s="406">
        <v>0</v>
      </c>
      <c r="I221" s="406">
        <v>0</v>
      </c>
      <c r="J221" s="406">
        <v>0</v>
      </c>
      <c r="K221" s="1097" t="s">
        <v>1224</v>
      </c>
      <c r="L221" s="640" t="s">
        <v>87</v>
      </c>
      <c r="M221" s="429">
        <v>2</v>
      </c>
      <c r="N221" s="429">
        <v>3</v>
      </c>
      <c r="O221" s="609">
        <v>0</v>
      </c>
      <c r="P221" s="406">
        <v>0</v>
      </c>
      <c r="Q221" s="406">
        <v>0</v>
      </c>
    </row>
    <row r="222" spans="1:17" x14ac:dyDescent="0.25">
      <c r="A222" s="1829"/>
      <c r="B222" s="1468"/>
      <c r="C222" s="1468" t="s">
        <v>8</v>
      </c>
      <c r="D222" s="1468"/>
      <c r="E222" s="1396" t="s">
        <v>1225</v>
      </c>
      <c r="F222" s="1399">
        <v>144274.6</v>
      </c>
      <c r="G222" s="1399">
        <v>817876.8</v>
      </c>
      <c r="H222" s="1399">
        <v>17800</v>
      </c>
      <c r="I222" s="1399">
        <v>0</v>
      </c>
      <c r="J222" s="1399">
        <v>0</v>
      </c>
      <c r="K222" s="1396" t="s">
        <v>1226</v>
      </c>
      <c r="L222" s="640" t="s">
        <v>283</v>
      </c>
      <c r="M222" s="609">
        <v>1941</v>
      </c>
      <c r="N222" s="609">
        <v>9004</v>
      </c>
      <c r="O222" s="609">
        <v>26000</v>
      </c>
      <c r="P222" s="609">
        <v>0</v>
      </c>
      <c r="Q222" s="429">
        <v>0</v>
      </c>
    </row>
    <row r="223" spans="1:17" x14ac:dyDescent="0.25">
      <c r="A223" s="1829"/>
      <c r="B223" s="1501"/>
      <c r="C223" s="1501"/>
      <c r="D223" s="1501"/>
      <c r="E223" s="1397"/>
      <c r="F223" s="1400"/>
      <c r="G223" s="1400"/>
      <c r="H223" s="1400"/>
      <c r="I223" s="1400"/>
      <c r="J223" s="1400"/>
      <c r="K223" s="1398"/>
      <c r="L223" s="640" t="s">
        <v>1227</v>
      </c>
      <c r="M223" s="609">
        <v>2208</v>
      </c>
      <c r="N223" s="609">
        <v>1117</v>
      </c>
      <c r="O223" s="609">
        <v>2600</v>
      </c>
      <c r="P223" s="609">
        <v>0</v>
      </c>
      <c r="Q223" s="429">
        <v>0</v>
      </c>
    </row>
    <row r="224" spans="1:17" ht="60" x14ac:dyDescent="0.25">
      <c r="A224" s="1829"/>
      <c r="B224" s="1469"/>
      <c r="C224" s="1469"/>
      <c r="D224" s="1469"/>
      <c r="E224" s="1398"/>
      <c r="F224" s="1401"/>
      <c r="G224" s="1401"/>
      <c r="H224" s="1401"/>
      <c r="I224" s="1401"/>
      <c r="J224" s="1401"/>
      <c r="K224" s="428" t="s">
        <v>1228</v>
      </c>
      <c r="L224" s="640" t="s">
        <v>18</v>
      </c>
      <c r="M224" s="609">
        <v>0</v>
      </c>
      <c r="N224" s="640">
        <v>0</v>
      </c>
      <c r="O224" s="640">
        <v>0</v>
      </c>
      <c r="P224" s="609">
        <v>0</v>
      </c>
      <c r="Q224" s="429">
        <v>0</v>
      </c>
    </row>
    <row r="225" spans="1:17" ht="30" x14ac:dyDescent="0.25">
      <c r="A225" s="1829"/>
      <c r="B225" s="1468"/>
      <c r="C225" s="1468" t="s">
        <v>9</v>
      </c>
      <c r="D225" s="1468"/>
      <c r="E225" s="1396" t="s">
        <v>1229</v>
      </c>
      <c r="F225" s="1399">
        <v>44020.3</v>
      </c>
      <c r="G225" s="1399">
        <v>511836</v>
      </c>
      <c r="H225" s="1399">
        <v>75650</v>
      </c>
      <c r="I225" s="1399">
        <v>0</v>
      </c>
      <c r="J225" s="1399">
        <v>0</v>
      </c>
      <c r="K225" s="593" t="s">
        <v>1230</v>
      </c>
      <c r="L225" s="406" t="s">
        <v>1212</v>
      </c>
      <c r="M225" s="429">
        <v>8.6</v>
      </c>
      <c r="N225" s="429">
        <v>3</v>
      </c>
      <c r="O225" s="429">
        <v>2</v>
      </c>
      <c r="P225" s="406">
        <v>0</v>
      </c>
      <c r="Q225" s="406">
        <v>0</v>
      </c>
    </row>
    <row r="226" spans="1:17" x14ac:dyDescent="0.25">
      <c r="A226" s="1829"/>
      <c r="B226" s="1469"/>
      <c r="C226" s="1469"/>
      <c r="D226" s="1469"/>
      <c r="E226" s="1398"/>
      <c r="F226" s="1401"/>
      <c r="G226" s="1401"/>
      <c r="H226" s="1401"/>
      <c r="I226" s="1401"/>
      <c r="J226" s="1401"/>
      <c r="K226" s="593" t="s">
        <v>1231</v>
      </c>
      <c r="L226" s="406" t="s">
        <v>1212</v>
      </c>
      <c r="M226" s="429">
        <v>30.3</v>
      </c>
      <c r="N226" s="429">
        <v>13.8</v>
      </c>
      <c r="O226" s="429">
        <v>9</v>
      </c>
      <c r="P226" s="406">
        <v>0</v>
      </c>
      <c r="Q226" s="406">
        <v>0</v>
      </c>
    </row>
    <row r="227" spans="1:17" ht="60" x14ac:dyDescent="0.25">
      <c r="A227" s="1829"/>
      <c r="B227" s="1468"/>
      <c r="C227" s="1468" t="s">
        <v>10</v>
      </c>
      <c r="D227" s="1468"/>
      <c r="E227" s="1396" t="s">
        <v>1232</v>
      </c>
      <c r="F227" s="1399">
        <v>33306.800000000003</v>
      </c>
      <c r="G227" s="1399">
        <v>369750.7</v>
      </c>
      <c r="H227" s="1399">
        <v>1105825</v>
      </c>
      <c r="I227" s="1399">
        <v>595885</v>
      </c>
      <c r="J227" s="1399">
        <v>90440</v>
      </c>
      <c r="K227" s="593" t="s">
        <v>1233</v>
      </c>
      <c r="L227" s="406" t="s">
        <v>87</v>
      </c>
      <c r="M227" s="406">
        <v>0</v>
      </c>
      <c r="N227" s="406">
        <v>1</v>
      </c>
      <c r="O227" s="406">
        <v>1</v>
      </c>
      <c r="P227" s="406">
        <v>3</v>
      </c>
      <c r="Q227" s="1098">
        <v>1</v>
      </c>
    </row>
    <row r="228" spans="1:17" ht="60" x14ac:dyDescent="0.25">
      <c r="A228" s="1829"/>
      <c r="B228" s="1501"/>
      <c r="C228" s="1501"/>
      <c r="D228" s="1469"/>
      <c r="E228" s="1397"/>
      <c r="F228" s="1400"/>
      <c r="G228" s="1400"/>
      <c r="H228" s="1400"/>
      <c r="I228" s="1400"/>
      <c r="J228" s="1400"/>
      <c r="K228" s="593" t="s">
        <v>1234</v>
      </c>
      <c r="L228" s="406" t="s">
        <v>87</v>
      </c>
      <c r="M228" s="406">
        <v>0</v>
      </c>
      <c r="N228" s="406">
        <v>1</v>
      </c>
      <c r="O228" s="406">
        <v>1</v>
      </c>
      <c r="P228" s="406">
        <v>2</v>
      </c>
      <c r="Q228" s="1098">
        <v>1</v>
      </c>
    </row>
    <row r="229" spans="1:17" x14ac:dyDescent="0.25">
      <c r="A229" s="1829"/>
      <c r="B229" s="1468"/>
      <c r="C229" s="1468" t="s">
        <v>11</v>
      </c>
      <c r="D229" s="1468"/>
      <c r="E229" s="1396" t="s">
        <v>1235</v>
      </c>
      <c r="F229" s="1399">
        <v>7662.8</v>
      </c>
      <c r="G229" s="1399">
        <v>442088.4</v>
      </c>
      <c r="H229" s="1399">
        <v>1787031</v>
      </c>
      <c r="I229" s="1399">
        <v>1652975</v>
      </c>
      <c r="J229" s="1399">
        <v>1593340</v>
      </c>
      <c r="K229" s="593" t="s">
        <v>1236</v>
      </c>
      <c r="L229" s="406" t="s">
        <v>180</v>
      </c>
      <c r="M229" s="429">
        <v>0</v>
      </c>
      <c r="N229" s="429">
        <v>0</v>
      </c>
      <c r="O229" s="406">
        <v>0</v>
      </c>
      <c r="P229" s="406">
        <v>0</v>
      </c>
      <c r="Q229" s="429">
        <v>4</v>
      </c>
    </row>
    <row r="230" spans="1:17" x14ac:dyDescent="0.25">
      <c r="A230" s="1829"/>
      <c r="B230" s="1501"/>
      <c r="C230" s="1501"/>
      <c r="D230" s="1501"/>
      <c r="E230" s="1397"/>
      <c r="F230" s="1400"/>
      <c r="G230" s="1400"/>
      <c r="H230" s="1400"/>
      <c r="I230" s="1400"/>
      <c r="J230" s="1400"/>
      <c r="K230" s="593" t="s">
        <v>1237</v>
      </c>
      <c r="L230" s="406" t="s">
        <v>1212</v>
      </c>
      <c r="M230" s="429">
        <v>0</v>
      </c>
      <c r="N230" s="429">
        <v>0</v>
      </c>
      <c r="O230" s="406">
        <v>15</v>
      </c>
      <c r="P230" s="429">
        <v>23</v>
      </c>
      <c r="Q230" s="429">
        <v>36</v>
      </c>
    </row>
    <row r="231" spans="1:17" ht="30" x14ac:dyDescent="0.25">
      <c r="A231" s="1829"/>
      <c r="B231" s="1469"/>
      <c r="C231" s="1469"/>
      <c r="D231" s="1469"/>
      <c r="E231" s="1398"/>
      <c r="F231" s="1401"/>
      <c r="G231" s="1401"/>
      <c r="H231" s="1401"/>
      <c r="I231" s="1401"/>
      <c r="J231" s="1401"/>
      <c r="K231" s="593" t="s">
        <v>1238</v>
      </c>
      <c r="L231" s="406" t="s">
        <v>180</v>
      </c>
      <c r="M231" s="429">
        <v>0</v>
      </c>
      <c r="N231" s="406">
        <v>0</v>
      </c>
      <c r="O231" s="406">
        <v>0</v>
      </c>
      <c r="P231" s="406">
        <v>12</v>
      </c>
      <c r="Q231" s="429">
        <v>0</v>
      </c>
    </row>
    <row r="232" spans="1:17" ht="90" x14ac:dyDescent="0.25">
      <c r="A232" s="1829"/>
      <c r="B232" s="581"/>
      <c r="C232" s="581" t="s">
        <v>14</v>
      </c>
      <c r="D232" s="491"/>
      <c r="E232" s="606" t="s">
        <v>1239</v>
      </c>
      <c r="F232" s="1082">
        <v>0</v>
      </c>
      <c r="G232" s="1082">
        <v>0</v>
      </c>
      <c r="H232" s="1082">
        <v>222500</v>
      </c>
      <c r="I232" s="1082">
        <v>462500</v>
      </c>
      <c r="J232" s="1082">
        <v>475000</v>
      </c>
      <c r="K232" s="593" t="s">
        <v>1240</v>
      </c>
      <c r="L232" s="1099" t="s">
        <v>1241</v>
      </c>
      <c r="M232" s="429">
        <v>0</v>
      </c>
      <c r="N232" s="406">
        <v>0</v>
      </c>
      <c r="O232" s="406" t="s">
        <v>1242</v>
      </c>
      <c r="P232" s="406" t="s">
        <v>1243</v>
      </c>
      <c r="Q232" s="406" t="s">
        <v>1244</v>
      </c>
    </row>
    <row r="233" spans="1:17" ht="89.45" customHeight="1" x14ac:dyDescent="0.25">
      <c r="A233" s="1829"/>
      <c r="B233" s="511" t="s">
        <v>1910</v>
      </c>
      <c r="C233" s="511"/>
      <c r="D233" s="511"/>
      <c r="E233" s="605" t="s">
        <v>1734</v>
      </c>
      <c r="F233" s="670">
        <f>F234+F235+F238+F241+F242</f>
        <v>54883.9</v>
      </c>
      <c r="G233" s="670">
        <f>G234+G235+G238+G241+G242</f>
        <v>959677.3</v>
      </c>
      <c r="H233" s="670">
        <f>H234+H235+H238+H241+H242</f>
        <v>1206928.7999999998</v>
      </c>
      <c r="I233" s="670">
        <f>I234+I235+I238+I241+I242</f>
        <v>1213481.3</v>
      </c>
      <c r="J233" s="670">
        <f>J234+J235+J238+J241+J242</f>
        <v>1326204.2000000002</v>
      </c>
      <c r="K233" s="605" t="s">
        <v>1245</v>
      </c>
      <c r="L233" s="670" t="s">
        <v>828</v>
      </c>
      <c r="M233" s="406">
        <v>0</v>
      </c>
      <c r="N233" s="406"/>
      <c r="O233" s="406"/>
      <c r="P233" s="406"/>
      <c r="Q233" s="406"/>
    </row>
    <row r="234" spans="1:17" ht="75" x14ac:dyDescent="0.25">
      <c r="A234" s="1829"/>
      <c r="B234" s="464"/>
      <c r="C234" s="461" t="s">
        <v>5</v>
      </c>
      <c r="D234" s="1100"/>
      <c r="E234" s="787" t="s">
        <v>1246</v>
      </c>
      <c r="F234" s="1084">
        <v>8852.6</v>
      </c>
      <c r="G234" s="1084">
        <v>807846.9</v>
      </c>
      <c r="H234" s="1084">
        <v>1048941.8999999999</v>
      </c>
      <c r="I234" s="1084">
        <f>1112183.3-57294.2</f>
        <v>1054889.1000000001</v>
      </c>
      <c r="J234" s="1084">
        <v>1163369.6000000001</v>
      </c>
      <c r="K234" s="593"/>
      <c r="L234" s="670">
        <v>0</v>
      </c>
      <c r="M234" s="670">
        <v>0</v>
      </c>
      <c r="N234" s="670">
        <v>0</v>
      </c>
      <c r="O234" s="670">
        <v>0</v>
      </c>
      <c r="P234" s="670">
        <v>0</v>
      </c>
      <c r="Q234" s="670">
        <v>0</v>
      </c>
    </row>
    <row r="235" spans="1:17" ht="60" x14ac:dyDescent="0.25">
      <c r="A235" s="1829"/>
      <c r="B235" s="1468"/>
      <c r="C235" s="1468" t="s">
        <v>6</v>
      </c>
      <c r="D235" s="1468"/>
      <c r="E235" s="1396" t="s">
        <v>1247</v>
      </c>
      <c r="F235" s="1399">
        <v>11463.7</v>
      </c>
      <c r="G235" s="1399">
        <v>33533</v>
      </c>
      <c r="H235" s="1399">
        <v>36899.9</v>
      </c>
      <c r="I235" s="1399">
        <v>37427.699999999997</v>
      </c>
      <c r="J235" s="1399">
        <v>38038.199999999997</v>
      </c>
      <c r="K235" s="1101" t="s">
        <v>1248</v>
      </c>
      <c r="L235" s="1102" t="s">
        <v>1249</v>
      </c>
      <c r="M235" s="1103">
        <v>18</v>
      </c>
      <c r="N235" s="1103">
        <v>71</v>
      </c>
      <c r="O235" s="1103">
        <v>71</v>
      </c>
      <c r="P235" s="1103">
        <v>71</v>
      </c>
      <c r="Q235" s="1103">
        <v>71</v>
      </c>
    </row>
    <row r="236" spans="1:17" ht="60" x14ac:dyDescent="0.25">
      <c r="A236" s="1829"/>
      <c r="B236" s="1501"/>
      <c r="C236" s="1501"/>
      <c r="D236" s="1501"/>
      <c r="E236" s="1397"/>
      <c r="F236" s="1400"/>
      <c r="G236" s="1400"/>
      <c r="H236" s="1400"/>
      <c r="I236" s="1400"/>
      <c r="J236" s="1400"/>
      <c r="K236" s="1104" t="s">
        <v>1250</v>
      </c>
      <c r="L236" s="1099" t="s">
        <v>1251</v>
      </c>
      <c r="M236" s="1103">
        <v>3</v>
      </c>
      <c r="N236" s="1103">
        <v>8</v>
      </c>
      <c r="O236" s="1103">
        <v>8</v>
      </c>
      <c r="P236" s="1103">
        <v>8</v>
      </c>
      <c r="Q236" s="1103">
        <v>8</v>
      </c>
    </row>
    <row r="237" spans="1:17" ht="45" x14ac:dyDescent="0.25">
      <c r="A237" s="1829"/>
      <c r="B237" s="1883"/>
      <c r="C237" s="1883"/>
      <c r="D237" s="1469"/>
      <c r="E237" s="1884"/>
      <c r="F237" s="1505"/>
      <c r="G237" s="1505"/>
      <c r="H237" s="1505"/>
      <c r="I237" s="1505"/>
      <c r="J237" s="1505"/>
      <c r="K237" s="1104" t="s">
        <v>2087</v>
      </c>
      <c r="L237" s="1099" t="s">
        <v>1252</v>
      </c>
      <c r="M237" s="1103">
        <v>31</v>
      </c>
      <c r="N237" s="1103">
        <v>248</v>
      </c>
      <c r="O237" s="1103">
        <v>248</v>
      </c>
      <c r="P237" s="1103">
        <v>248</v>
      </c>
      <c r="Q237" s="1103">
        <v>248</v>
      </c>
    </row>
    <row r="238" spans="1:17" ht="45" x14ac:dyDescent="0.25">
      <c r="A238" s="1829"/>
      <c r="B238" s="1468"/>
      <c r="C238" s="1468" t="s">
        <v>4</v>
      </c>
      <c r="D238" s="1468"/>
      <c r="E238" s="1396" t="s">
        <v>1253</v>
      </c>
      <c r="F238" s="1399">
        <v>13036.7</v>
      </c>
      <c r="G238" s="1399">
        <v>41377.300000000003</v>
      </c>
      <c r="H238" s="1399">
        <v>41413</v>
      </c>
      <c r="I238" s="1399">
        <v>41413</v>
      </c>
      <c r="J238" s="1399">
        <v>44766.1</v>
      </c>
      <c r="K238" s="1105" t="s">
        <v>1254</v>
      </c>
      <c r="L238" s="1106" t="s">
        <v>1255</v>
      </c>
      <c r="M238" s="429">
        <v>0</v>
      </c>
      <c r="N238" s="429">
        <v>31</v>
      </c>
      <c r="O238" s="429">
        <v>31</v>
      </c>
      <c r="P238" s="429">
        <v>31</v>
      </c>
      <c r="Q238" s="429">
        <v>31</v>
      </c>
    </row>
    <row r="239" spans="1:17" ht="60" x14ac:dyDescent="0.25">
      <c r="A239" s="1829"/>
      <c r="B239" s="1501"/>
      <c r="C239" s="1501"/>
      <c r="D239" s="1501"/>
      <c r="E239" s="1397"/>
      <c r="F239" s="1400"/>
      <c r="G239" s="1400"/>
      <c r="H239" s="1400"/>
      <c r="I239" s="1400"/>
      <c r="J239" s="1400"/>
      <c r="K239" s="1104" t="s">
        <v>1256</v>
      </c>
      <c r="L239" s="1099" t="s">
        <v>1252</v>
      </c>
      <c r="M239" s="1103">
        <v>27</v>
      </c>
      <c r="N239" s="1103">
        <v>109</v>
      </c>
      <c r="O239" s="1103">
        <v>109</v>
      </c>
      <c r="P239" s="1103">
        <v>109</v>
      </c>
      <c r="Q239" s="1103">
        <v>109</v>
      </c>
    </row>
    <row r="240" spans="1:17" ht="45" x14ac:dyDescent="0.25">
      <c r="A240" s="1829"/>
      <c r="B240" s="1883"/>
      <c r="C240" s="1883"/>
      <c r="D240" s="1469"/>
      <c r="E240" s="1884"/>
      <c r="F240" s="1505"/>
      <c r="G240" s="1505"/>
      <c r="H240" s="1505"/>
      <c r="I240" s="1505"/>
      <c r="J240" s="1505"/>
      <c r="K240" s="1101" t="s">
        <v>1431</v>
      </c>
      <c r="L240" s="1102" t="s">
        <v>1257</v>
      </c>
      <c r="M240" s="1103">
        <v>243</v>
      </c>
      <c r="N240" s="1103">
        <v>970</v>
      </c>
      <c r="O240" s="1103">
        <v>970</v>
      </c>
      <c r="P240" s="1103">
        <v>970</v>
      </c>
      <c r="Q240" s="1103">
        <v>970</v>
      </c>
    </row>
    <row r="241" spans="1:17" ht="195" x14ac:dyDescent="0.25">
      <c r="A241" s="1829"/>
      <c r="B241" s="473"/>
      <c r="C241" s="473" t="s">
        <v>7</v>
      </c>
      <c r="D241" s="1062"/>
      <c r="E241" s="597" t="s">
        <v>1735</v>
      </c>
      <c r="F241" s="640">
        <v>14524.9</v>
      </c>
      <c r="G241" s="640">
        <v>57294.2</v>
      </c>
      <c r="H241" s="640">
        <v>57294.2</v>
      </c>
      <c r="I241" s="640">
        <v>57294.2</v>
      </c>
      <c r="J241" s="640">
        <v>57294.2</v>
      </c>
      <c r="K241" s="1104" t="s">
        <v>1258</v>
      </c>
      <c r="L241" s="1099" t="s">
        <v>1259</v>
      </c>
      <c r="M241" s="428" t="s">
        <v>1260</v>
      </c>
      <c r="N241" s="428" t="s">
        <v>1261</v>
      </c>
      <c r="O241" s="428" t="s">
        <v>1262</v>
      </c>
      <c r="P241" s="428" t="s">
        <v>1263</v>
      </c>
      <c r="Q241" s="428" t="s">
        <v>1264</v>
      </c>
    </row>
    <row r="242" spans="1:17" ht="45" x14ac:dyDescent="0.25">
      <c r="A242" s="1829"/>
      <c r="B242" s="1468"/>
      <c r="C242" s="1468" t="s">
        <v>8</v>
      </c>
      <c r="D242" s="1468"/>
      <c r="E242" s="1396" t="s">
        <v>1736</v>
      </c>
      <c r="F242" s="1504">
        <v>7006</v>
      </c>
      <c r="G242" s="1504">
        <v>19625.900000000001</v>
      </c>
      <c r="H242" s="1504">
        <v>22379.8</v>
      </c>
      <c r="I242" s="1504">
        <v>22457.3</v>
      </c>
      <c r="J242" s="1504">
        <v>22736.1</v>
      </c>
      <c r="K242" s="1101" t="s">
        <v>1265</v>
      </c>
      <c r="L242" s="1102" t="s">
        <v>3</v>
      </c>
      <c r="M242" s="406">
        <v>10</v>
      </c>
      <c r="N242" s="406" t="s">
        <v>1266</v>
      </c>
      <c r="O242" s="406" t="s">
        <v>21</v>
      </c>
      <c r="P242" s="406" t="s">
        <v>21</v>
      </c>
      <c r="Q242" s="406" t="s">
        <v>21</v>
      </c>
    </row>
    <row r="243" spans="1:17" ht="45" x14ac:dyDescent="0.25">
      <c r="A243" s="1829"/>
      <c r="B243" s="1469"/>
      <c r="C243" s="1469"/>
      <c r="D243" s="1469"/>
      <c r="E243" s="1398"/>
      <c r="F243" s="1505"/>
      <c r="G243" s="1505"/>
      <c r="H243" s="1505"/>
      <c r="I243" s="1505"/>
      <c r="J243" s="1505"/>
      <c r="K243" s="1107" t="s">
        <v>1267</v>
      </c>
      <c r="L243" s="1095" t="s">
        <v>3</v>
      </c>
      <c r="M243" s="406">
        <v>0</v>
      </c>
      <c r="N243" s="406" t="s">
        <v>23</v>
      </c>
      <c r="O243" s="406" t="s">
        <v>1268</v>
      </c>
      <c r="P243" s="406" t="s">
        <v>1269</v>
      </c>
      <c r="Q243" s="406" t="s">
        <v>1270</v>
      </c>
    </row>
    <row r="244" spans="1:17" ht="28.5" x14ac:dyDescent="0.25">
      <c r="A244" s="1829"/>
      <c r="B244" s="1824" t="s">
        <v>1911</v>
      </c>
      <c r="C244" s="1832"/>
      <c r="D244" s="1832"/>
      <c r="E244" s="1877" t="s">
        <v>1782</v>
      </c>
      <c r="F244" s="1880">
        <f>F249+F250+F253+F257</f>
        <v>237437.40000000002</v>
      </c>
      <c r="G244" s="1880">
        <f>G249+G250+G253+G257</f>
        <v>642722.9</v>
      </c>
      <c r="H244" s="1880">
        <f t="shared" ref="H244:J244" si="24">H249+H250+H253+H257</f>
        <v>474298.20000000007</v>
      </c>
      <c r="I244" s="1880">
        <f>I249+I250+I253+I257</f>
        <v>503195.6</v>
      </c>
      <c r="J244" s="1880">
        <f t="shared" si="24"/>
        <v>521749.8</v>
      </c>
      <c r="K244" s="605" t="s">
        <v>1271</v>
      </c>
      <c r="L244" s="670" t="s">
        <v>818</v>
      </c>
      <c r="M244" s="670">
        <v>772226</v>
      </c>
      <c r="N244" s="670">
        <v>772226</v>
      </c>
      <c r="O244" s="670">
        <v>772226</v>
      </c>
      <c r="P244" s="670">
        <v>772226</v>
      </c>
      <c r="Q244" s="670">
        <v>772226</v>
      </c>
    </row>
    <row r="245" spans="1:17" ht="42.75" x14ac:dyDescent="0.25">
      <c r="A245" s="1829"/>
      <c r="B245" s="1825"/>
      <c r="C245" s="1875"/>
      <c r="D245" s="1875"/>
      <c r="E245" s="1878"/>
      <c r="F245" s="1881"/>
      <c r="G245" s="1881"/>
      <c r="H245" s="1881"/>
      <c r="I245" s="1881"/>
      <c r="J245" s="1881"/>
      <c r="K245" s="605" t="s">
        <v>1272</v>
      </c>
      <c r="L245" s="670" t="s">
        <v>818</v>
      </c>
      <c r="M245" s="670">
        <v>2538574</v>
      </c>
      <c r="N245" s="670">
        <v>2538574</v>
      </c>
      <c r="O245" s="670">
        <v>2538574</v>
      </c>
      <c r="P245" s="670">
        <v>2538574</v>
      </c>
      <c r="Q245" s="670">
        <v>2538574</v>
      </c>
    </row>
    <row r="246" spans="1:17" ht="28.5" x14ac:dyDescent="0.25">
      <c r="A246" s="1829"/>
      <c r="B246" s="1825"/>
      <c r="C246" s="1875"/>
      <c r="D246" s="1875"/>
      <c r="E246" s="1878"/>
      <c r="F246" s="1881"/>
      <c r="G246" s="1881"/>
      <c r="H246" s="1881"/>
      <c r="I246" s="1881"/>
      <c r="J246" s="1881"/>
      <c r="K246" s="605" t="s">
        <v>1273</v>
      </c>
      <c r="L246" s="670" t="s">
        <v>818</v>
      </c>
      <c r="M246" s="670">
        <v>699.4</v>
      </c>
      <c r="N246" s="670">
        <v>1130</v>
      </c>
      <c r="O246" s="670">
        <v>1140</v>
      </c>
      <c r="P246" s="670">
        <v>1150</v>
      </c>
      <c r="Q246" s="670">
        <v>1160</v>
      </c>
    </row>
    <row r="247" spans="1:17" ht="28.5" x14ac:dyDescent="0.25">
      <c r="A247" s="1829"/>
      <c r="B247" s="1825"/>
      <c r="C247" s="1875"/>
      <c r="D247" s="1875"/>
      <c r="E247" s="1878"/>
      <c r="F247" s="1881"/>
      <c r="G247" s="1881"/>
      <c r="H247" s="1881"/>
      <c r="I247" s="1881"/>
      <c r="J247" s="1881"/>
      <c r="K247" s="605" t="s">
        <v>1274</v>
      </c>
      <c r="L247" s="670" t="s">
        <v>818</v>
      </c>
      <c r="M247" s="670">
        <v>239.5</v>
      </c>
      <c r="N247" s="670">
        <v>765</v>
      </c>
      <c r="O247" s="670">
        <v>770</v>
      </c>
      <c r="P247" s="670">
        <v>775</v>
      </c>
      <c r="Q247" s="670">
        <v>780</v>
      </c>
    </row>
    <row r="248" spans="1:17" ht="28.5" x14ac:dyDescent="0.25">
      <c r="A248" s="1829"/>
      <c r="B248" s="1469"/>
      <c r="C248" s="1876"/>
      <c r="D248" s="1876"/>
      <c r="E248" s="1879"/>
      <c r="F248" s="1882"/>
      <c r="G248" s="1882"/>
      <c r="H248" s="1882"/>
      <c r="I248" s="1882"/>
      <c r="J248" s="1882"/>
      <c r="K248" s="605" t="s">
        <v>1275</v>
      </c>
      <c r="L248" s="423" t="s">
        <v>1276</v>
      </c>
      <c r="M248" s="670">
        <v>1040</v>
      </c>
      <c r="N248" s="670">
        <v>1040</v>
      </c>
      <c r="O248" s="670">
        <v>1050</v>
      </c>
      <c r="P248" s="670">
        <v>1060</v>
      </c>
      <c r="Q248" s="670">
        <v>1070</v>
      </c>
    </row>
    <row r="249" spans="1:17" ht="30" x14ac:dyDescent="0.25">
      <c r="A249" s="1829"/>
      <c r="B249" s="1108"/>
      <c r="C249" s="491" t="s">
        <v>5</v>
      </c>
      <c r="D249" s="1108"/>
      <c r="E249" s="593" t="s">
        <v>1277</v>
      </c>
      <c r="F249" s="406">
        <v>12409.8</v>
      </c>
      <c r="G249" s="406">
        <v>12447.2</v>
      </c>
      <c r="H249" s="406">
        <f>27404.9</f>
        <v>27404.9</v>
      </c>
      <c r="I249" s="406">
        <v>28251.5</v>
      </c>
      <c r="J249" s="406">
        <v>28288</v>
      </c>
      <c r="K249" s="593"/>
      <c r="L249" s="670">
        <v>0</v>
      </c>
      <c r="M249" s="670">
        <v>0</v>
      </c>
      <c r="N249" s="670">
        <v>0</v>
      </c>
      <c r="O249" s="670">
        <v>0</v>
      </c>
      <c r="P249" s="670">
        <v>0</v>
      </c>
      <c r="Q249" s="670">
        <v>0</v>
      </c>
    </row>
    <row r="250" spans="1:17" ht="30" x14ac:dyDescent="0.25">
      <c r="A250" s="1829"/>
      <c r="B250" s="1832"/>
      <c r="C250" s="1468" t="s">
        <v>6</v>
      </c>
      <c r="D250" s="1824"/>
      <c r="E250" s="1396" t="s">
        <v>1278</v>
      </c>
      <c r="F250" s="1399">
        <v>92010.5</v>
      </c>
      <c r="G250" s="1399">
        <v>333023.7</v>
      </c>
      <c r="H250" s="1399">
        <f>290373+137250.4</f>
        <v>427623.4</v>
      </c>
      <c r="I250" s="1399">
        <f>299339.8+138050.4</f>
        <v>437390.19999999995</v>
      </c>
      <c r="J250" s="1399">
        <f>299724.5+168239.3</f>
        <v>467963.8</v>
      </c>
      <c r="K250" s="593" t="s">
        <v>1279</v>
      </c>
      <c r="L250" s="1109" t="s">
        <v>1280</v>
      </c>
      <c r="M250" s="406">
        <v>9</v>
      </c>
      <c r="N250" s="406">
        <v>13.1</v>
      </c>
      <c r="O250" s="406">
        <v>13.2</v>
      </c>
      <c r="P250" s="406">
        <v>13.3</v>
      </c>
      <c r="Q250" s="406">
        <v>13.4</v>
      </c>
    </row>
    <row r="251" spans="1:17" ht="60" x14ac:dyDescent="0.25">
      <c r="A251" s="1829"/>
      <c r="B251" s="1833"/>
      <c r="C251" s="1501"/>
      <c r="D251" s="1825"/>
      <c r="E251" s="1873"/>
      <c r="F251" s="1874"/>
      <c r="G251" s="1874"/>
      <c r="H251" s="1874"/>
      <c r="I251" s="1874"/>
      <c r="J251" s="1874"/>
      <c r="K251" s="593" t="s">
        <v>1281</v>
      </c>
      <c r="L251" s="406" t="s">
        <v>3</v>
      </c>
      <c r="M251" s="406">
        <v>20</v>
      </c>
      <c r="N251" s="406">
        <v>100</v>
      </c>
      <c r="O251" s="406">
        <v>100</v>
      </c>
      <c r="P251" s="406">
        <v>100</v>
      </c>
      <c r="Q251" s="406">
        <v>100</v>
      </c>
    </row>
    <row r="252" spans="1:17" ht="30" x14ac:dyDescent="0.25">
      <c r="A252" s="1829"/>
      <c r="B252" s="1833"/>
      <c r="C252" s="1501"/>
      <c r="D252" s="1831"/>
      <c r="E252" s="1873"/>
      <c r="F252" s="1874"/>
      <c r="G252" s="1874"/>
      <c r="H252" s="1874"/>
      <c r="I252" s="1874"/>
      <c r="J252" s="1874"/>
      <c r="K252" s="1072" t="s">
        <v>1282</v>
      </c>
      <c r="L252" s="1075" t="s">
        <v>3</v>
      </c>
      <c r="M252" s="406">
        <v>20</v>
      </c>
      <c r="N252" s="406">
        <v>62</v>
      </c>
      <c r="O252" s="406">
        <v>62</v>
      </c>
      <c r="P252" s="406">
        <v>62</v>
      </c>
      <c r="Q252" s="406">
        <v>62</v>
      </c>
    </row>
    <row r="253" spans="1:17" x14ac:dyDescent="0.25">
      <c r="A253" s="1829"/>
      <c r="B253" s="1824"/>
      <c r="C253" s="1468" t="s">
        <v>4</v>
      </c>
      <c r="D253" s="1824"/>
      <c r="E253" s="1396" t="s">
        <v>1283</v>
      </c>
      <c r="F253" s="1399">
        <v>45</v>
      </c>
      <c r="G253" s="1399">
        <v>28754.7</v>
      </c>
      <c r="H253" s="1399">
        <f>18269.9+1000</f>
        <v>19269.900000000001</v>
      </c>
      <c r="I253" s="1399">
        <f>18834.3+18719.6</f>
        <v>37553.899999999994</v>
      </c>
      <c r="J253" s="1399">
        <f>18858.7+6639.3</f>
        <v>25498</v>
      </c>
      <c r="K253" s="593" t="s">
        <v>1284</v>
      </c>
      <c r="L253" s="406" t="s">
        <v>828</v>
      </c>
      <c r="M253" s="406">
        <v>99.8</v>
      </c>
      <c r="N253" s="406">
        <v>350</v>
      </c>
      <c r="O253" s="406">
        <v>470</v>
      </c>
      <c r="P253" s="406">
        <v>300</v>
      </c>
      <c r="Q253" s="406">
        <v>300</v>
      </c>
    </row>
    <row r="254" spans="1:17" x14ac:dyDescent="0.25">
      <c r="A254" s="1829"/>
      <c r="B254" s="1825"/>
      <c r="C254" s="1501"/>
      <c r="D254" s="1825"/>
      <c r="E254" s="1397"/>
      <c r="F254" s="1400"/>
      <c r="G254" s="1400"/>
      <c r="H254" s="1400"/>
      <c r="I254" s="1400"/>
      <c r="J254" s="1400"/>
      <c r="K254" s="593" t="s">
        <v>1285</v>
      </c>
      <c r="L254" s="406" t="s">
        <v>828</v>
      </c>
      <c r="M254" s="406">
        <v>1471</v>
      </c>
      <c r="N254" s="406">
        <v>800</v>
      </c>
      <c r="O254" s="406">
        <v>750</v>
      </c>
      <c r="P254" s="406">
        <v>800</v>
      </c>
      <c r="Q254" s="406">
        <v>800</v>
      </c>
    </row>
    <row r="255" spans="1:17" x14ac:dyDescent="0.25">
      <c r="A255" s="1829"/>
      <c r="B255" s="1825"/>
      <c r="C255" s="1501"/>
      <c r="D255" s="1825"/>
      <c r="E255" s="1397"/>
      <c r="F255" s="1400"/>
      <c r="G255" s="1400"/>
      <c r="H255" s="1400"/>
      <c r="I255" s="1400"/>
      <c r="J255" s="1400"/>
      <c r="K255" s="1072" t="s">
        <v>1286</v>
      </c>
      <c r="L255" s="406" t="s">
        <v>828</v>
      </c>
      <c r="M255" s="406">
        <v>950</v>
      </c>
      <c r="N255" s="406">
        <v>950</v>
      </c>
      <c r="O255" s="406">
        <v>1500</v>
      </c>
      <c r="P255" s="406">
        <v>1000</v>
      </c>
      <c r="Q255" s="406">
        <v>650</v>
      </c>
    </row>
    <row r="256" spans="1:17" x14ac:dyDescent="0.25">
      <c r="A256" s="1829"/>
      <c r="B256" s="1831"/>
      <c r="C256" s="1469"/>
      <c r="D256" s="1831"/>
      <c r="E256" s="1398"/>
      <c r="F256" s="1401"/>
      <c r="G256" s="1401"/>
      <c r="H256" s="1401"/>
      <c r="I256" s="1401"/>
      <c r="J256" s="1401"/>
      <c r="K256" s="1072" t="s">
        <v>1287</v>
      </c>
      <c r="L256" s="1075" t="s">
        <v>180</v>
      </c>
      <c r="M256" s="406">
        <v>600</v>
      </c>
      <c r="N256" s="406">
        <v>1600</v>
      </c>
      <c r="O256" s="406">
        <v>2200</v>
      </c>
      <c r="P256" s="406">
        <v>1600</v>
      </c>
      <c r="Q256" s="406">
        <v>1600</v>
      </c>
    </row>
    <row r="257" spans="1:17" ht="45" x14ac:dyDescent="0.25">
      <c r="A257" s="1830"/>
      <c r="B257" s="1108"/>
      <c r="C257" s="491" t="s">
        <v>7</v>
      </c>
      <c r="D257" s="1108"/>
      <c r="E257" s="593" t="s">
        <v>1288</v>
      </c>
      <c r="F257" s="406">
        <v>132972.1</v>
      </c>
      <c r="G257" s="406">
        <v>268497.3</v>
      </c>
      <c r="H257" s="406">
        <v>0</v>
      </c>
      <c r="I257" s="406">
        <v>0</v>
      </c>
      <c r="J257" s="406">
        <v>0</v>
      </c>
      <c r="K257" s="593"/>
      <c r="L257" s="670">
        <v>0</v>
      </c>
      <c r="M257" s="670">
        <v>0</v>
      </c>
      <c r="N257" s="670">
        <v>0</v>
      </c>
      <c r="O257" s="670">
        <v>0</v>
      </c>
      <c r="P257" s="670">
        <v>0</v>
      </c>
      <c r="Q257" s="670">
        <v>0</v>
      </c>
    </row>
    <row r="258" spans="1:17" x14ac:dyDescent="0.25">
      <c r="A258" s="1834" t="s">
        <v>679</v>
      </c>
      <c r="B258" s="1835"/>
      <c r="C258" s="1835"/>
      <c r="D258" s="1835"/>
      <c r="E258" s="1836"/>
      <c r="F258" s="666">
        <v>1780827</v>
      </c>
      <c r="G258" s="666">
        <v>6575085.9000000004</v>
      </c>
      <c r="H258" s="666">
        <f>H150+H153+H170+H200+H210+H233+H244</f>
        <v>8450971.7999999989</v>
      </c>
      <c r="I258" s="666">
        <f t="shared" ref="I258:J258" si="25">I150+I153+I170+I200+I210+I233+I244</f>
        <v>7912942.9999999991</v>
      </c>
      <c r="J258" s="666">
        <f t="shared" si="25"/>
        <v>7642751.5999999996</v>
      </c>
      <c r="K258" s="1110"/>
      <c r="L258" s="666"/>
      <c r="M258" s="666"/>
      <c r="N258" s="666"/>
      <c r="O258" s="666"/>
      <c r="P258" s="666"/>
      <c r="Q258" s="666"/>
    </row>
    <row r="259" spans="1:17" x14ac:dyDescent="0.25">
      <c r="A259" s="1312" t="s">
        <v>1289</v>
      </c>
      <c r="B259" s="1313"/>
      <c r="C259" s="1313"/>
      <c r="D259" s="1313"/>
      <c r="E259" s="1313"/>
      <c r="F259" s="1313"/>
      <c r="G259" s="1313"/>
      <c r="H259" s="1313"/>
      <c r="I259" s="1313"/>
      <c r="J259" s="1313"/>
      <c r="K259" s="1313"/>
      <c r="L259" s="1313"/>
      <c r="M259" s="1313"/>
      <c r="N259" s="1313"/>
      <c r="O259" s="1313"/>
      <c r="P259" s="1313"/>
      <c r="Q259" s="1313"/>
    </row>
    <row r="260" spans="1:17" ht="74.25" x14ac:dyDescent="0.25">
      <c r="A260" s="1849">
        <v>43</v>
      </c>
      <c r="B260" s="45" t="s">
        <v>0</v>
      </c>
      <c r="C260" s="45"/>
      <c r="D260" s="45"/>
      <c r="E260" s="1111" t="s">
        <v>1785</v>
      </c>
      <c r="F260" s="616">
        <v>3711</v>
      </c>
      <c r="G260" s="616">
        <v>88198.7</v>
      </c>
      <c r="H260" s="616">
        <f>H261</f>
        <v>63504.7</v>
      </c>
      <c r="I260" s="616">
        <f t="shared" ref="I260:J260" si="26">I261</f>
        <v>61262.7</v>
      </c>
      <c r="J260" s="616">
        <f t="shared" si="26"/>
        <v>61960.9</v>
      </c>
      <c r="K260" s="1869" t="s">
        <v>177</v>
      </c>
      <c r="L260" s="1870" t="s">
        <v>191</v>
      </c>
      <c r="M260" s="1871">
        <v>0.6</v>
      </c>
      <c r="N260" s="1871">
        <v>0.62</v>
      </c>
      <c r="O260" s="1871">
        <v>0.64</v>
      </c>
      <c r="P260" s="1871">
        <v>0.66</v>
      </c>
      <c r="Q260" s="1871">
        <v>0.68</v>
      </c>
    </row>
    <row r="261" spans="1:17" ht="30" x14ac:dyDescent="0.25">
      <c r="A261" s="1851"/>
      <c r="B261" s="46"/>
      <c r="C261" s="46" t="s">
        <v>5</v>
      </c>
      <c r="D261" s="46"/>
      <c r="E261" s="620" t="s">
        <v>1290</v>
      </c>
      <c r="F261" s="619">
        <v>3711</v>
      </c>
      <c r="G261" s="619">
        <v>88198.7</v>
      </c>
      <c r="H261" s="619">
        <v>63504.7</v>
      </c>
      <c r="I261" s="619">
        <v>61262.7</v>
      </c>
      <c r="J261" s="619">
        <v>61960.9</v>
      </c>
      <c r="K261" s="1869"/>
      <c r="L261" s="1870"/>
      <c r="M261" s="1871"/>
      <c r="N261" s="1871"/>
      <c r="O261" s="1871"/>
      <c r="P261" s="1871"/>
      <c r="Q261" s="1871"/>
    </row>
    <row r="262" spans="1:17" ht="63.75" customHeight="1" x14ac:dyDescent="0.25">
      <c r="A262" s="1851"/>
      <c r="B262" s="1415" t="s">
        <v>1912</v>
      </c>
      <c r="C262" s="1849"/>
      <c r="D262" s="1415"/>
      <c r="E262" s="1867" t="s">
        <v>1737</v>
      </c>
      <c r="F262" s="1855">
        <v>1648520.9000000001</v>
      </c>
      <c r="G262" s="1855">
        <v>2103955.5</v>
      </c>
      <c r="H262" s="1855">
        <f>H264+H266+H267+H268+H269+H271+H273+H274</f>
        <v>2127200.9</v>
      </c>
      <c r="I262" s="1855">
        <f t="shared" ref="I262:J262" si="27">I264+I266+I267+I268+I269+I271+I273+I274</f>
        <v>2155637.5</v>
      </c>
      <c r="J262" s="1855">
        <f t="shared" si="27"/>
        <v>2179915.9</v>
      </c>
      <c r="K262" s="605" t="s">
        <v>1291</v>
      </c>
      <c r="L262" s="670" t="s">
        <v>3</v>
      </c>
      <c r="M262" s="670">
        <v>62</v>
      </c>
      <c r="N262" s="670">
        <v>65</v>
      </c>
      <c r="O262" s="670">
        <v>59</v>
      </c>
      <c r="P262" s="670">
        <v>61</v>
      </c>
      <c r="Q262" s="670">
        <v>63</v>
      </c>
    </row>
    <row r="263" spans="1:17" ht="28.5" x14ac:dyDescent="0.25">
      <c r="A263" s="1851"/>
      <c r="B263" s="1415"/>
      <c r="C263" s="1850"/>
      <c r="D263" s="1415"/>
      <c r="E263" s="1868"/>
      <c r="F263" s="1855"/>
      <c r="G263" s="1855"/>
      <c r="H263" s="1855"/>
      <c r="I263" s="1855"/>
      <c r="J263" s="1855"/>
      <c r="K263" s="614" t="s">
        <v>1292</v>
      </c>
      <c r="L263" s="616" t="s">
        <v>1212</v>
      </c>
      <c r="M263" s="670">
        <v>11710</v>
      </c>
      <c r="N263" s="670">
        <v>11980</v>
      </c>
      <c r="O263" s="670" t="s">
        <v>1293</v>
      </c>
      <c r="P263" s="670" t="s">
        <v>1294</v>
      </c>
      <c r="Q263" s="670" t="s">
        <v>1295</v>
      </c>
    </row>
    <row r="264" spans="1:17" x14ac:dyDescent="0.25">
      <c r="A264" s="1851"/>
      <c r="B264" s="1865"/>
      <c r="C264" s="1865" t="s">
        <v>5</v>
      </c>
      <c r="D264" s="1865"/>
      <c r="E264" s="1858" t="s">
        <v>1432</v>
      </c>
      <c r="F264" s="1863">
        <v>0</v>
      </c>
      <c r="G264" s="1863">
        <v>1000</v>
      </c>
      <c r="H264" s="1863">
        <v>10000</v>
      </c>
      <c r="I264" s="1863">
        <v>10000</v>
      </c>
      <c r="J264" s="1863">
        <v>10000</v>
      </c>
      <c r="K264" s="1858" t="s">
        <v>1296</v>
      </c>
      <c r="L264" s="1863" t="s">
        <v>1297</v>
      </c>
      <c r="M264" s="1859">
        <v>3</v>
      </c>
      <c r="N264" s="1859" t="s">
        <v>1298</v>
      </c>
      <c r="O264" s="1859" t="s">
        <v>1299</v>
      </c>
      <c r="P264" s="1859" t="s">
        <v>1299</v>
      </c>
      <c r="Q264" s="1859" t="s">
        <v>1299</v>
      </c>
    </row>
    <row r="265" spans="1:17" x14ac:dyDescent="0.25">
      <c r="A265" s="1851"/>
      <c r="B265" s="1865"/>
      <c r="C265" s="1865"/>
      <c r="D265" s="1865"/>
      <c r="E265" s="1858"/>
      <c r="F265" s="1863"/>
      <c r="G265" s="1863"/>
      <c r="H265" s="1863"/>
      <c r="I265" s="1863"/>
      <c r="J265" s="1863"/>
      <c r="K265" s="1858"/>
      <c r="L265" s="1863"/>
      <c r="M265" s="1859"/>
      <c r="N265" s="1859"/>
      <c r="O265" s="1859"/>
      <c r="P265" s="1859"/>
      <c r="Q265" s="1859"/>
    </row>
    <row r="266" spans="1:17" ht="30" x14ac:dyDescent="0.25">
      <c r="A266" s="1851"/>
      <c r="B266" s="1112"/>
      <c r="C266" s="46" t="s">
        <v>6</v>
      </c>
      <c r="D266" s="46"/>
      <c r="E266" s="620" t="s">
        <v>1433</v>
      </c>
      <c r="F266" s="619">
        <v>11200</v>
      </c>
      <c r="G266" s="619">
        <v>20000</v>
      </c>
      <c r="H266" s="619">
        <v>35000</v>
      </c>
      <c r="I266" s="619">
        <v>40000</v>
      </c>
      <c r="J266" s="619">
        <v>40000</v>
      </c>
      <c r="K266" s="1858"/>
      <c r="L266" s="619" t="s">
        <v>1438</v>
      </c>
      <c r="M266" s="406" t="s">
        <v>1300</v>
      </c>
      <c r="N266" s="406" t="s">
        <v>1301</v>
      </c>
      <c r="O266" s="406" t="s">
        <v>1302</v>
      </c>
      <c r="P266" s="406" t="s">
        <v>1303</v>
      </c>
      <c r="Q266" s="406" t="s">
        <v>1304</v>
      </c>
    </row>
    <row r="267" spans="1:17" ht="30" x14ac:dyDescent="0.25">
      <c r="A267" s="1851"/>
      <c r="B267" s="1112"/>
      <c r="C267" s="46" t="s">
        <v>4</v>
      </c>
      <c r="D267" s="46"/>
      <c r="E267" s="620" t="s">
        <v>1434</v>
      </c>
      <c r="F267" s="619">
        <v>911025.6</v>
      </c>
      <c r="G267" s="619">
        <v>1438777.9</v>
      </c>
      <c r="H267" s="619">
        <v>1452303.9</v>
      </c>
      <c r="I267" s="619">
        <v>1471915.5</v>
      </c>
      <c r="J267" s="619">
        <v>1482176.5999999999</v>
      </c>
      <c r="K267" s="1858"/>
      <c r="L267" s="619" t="s">
        <v>3</v>
      </c>
      <c r="M267" s="406">
        <v>3</v>
      </c>
      <c r="N267" s="406" t="s">
        <v>1305</v>
      </c>
      <c r="O267" s="406" t="s">
        <v>1306</v>
      </c>
      <c r="P267" s="406" t="s">
        <v>1307</v>
      </c>
      <c r="Q267" s="406" t="s">
        <v>1308</v>
      </c>
    </row>
    <row r="268" spans="1:17" ht="30" x14ac:dyDescent="0.25">
      <c r="A268" s="1851"/>
      <c r="B268" s="46"/>
      <c r="C268" s="46" t="s">
        <v>7</v>
      </c>
      <c r="D268" s="46"/>
      <c r="E268" s="620" t="s">
        <v>1508</v>
      </c>
      <c r="F268" s="619">
        <v>269507</v>
      </c>
      <c r="G268" s="619">
        <v>250000</v>
      </c>
      <c r="H268" s="619">
        <v>300000</v>
      </c>
      <c r="I268" s="619">
        <v>300000</v>
      </c>
      <c r="J268" s="619">
        <v>300001</v>
      </c>
      <c r="K268" s="1858"/>
      <c r="L268" s="619" t="s">
        <v>1309</v>
      </c>
      <c r="M268" s="406">
        <v>0</v>
      </c>
      <c r="N268" s="406" t="s">
        <v>1310</v>
      </c>
      <c r="O268" s="406">
        <v>41.4</v>
      </c>
      <c r="P268" s="406">
        <v>42</v>
      </c>
      <c r="Q268" s="406">
        <v>42.4</v>
      </c>
    </row>
    <row r="269" spans="1:17" x14ac:dyDescent="0.25">
      <c r="A269" s="1851"/>
      <c r="B269" s="1865"/>
      <c r="C269" s="1865" t="s">
        <v>8</v>
      </c>
      <c r="D269" s="1865"/>
      <c r="E269" s="1858" t="s">
        <v>1435</v>
      </c>
      <c r="F269" s="1863">
        <v>267103</v>
      </c>
      <c r="G269" s="1863">
        <v>198000</v>
      </c>
      <c r="H269" s="1863">
        <v>200000</v>
      </c>
      <c r="I269" s="1863">
        <v>200000</v>
      </c>
      <c r="J269" s="1863">
        <v>210000</v>
      </c>
      <c r="K269" s="1460" t="s">
        <v>2088</v>
      </c>
      <c r="L269" s="1863" t="s">
        <v>3</v>
      </c>
      <c r="M269" s="1866">
        <v>60</v>
      </c>
      <c r="N269" s="1866">
        <v>100</v>
      </c>
      <c r="O269" s="1863">
        <v>48.5</v>
      </c>
      <c r="P269" s="1863">
        <v>48.7</v>
      </c>
      <c r="Q269" s="1863">
        <v>48.9</v>
      </c>
    </row>
    <row r="270" spans="1:17" x14ac:dyDescent="0.25">
      <c r="A270" s="1851"/>
      <c r="B270" s="1865"/>
      <c r="C270" s="1865"/>
      <c r="D270" s="1865"/>
      <c r="E270" s="1858"/>
      <c r="F270" s="1863"/>
      <c r="G270" s="1863"/>
      <c r="H270" s="1863"/>
      <c r="I270" s="1863"/>
      <c r="J270" s="1863"/>
      <c r="K270" s="1461"/>
      <c r="L270" s="1863"/>
      <c r="M270" s="1866"/>
      <c r="N270" s="1866"/>
      <c r="O270" s="1863"/>
      <c r="P270" s="1863"/>
      <c r="Q270" s="1863"/>
    </row>
    <row r="271" spans="1:17" x14ac:dyDescent="0.25">
      <c r="A271" s="1851"/>
      <c r="B271" s="1865"/>
      <c r="C271" s="1865" t="s">
        <v>9</v>
      </c>
      <c r="D271" s="1865"/>
      <c r="E271" s="1858" t="s">
        <v>1436</v>
      </c>
      <c r="F271" s="1863">
        <v>7407.3</v>
      </c>
      <c r="G271" s="1863">
        <v>0</v>
      </c>
      <c r="H271" s="1863">
        <v>20000</v>
      </c>
      <c r="I271" s="1863">
        <v>20000</v>
      </c>
      <c r="J271" s="1863">
        <v>20000</v>
      </c>
      <c r="K271" s="620" t="s">
        <v>1311</v>
      </c>
      <c r="L271" s="619" t="s">
        <v>19</v>
      </c>
      <c r="M271" s="406">
        <v>30</v>
      </c>
      <c r="N271" s="406">
        <v>0</v>
      </c>
      <c r="O271" s="619">
        <v>300</v>
      </c>
      <c r="P271" s="619">
        <v>400</v>
      </c>
      <c r="Q271" s="619">
        <v>600</v>
      </c>
    </row>
    <row r="272" spans="1:17" ht="45" x14ac:dyDescent="0.25">
      <c r="A272" s="1851"/>
      <c r="B272" s="1865"/>
      <c r="C272" s="1865"/>
      <c r="D272" s="1865"/>
      <c r="E272" s="1858"/>
      <c r="F272" s="1863"/>
      <c r="G272" s="1863"/>
      <c r="H272" s="1863"/>
      <c r="I272" s="1863"/>
      <c r="J272" s="1863"/>
      <c r="K272" s="620" t="s">
        <v>1312</v>
      </c>
      <c r="L272" s="619" t="s">
        <v>3</v>
      </c>
      <c r="M272" s="406">
        <v>62</v>
      </c>
      <c r="N272" s="406">
        <v>250</v>
      </c>
      <c r="O272" s="628">
        <v>8</v>
      </c>
      <c r="P272" s="628">
        <v>10</v>
      </c>
      <c r="Q272" s="628">
        <v>15</v>
      </c>
    </row>
    <row r="273" spans="1:17" ht="60" x14ac:dyDescent="0.25">
      <c r="A273" s="1851"/>
      <c r="B273" s="46"/>
      <c r="C273" s="46" t="s">
        <v>10</v>
      </c>
      <c r="D273" s="46"/>
      <c r="E273" s="620" t="s">
        <v>1437</v>
      </c>
      <c r="F273" s="619">
        <v>173578</v>
      </c>
      <c r="G273" s="619">
        <v>196177.6</v>
      </c>
      <c r="H273" s="619">
        <v>109897</v>
      </c>
      <c r="I273" s="619">
        <v>113722</v>
      </c>
      <c r="J273" s="619">
        <v>117738.3</v>
      </c>
      <c r="K273" s="628" t="s">
        <v>1313</v>
      </c>
      <c r="L273" s="406" t="s">
        <v>1212</v>
      </c>
      <c r="M273" s="406">
        <v>0</v>
      </c>
      <c r="N273" s="406">
        <v>0</v>
      </c>
      <c r="O273" s="1113">
        <v>100</v>
      </c>
      <c r="P273" s="1113">
        <v>100</v>
      </c>
      <c r="Q273" s="1113">
        <v>100</v>
      </c>
    </row>
    <row r="274" spans="1:17" x14ac:dyDescent="0.25">
      <c r="A274" s="1851"/>
      <c r="B274" s="46"/>
      <c r="C274" s="46" t="s">
        <v>11</v>
      </c>
      <c r="D274" s="46"/>
      <c r="E274" s="1114" t="s">
        <v>1738</v>
      </c>
      <c r="F274" s="619">
        <v>8700</v>
      </c>
      <c r="G274" s="619">
        <v>0</v>
      </c>
      <c r="H274" s="619">
        <v>0</v>
      </c>
      <c r="I274" s="619">
        <v>0</v>
      </c>
      <c r="J274" s="619">
        <v>0</v>
      </c>
      <c r="K274" s="628" t="s">
        <v>1314</v>
      </c>
      <c r="L274" s="619" t="s">
        <v>3</v>
      </c>
      <c r="M274" s="406">
        <v>5161.5</v>
      </c>
      <c r="N274" s="406">
        <v>5161.5</v>
      </c>
      <c r="O274" s="1113">
        <v>0</v>
      </c>
      <c r="P274" s="1113">
        <v>0</v>
      </c>
      <c r="Q274" s="1113">
        <v>0</v>
      </c>
    </row>
    <row r="275" spans="1:17" ht="28.5" x14ac:dyDescent="0.25">
      <c r="A275" s="1851"/>
      <c r="B275" s="1415" t="s">
        <v>1913</v>
      </c>
      <c r="C275" s="1849"/>
      <c r="D275" s="1872"/>
      <c r="E275" s="1852" t="s">
        <v>1439</v>
      </c>
      <c r="F275" s="1862">
        <v>9207114.5</v>
      </c>
      <c r="G275" s="1855">
        <v>10747353.660000002</v>
      </c>
      <c r="H275" s="1855">
        <f>H278+H281+H284+H287+H289+H292+H297+H300+H303+H304</f>
        <v>12177825.5</v>
      </c>
      <c r="I275" s="1855">
        <f t="shared" ref="I275:J275" si="28">I278+I281+I284+I287+I289+I292+I297+I300+I303+I304</f>
        <v>16840365</v>
      </c>
      <c r="J275" s="1855">
        <f t="shared" si="28"/>
        <v>13988142</v>
      </c>
      <c r="K275" s="605" t="s">
        <v>1315</v>
      </c>
      <c r="L275" s="670" t="s">
        <v>1212</v>
      </c>
      <c r="M275" s="754">
        <v>5161.5</v>
      </c>
      <c r="N275" s="754">
        <v>5161.5</v>
      </c>
      <c r="O275" s="754">
        <v>5161.5</v>
      </c>
      <c r="P275" s="754">
        <v>5161.5</v>
      </c>
      <c r="Q275" s="754">
        <v>5161.5</v>
      </c>
    </row>
    <row r="276" spans="1:17" x14ac:dyDescent="0.25">
      <c r="A276" s="1851"/>
      <c r="B276" s="1415"/>
      <c r="C276" s="1851"/>
      <c r="D276" s="1872"/>
      <c r="E276" s="1853"/>
      <c r="F276" s="1862"/>
      <c r="G276" s="1855"/>
      <c r="H276" s="1855"/>
      <c r="I276" s="1855"/>
      <c r="J276" s="1855"/>
      <c r="K276" s="605" t="s">
        <v>1316</v>
      </c>
      <c r="L276" s="670" t="s">
        <v>1212</v>
      </c>
      <c r="M276" s="754">
        <v>2515.1999999999998</v>
      </c>
      <c r="N276" s="754">
        <v>2500.6</v>
      </c>
      <c r="O276" s="754">
        <v>2522.1</v>
      </c>
      <c r="P276" s="754">
        <v>2597.6</v>
      </c>
      <c r="Q276" s="754">
        <v>2643.6</v>
      </c>
    </row>
    <row r="277" spans="1:17" ht="106.15" customHeight="1" x14ac:dyDescent="0.25">
      <c r="A277" s="1851"/>
      <c r="B277" s="1415"/>
      <c r="C277" s="1850"/>
      <c r="D277" s="1872"/>
      <c r="E277" s="1115" t="s">
        <v>1783</v>
      </c>
      <c r="F277" s="1862"/>
      <c r="G277" s="1855"/>
      <c r="H277" s="1855"/>
      <c r="I277" s="1855"/>
      <c r="J277" s="1855"/>
      <c r="K277" s="605" t="s">
        <v>1317</v>
      </c>
      <c r="L277" s="670" t="s">
        <v>3</v>
      </c>
      <c r="M277" s="1116">
        <v>0.413975027746948</v>
      </c>
      <c r="N277" s="1116">
        <v>0.39867480577136505</v>
      </c>
      <c r="O277" s="1116">
        <v>0.39988901220865697</v>
      </c>
      <c r="P277" s="1116">
        <v>0.41551767876962103</v>
      </c>
      <c r="Q277" s="1116">
        <v>0.42364634533058498</v>
      </c>
    </row>
    <row r="278" spans="1:17" ht="30" x14ac:dyDescent="0.25">
      <c r="A278" s="1851"/>
      <c r="B278" s="1503"/>
      <c r="C278" s="1480" t="s">
        <v>5</v>
      </c>
      <c r="D278" s="1849"/>
      <c r="E278" s="1396" t="s">
        <v>1440</v>
      </c>
      <c r="F278" s="1863">
        <v>343723.3</v>
      </c>
      <c r="G278" s="1863">
        <v>249862.6</v>
      </c>
      <c r="H278" s="1863">
        <v>0</v>
      </c>
      <c r="I278" s="1863">
        <v>0</v>
      </c>
      <c r="J278" s="1863">
        <v>0</v>
      </c>
      <c r="K278" s="628" t="s">
        <v>1315</v>
      </c>
      <c r="L278" s="678" t="s">
        <v>1212</v>
      </c>
      <c r="M278" s="678">
        <v>93</v>
      </c>
      <c r="N278" s="678">
        <v>0</v>
      </c>
      <c r="O278" s="678">
        <v>0</v>
      </c>
      <c r="P278" s="678">
        <v>0</v>
      </c>
      <c r="Q278" s="678">
        <v>0</v>
      </c>
    </row>
    <row r="279" spans="1:17" ht="30" x14ac:dyDescent="0.25">
      <c r="A279" s="1851"/>
      <c r="B279" s="1503"/>
      <c r="C279" s="1820"/>
      <c r="D279" s="1851"/>
      <c r="E279" s="1397"/>
      <c r="F279" s="1863"/>
      <c r="G279" s="1863"/>
      <c r="H279" s="1863"/>
      <c r="I279" s="1863"/>
      <c r="J279" s="1863"/>
      <c r="K279" s="628" t="s">
        <v>1318</v>
      </c>
      <c r="L279" s="678" t="s">
        <v>1212</v>
      </c>
      <c r="M279" s="678">
        <v>18.7</v>
      </c>
      <c r="N279" s="678">
        <v>9.3000000000000007</v>
      </c>
      <c r="O279" s="678">
        <v>0</v>
      </c>
      <c r="P279" s="678">
        <v>0</v>
      </c>
      <c r="Q279" s="678">
        <v>0</v>
      </c>
    </row>
    <row r="280" spans="1:17" ht="45" x14ac:dyDescent="0.25">
      <c r="A280" s="1851"/>
      <c r="B280" s="1503"/>
      <c r="C280" s="1481"/>
      <c r="D280" s="1850"/>
      <c r="E280" s="1398"/>
      <c r="F280" s="1863"/>
      <c r="G280" s="1863"/>
      <c r="H280" s="1863"/>
      <c r="I280" s="1863"/>
      <c r="J280" s="1863"/>
      <c r="K280" s="628" t="s">
        <v>1319</v>
      </c>
      <c r="L280" s="678" t="s">
        <v>3</v>
      </c>
      <c r="M280" s="1117">
        <v>17.3</v>
      </c>
      <c r="N280" s="1117">
        <v>0</v>
      </c>
      <c r="O280" s="1117">
        <v>0</v>
      </c>
      <c r="P280" s="1117">
        <v>0</v>
      </c>
      <c r="Q280" s="1117">
        <v>0</v>
      </c>
    </row>
    <row r="281" spans="1:17" ht="30" x14ac:dyDescent="0.25">
      <c r="A281" s="1851"/>
      <c r="B281" s="1503"/>
      <c r="C281" s="1468" t="s">
        <v>6</v>
      </c>
      <c r="D281" s="1503"/>
      <c r="E281" s="1403" t="s">
        <v>1441</v>
      </c>
      <c r="F281" s="1863">
        <v>1303492.5</v>
      </c>
      <c r="G281" s="1863">
        <v>123530.16</v>
      </c>
      <c r="H281" s="1863">
        <v>1477400</v>
      </c>
      <c r="I281" s="1863">
        <v>6197500</v>
      </c>
      <c r="J281" s="1863">
        <v>4328010</v>
      </c>
      <c r="K281" s="628" t="s">
        <v>1315</v>
      </c>
      <c r="L281" s="406" t="s">
        <v>1212</v>
      </c>
      <c r="M281" s="678">
        <v>1043.0999999999999</v>
      </c>
      <c r="N281" s="678">
        <v>1043.0999999999999</v>
      </c>
      <c r="O281" s="678">
        <v>1043.0999999999999</v>
      </c>
      <c r="P281" s="678">
        <v>1043.0999999999999</v>
      </c>
      <c r="Q281" s="678">
        <v>1043.0999999999999</v>
      </c>
    </row>
    <row r="282" spans="1:17" ht="30" x14ac:dyDescent="0.25">
      <c r="A282" s="1851"/>
      <c r="B282" s="1503"/>
      <c r="C282" s="1501"/>
      <c r="D282" s="1503"/>
      <c r="E282" s="1403"/>
      <c r="F282" s="1863"/>
      <c r="G282" s="1863"/>
      <c r="H282" s="1863"/>
      <c r="I282" s="1863"/>
      <c r="J282" s="1863"/>
      <c r="K282" s="628" t="s">
        <v>1318</v>
      </c>
      <c r="L282" s="406" t="s">
        <v>1212</v>
      </c>
      <c r="M282" s="678">
        <v>642.70000000000005</v>
      </c>
      <c r="N282" s="678">
        <v>648.1</v>
      </c>
      <c r="O282" s="678">
        <v>648.1</v>
      </c>
      <c r="P282" s="678">
        <v>648.1</v>
      </c>
      <c r="Q282" s="678">
        <v>648.1</v>
      </c>
    </row>
    <row r="283" spans="1:17" ht="60" x14ac:dyDescent="0.25">
      <c r="A283" s="1851"/>
      <c r="B283" s="1503"/>
      <c r="C283" s="1469"/>
      <c r="D283" s="1503"/>
      <c r="E283" s="1403"/>
      <c r="F283" s="1863"/>
      <c r="G283" s="1863"/>
      <c r="H283" s="1863"/>
      <c r="I283" s="1863"/>
      <c r="J283" s="1863"/>
      <c r="K283" s="628" t="s">
        <v>1320</v>
      </c>
      <c r="L283" s="406" t="s">
        <v>3</v>
      </c>
      <c r="M283" s="1117">
        <v>1</v>
      </c>
      <c r="N283" s="1117">
        <v>1</v>
      </c>
      <c r="O283" s="1117">
        <v>1</v>
      </c>
      <c r="P283" s="1117">
        <v>1</v>
      </c>
      <c r="Q283" s="1117">
        <v>1</v>
      </c>
    </row>
    <row r="284" spans="1:17" ht="30" x14ac:dyDescent="0.25">
      <c r="A284" s="1851"/>
      <c r="B284" s="1503"/>
      <c r="C284" s="1468" t="s">
        <v>4</v>
      </c>
      <c r="D284" s="1503"/>
      <c r="E284" s="1864" t="s">
        <v>1442</v>
      </c>
      <c r="F284" s="1863">
        <v>2814457.9</v>
      </c>
      <c r="G284" s="1863">
        <v>2192505.64</v>
      </c>
      <c r="H284" s="1863">
        <v>1710669</v>
      </c>
      <c r="I284" s="1863">
        <v>314592.5</v>
      </c>
      <c r="J284" s="1863">
        <v>264005</v>
      </c>
      <c r="K284" s="628" t="s">
        <v>1315</v>
      </c>
      <c r="L284" s="678" t="s">
        <v>1212</v>
      </c>
      <c r="M284" s="678">
        <v>648.1</v>
      </c>
      <c r="N284" s="678">
        <v>648.1</v>
      </c>
      <c r="O284" s="678">
        <v>648.1</v>
      </c>
      <c r="P284" s="678">
        <v>648.1</v>
      </c>
      <c r="Q284" s="678">
        <v>648.1</v>
      </c>
    </row>
    <row r="285" spans="1:17" ht="30" x14ac:dyDescent="0.25">
      <c r="A285" s="1851"/>
      <c r="B285" s="1503"/>
      <c r="C285" s="1501"/>
      <c r="D285" s="1503"/>
      <c r="E285" s="1864"/>
      <c r="F285" s="1863"/>
      <c r="G285" s="1863"/>
      <c r="H285" s="1863"/>
      <c r="I285" s="1863"/>
      <c r="J285" s="1863"/>
      <c r="K285" s="628" t="s">
        <v>1318</v>
      </c>
      <c r="L285" s="678" t="s">
        <v>1212</v>
      </c>
      <c r="M285" s="678">
        <v>609.70000000000005</v>
      </c>
      <c r="N285" s="678">
        <v>648.1</v>
      </c>
      <c r="O285" s="678">
        <v>648.1</v>
      </c>
      <c r="P285" s="678">
        <v>648.1</v>
      </c>
      <c r="Q285" s="678">
        <v>648.1</v>
      </c>
    </row>
    <row r="286" spans="1:17" ht="45" x14ac:dyDescent="0.25">
      <c r="A286" s="1851"/>
      <c r="B286" s="1503"/>
      <c r="C286" s="1469"/>
      <c r="D286" s="1503"/>
      <c r="E286" s="1864"/>
      <c r="F286" s="1863"/>
      <c r="G286" s="1863"/>
      <c r="H286" s="1863"/>
      <c r="I286" s="1863"/>
      <c r="J286" s="1863"/>
      <c r="K286" s="628" t="s">
        <v>1321</v>
      </c>
      <c r="L286" s="678" t="s">
        <v>3</v>
      </c>
      <c r="M286" s="1117">
        <v>0.94074988427711781</v>
      </c>
      <c r="N286" s="1117">
        <v>1</v>
      </c>
      <c r="O286" s="1117">
        <v>1</v>
      </c>
      <c r="P286" s="1117">
        <v>1</v>
      </c>
      <c r="Q286" s="1117">
        <v>1</v>
      </c>
    </row>
    <row r="287" spans="1:17" x14ac:dyDescent="0.25">
      <c r="A287" s="1851"/>
      <c r="B287" s="1503"/>
      <c r="C287" s="1468" t="s">
        <v>4</v>
      </c>
      <c r="D287" s="1503"/>
      <c r="E287" s="1864" t="s">
        <v>1443</v>
      </c>
      <c r="F287" s="1863">
        <v>170000</v>
      </c>
      <c r="G287" s="1863">
        <v>1300346.3</v>
      </c>
      <c r="H287" s="1863">
        <v>1068000</v>
      </c>
      <c r="I287" s="1863">
        <v>228197.5</v>
      </c>
      <c r="J287" s="1863">
        <v>0</v>
      </c>
      <c r="K287" s="620" t="s">
        <v>1322</v>
      </c>
      <c r="L287" s="1118" t="s">
        <v>805</v>
      </c>
      <c r="M287" s="1117">
        <v>0</v>
      </c>
      <c r="N287" s="1117">
        <v>0.1</v>
      </c>
      <c r="O287" s="1117">
        <v>0.25</v>
      </c>
      <c r="P287" s="1117">
        <v>0.2</v>
      </c>
      <c r="Q287" s="1117">
        <v>0.2</v>
      </c>
    </row>
    <row r="288" spans="1:17" ht="30" x14ac:dyDescent="0.25">
      <c r="A288" s="1851"/>
      <c r="B288" s="1503"/>
      <c r="C288" s="1469"/>
      <c r="D288" s="1503"/>
      <c r="E288" s="1864"/>
      <c r="F288" s="1863"/>
      <c r="G288" s="1863"/>
      <c r="H288" s="1863"/>
      <c r="I288" s="1863"/>
      <c r="J288" s="1863"/>
      <c r="K288" s="620" t="s">
        <v>1323</v>
      </c>
      <c r="L288" s="406" t="s">
        <v>3</v>
      </c>
      <c r="M288" s="1117">
        <v>0</v>
      </c>
      <c r="N288" s="1117">
        <v>0</v>
      </c>
      <c r="O288" s="1117">
        <v>0</v>
      </c>
      <c r="P288" s="1117">
        <v>0</v>
      </c>
      <c r="Q288" s="1117">
        <v>1</v>
      </c>
    </row>
    <row r="289" spans="1:17" ht="30" x14ac:dyDescent="0.25">
      <c r="A289" s="1851"/>
      <c r="B289" s="1503"/>
      <c r="C289" s="1468" t="s">
        <v>7</v>
      </c>
      <c r="D289" s="1503"/>
      <c r="E289" s="1403" t="s">
        <v>1444</v>
      </c>
      <c r="F289" s="1863">
        <v>4342055.8</v>
      </c>
      <c r="G289" s="1863">
        <v>5975221.1600000001</v>
      </c>
      <c r="H289" s="1863">
        <v>3813854.7</v>
      </c>
      <c r="I289" s="1863">
        <v>2565487.5</v>
      </c>
      <c r="J289" s="1863">
        <v>321195</v>
      </c>
      <c r="K289" s="628" t="s">
        <v>1315</v>
      </c>
      <c r="L289" s="406" t="s">
        <v>1212</v>
      </c>
      <c r="M289" s="678">
        <v>845</v>
      </c>
      <c r="N289" s="678">
        <v>845</v>
      </c>
      <c r="O289" s="678">
        <v>845</v>
      </c>
      <c r="P289" s="678">
        <v>845</v>
      </c>
      <c r="Q289" s="678">
        <v>845</v>
      </c>
    </row>
    <row r="290" spans="1:17" ht="30" x14ac:dyDescent="0.25">
      <c r="A290" s="1851"/>
      <c r="B290" s="1503"/>
      <c r="C290" s="1501"/>
      <c r="D290" s="1503"/>
      <c r="E290" s="1403"/>
      <c r="F290" s="1863"/>
      <c r="G290" s="1863"/>
      <c r="H290" s="1863"/>
      <c r="I290" s="1863"/>
      <c r="J290" s="1863"/>
      <c r="K290" s="628" t="s">
        <v>1318</v>
      </c>
      <c r="L290" s="406" t="s">
        <v>1212</v>
      </c>
      <c r="M290" s="678">
        <v>279.5</v>
      </c>
      <c r="N290" s="678">
        <v>382.5</v>
      </c>
      <c r="O290" s="678">
        <v>388.5</v>
      </c>
      <c r="P290" s="678">
        <v>388.5</v>
      </c>
      <c r="Q290" s="678">
        <v>388.5</v>
      </c>
    </row>
    <row r="291" spans="1:17" ht="60" x14ac:dyDescent="0.25">
      <c r="A291" s="1851"/>
      <c r="B291" s="1503"/>
      <c r="C291" s="1469"/>
      <c r="D291" s="1503"/>
      <c r="E291" s="1403"/>
      <c r="F291" s="1863"/>
      <c r="G291" s="1863"/>
      <c r="H291" s="1863"/>
      <c r="I291" s="1863"/>
      <c r="J291" s="1863"/>
      <c r="K291" s="628" t="s">
        <v>1324</v>
      </c>
      <c r="L291" s="406" t="s">
        <v>3</v>
      </c>
      <c r="M291" s="1117">
        <v>0.78856310679611652</v>
      </c>
      <c r="N291" s="1117">
        <v>0.93507281553398047</v>
      </c>
      <c r="O291" s="1117">
        <v>0.94296116504854366</v>
      </c>
      <c r="P291" s="1117">
        <v>0.94296116504854366</v>
      </c>
      <c r="Q291" s="1117">
        <v>0.94296116504854366</v>
      </c>
    </row>
    <row r="292" spans="1:17" ht="30" x14ac:dyDescent="0.25">
      <c r="A292" s="1851"/>
      <c r="B292" s="1503"/>
      <c r="C292" s="1468" t="s">
        <v>8</v>
      </c>
      <c r="D292" s="1468"/>
      <c r="E292" s="1858" t="s">
        <v>1445</v>
      </c>
      <c r="F292" s="1863">
        <v>17000</v>
      </c>
      <c r="G292" s="1863">
        <v>461403.8</v>
      </c>
      <c r="H292" s="1863">
        <v>361624.8</v>
      </c>
      <c r="I292" s="1863">
        <v>1302585</v>
      </c>
      <c r="J292" s="1863">
        <v>2415470</v>
      </c>
      <c r="K292" s="628" t="s">
        <v>1315</v>
      </c>
      <c r="L292" s="678" t="s">
        <v>1212</v>
      </c>
      <c r="M292" s="678" t="s">
        <v>1325</v>
      </c>
      <c r="N292" s="678">
        <v>199</v>
      </c>
      <c r="O292" s="678">
        <v>199</v>
      </c>
      <c r="P292" s="678">
        <v>199</v>
      </c>
      <c r="Q292" s="678">
        <v>199</v>
      </c>
    </row>
    <row r="293" spans="1:17" ht="30" x14ac:dyDescent="0.25">
      <c r="A293" s="1851"/>
      <c r="B293" s="1503"/>
      <c r="C293" s="1501"/>
      <c r="D293" s="1501"/>
      <c r="E293" s="1858"/>
      <c r="F293" s="1863"/>
      <c r="G293" s="1863"/>
      <c r="H293" s="1863"/>
      <c r="I293" s="1863"/>
      <c r="J293" s="1863"/>
      <c r="K293" s="628" t="s">
        <v>1318</v>
      </c>
      <c r="L293" s="678" t="s">
        <v>1212</v>
      </c>
      <c r="M293" s="678">
        <v>30</v>
      </c>
      <c r="N293" s="678">
        <v>0</v>
      </c>
      <c r="O293" s="678">
        <v>0</v>
      </c>
      <c r="P293" s="678">
        <v>0</v>
      </c>
      <c r="Q293" s="678">
        <v>0</v>
      </c>
    </row>
    <row r="294" spans="1:17" ht="60" x14ac:dyDescent="0.25">
      <c r="A294" s="1851"/>
      <c r="B294" s="1503"/>
      <c r="C294" s="1501"/>
      <c r="D294" s="1501"/>
      <c r="E294" s="1858"/>
      <c r="F294" s="1863"/>
      <c r="G294" s="1863"/>
      <c r="H294" s="1863"/>
      <c r="I294" s="1863"/>
      <c r="J294" s="1863"/>
      <c r="K294" s="628" t="s">
        <v>1326</v>
      </c>
      <c r="L294" s="678" t="s">
        <v>3</v>
      </c>
      <c r="M294" s="1117">
        <v>100</v>
      </c>
      <c r="N294" s="1117">
        <v>0</v>
      </c>
      <c r="O294" s="1117">
        <v>0</v>
      </c>
      <c r="P294" s="1117">
        <v>0</v>
      </c>
      <c r="Q294" s="1117">
        <v>0</v>
      </c>
    </row>
    <row r="295" spans="1:17" ht="30" x14ac:dyDescent="0.25">
      <c r="A295" s="1851"/>
      <c r="B295" s="1503"/>
      <c r="C295" s="1501"/>
      <c r="D295" s="1501"/>
      <c r="E295" s="1858"/>
      <c r="F295" s="1863"/>
      <c r="G295" s="1863"/>
      <c r="H295" s="1863"/>
      <c r="I295" s="1863"/>
      <c r="J295" s="1863"/>
      <c r="K295" s="628" t="s">
        <v>1509</v>
      </c>
      <c r="L295" s="678" t="s">
        <v>3</v>
      </c>
      <c r="M295" s="1117">
        <v>0</v>
      </c>
      <c r="N295" s="1117">
        <v>0</v>
      </c>
      <c r="O295" s="1117">
        <v>0</v>
      </c>
      <c r="P295" s="1117">
        <v>0</v>
      </c>
      <c r="Q295" s="1117">
        <v>0</v>
      </c>
    </row>
    <row r="296" spans="1:17" ht="45" x14ac:dyDescent="0.25">
      <c r="A296" s="1851"/>
      <c r="B296" s="1503"/>
      <c r="C296" s="1469"/>
      <c r="D296" s="1469"/>
      <c r="E296" s="1858"/>
      <c r="F296" s="1863"/>
      <c r="G296" s="1863"/>
      <c r="H296" s="1863"/>
      <c r="I296" s="1863"/>
      <c r="J296" s="1863"/>
      <c r="K296" s="628" t="s">
        <v>1510</v>
      </c>
      <c r="L296" s="678" t="s">
        <v>3</v>
      </c>
      <c r="M296" s="1117">
        <v>0</v>
      </c>
      <c r="N296" s="1117">
        <v>0</v>
      </c>
      <c r="O296" s="1117">
        <v>0</v>
      </c>
      <c r="P296" s="1117">
        <v>0</v>
      </c>
      <c r="Q296" s="1117">
        <v>0</v>
      </c>
    </row>
    <row r="297" spans="1:17" ht="30" x14ac:dyDescent="0.25">
      <c r="A297" s="1851"/>
      <c r="B297" s="1503"/>
      <c r="C297" s="1468" t="s">
        <v>9</v>
      </c>
      <c r="D297" s="1503"/>
      <c r="E297" s="1403" t="s">
        <v>1327</v>
      </c>
      <c r="F297" s="1863">
        <v>2797</v>
      </c>
      <c r="G297" s="1863">
        <v>29004</v>
      </c>
      <c r="H297" s="1863">
        <v>1734877</v>
      </c>
      <c r="I297" s="1863">
        <v>4197002.5</v>
      </c>
      <c r="J297" s="1863">
        <v>5262962</v>
      </c>
      <c r="K297" s="593" t="s">
        <v>1328</v>
      </c>
      <c r="L297" s="406" t="s">
        <v>1212</v>
      </c>
      <c r="M297" s="678">
        <v>445</v>
      </c>
      <c r="N297" s="678">
        <v>445</v>
      </c>
      <c r="O297" s="678">
        <v>445</v>
      </c>
      <c r="P297" s="678">
        <v>445</v>
      </c>
      <c r="Q297" s="678">
        <v>445</v>
      </c>
    </row>
    <row r="298" spans="1:17" ht="30" x14ac:dyDescent="0.25">
      <c r="A298" s="1851"/>
      <c r="B298" s="1503"/>
      <c r="C298" s="1501"/>
      <c r="D298" s="1503"/>
      <c r="E298" s="1403"/>
      <c r="F298" s="1863"/>
      <c r="G298" s="1863"/>
      <c r="H298" s="1863"/>
      <c r="I298" s="1863"/>
      <c r="J298" s="1863"/>
      <c r="K298" s="628" t="s">
        <v>1318</v>
      </c>
      <c r="L298" s="406" t="s">
        <v>1212</v>
      </c>
      <c r="M298" s="678">
        <v>87</v>
      </c>
      <c r="N298" s="678">
        <v>87</v>
      </c>
      <c r="O298" s="678">
        <v>87</v>
      </c>
      <c r="P298" s="678">
        <v>87</v>
      </c>
      <c r="Q298" s="678">
        <v>102.5</v>
      </c>
    </row>
    <row r="299" spans="1:17" ht="60" x14ac:dyDescent="0.25">
      <c r="A299" s="1851"/>
      <c r="B299" s="1503"/>
      <c r="C299" s="1469"/>
      <c r="D299" s="1503"/>
      <c r="E299" s="1403"/>
      <c r="F299" s="1863"/>
      <c r="G299" s="1863"/>
      <c r="H299" s="1863"/>
      <c r="I299" s="1863"/>
      <c r="J299" s="1863"/>
      <c r="K299" s="593" t="s">
        <v>1329</v>
      </c>
      <c r="L299" s="406" t="s">
        <v>3</v>
      </c>
      <c r="M299" s="1117">
        <v>0</v>
      </c>
      <c r="N299" s="1117">
        <v>0</v>
      </c>
      <c r="O299" s="1117">
        <v>0</v>
      </c>
      <c r="P299" s="1117">
        <v>0</v>
      </c>
      <c r="Q299" s="1117">
        <v>0.2303370786516854</v>
      </c>
    </row>
    <row r="300" spans="1:17" ht="30" x14ac:dyDescent="0.25">
      <c r="A300" s="1851"/>
      <c r="B300" s="1503"/>
      <c r="C300" s="1468"/>
      <c r="D300" s="1503"/>
      <c r="E300" s="1403" t="s">
        <v>1446</v>
      </c>
      <c r="F300" s="1863">
        <v>213588</v>
      </c>
      <c r="G300" s="1863">
        <v>415480</v>
      </c>
      <c r="H300" s="1863">
        <v>1121400</v>
      </c>
      <c r="I300" s="1863">
        <v>2035000</v>
      </c>
      <c r="J300" s="1863">
        <v>1396500</v>
      </c>
      <c r="K300" s="628" t="s">
        <v>1315</v>
      </c>
      <c r="L300" s="406" t="s">
        <v>1212</v>
      </c>
      <c r="M300" s="678">
        <v>442</v>
      </c>
      <c r="N300" s="678">
        <v>442</v>
      </c>
      <c r="O300" s="678">
        <v>442</v>
      </c>
      <c r="P300" s="678">
        <v>442</v>
      </c>
      <c r="Q300" s="678">
        <v>442</v>
      </c>
    </row>
    <row r="301" spans="1:17" ht="30" x14ac:dyDescent="0.25">
      <c r="A301" s="1851"/>
      <c r="B301" s="1503"/>
      <c r="C301" s="1501"/>
      <c r="D301" s="1503"/>
      <c r="E301" s="1403"/>
      <c r="F301" s="1863"/>
      <c r="G301" s="1863"/>
      <c r="H301" s="1863"/>
      <c r="I301" s="1863"/>
      <c r="J301" s="1863"/>
      <c r="K301" s="628" t="s">
        <v>1318</v>
      </c>
      <c r="L301" s="406" t="s">
        <v>1212</v>
      </c>
      <c r="M301" s="678">
        <v>0</v>
      </c>
      <c r="N301" s="678">
        <v>0</v>
      </c>
      <c r="O301" s="678">
        <v>0</v>
      </c>
      <c r="P301" s="678">
        <v>40</v>
      </c>
      <c r="Q301" s="678">
        <v>40.5</v>
      </c>
    </row>
    <row r="302" spans="1:17" ht="45" x14ac:dyDescent="0.25">
      <c r="A302" s="1851"/>
      <c r="B302" s="1503"/>
      <c r="C302" s="1469"/>
      <c r="D302" s="1503"/>
      <c r="E302" s="1403"/>
      <c r="F302" s="1863"/>
      <c r="G302" s="1863"/>
      <c r="H302" s="1863"/>
      <c r="I302" s="1863"/>
      <c r="J302" s="1863"/>
      <c r="K302" s="628" t="s">
        <v>1330</v>
      </c>
      <c r="L302" s="406" t="s">
        <v>3</v>
      </c>
      <c r="M302" s="1117">
        <v>0</v>
      </c>
      <c r="N302" s="1117">
        <v>0</v>
      </c>
      <c r="O302" s="1117">
        <v>56.368563685636857</v>
      </c>
      <c r="P302" s="1117">
        <v>78.048780487804876</v>
      </c>
      <c r="Q302" s="1117">
        <v>100</v>
      </c>
    </row>
    <row r="303" spans="1:17" ht="30" x14ac:dyDescent="0.25">
      <c r="A303" s="1851"/>
      <c r="B303" s="491"/>
      <c r="C303" s="491" t="s">
        <v>10</v>
      </c>
      <c r="D303" s="491"/>
      <c r="E303" s="593" t="s">
        <v>1739</v>
      </c>
      <c r="F303" s="619">
        <v>0</v>
      </c>
      <c r="G303" s="619">
        <v>0</v>
      </c>
      <c r="H303" s="619">
        <v>445000</v>
      </c>
      <c r="I303" s="619">
        <v>0</v>
      </c>
      <c r="J303" s="619">
        <v>0</v>
      </c>
      <c r="K303" s="628" t="s">
        <v>2089</v>
      </c>
      <c r="L303" s="406" t="s">
        <v>3</v>
      </c>
      <c r="M303" s="1117">
        <v>0</v>
      </c>
      <c r="N303" s="1117">
        <v>0</v>
      </c>
      <c r="O303" s="1117">
        <v>0</v>
      </c>
      <c r="P303" s="1117">
        <v>0</v>
      </c>
      <c r="Q303" s="1117">
        <v>0</v>
      </c>
    </row>
    <row r="304" spans="1:17" ht="45" x14ac:dyDescent="0.25">
      <c r="A304" s="1851"/>
      <c r="B304" s="491"/>
      <c r="C304" s="491" t="s">
        <v>11</v>
      </c>
      <c r="D304" s="491"/>
      <c r="E304" s="597" t="s">
        <v>1331</v>
      </c>
      <c r="F304" s="619">
        <v>0</v>
      </c>
      <c r="G304" s="619">
        <v>0</v>
      </c>
      <c r="H304" s="619">
        <v>445000</v>
      </c>
      <c r="I304" s="619">
        <v>0</v>
      </c>
      <c r="J304" s="619">
        <v>0</v>
      </c>
      <c r="K304" s="628" t="s">
        <v>2090</v>
      </c>
      <c r="L304" s="406" t="s">
        <v>3</v>
      </c>
      <c r="M304" s="1117">
        <v>0</v>
      </c>
      <c r="N304" s="1117">
        <v>0</v>
      </c>
      <c r="O304" s="1117">
        <v>0</v>
      </c>
      <c r="P304" s="1117">
        <v>0</v>
      </c>
      <c r="Q304" s="1117">
        <v>0</v>
      </c>
    </row>
    <row r="305" spans="1:17" ht="57" x14ac:dyDescent="0.25">
      <c r="A305" s="1851"/>
      <c r="B305" s="1860" t="s">
        <v>1914</v>
      </c>
      <c r="C305" s="1860"/>
      <c r="D305" s="1861"/>
      <c r="E305" s="1264"/>
      <c r="F305" s="1862">
        <v>362720.5</v>
      </c>
      <c r="G305" s="1855">
        <v>370454.3</v>
      </c>
      <c r="H305" s="1855">
        <f>H310</f>
        <v>172380.4</v>
      </c>
      <c r="I305" s="1855">
        <f t="shared" ref="I305:J305" si="29">I310</f>
        <v>172380.4</v>
      </c>
      <c r="J305" s="1855">
        <f t="shared" si="29"/>
        <v>172780.4</v>
      </c>
      <c r="K305" s="1119" t="s">
        <v>1332</v>
      </c>
      <c r="L305" s="616" t="s">
        <v>3</v>
      </c>
      <c r="M305" s="616">
        <v>88.1</v>
      </c>
      <c r="N305" s="616">
        <v>88.2</v>
      </c>
      <c r="O305" s="616">
        <v>88.5</v>
      </c>
      <c r="P305" s="616">
        <v>88.5</v>
      </c>
      <c r="Q305" s="616">
        <v>88.5</v>
      </c>
    </row>
    <row r="306" spans="1:17" ht="33" customHeight="1" x14ac:dyDescent="0.25">
      <c r="A306" s="1851"/>
      <c r="B306" s="1860"/>
      <c r="C306" s="1860"/>
      <c r="D306" s="1861"/>
      <c r="E306" s="1265"/>
      <c r="F306" s="1862"/>
      <c r="G306" s="1855"/>
      <c r="H306" s="1855"/>
      <c r="I306" s="1855"/>
      <c r="J306" s="1855"/>
      <c r="K306" s="1852" t="s">
        <v>1333</v>
      </c>
      <c r="L306" s="1855" t="s">
        <v>3</v>
      </c>
      <c r="M306" s="1855">
        <v>52</v>
      </c>
      <c r="N306" s="1855">
        <v>70</v>
      </c>
      <c r="O306" s="1855">
        <v>75</v>
      </c>
      <c r="P306" s="1855">
        <v>80</v>
      </c>
      <c r="Q306" s="1855">
        <v>85</v>
      </c>
    </row>
    <row r="307" spans="1:17" ht="24" customHeight="1" x14ac:dyDescent="0.25">
      <c r="A307" s="1851"/>
      <c r="B307" s="1860"/>
      <c r="C307" s="1860"/>
      <c r="D307" s="1861"/>
      <c r="E307" s="1856" t="s">
        <v>2091</v>
      </c>
      <c r="F307" s="1862"/>
      <c r="G307" s="1855"/>
      <c r="H307" s="1855"/>
      <c r="I307" s="1855"/>
      <c r="J307" s="1855"/>
      <c r="K307" s="1853"/>
      <c r="L307" s="1855"/>
      <c r="M307" s="1855"/>
      <c r="N307" s="1855"/>
      <c r="O307" s="1855"/>
      <c r="P307" s="1855"/>
      <c r="Q307" s="1855"/>
    </row>
    <row r="308" spans="1:17" ht="26.25" customHeight="1" x14ac:dyDescent="0.25">
      <c r="A308" s="1851"/>
      <c r="B308" s="1860"/>
      <c r="C308" s="1860"/>
      <c r="D308" s="1861"/>
      <c r="E308" s="1856"/>
      <c r="F308" s="1862"/>
      <c r="G308" s="1855"/>
      <c r="H308" s="1855"/>
      <c r="I308" s="1855"/>
      <c r="J308" s="1855"/>
      <c r="K308" s="1854"/>
      <c r="L308" s="1855"/>
      <c r="M308" s="1855"/>
      <c r="N308" s="1855"/>
      <c r="O308" s="1855"/>
      <c r="P308" s="1855"/>
      <c r="Q308" s="1855"/>
    </row>
    <row r="309" spans="1:17" ht="49.15" customHeight="1" x14ac:dyDescent="0.25">
      <c r="A309" s="1851"/>
      <c r="B309" s="1860"/>
      <c r="C309" s="1860"/>
      <c r="D309" s="1861"/>
      <c r="E309" s="1857"/>
      <c r="F309" s="1862"/>
      <c r="G309" s="1855"/>
      <c r="H309" s="1855"/>
      <c r="I309" s="1855"/>
      <c r="J309" s="1855"/>
      <c r="K309" s="614" t="s">
        <v>1334</v>
      </c>
      <c r="L309" s="616" t="s">
        <v>3</v>
      </c>
      <c r="M309" s="616" t="s">
        <v>1335</v>
      </c>
      <c r="N309" s="616" t="s">
        <v>1336</v>
      </c>
      <c r="O309" s="616" t="s">
        <v>1337</v>
      </c>
      <c r="P309" s="616" t="s">
        <v>1338</v>
      </c>
      <c r="Q309" s="616" t="s">
        <v>1339</v>
      </c>
    </row>
    <row r="310" spans="1:17" ht="30" x14ac:dyDescent="0.25">
      <c r="A310" s="1851"/>
      <c r="B310" s="1503"/>
      <c r="C310" s="1503" t="s">
        <v>5</v>
      </c>
      <c r="D310" s="1503"/>
      <c r="E310" s="1461" t="s">
        <v>1447</v>
      </c>
      <c r="F310" s="1859">
        <v>125320</v>
      </c>
      <c r="G310" s="1859">
        <v>172380.4</v>
      </c>
      <c r="H310" s="1859">
        <v>172380.4</v>
      </c>
      <c r="I310" s="1859">
        <v>172380.4</v>
      </c>
      <c r="J310" s="1859">
        <v>172780.4</v>
      </c>
      <c r="K310" s="628" t="s">
        <v>1340</v>
      </c>
      <c r="L310" s="619" t="s">
        <v>180</v>
      </c>
      <c r="M310" s="718">
        <v>15483</v>
      </c>
      <c r="N310" s="718">
        <v>6818</v>
      </c>
      <c r="O310" s="718">
        <v>6166</v>
      </c>
      <c r="P310" s="718">
        <v>6300</v>
      </c>
      <c r="Q310" s="718">
        <v>6300</v>
      </c>
    </row>
    <row r="311" spans="1:17" ht="30" x14ac:dyDescent="0.25">
      <c r="A311" s="1851"/>
      <c r="B311" s="1503"/>
      <c r="C311" s="1503"/>
      <c r="D311" s="1503"/>
      <c r="E311" s="1858"/>
      <c r="F311" s="1859"/>
      <c r="G311" s="1859"/>
      <c r="H311" s="1859"/>
      <c r="I311" s="1859"/>
      <c r="J311" s="1859"/>
      <c r="K311" s="628" t="s">
        <v>1341</v>
      </c>
      <c r="L311" s="619" t="s">
        <v>180</v>
      </c>
      <c r="M311" s="718">
        <v>19283</v>
      </c>
      <c r="N311" s="718">
        <v>18500</v>
      </c>
      <c r="O311" s="718">
        <v>19000</v>
      </c>
      <c r="P311" s="718">
        <v>19000</v>
      </c>
      <c r="Q311" s="718">
        <v>19000</v>
      </c>
    </row>
    <row r="312" spans="1:17" ht="45" x14ac:dyDescent="0.25">
      <c r="A312" s="1851"/>
      <c r="B312" s="1503"/>
      <c r="C312" s="1503"/>
      <c r="D312" s="1503"/>
      <c r="E312" s="1858"/>
      <c r="F312" s="1859"/>
      <c r="G312" s="1859"/>
      <c r="H312" s="1859"/>
      <c r="I312" s="1859"/>
      <c r="J312" s="1859"/>
      <c r="K312" s="628" t="s">
        <v>1342</v>
      </c>
      <c r="L312" s="619" t="s">
        <v>180</v>
      </c>
      <c r="M312" s="619">
        <v>8545</v>
      </c>
      <c r="N312" s="619">
        <v>8600</v>
      </c>
      <c r="O312" s="619">
        <v>9500</v>
      </c>
      <c r="P312" s="619">
        <v>9500</v>
      </c>
      <c r="Q312" s="619">
        <v>9500</v>
      </c>
    </row>
    <row r="313" spans="1:17" x14ac:dyDescent="0.25">
      <c r="A313" s="1834" t="s">
        <v>679</v>
      </c>
      <c r="B313" s="1835"/>
      <c r="C313" s="1835"/>
      <c r="D313" s="1835"/>
      <c r="E313" s="1836"/>
      <c r="F313" s="966">
        <v>11306965.4</v>
      </c>
      <c r="G313" s="966">
        <v>13404381.060000004</v>
      </c>
      <c r="H313" s="966">
        <f>H260+H262+H275+H305</f>
        <v>14540911.5</v>
      </c>
      <c r="I313" s="966">
        <f t="shared" ref="I313:J313" si="30">I260+I262+I275+I305</f>
        <v>19229645.599999998</v>
      </c>
      <c r="J313" s="966">
        <f t="shared" si="30"/>
        <v>16402799.200000001</v>
      </c>
      <c r="K313" s="1120"/>
      <c r="L313" s="1121"/>
      <c r="M313" s="1121"/>
      <c r="N313" s="1121"/>
      <c r="O313" s="1121"/>
      <c r="P313" s="1121"/>
      <c r="Q313" s="1121"/>
    </row>
    <row r="314" spans="1:17" x14ac:dyDescent="0.25">
      <c r="A314" s="1423" t="s">
        <v>1343</v>
      </c>
      <c r="B314" s="1423"/>
      <c r="C314" s="1423"/>
      <c r="D314" s="1423"/>
      <c r="E314" s="1423"/>
      <c r="F314" s="1423"/>
      <c r="G314" s="1423"/>
      <c r="H314" s="1423"/>
      <c r="I314" s="1423"/>
      <c r="J314" s="1423"/>
      <c r="K314" s="1423"/>
      <c r="L314" s="1423"/>
      <c r="M314" s="1423"/>
      <c r="N314" s="1423"/>
      <c r="O314" s="1423"/>
      <c r="P314" s="1423"/>
      <c r="Q314" s="1424"/>
    </row>
    <row r="315" spans="1:17" ht="75" x14ac:dyDescent="0.25">
      <c r="A315" s="1837" t="s">
        <v>838</v>
      </c>
      <c r="B315" s="45" t="s">
        <v>0</v>
      </c>
      <c r="C315" s="51"/>
      <c r="D315" s="51"/>
      <c r="E315" s="628" t="s">
        <v>1784</v>
      </c>
      <c r="F315" s="1122">
        <f>F316+F317</f>
        <v>62909.7</v>
      </c>
      <c r="G315" s="1122">
        <f>G316+G317</f>
        <v>45830.1</v>
      </c>
      <c r="H315" s="1122">
        <f>H316+H317</f>
        <v>43916.9</v>
      </c>
      <c r="I315" s="1122">
        <f>I316+I317</f>
        <v>47391.5</v>
      </c>
      <c r="J315" s="1122">
        <f>J316+J317</f>
        <v>47965.4</v>
      </c>
      <c r="K315" s="614"/>
      <c r="L315" s="616"/>
      <c r="M315" s="1123"/>
      <c r="N315" s="1123"/>
      <c r="O315" s="616"/>
      <c r="P315" s="616"/>
      <c r="Q315" s="616"/>
    </row>
    <row r="316" spans="1:17" ht="30" x14ac:dyDescent="0.25">
      <c r="A316" s="1837"/>
      <c r="B316" s="1124"/>
      <c r="C316" s="549" t="s">
        <v>5</v>
      </c>
      <c r="D316" s="550"/>
      <c r="E316" s="1125" t="s">
        <v>25</v>
      </c>
      <c r="F316" s="1126">
        <v>0</v>
      </c>
      <c r="G316" s="1126">
        <v>27434.799999999999</v>
      </c>
      <c r="H316" s="1126">
        <v>43916.9</v>
      </c>
      <c r="I316" s="1126">
        <v>47391.5</v>
      </c>
      <c r="J316" s="1126">
        <v>47965.4</v>
      </c>
      <c r="K316" s="614" t="s">
        <v>177</v>
      </c>
      <c r="L316" s="616" t="s">
        <v>24</v>
      </c>
      <c r="M316" s="1123">
        <v>27.3</v>
      </c>
      <c r="N316" s="628">
        <v>26.5</v>
      </c>
      <c r="O316" s="628">
        <v>35</v>
      </c>
      <c r="P316" s="628">
        <v>35</v>
      </c>
      <c r="Q316" s="628">
        <v>35</v>
      </c>
    </row>
    <row r="317" spans="1:17" ht="30" x14ac:dyDescent="0.25">
      <c r="A317" s="1837"/>
      <c r="B317" s="45"/>
      <c r="C317" s="46" t="s">
        <v>6</v>
      </c>
      <c r="D317" s="46"/>
      <c r="E317" s="1128" t="s">
        <v>1740</v>
      </c>
      <c r="F317" s="640">
        <v>62909.7</v>
      </c>
      <c r="G317" s="1126">
        <v>18395.3</v>
      </c>
      <c r="H317" s="1126">
        <v>0</v>
      </c>
      <c r="I317" s="1126">
        <v>0</v>
      </c>
      <c r="J317" s="1126">
        <v>0</v>
      </c>
      <c r="K317" s="1129" t="s">
        <v>1344</v>
      </c>
      <c r="L317" s="616" t="s">
        <v>3</v>
      </c>
      <c r="M317" s="616">
        <v>10</v>
      </c>
      <c r="N317" s="628">
        <v>0</v>
      </c>
      <c r="O317" s="628">
        <v>0</v>
      </c>
      <c r="P317" s="628">
        <v>0</v>
      </c>
      <c r="Q317" s="628">
        <v>0</v>
      </c>
    </row>
    <row r="318" spans="1:17" ht="28.5" hidden="1" x14ac:dyDescent="0.25">
      <c r="A318" s="1837"/>
      <c r="B318" s="45"/>
      <c r="C318" s="45"/>
      <c r="D318" s="46"/>
      <c r="E318" s="753" t="s">
        <v>1345</v>
      </c>
      <c r="F318" s="670">
        <v>13855.7</v>
      </c>
      <c r="G318" s="1122">
        <v>0</v>
      </c>
      <c r="H318" s="1122">
        <v>0</v>
      </c>
      <c r="I318" s="1122">
        <v>0</v>
      </c>
      <c r="J318" s="1122">
        <v>0</v>
      </c>
      <c r="K318" s="1130"/>
      <c r="L318" s="616"/>
      <c r="M318" s="616"/>
      <c r="N318" s="616"/>
      <c r="O318" s="616"/>
      <c r="P318" s="616"/>
      <c r="Q318" s="616"/>
    </row>
    <row r="319" spans="1:17" ht="71.25" hidden="1" x14ac:dyDescent="0.25">
      <c r="A319" s="1837"/>
      <c r="B319" s="1131"/>
      <c r="C319" s="51"/>
      <c r="D319" s="51"/>
      <c r="E319" s="776" t="s">
        <v>1511</v>
      </c>
      <c r="F319" s="1122">
        <v>14987.6</v>
      </c>
      <c r="G319" s="1122">
        <v>0</v>
      </c>
      <c r="H319" s="1122">
        <v>0</v>
      </c>
      <c r="I319" s="1122">
        <v>0</v>
      </c>
      <c r="J319" s="1122">
        <v>0</v>
      </c>
      <c r="K319" s="614"/>
      <c r="L319" s="619"/>
      <c r="M319" s="619"/>
      <c r="N319" s="619"/>
      <c r="O319" s="619"/>
      <c r="P319" s="619"/>
      <c r="Q319" s="619"/>
    </row>
    <row r="320" spans="1:17" ht="74.25" x14ac:dyDescent="0.25">
      <c r="A320" s="1837"/>
      <c r="B320" s="1132" t="s">
        <v>1915</v>
      </c>
      <c r="C320" s="1133"/>
      <c r="D320" s="1134"/>
      <c r="E320" s="1119" t="s">
        <v>1789</v>
      </c>
      <c r="F320" s="1239">
        <f>F321+F326</f>
        <v>0</v>
      </c>
      <c r="G320" s="1135">
        <f>G321+G326+G327</f>
        <v>1433629</v>
      </c>
      <c r="H320" s="1135">
        <f t="shared" ref="H320:J320" si="31">H321+H326+H327</f>
        <v>1583380.4000000001</v>
      </c>
      <c r="I320" s="1135">
        <f t="shared" si="31"/>
        <v>1423580.4000000001</v>
      </c>
      <c r="J320" s="1135">
        <f t="shared" si="31"/>
        <v>1437804.7000000002</v>
      </c>
      <c r="K320" s="1119" t="s">
        <v>1410</v>
      </c>
      <c r="L320" s="616" t="s">
        <v>3</v>
      </c>
      <c r="M320" s="616" t="s">
        <v>1411</v>
      </c>
      <c r="N320" s="616">
        <v>102.5</v>
      </c>
      <c r="O320" s="616">
        <v>105.8</v>
      </c>
      <c r="P320" s="616">
        <v>106</v>
      </c>
      <c r="Q320" s="1123">
        <v>107</v>
      </c>
    </row>
    <row r="321" spans="1:17" ht="30" x14ac:dyDescent="0.25">
      <c r="A321" s="1837"/>
      <c r="B321" s="1973"/>
      <c r="C321" s="1973" t="s">
        <v>11</v>
      </c>
      <c r="D321" s="1976"/>
      <c r="E321" s="1460" t="s">
        <v>1745</v>
      </c>
      <c r="F321" s="1967">
        <v>0</v>
      </c>
      <c r="G321" s="1970">
        <v>1407063.7</v>
      </c>
      <c r="H321" s="1970">
        <v>1549487</v>
      </c>
      <c r="I321" s="1970">
        <v>1389487</v>
      </c>
      <c r="J321" s="1970">
        <v>1403711.3</v>
      </c>
      <c r="K321" s="628" t="s">
        <v>1963</v>
      </c>
      <c r="L321" s="619" t="s">
        <v>1958</v>
      </c>
      <c r="M321" s="619">
        <v>353.7</v>
      </c>
      <c r="N321" s="619">
        <v>353.5</v>
      </c>
      <c r="O321" s="718">
        <v>353.3</v>
      </c>
      <c r="P321" s="718">
        <v>353.2</v>
      </c>
      <c r="Q321" s="718">
        <v>353</v>
      </c>
    </row>
    <row r="322" spans="1:17" ht="27.6" customHeight="1" x14ac:dyDescent="0.25">
      <c r="A322" s="1837"/>
      <c r="B322" s="1974"/>
      <c r="C322" s="1974"/>
      <c r="D322" s="1978"/>
      <c r="E322" s="1966"/>
      <c r="F322" s="1968"/>
      <c r="G322" s="1971"/>
      <c r="H322" s="1971"/>
      <c r="I322" s="1971"/>
      <c r="J322" s="1971"/>
      <c r="K322" s="1460" t="s">
        <v>1964</v>
      </c>
      <c r="L322" s="619" t="s">
        <v>1959</v>
      </c>
      <c r="M322" s="619">
        <v>417</v>
      </c>
      <c r="N322" s="619">
        <v>416.8</v>
      </c>
      <c r="O322" s="718">
        <v>416.6</v>
      </c>
      <c r="P322" s="718">
        <v>416.4</v>
      </c>
      <c r="Q322" s="718">
        <v>416.2</v>
      </c>
    </row>
    <row r="323" spans="1:17" ht="30" x14ac:dyDescent="0.25">
      <c r="A323" s="1837"/>
      <c r="B323" s="1974"/>
      <c r="C323" s="1974"/>
      <c r="D323" s="1978"/>
      <c r="E323" s="1966"/>
      <c r="F323" s="1968"/>
      <c r="G323" s="1971"/>
      <c r="H323" s="1971"/>
      <c r="I323" s="1971"/>
      <c r="J323" s="1971"/>
      <c r="K323" s="1966"/>
      <c r="L323" s="619" t="s">
        <v>1960</v>
      </c>
      <c r="M323" s="619">
        <v>160</v>
      </c>
      <c r="N323" s="619">
        <v>159.9</v>
      </c>
      <c r="O323" s="718">
        <v>159.80000000000001</v>
      </c>
      <c r="P323" s="718">
        <v>159.69999999999999</v>
      </c>
      <c r="Q323" s="718">
        <v>159.6</v>
      </c>
    </row>
    <row r="324" spans="1:17" x14ac:dyDescent="0.25">
      <c r="A324" s="1837"/>
      <c r="B324" s="1974"/>
      <c r="C324" s="1974"/>
      <c r="D324" s="1978"/>
      <c r="E324" s="1966"/>
      <c r="F324" s="1968"/>
      <c r="G324" s="1971"/>
      <c r="H324" s="1971"/>
      <c r="I324" s="1971"/>
      <c r="J324" s="1971"/>
      <c r="K324" s="1966"/>
      <c r="L324" s="619" t="s">
        <v>1961</v>
      </c>
      <c r="M324" s="619">
        <v>142</v>
      </c>
      <c r="N324" s="619">
        <v>142</v>
      </c>
      <c r="O324" s="718">
        <v>142</v>
      </c>
      <c r="P324" s="718">
        <v>142</v>
      </c>
      <c r="Q324" s="718">
        <v>142</v>
      </c>
    </row>
    <row r="325" spans="1:17" x14ac:dyDescent="0.25">
      <c r="A325" s="1837"/>
      <c r="B325" s="1975"/>
      <c r="C325" s="1975"/>
      <c r="D325" s="1977"/>
      <c r="E325" s="1461"/>
      <c r="F325" s="1969"/>
      <c r="G325" s="1972"/>
      <c r="H325" s="1972"/>
      <c r="I325" s="1972"/>
      <c r="J325" s="1972"/>
      <c r="K325" s="1461"/>
      <c r="L325" s="619" t="s">
        <v>1962</v>
      </c>
      <c r="M325" s="619">
        <v>1195</v>
      </c>
      <c r="N325" s="619">
        <v>1195</v>
      </c>
      <c r="O325" s="718">
        <v>1195</v>
      </c>
      <c r="P325" s="718">
        <v>1195</v>
      </c>
      <c r="Q325" s="718">
        <v>1195</v>
      </c>
    </row>
    <row r="326" spans="1:17" ht="75" x14ac:dyDescent="0.25">
      <c r="A326" s="1837"/>
      <c r="B326" s="1139"/>
      <c r="C326" s="28" t="s">
        <v>14</v>
      </c>
      <c r="D326" s="208"/>
      <c r="E326" s="628" t="s">
        <v>1919</v>
      </c>
      <c r="F326" s="1127"/>
      <c r="G326" s="1199">
        <v>13938.1</v>
      </c>
      <c r="H326" s="1199">
        <v>21026.3</v>
      </c>
      <c r="I326" s="1199">
        <v>21026.3</v>
      </c>
      <c r="J326" s="1199">
        <v>21026.3</v>
      </c>
      <c r="K326" s="620" t="s">
        <v>1921</v>
      </c>
      <c r="L326" s="718" t="s">
        <v>1922</v>
      </c>
      <c r="M326" s="619" t="s">
        <v>1923</v>
      </c>
      <c r="N326" s="718">
        <v>101.5</v>
      </c>
      <c r="O326" s="718">
        <v>101.5</v>
      </c>
      <c r="P326" s="718">
        <v>103</v>
      </c>
      <c r="Q326" s="718">
        <v>103</v>
      </c>
    </row>
    <row r="327" spans="1:17" ht="54.75" customHeight="1" x14ac:dyDescent="0.25">
      <c r="A327" s="1837"/>
      <c r="B327" s="1133"/>
      <c r="C327" s="1197" t="s">
        <v>15</v>
      </c>
      <c r="D327" s="1134"/>
      <c r="E327" s="628" t="s">
        <v>1924</v>
      </c>
      <c r="F327" s="1127"/>
      <c r="G327" s="1199">
        <v>12627.2</v>
      </c>
      <c r="H327" s="1199">
        <v>12867.1</v>
      </c>
      <c r="I327" s="1199">
        <v>13067.1</v>
      </c>
      <c r="J327" s="1199">
        <v>13067.1</v>
      </c>
      <c r="K327" s="620" t="s">
        <v>1920</v>
      </c>
      <c r="L327" s="688" t="s">
        <v>3</v>
      </c>
      <c r="M327" s="688" t="s">
        <v>1412</v>
      </c>
      <c r="N327" s="688">
        <v>115</v>
      </c>
      <c r="O327" s="688">
        <v>120</v>
      </c>
      <c r="P327" s="688">
        <v>125</v>
      </c>
      <c r="Q327" s="1201">
        <v>125</v>
      </c>
    </row>
    <row r="328" spans="1:17" ht="103.5" x14ac:dyDescent="0.25">
      <c r="A328" s="1837"/>
      <c r="B328" s="1132" t="s">
        <v>1925</v>
      </c>
      <c r="C328" s="1134"/>
      <c r="D328" s="1134"/>
      <c r="E328" s="1119" t="s">
        <v>1786</v>
      </c>
      <c r="F328" s="1239">
        <f>F329+F332</f>
        <v>23655.1</v>
      </c>
      <c r="G328" s="1239">
        <f t="shared" ref="G328:J328" si="32">G329+G332</f>
        <v>36553.800000000003</v>
      </c>
      <c r="H328" s="1239">
        <f t="shared" si="32"/>
        <v>29320.799999999999</v>
      </c>
      <c r="I328" s="1239">
        <f t="shared" si="32"/>
        <v>33509.300000000003</v>
      </c>
      <c r="J328" s="1239">
        <f t="shared" si="32"/>
        <v>33994.199999999997</v>
      </c>
      <c r="K328" s="605" t="s">
        <v>1346</v>
      </c>
      <c r="L328" s="616" t="s">
        <v>3</v>
      </c>
      <c r="M328" s="616">
        <v>20</v>
      </c>
      <c r="N328" s="616">
        <v>31.5</v>
      </c>
      <c r="O328" s="1123">
        <v>31.8</v>
      </c>
      <c r="P328" s="1123">
        <v>26.6</v>
      </c>
      <c r="Q328" s="1123">
        <v>26.6</v>
      </c>
    </row>
    <row r="329" spans="1:17" ht="30" x14ac:dyDescent="0.25">
      <c r="A329" s="1837"/>
      <c r="B329" s="1973"/>
      <c r="C329" s="1973" t="s">
        <v>5</v>
      </c>
      <c r="D329" s="1976"/>
      <c r="E329" s="1460" t="s">
        <v>1926</v>
      </c>
      <c r="F329" s="1967">
        <v>11596.8</v>
      </c>
      <c r="G329" s="1970">
        <v>18276.8</v>
      </c>
      <c r="H329" s="1970">
        <v>14660.4</v>
      </c>
      <c r="I329" s="1970">
        <v>16754.599999999999</v>
      </c>
      <c r="J329" s="1970">
        <v>16997.099999999999</v>
      </c>
      <c r="K329" s="620" t="s">
        <v>1347</v>
      </c>
      <c r="L329" s="619" t="s">
        <v>180</v>
      </c>
      <c r="M329" s="619">
        <v>31</v>
      </c>
      <c r="N329" s="619">
        <v>31</v>
      </c>
      <c r="O329" s="718">
        <v>36</v>
      </c>
      <c r="P329" s="718">
        <v>36</v>
      </c>
      <c r="Q329" s="718">
        <v>36</v>
      </c>
    </row>
    <row r="330" spans="1:17" ht="30" x14ac:dyDescent="0.25">
      <c r="A330" s="1837"/>
      <c r="B330" s="1974"/>
      <c r="C330" s="1974"/>
      <c r="D330" s="1978"/>
      <c r="E330" s="1966"/>
      <c r="F330" s="1968"/>
      <c r="G330" s="1971"/>
      <c r="H330" s="1971"/>
      <c r="I330" s="1971"/>
      <c r="J330" s="1971"/>
      <c r="K330" s="620" t="s">
        <v>1348</v>
      </c>
      <c r="L330" s="619" t="s">
        <v>180</v>
      </c>
      <c r="M330" s="619">
        <v>12</v>
      </c>
      <c r="N330" s="619">
        <v>12</v>
      </c>
      <c r="O330" s="718">
        <v>12</v>
      </c>
      <c r="P330" s="718">
        <v>12</v>
      </c>
      <c r="Q330" s="718">
        <v>12</v>
      </c>
    </row>
    <row r="331" spans="1:17" x14ac:dyDescent="0.25">
      <c r="A331" s="1837"/>
      <c r="B331" s="1975"/>
      <c r="C331" s="1975"/>
      <c r="D331" s="1977"/>
      <c r="E331" s="1461"/>
      <c r="F331" s="1969"/>
      <c r="G331" s="1972"/>
      <c r="H331" s="1972"/>
      <c r="I331" s="1972"/>
      <c r="J331" s="1972"/>
      <c r="K331" s="620" t="s">
        <v>1928</v>
      </c>
      <c r="L331" s="619" t="s">
        <v>180</v>
      </c>
      <c r="M331" s="619">
        <v>2</v>
      </c>
      <c r="N331" s="619">
        <v>2</v>
      </c>
      <c r="O331" s="718">
        <v>2</v>
      </c>
      <c r="P331" s="718">
        <v>2</v>
      </c>
      <c r="Q331" s="718">
        <v>2</v>
      </c>
    </row>
    <row r="332" spans="1:17" ht="49.5" customHeight="1" x14ac:dyDescent="0.25">
      <c r="A332" s="1837"/>
      <c r="B332" s="1196"/>
      <c r="C332" s="1196" t="s">
        <v>6</v>
      </c>
      <c r="D332" s="1198"/>
      <c r="E332" s="1114" t="s">
        <v>1927</v>
      </c>
      <c r="F332" s="1126">
        <v>12058.3</v>
      </c>
      <c r="G332" s="1199">
        <v>18277</v>
      </c>
      <c r="H332" s="1199">
        <v>14660.4</v>
      </c>
      <c r="I332" s="1199">
        <v>16754.7</v>
      </c>
      <c r="J332" s="1199">
        <v>16997.099999999999</v>
      </c>
      <c r="K332" s="620" t="s">
        <v>1929</v>
      </c>
      <c r="L332" s="619" t="s">
        <v>3</v>
      </c>
      <c r="M332" s="619">
        <v>17.100000000000001</v>
      </c>
      <c r="N332" s="619">
        <v>26.7</v>
      </c>
      <c r="O332" s="718">
        <v>26.7</v>
      </c>
      <c r="P332" s="718">
        <v>26.7</v>
      </c>
      <c r="Q332" s="718">
        <v>26.7</v>
      </c>
    </row>
    <row r="333" spans="1:17" ht="73.5" x14ac:dyDescent="0.25">
      <c r="A333" s="1837"/>
      <c r="B333" s="168" t="s">
        <v>1916</v>
      </c>
      <c r="C333" s="1139"/>
      <c r="D333" s="208"/>
      <c r="E333" s="1119" t="s">
        <v>1787</v>
      </c>
      <c r="F333" s="1239">
        <f>F334+F335</f>
        <v>26927.9</v>
      </c>
      <c r="G333" s="1239">
        <f>G334+G335+G338+G339</f>
        <v>22178.5</v>
      </c>
      <c r="H333" s="1239">
        <f>H334+H335+H338+H339</f>
        <v>29244</v>
      </c>
      <c r="I333" s="1239">
        <f>I334+I335+I338+I339</f>
        <v>22842.5</v>
      </c>
      <c r="J333" s="1239">
        <f>J334+J335+J338+J339</f>
        <v>23070.9</v>
      </c>
      <c r="K333" s="1111" t="s">
        <v>1349</v>
      </c>
      <c r="L333" s="616" t="s">
        <v>3</v>
      </c>
      <c r="M333" s="616"/>
      <c r="N333" s="616">
        <v>1</v>
      </c>
      <c r="O333" s="1123">
        <v>1</v>
      </c>
      <c r="P333" s="1123">
        <v>1</v>
      </c>
      <c r="Q333" s="1123">
        <v>1</v>
      </c>
    </row>
    <row r="334" spans="1:17" ht="45" x14ac:dyDescent="0.25">
      <c r="A334" s="1837"/>
      <c r="B334" s="1139"/>
      <c r="C334" s="28" t="s">
        <v>5</v>
      </c>
      <c r="D334" s="208"/>
      <c r="E334" s="628" t="s">
        <v>1350</v>
      </c>
      <c r="F334" s="1126">
        <v>10688.9</v>
      </c>
      <c r="G334" s="1137">
        <v>0</v>
      </c>
      <c r="H334" s="1137">
        <v>0</v>
      </c>
      <c r="I334" s="1137">
        <v>0</v>
      </c>
      <c r="J334" s="1137">
        <v>0</v>
      </c>
      <c r="K334" s="620" t="s">
        <v>1351</v>
      </c>
      <c r="L334" s="619" t="s">
        <v>87</v>
      </c>
      <c r="M334" s="619">
        <v>4249</v>
      </c>
      <c r="N334" s="616">
        <v>0</v>
      </c>
      <c r="O334" s="1123">
        <v>0</v>
      </c>
      <c r="P334" s="1123">
        <v>0</v>
      </c>
      <c r="Q334" s="1123">
        <v>0</v>
      </c>
    </row>
    <row r="335" spans="1:17" ht="30" x14ac:dyDescent="0.25">
      <c r="A335" s="1837"/>
      <c r="B335" s="1973"/>
      <c r="C335" s="1973" t="s">
        <v>6</v>
      </c>
      <c r="D335" s="1976"/>
      <c r="E335" s="1460" t="s">
        <v>1352</v>
      </c>
      <c r="F335" s="1967">
        <v>16239</v>
      </c>
      <c r="G335" s="1970">
        <v>0</v>
      </c>
      <c r="H335" s="1970">
        <v>0</v>
      </c>
      <c r="I335" s="1970">
        <v>0</v>
      </c>
      <c r="J335" s="1970">
        <v>0</v>
      </c>
      <c r="K335" s="620" t="s">
        <v>1353</v>
      </c>
      <c r="L335" s="619" t="s">
        <v>1354</v>
      </c>
      <c r="M335" s="619">
        <v>41</v>
      </c>
      <c r="N335" s="619">
        <v>0</v>
      </c>
      <c r="O335" s="619">
        <v>0</v>
      </c>
      <c r="P335" s="619">
        <v>0</v>
      </c>
      <c r="Q335" s="619">
        <v>0</v>
      </c>
    </row>
    <row r="336" spans="1:17" ht="45" x14ac:dyDescent="0.25">
      <c r="A336" s="1837"/>
      <c r="B336" s="1974"/>
      <c r="C336" s="1974"/>
      <c r="D336" s="1978"/>
      <c r="E336" s="1966"/>
      <c r="F336" s="1968"/>
      <c r="G336" s="1971"/>
      <c r="H336" s="1971"/>
      <c r="I336" s="1971"/>
      <c r="J336" s="1971"/>
      <c r="K336" s="620" t="s">
        <v>1355</v>
      </c>
      <c r="L336" s="619" t="s">
        <v>87</v>
      </c>
      <c r="M336" s="619">
        <v>24</v>
      </c>
      <c r="N336" s="619">
        <v>0</v>
      </c>
      <c r="O336" s="619">
        <v>0</v>
      </c>
      <c r="P336" s="619">
        <v>0</v>
      </c>
      <c r="Q336" s="619">
        <v>0</v>
      </c>
    </row>
    <row r="337" spans="1:17" ht="30" x14ac:dyDescent="0.25">
      <c r="A337" s="1837"/>
      <c r="B337" s="1975"/>
      <c r="C337" s="1975"/>
      <c r="D337" s="1977"/>
      <c r="E337" s="1461"/>
      <c r="F337" s="1968"/>
      <c r="G337" s="1971"/>
      <c r="H337" s="1971"/>
      <c r="I337" s="1971"/>
      <c r="J337" s="1971"/>
      <c r="K337" s="1114" t="s">
        <v>1356</v>
      </c>
      <c r="L337" s="619" t="s">
        <v>87</v>
      </c>
      <c r="M337" s="619">
        <v>90</v>
      </c>
      <c r="N337" s="619">
        <v>0</v>
      </c>
      <c r="O337" s="619">
        <v>0</v>
      </c>
      <c r="P337" s="619">
        <v>0</v>
      </c>
      <c r="Q337" s="619">
        <v>0</v>
      </c>
    </row>
    <row r="338" spans="1:17" x14ac:dyDescent="0.25">
      <c r="A338" s="1837"/>
      <c r="B338" s="1139"/>
      <c r="C338" s="28" t="s">
        <v>4</v>
      </c>
      <c r="D338" s="208"/>
      <c r="E338" s="628" t="s">
        <v>1357</v>
      </c>
      <c r="F338" s="1127">
        <v>0</v>
      </c>
      <c r="G338" s="1137">
        <v>1050.2</v>
      </c>
      <c r="H338" s="1137">
        <v>0</v>
      </c>
      <c r="I338" s="1137">
        <v>0</v>
      </c>
      <c r="J338" s="1137">
        <v>0</v>
      </c>
      <c r="K338" s="619"/>
      <c r="L338" s="1119"/>
      <c r="M338" s="619">
        <v>0</v>
      </c>
      <c r="N338" s="619">
        <v>0</v>
      </c>
      <c r="O338" s="619">
        <v>0</v>
      </c>
      <c r="P338" s="619">
        <v>0</v>
      </c>
      <c r="Q338" s="619">
        <v>0</v>
      </c>
    </row>
    <row r="339" spans="1:17" ht="30" x14ac:dyDescent="0.25">
      <c r="A339" s="1837"/>
      <c r="B339" s="1973"/>
      <c r="C339" s="1973" t="s">
        <v>7</v>
      </c>
      <c r="D339" s="1976"/>
      <c r="E339" s="1858" t="s">
        <v>1358</v>
      </c>
      <c r="F339" s="1985">
        <v>0</v>
      </c>
      <c r="G339" s="1986">
        <v>21128.3</v>
      </c>
      <c r="H339" s="1986">
        <v>29244</v>
      </c>
      <c r="I339" s="1986">
        <v>22842.5</v>
      </c>
      <c r="J339" s="1986">
        <v>23070.9</v>
      </c>
      <c r="K339" s="1138" t="s">
        <v>1359</v>
      </c>
      <c r="L339" s="688" t="s">
        <v>3</v>
      </c>
      <c r="M339" s="619">
        <v>0</v>
      </c>
      <c r="N339" s="688">
        <v>0</v>
      </c>
      <c r="O339" s="688">
        <v>3</v>
      </c>
      <c r="P339" s="688">
        <v>3</v>
      </c>
      <c r="Q339" s="688">
        <v>3</v>
      </c>
    </row>
    <row r="340" spans="1:17" ht="30" x14ac:dyDescent="0.25">
      <c r="A340" s="1837"/>
      <c r="B340" s="1975"/>
      <c r="C340" s="1975"/>
      <c r="D340" s="1977"/>
      <c r="E340" s="1858"/>
      <c r="F340" s="1985"/>
      <c r="G340" s="1986"/>
      <c r="H340" s="1986"/>
      <c r="I340" s="1986"/>
      <c r="J340" s="1986"/>
      <c r="K340" s="1136" t="s">
        <v>1360</v>
      </c>
      <c r="L340" s="688" t="s">
        <v>3</v>
      </c>
      <c r="M340" s="619">
        <v>0</v>
      </c>
      <c r="N340" s="688">
        <v>0</v>
      </c>
      <c r="O340" s="1201">
        <v>0.03</v>
      </c>
      <c r="P340" s="1201">
        <v>0.03</v>
      </c>
      <c r="Q340" s="1201">
        <v>0.03</v>
      </c>
    </row>
    <row r="341" spans="1:17" ht="103.5" x14ac:dyDescent="0.25">
      <c r="A341" s="1837"/>
      <c r="B341" s="168" t="s">
        <v>1917</v>
      </c>
      <c r="C341" s="1139"/>
      <c r="D341" s="208"/>
      <c r="E341" s="614" t="s">
        <v>1788</v>
      </c>
      <c r="F341" s="1122">
        <f>F342+F343</f>
        <v>5685.2</v>
      </c>
      <c r="G341" s="1122">
        <f>G342+G343</f>
        <v>10559.2</v>
      </c>
      <c r="H341" s="1122">
        <f>H342+H343</f>
        <v>9821.7999999999993</v>
      </c>
      <c r="I341" s="1122">
        <f>I342+I343</f>
        <v>9915.2000000000007</v>
      </c>
      <c r="J341" s="1122">
        <f>J342+J343</f>
        <v>10197.4</v>
      </c>
      <c r="K341" s="1119"/>
      <c r="L341" s="619"/>
      <c r="M341" s="619"/>
      <c r="N341" s="619"/>
      <c r="O341" s="619"/>
      <c r="P341" s="619"/>
      <c r="Q341" s="718"/>
    </row>
    <row r="342" spans="1:17" ht="75" x14ac:dyDescent="0.25">
      <c r="A342" s="1837"/>
      <c r="B342" s="1139"/>
      <c r="C342" s="28" t="s">
        <v>7</v>
      </c>
      <c r="D342" s="208"/>
      <c r="E342" s="620" t="s">
        <v>1361</v>
      </c>
      <c r="F342" s="1200">
        <v>3685.2</v>
      </c>
      <c r="G342" s="1140">
        <v>7059.2</v>
      </c>
      <c r="H342" s="1140">
        <v>7821.8</v>
      </c>
      <c r="I342" s="1140">
        <v>7915.2</v>
      </c>
      <c r="J342" s="1140">
        <v>8197.4</v>
      </c>
      <c r="K342" s="1136" t="s">
        <v>1362</v>
      </c>
      <c r="L342" s="628" t="s">
        <v>1363</v>
      </c>
      <c r="M342" s="619">
        <v>1</v>
      </c>
      <c r="N342" s="619" t="s">
        <v>1364</v>
      </c>
      <c r="O342" s="718">
        <v>1</v>
      </c>
      <c r="P342" s="718">
        <v>1</v>
      </c>
      <c r="Q342" s="718">
        <v>1</v>
      </c>
    </row>
    <row r="343" spans="1:17" ht="15" customHeight="1" x14ac:dyDescent="0.25">
      <c r="A343" s="1837"/>
      <c r="B343" s="1139"/>
      <c r="C343" s="28" t="s">
        <v>9</v>
      </c>
      <c r="D343" s="208"/>
      <c r="E343" s="628" t="s">
        <v>1365</v>
      </c>
      <c r="F343" s="1126">
        <v>2000</v>
      </c>
      <c r="G343" s="1199">
        <v>3500</v>
      </c>
      <c r="H343" s="1199">
        <v>2000</v>
      </c>
      <c r="I343" s="1199">
        <v>2000</v>
      </c>
      <c r="J343" s="1199">
        <v>2000</v>
      </c>
      <c r="K343" s="1136" t="s">
        <v>1366</v>
      </c>
      <c r="L343" s="619" t="s">
        <v>3</v>
      </c>
      <c r="M343" s="619">
        <v>15</v>
      </c>
      <c r="N343" s="619">
        <v>15</v>
      </c>
      <c r="O343" s="718">
        <v>15</v>
      </c>
      <c r="P343" s="718">
        <v>15</v>
      </c>
      <c r="Q343" s="718">
        <v>15</v>
      </c>
    </row>
    <row r="344" spans="1:17" ht="45" x14ac:dyDescent="0.25">
      <c r="A344" s="1837"/>
      <c r="B344" s="1139"/>
      <c r="C344" s="28" t="s">
        <v>11</v>
      </c>
      <c r="D344" s="208"/>
      <c r="E344" s="628" t="s">
        <v>1367</v>
      </c>
      <c r="F344" s="1126">
        <v>0</v>
      </c>
      <c r="G344" s="1199">
        <v>1000</v>
      </c>
      <c r="H344" s="1199">
        <v>0</v>
      </c>
      <c r="I344" s="1199">
        <v>0</v>
      </c>
      <c r="J344" s="1199">
        <v>0</v>
      </c>
      <c r="K344" s="628" t="s">
        <v>1368</v>
      </c>
      <c r="L344" s="619" t="s">
        <v>1354</v>
      </c>
      <c r="M344" s="619">
        <v>0</v>
      </c>
      <c r="N344" s="619">
        <v>1</v>
      </c>
      <c r="O344" s="718">
        <v>0</v>
      </c>
      <c r="P344" s="718">
        <v>0</v>
      </c>
      <c r="Q344" s="718">
        <v>0</v>
      </c>
    </row>
    <row r="345" spans="1:17" ht="73.5" x14ac:dyDescent="0.25">
      <c r="A345" s="1837"/>
      <c r="B345" s="168" t="s">
        <v>1918</v>
      </c>
      <c r="C345" s="1139"/>
      <c r="D345" s="208"/>
      <c r="E345" s="1141" t="s">
        <v>1499</v>
      </c>
      <c r="F345" s="669">
        <f>F346+F347+F348+F349+F350+F351+F352+F353+F354</f>
        <v>7951272.0300000003</v>
      </c>
      <c r="G345" s="669">
        <f t="shared" ref="G345:J345" si="33">G346+G347+G348+G349+G350+G351+G352+G353+G354</f>
        <v>8436339.0800000001</v>
      </c>
      <c r="H345" s="669">
        <f t="shared" si="33"/>
        <v>9134782</v>
      </c>
      <c r="I345" s="669">
        <f t="shared" si="33"/>
        <v>10947190</v>
      </c>
      <c r="J345" s="669">
        <f t="shared" si="33"/>
        <v>5131995</v>
      </c>
      <c r="K345" s="614" t="s">
        <v>1369</v>
      </c>
      <c r="L345" s="616" t="s">
        <v>3</v>
      </c>
      <c r="M345" s="616" t="s">
        <v>1370</v>
      </c>
      <c r="N345" s="1123">
        <v>100.95</v>
      </c>
      <c r="O345" s="1123">
        <v>100.97</v>
      </c>
      <c r="P345" s="1123">
        <v>101</v>
      </c>
      <c r="Q345" s="1123">
        <v>101.2</v>
      </c>
    </row>
    <row r="346" spans="1:17" ht="45" x14ac:dyDescent="0.25">
      <c r="A346" s="1837"/>
      <c r="B346" s="208"/>
      <c r="C346" s="1139" t="s">
        <v>7</v>
      </c>
      <c r="D346" s="208"/>
      <c r="E346" s="1141" t="s">
        <v>1371</v>
      </c>
      <c r="F346" s="1242">
        <v>447082.47</v>
      </c>
      <c r="G346" s="1242">
        <v>477978.8</v>
      </c>
      <c r="H346" s="1242">
        <v>60253</v>
      </c>
      <c r="I346" s="1242"/>
      <c r="J346" s="1242"/>
      <c r="K346" s="620" t="s">
        <v>1372</v>
      </c>
      <c r="L346" s="619" t="s">
        <v>87</v>
      </c>
      <c r="M346" s="619" t="s">
        <v>1373</v>
      </c>
      <c r="N346" s="619" t="s">
        <v>1374</v>
      </c>
      <c r="O346" s="619" t="s">
        <v>1375</v>
      </c>
      <c r="P346" s="619">
        <v>0</v>
      </c>
      <c r="Q346" s="718">
        <v>0</v>
      </c>
    </row>
    <row r="347" spans="1:17" x14ac:dyDescent="0.25">
      <c r="A347" s="1837"/>
      <c r="B347" s="208"/>
      <c r="C347" s="1139" t="s">
        <v>9</v>
      </c>
      <c r="D347" s="208"/>
      <c r="E347" s="1141" t="s">
        <v>1376</v>
      </c>
      <c r="F347" s="1242">
        <v>3521066.3</v>
      </c>
      <c r="G347" s="1242">
        <v>2486161.6</v>
      </c>
      <c r="H347" s="1242">
        <v>1414299</v>
      </c>
      <c r="I347" s="1242"/>
      <c r="J347" s="1242"/>
      <c r="K347" s="620" t="s">
        <v>1377</v>
      </c>
      <c r="L347" s="619" t="s">
        <v>87</v>
      </c>
      <c r="M347" s="619" t="s">
        <v>1378</v>
      </c>
      <c r="N347" s="1979" t="s">
        <v>1379</v>
      </c>
      <c r="O347" s="1980"/>
      <c r="P347" s="1981"/>
      <c r="Q347" s="718"/>
    </row>
    <row r="348" spans="1:17" ht="30" x14ac:dyDescent="0.25">
      <c r="A348" s="1837"/>
      <c r="B348" s="208"/>
      <c r="C348" s="1139" t="s">
        <v>11</v>
      </c>
      <c r="D348" s="208"/>
      <c r="E348" s="1141" t="s">
        <v>1380</v>
      </c>
      <c r="F348" s="1242">
        <v>241467.66</v>
      </c>
      <c r="G348" s="1242">
        <v>0</v>
      </c>
      <c r="H348" s="1242"/>
      <c r="I348" s="1243"/>
      <c r="J348" s="1243"/>
      <c r="K348" s="620" t="s">
        <v>1381</v>
      </c>
      <c r="L348" s="619" t="s">
        <v>87</v>
      </c>
      <c r="M348" s="619" t="s">
        <v>1382</v>
      </c>
      <c r="N348" s="619">
        <v>0</v>
      </c>
      <c r="O348" s="619">
        <v>0</v>
      </c>
      <c r="P348" s="718">
        <v>0</v>
      </c>
      <c r="Q348" s="718">
        <v>0</v>
      </c>
    </row>
    <row r="349" spans="1:17" ht="45" x14ac:dyDescent="0.25">
      <c r="A349" s="1837"/>
      <c r="B349" s="208"/>
      <c r="C349" s="1139" t="s">
        <v>14</v>
      </c>
      <c r="D349" s="208"/>
      <c r="E349" s="1141" t="s">
        <v>1383</v>
      </c>
      <c r="F349" s="1242">
        <v>31818.45</v>
      </c>
      <c r="G349" s="1242">
        <v>945880</v>
      </c>
      <c r="H349" s="1242">
        <v>978110</v>
      </c>
      <c r="I349" s="1242">
        <v>6598025</v>
      </c>
      <c r="J349" s="1242">
        <v>2469810</v>
      </c>
      <c r="K349" s="620" t="s">
        <v>1384</v>
      </c>
      <c r="L349" s="619" t="s">
        <v>87</v>
      </c>
      <c r="M349" s="619">
        <v>0</v>
      </c>
      <c r="N349" s="1982" t="s">
        <v>1385</v>
      </c>
      <c r="O349" s="1983"/>
      <c r="P349" s="1983"/>
      <c r="Q349" s="1984"/>
    </row>
    <row r="350" spans="1:17" ht="90" x14ac:dyDescent="0.25">
      <c r="A350" s="1837"/>
      <c r="B350" s="208"/>
      <c r="C350" s="1139" t="s">
        <v>15</v>
      </c>
      <c r="D350" s="208"/>
      <c r="E350" s="1141" t="s">
        <v>1386</v>
      </c>
      <c r="F350" s="1242">
        <v>2164443.7200000002</v>
      </c>
      <c r="G350" s="1242">
        <v>2315107.6</v>
      </c>
      <c r="H350" s="1242">
        <v>3539708</v>
      </c>
      <c r="I350" s="1242">
        <v>2711360</v>
      </c>
      <c r="J350" s="1242">
        <v>735110</v>
      </c>
      <c r="K350" s="620" t="s">
        <v>1387</v>
      </c>
      <c r="L350" s="619" t="s">
        <v>87</v>
      </c>
      <c r="M350" s="619">
        <v>0</v>
      </c>
      <c r="N350" s="619" t="s">
        <v>1388</v>
      </c>
      <c r="O350" s="619" t="s">
        <v>1389</v>
      </c>
      <c r="P350" s="619">
        <v>0</v>
      </c>
      <c r="Q350" s="619">
        <v>0</v>
      </c>
    </row>
    <row r="351" spans="1:17" ht="45" customHeight="1" x14ac:dyDescent="0.25">
      <c r="A351" s="1837"/>
      <c r="B351" s="208"/>
      <c r="C351" s="1139" t="s">
        <v>225</v>
      </c>
      <c r="D351" s="208"/>
      <c r="E351" s="1114" t="s">
        <v>1741</v>
      </c>
      <c r="F351" s="1242">
        <v>130702.07</v>
      </c>
      <c r="G351" s="1242">
        <v>1429498.72</v>
      </c>
      <c r="H351" s="1242">
        <v>1996359</v>
      </c>
      <c r="I351" s="1242">
        <v>149110</v>
      </c>
      <c r="J351" s="1242"/>
      <c r="K351" s="628" t="s">
        <v>1390</v>
      </c>
      <c r="L351" s="619" t="s">
        <v>1391</v>
      </c>
      <c r="M351" s="619">
        <v>0</v>
      </c>
      <c r="N351" s="628">
        <v>0</v>
      </c>
      <c r="O351" s="628" t="s">
        <v>1392</v>
      </c>
      <c r="P351" s="1142">
        <v>0</v>
      </c>
      <c r="Q351" s="718">
        <v>0</v>
      </c>
    </row>
    <row r="352" spans="1:17" ht="75" x14ac:dyDescent="0.25">
      <c r="A352" s="1837"/>
      <c r="B352" s="208"/>
      <c r="C352" s="1139" t="s">
        <v>227</v>
      </c>
      <c r="D352" s="208"/>
      <c r="E352" s="628" t="s">
        <v>1742</v>
      </c>
      <c r="F352" s="406" t="s">
        <v>1393</v>
      </c>
      <c r="G352" s="1242">
        <v>195540.8</v>
      </c>
      <c r="H352" s="1242"/>
      <c r="I352" s="1242"/>
      <c r="J352" s="1242"/>
      <c r="K352" s="628" t="s">
        <v>1394</v>
      </c>
      <c r="L352" s="619" t="s">
        <v>1395</v>
      </c>
      <c r="M352" s="619">
        <v>0</v>
      </c>
      <c r="N352" s="1143"/>
      <c r="O352" s="1143" t="s">
        <v>1396</v>
      </c>
      <c r="P352" s="1143" t="s">
        <v>1397</v>
      </c>
      <c r="Q352" s="1143" t="s">
        <v>1398</v>
      </c>
    </row>
    <row r="353" spans="1:17" ht="60" x14ac:dyDescent="0.25">
      <c r="A353" s="1837"/>
      <c r="B353" s="208"/>
      <c r="C353" s="1139" t="s">
        <v>219</v>
      </c>
      <c r="D353" s="208"/>
      <c r="E353" s="628" t="s">
        <v>1743</v>
      </c>
      <c r="F353" s="406" t="s">
        <v>1399</v>
      </c>
      <c r="G353" s="1242">
        <v>315588</v>
      </c>
      <c r="H353" s="1242">
        <v>168210</v>
      </c>
      <c r="I353" s="1243"/>
      <c r="J353" s="1243"/>
      <c r="K353" s="628" t="s">
        <v>1400</v>
      </c>
      <c r="L353" s="619" t="s">
        <v>1401</v>
      </c>
      <c r="M353" s="619">
        <v>0</v>
      </c>
      <c r="N353" s="628"/>
      <c r="O353" s="628" t="s">
        <v>1402</v>
      </c>
      <c r="P353" s="628" t="s">
        <v>1403</v>
      </c>
      <c r="Q353" s="718">
        <v>0</v>
      </c>
    </row>
    <row r="354" spans="1:17" ht="90" x14ac:dyDescent="0.25">
      <c r="A354" s="1240"/>
      <c r="B354" s="208"/>
      <c r="C354" s="1241" t="s">
        <v>224</v>
      </c>
      <c r="D354" s="208"/>
      <c r="E354" s="628" t="s">
        <v>1744</v>
      </c>
      <c r="F354" s="619" t="s">
        <v>1404</v>
      </c>
      <c r="G354" s="675">
        <v>270583.56</v>
      </c>
      <c r="H354" s="675">
        <v>977843</v>
      </c>
      <c r="I354" s="675">
        <v>1488695</v>
      </c>
      <c r="J354" s="675">
        <v>1927075</v>
      </c>
      <c r="K354" s="628" t="s">
        <v>1405</v>
      </c>
      <c r="L354" s="619" t="s">
        <v>87</v>
      </c>
      <c r="M354" s="619">
        <v>0</v>
      </c>
      <c r="N354" s="619" t="s">
        <v>1406</v>
      </c>
      <c r="O354" s="619" t="s">
        <v>1407</v>
      </c>
      <c r="P354" s="619" t="s">
        <v>1408</v>
      </c>
      <c r="Q354" s="619" t="s">
        <v>1409</v>
      </c>
    </row>
    <row r="355" spans="1:17" x14ac:dyDescent="0.25">
      <c r="A355" s="1144" t="s">
        <v>783</v>
      </c>
      <c r="B355" s="1145"/>
      <c r="C355" s="1146"/>
      <c r="D355" s="736"/>
      <c r="E355" s="736"/>
      <c r="F355" s="749">
        <f>F315+F320+F328+F333+F341+F345</f>
        <v>8070449.9300000006</v>
      </c>
      <c r="G355" s="749">
        <f t="shared" ref="G355:J355" si="34">G315+G320+G328+G333+G341+G345</f>
        <v>9985089.6799999997</v>
      </c>
      <c r="H355" s="749">
        <f t="shared" si="34"/>
        <v>10830465.9</v>
      </c>
      <c r="I355" s="749">
        <f t="shared" si="34"/>
        <v>12484428.9</v>
      </c>
      <c r="J355" s="749">
        <f t="shared" si="34"/>
        <v>6685027.5999999996</v>
      </c>
      <c r="K355" s="715"/>
      <c r="L355" s="1147"/>
      <c r="M355" s="1145"/>
      <c r="N355" s="1145"/>
      <c r="O355" s="1145"/>
      <c r="P355" s="1145"/>
      <c r="Q355" s="1146"/>
    </row>
  </sheetData>
  <mergeCells count="805">
    <mergeCell ref="K322:K325"/>
    <mergeCell ref="J321:J325"/>
    <mergeCell ref="I321:I325"/>
    <mergeCell ref="H321:H325"/>
    <mergeCell ref="G321:G325"/>
    <mergeCell ref="F321:F325"/>
    <mergeCell ref="E321:E325"/>
    <mergeCell ref="D321:D325"/>
    <mergeCell ref="C321:C325"/>
    <mergeCell ref="B321:B325"/>
    <mergeCell ref="B339:B340"/>
    <mergeCell ref="C339:C340"/>
    <mergeCell ref="D339:D340"/>
    <mergeCell ref="B335:B337"/>
    <mergeCell ref="C335:C337"/>
    <mergeCell ref="D335:D337"/>
    <mergeCell ref="N347:P347"/>
    <mergeCell ref="N349:Q349"/>
    <mergeCell ref="E335:E337"/>
    <mergeCell ref="F335:F337"/>
    <mergeCell ref="G335:G337"/>
    <mergeCell ref="H335:H337"/>
    <mergeCell ref="I335:I337"/>
    <mergeCell ref="J335:J337"/>
    <mergeCell ref="E339:E340"/>
    <mergeCell ref="F339:F340"/>
    <mergeCell ref="G339:G340"/>
    <mergeCell ref="H339:H340"/>
    <mergeCell ref="I339:I340"/>
    <mergeCell ref="J339:J340"/>
    <mergeCell ref="B329:B331"/>
    <mergeCell ref="C329:C331"/>
    <mergeCell ref="D329:D331"/>
    <mergeCell ref="E329:E331"/>
    <mergeCell ref="F329:F331"/>
    <mergeCell ref="G329:G331"/>
    <mergeCell ref="H329:H331"/>
    <mergeCell ref="I329:I331"/>
    <mergeCell ref="J329:J331"/>
    <mergeCell ref="A8:Q8"/>
    <mergeCell ref="A59:E59"/>
    <mergeCell ref="Q31:Q32"/>
    <mergeCell ref="N33:N34"/>
    <mergeCell ref="O33:O34"/>
    <mergeCell ref="P33:P34"/>
    <mergeCell ref="Q33:Q34"/>
    <mergeCell ref="Q9:Q10"/>
    <mergeCell ref="N13:N14"/>
    <mergeCell ref="O13:O14"/>
    <mergeCell ref="P13:P14"/>
    <mergeCell ref="Q13:Q14"/>
    <mergeCell ref="N29:N30"/>
    <mergeCell ref="O29:O30"/>
    <mergeCell ref="P29:P30"/>
    <mergeCell ref="Q29:Q30"/>
    <mergeCell ref="M9:M10"/>
    <mergeCell ref="M13:M14"/>
    <mergeCell ref="M29:M30"/>
    <mergeCell ref="M31:M32"/>
    <mergeCell ref="M33:M34"/>
    <mergeCell ref="N9:N10"/>
    <mergeCell ref="O9:O10"/>
    <mergeCell ref="P9:P10"/>
    <mergeCell ref="N31:N32"/>
    <mergeCell ref="O31:O32"/>
    <mergeCell ref="P31:P32"/>
    <mergeCell ref="F55:F56"/>
    <mergeCell ref="G55:G56"/>
    <mergeCell ref="H55:H56"/>
    <mergeCell ref="I55:I56"/>
    <mergeCell ref="J55:J56"/>
    <mergeCell ref="K9:K10"/>
    <mergeCell ref="L9:L10"/>
    <mergeCell ref="K13:K14"/>
    <mergeCell ref="L13:L14"/>
    <mergeCell ref="K29:K30"/>
    <mergeCell ref="L29:L30"/>
    <mergeCell ref="K31:K32"/>
    <mergeCell ref="L31:L32"/>
    <mergeCell ref="K33:K34"/>
    <mergeCell ref="L33:L34"/>
    <mergeCell ref="F43:F44"/>
    <mergeCell ref="G43:G44"/>
    <mergeCell ref="H43:H44"/>
    <mergeCell ref="I43:I44"/>
    <mergeCell ref="J43:J44"/>
    <mergeCell ref="F45:F46"/>
    <mergeCell ref="G45:G46"/>
    <mergeCell ref="H45:H46"/>
    <mergeCell ref="I45:I46"/>
    <mergeCell ref="J45:J46"/>
    <mergeCell ref="F33:F34"/>
    <mergeCell ref="G33:G34"/>
    <mergeCell ref="H33:H34"/>
    <mergeCell ref="I33:I34"/>
    <mergeCell ref="J33:J34"/>
    <mergeCell ref="F36:F40"/>
    <mergeCell ref="G36:G40"/>
    <mergeCell ref="H36:H40"/>
    <mergeCell ref="I36:I40"/>
    <mergeCell ref="J36:J40"/>
    <mergeCell ref="G26:G27"/>
    <mergeCell ref="H26:H27"/>
    <mergeCell ref="I26:I27"/>
    <mergeCell ref="J26:J27"/>
    <mergeCell ref="F29:F30"/>
    <mergeCell ref="G29:G30"/>
    <mergeCell ref="H29:H30"/>
    <mergeCell ref="I29:I30"/>
    <mergeCell ref="J29:J30"/>
    <mergeCell ref="F26:F27"/>
    <mergeCell ref="I15:I16"/>
    <mergeCell ref="J15:J16"/>
    <mergeCell ref="F20:F21"/>
    <mergeCell ref="G20:G21"/>
    <mergeCell ref="H20:H21"/>
    <mergeCell ref="I20:I21"/>
    <mergeCell ref="J20:J21"/>
    <mergeCell ref="F22:F25"/>
    <mergeCell ref="G22:G25"/>
    <mergeCell ref="H22:H25"/>
    <mergeCell ref="I22:I25"/>
    <mergeCell ref="J22:J25"/>
    <mergeCell ref="H9:H10"/>
    <mergeCell ref="G65:G67"/>
    <mergeCell ref="H65:H67"/>
    <mergeCell ref="I65:I67"/>
    <mergeCell ref="J65:J67"/>
    <mergeCell ref="E71:E73"/>
    <mergeCell ref="F71:F73"/>
    <mergeCell ref="G71:G73"/>
    <mergeCell ref="G77:G78"/>
    <mergeCell ref="H77:H78"/>
    <mergeCell ref="I77:I78"/>
    <mergeCell ref="J77:J78"/>
    <mergeCell ref="E77:E78"/>
    <mergeCell ref="F77:F78"/>
    <mergeCell ref="I9:I10"/>
    <mergeCell ref="J9:J10"/>
    <mergeCell ref="F13:F14"/>
    <mergeCell ref="G13:G14"/>
    <mergeCell ref="H13:H14"/>
    <mergeCell ref="I13:I14"/>
    <mergeCell ref="J13:J14"/>
    <mergeCell ref="F15:F16"/>
    <mergeCell ref="G15:G16"/>
    <mergeCell ref="H15:H16"/>
    <mergeCell ref="D20:D21"/>
    <mergeCell ref="C20:C21"/>
    <mergeCell ref="C22:C25"/>
    <mergeCell ref="D22:D25"/>
    <mergeCell ref="E22:E25"/>
    <mergeCell ref="A60:Q60"/>
    <mergeCell ref="E9:E10"/>
    <mergeCell ref="B9:B10"/>
    <mergeCell ref="C9:C10"/>
    <mergeCell ref="D9:D10"/>
    <mergeCell ref="A9:A58"/>
    <mergeCell ref="E13:E14"/>
    <mergeCell ref="E15:E16"/>
    <mergeCell ref="B11:B12"/>
    <mergeCell ref="C13:C14"/>
    <mergeCell ref="D13:D14"/>
    <mergeCell ref="B13:B14"/>
    <mergeCell ref="C15:C16"/>
    <mergeCell ref="B15:B28"/>
    <mergeCell ref="D15:D16"/>
    <mergeCell ref="E20:E21"/>
    <mergeCell ref="F9:F10"/>
    <mergeCell ref="G9:G10"/>
    <mergeCell ref="E26:E27"/>
    <mergeCell ref="C26:C27"/>
    <mergeCell ref="D26:D27"/>
    <mergeCell ref="B35:B44"/>
    <mergeCell ref="E36:E40"/>
    <mergeCell ref="D36:D40"/>
    <mergeCell ref="C36:C40"/>
    <mergeCell ref="E43:E44"/>
    <mergeCell ref="D43:D44"/>
    <mergeCell ref="C43:C44"/>
    <mergeCell ref="E29:E30"/>
    <mergeCell ref="C29:C30"/>
    <mergeCell ref="D29:D30"/>
    <mergeCell ref="B29:B30"/>
    <mergeCell ref="B33:B34"/>
    <mergeCell ref="C33:C34"/>
    <mergeCell ref="D33:D34"/>
    <mergeCell ref="E33:E34"/>
    <mergeCell ref="A88:E88"/>
    <mergeCell ref="H71:H73"/>
    <mergeCell ref="I71:I73"/>
    <mergeCell ref="J71:J73"/>
    <mergeCell ref="E75:E76"/>
    <mergeCell ref="F75:F76"/>
    <mergeCell ref="G75:G76"/>
    <mergeCell ref="H75:H76"/>
    <mergeCell ref="I75:I76"/>
    <mergeCell ref="J75:J76"/>
    <mergeCell ref="A61:A87"/>
    <mergeCell ref="E65:E67"/>
    <mergeCell ref="F65:F67"/>
    <mergeCell ref="B75:B76"/>
    <mergeCell ref="C75:C76"/>
    <mergeCell ref="D75:D76"/>
    <mergeCell ref="C77:C78"/>
    <mergeCell ref="C68:C69"/>
    <mergeCell ref="E68:E69"/>
    <mergeCell ref="F68:F69"/>
    <mergeCell ref="G68:G69"/>
    <mergeCell ref="H68:H69"/>
    <mergeCell ref="I68:I69"/>
    <mergeCell ref="J68:J69"/>
    <mergeCell ref="A89:O89"/>
    <mergeCell ref="B90:B93"/>
    <mergeCell ref="C90:C93"/>
    <mergeCell ref="D90:D93"/>
    <mergeCell ref="E90:E93"/>
    <mergeCell ref="F90:F93"/>
    <mergeCell ref="G90:G93"/>
    <mergeCell ref="H90:H93"/>
    <mergeCell ref="I90:I93"/>
    <mergeCell ref="J90:J93"/>
    <mergeCell ref="K90:K93"/>
    <mergeCell ref="L90:L93"/>
    <mergeCell ref="N90:N93"/>
    <mergeCell ref="O90:O93"/>
    <mergeCell ref="Q90:Q93"/>
    <mergeCell ref="C94:C98"/>
    <mergeCell ref="D94:D98"/>
    <mergeCell ref="E94:E98"/>
    <mergeCell ref="F94:F98"/>
    <mergeCell ref="G94:G98"/>
    <mergeCell ref="H94:H98"/>
    <mergeCell ref="I94:I98"/>
    <mergeCell ref="J94:J98"/>
    <mergeCell ref="M90:M93"/>
    <mergeCell ref="C115:C116"/>
    <mergeCell ref="D115:D116"/>
    <mergeCell ref="E115:E116"/>
    <mergeCell ref="F115:F116"/>
    <mergeCell ref="G115:G116"/>
    <mergeCell ref="H115:H116"/>
    <mergeCell ref="I115:I116"/>
    <mergeCell ref="A90:A147"/>
    <mergeCell ref="P90:P93"/>
    <mergeCell ref="C99:C100"/>
    <mergeCell ref="D99:D100"/>
    <mergeCell ref="E99:E100"/>
    <mergeCell ref="F99:F100"/>
    <mergeCell ref="G99:G100"/>
    <mergeCell ref="H99:H100"/>
    <mergeCell ref="I99:I100"/>
    <mergeCell ref="J99:J100"/>
    <mergeCell ref="J102:J105"/>
    <mergeCell ref="C106:C107"/>
    <mergeCell ref="D106:D107"/>
    <mergeCell ref="E106:E107"/>
    <mergeCell ref="F106:F107"/>
    <mergeCell ref="G106:G107"/>
    <mergeCell ref="H106:H107"/>
    <mergeCell ref="I106:I107"/>
    <mergeCell ref="J106:J107"/>
    <mergeCell ref="C102:C105"/>
    <mergeCell ref="D102:D105"/>
    <mergeCell ref="E102:E105"/>
    <mergeCell ref="F102:F105"/>
    <mergeCell ref="G102:G105"/>
    <mergeCell ref="H102:H105"/>
    <mergeCell ref="I102:I105"/>
    <mergeCell ref="J108:J109"/>
    <mergeCell ref="C110:C112"/>
    <mergeCell ref="D110:D112"/>
    <mergeCell ref="E110:E112"/>
    <mergeCell ref="F110:F112"/>
    <mergeCell ref="G110:G112"/>
    <mergeCell ref="H110:H112"/>
    <mergeCell ref="I110:I112"/>
    <mergeCell ref="J110:J112"/>
    <mergeCell ref="C108:C109"/>
    <mergeCell ref="D108:D109"/>
    <mergeCell ref="E108:E109"/>
    <mergeCell ref="F108:F109"/>
    <mergeCell ref="G108:G109"/>
    <mergeCell ref="H108:H109"/>
    <mergeCell ref="I108:I109"/>
    <mergeCell ref="J115:J116"/>
    <mergeCell ref="B118:B138"/>
    <mergeCell ref="C118:C119"/>
    <mergeCell ref="D118:D119"/>
    <mergeCell ref="E118:E119"/>
    <mergeCell ref="F118:F119"/>
    <mergeCell ref="G118:G119"/>
    <mergeCell ref="H118:H119"/>
    <mergeCell ref="I118:I119"/>
    <mergeCell ref="J118:J119"/>
    <mergeCell ref="C120:C121"/>
    <mergeCell ref="D120:D121"/>
    <mergeCell ref="E120:E121"/>
    <mergeCell ref="F120:F121"/>
    <mergeCell ref="G120:G121"/>
    <mergeCell ref="H120:H121"/>
    <mergeCell ref="I120:I121"/>
    <mergeCell ref="J120:J121"/>
    <mergeCell ref="C122:C123"/>
    <mergeCell ref="D122:D123"/>
    <mergeCell ref="E122:E123"/>
    <mergeCell ref="F122:F123"/>
    <mergeCell ref="G122:G123"/>
    <mergeCell ref="B102:B116"/>
    <mergeCell ref="H122:H123"/>
    <mergeCell ref="I122:I123"/>
    <mergeCell ref="J122:J123"/>
    <mergeCell ref="C125:C129"/>
    <mergeCell ref="D125:D129"/>
    <mergeCell ref="E125:E129"/>
    <mergeCell ref="F125:F129"/>
    <mergeCell ref="G125:G129"/>
    <mergeCell ref="H125:H129"/>
    <mergeCell ref="I125:I129"/>
    <mergeCell ref="J125:J129"/>
    <mergeCell ref="C130:C135"/>
    <mergeCell ref="D130:D135"/>
    <mergeCell ref="E130:E135"/>
    <mergeCell ref="F130:F135"/>
    <mergeCell ref="G130:G135"/>
    <mergeCell ref="H130:H135"/>
    <mergeCell ref="I130:I135"/>
    <mergeCell ref="J130:J135"/>
    <mergeCell ref="B140:B146"/>
    <mergeCell ref="D140:D141"/>
    <mergeCell ref="E140:E141"/>
    <mergeCell ref="F140:F141"/>
    <mergeCell ref="G140:G141"/>
    <mergeCell ref="H140:H141"/>
    <mergeCell ref="I140:I141"/>
    <mergeCell ref="J140:J141"/>
    <mergeCell ref="C142:C143"/>
    <mergeCell ref="D142:D143"/>
    <mergeCell ref="E142:E143"/>
    <mergeCell ref="F142:F143"/>
    <mergeCell ref="G142:G143"/>
    <mergeCell ref="H142:H143"/>
    <mergeCell ref="I142:I143"/>
    <mergeCell ref="J142:J143"/>
    <mergeCell ref="C144:C145"/>
    <mergeCell ref="D144:D145"/>
    <mergeCell ref="E144:E145"/>
    <mergeCell ref="F144:F145"/>
    <mergeCell ref="G144:G145"/>
    <mergeCell ref="H144:H145"/>
    <mergeCell ref="I144:I145"/>
    <mergeCell ref="J144:J145"/>
    <mergeCell ref="A148:E148"/>
    <mergeCell ref="A149:Q149"/>
    <mergeCell ref="B153:B155"/>
    <mergeCell ref="C153:C155"/>
    <mergeCell ref="D153:D155"/>
    <mergeCell ref="E153:E155"/>
    <mergeCell ref="F153:F155"/>
    <mergeCell ref="G153:G155"/>
    <mergeCell ref="H153:H155"/>
    <mergeCell ref="I153:I155"/>
    <mergeCell ref="J153:J155"/>
    <mergeCell ref="B156:B158"/>
    <mergeCell ref="C156:C158"/>
    <mergeCell ref="E156:E158"/>
    <mergeCell ref="F156:F158"/>
    <mergeCell ref="G156:G158"/>
    <mergeCell ref="H156:H158"/>
    <mergeCell ref="I156:I158"/>
    <mergeCell ref="J156:J158"/>
    <mergeCell ref="B159:B161"/>
    <mergeCell ref="C159:C161"/>
    <mergeCell ref="E159:E161"/>
    <mergeCell ref="F159:F161"/>
    <mergeCell ref="G159:G161"/>
    <mergeCell ref="H159:H161"/>
    <mergeCell ref="I159:I161"/>
    <mergeCell ref="J159:J161"/>
    <mergeCell ref="D159:D161"/>
    <mergeCell ref="B163:B165"/>
    <mergeCell ref="C163:C165"/>
    <mergeCell ref="E163:E165"/>
    <mergeCell ref="F163:F165"/>
    <mergeCell ref="G163:G165"/>
    <mergeCell ref="H163:H165"/>
    <mergeCell ref="I163:I165"/>
    <mergeCell ref="J163:J165"/>
    <mergeCell ref="B170:B173"/>
    <mergeCell ref="C170:C173"/>
    <mergeCell ref="D170:D173"/>
    <mergeCell ref="E170:E173"/>
    <mergeCell ref="F170:F173"/>
    <mergeCell ref="G170:G173"/>
    <mergeCell ref="H170:H173"/>
    <mergeCell ref="I170:I173"/>
    <mergeCell ref="J170:J173"/>
    <mergeCell ref="D163:D165"/>
    <mergeCell ref="B174:B179"/>
    <mergeCell ref="C174:C179"/>
    <mergeCell ref="E174:E179"/>
    <mergeCell ref="F174:F179"/>
    <mergeCell ref="G174:G179"/>
    <mergeCell ref="H174:H179"/>
    <mergeCell ref="I174:I179"/>
    <mergeCell ref="J174:J179"/>
    <mergeCell ref="B180:B182"/>
    <mergeCell ref="C180:C182"/>
    <mergeCell ref="E180:E182"/>
    <mergeCell ref="F180:F182"/>
    <mergeCell ref="G180:G182"/>
    <mergeCell ref="H180:H182"/>
    <mergeCell ref="I180:I182"/>
    <mergeCell ref="J180:J182"/>
    <mergeCell ref="D174:D179"/>
    <mergeCell ref="D180:D182"/>
    <mergeCell ref="B183:B188"/>
    <mergeCell ref="C183:C188"/>
    <mergeCell ref="E183:E188"/>
    <mergeCell ref="F183:F188"/>
    <mergeCell ref="G183:G188"/>
    <mergeCell ref="H183:H188"/>
    <mergeCell ref="I183:I188"/>
    <mergeCell ref="J183:J188"/>
    <mergeCell ref="B189:B191"/>
    <mergeCell ref="C189:C191"/>
    <mergeCell ref="E189:E191"/>
    <mergeCell ref="F189:F191"/>
    <mergeCell ref="G189:G191"/>
    <mergeCell ref="H189:H191"/>
    <mergeCell ref="I189:I191"/>
    <mergeCell ref="J189:J191"/>
    <mergeCell ref="D183:D188"/>
    <mergeCell ref="D189:D191"/>
    <mergeCell ref="B192:B193"/>
    <mergeCell ref="C192:C193"/>
    <mergeCell ref="E192:E193"/>
    <mergeCell ref="F192:F193"/>
    <mergeCell ref="G192:G193"/>
    <mergeCell ref="H192:H193"/>
    <mergeCell ref="I192:I193"/>
    <mergeCell ref="J192:J193"/>
    <mergeCell ref="B194:B196"/>
    <mergeCell ref="C194:C196"/>
    <mergeCell ref="E194:E196"/>
    <mergeCell ref="F194:F196"/>
    <mergeCell ref="G194:G196"/>
    <mergeCell ref="H194:H196"/>
    <mergeCell ref="I194:I196"/>
    <mergeCell ref="J194:J196"/>
    <mergeCell ref="D192:D193"/>
    <mergeCell ref="D194:D196"/>
    <mergeCell ref="B198:B199"/>
    <mergeCell ref="C198:C199"/>
    <mergeCell ref="E198:E199"/>
    <mergeCell ref="F198:F199"/>
    <mergeCell ref="G198:G199"/>
    <mergeCell ref="H198:H199"/>
    <mergeCell ref="I198:I199"/>
    <mergeCell ref="J198:J199"/>
    <mergeCell ref="B201:B202"/>
    <mergeCell ref="C201:C202"/>
    <mergeCell ref="E201:E202"/>
    <mergeCell ref="F201:F202"/>
    <mergeCell ref="G201:G202"/>
    <mergeCell ref="H201:H202"/>
    <mergeCell ref="I201:I202"/>
    <mergeCell ref="J201:J202"/>
    <mergeCell ref="D201:D202"/>
    <mergeCell ref="D198:D199"/>
    <mergeCell ref="B203:B204"/>
    <mergeCell ref="C203:C204"/>
    <mergeCell ref="E203:E204"/>
    <mergeCell ref="F203:F204"/>
    <mergeCell ref="G203:G204"/>
    <mergeCell ref="H203:H204"/>
    <mergeCell ref="I203:I204"/>
    <mergeCell ref="J203:J204"/>
    <mergeCell ref="B205:B208"/>
    <mergeCell ref="C205:C208"/>
    <mergeCell ref="E205:E208"/>
    <mergeCell ref="F205:F208"/>
    <mergeCell ref="G205:G208"/>
    <mergeCell ref="H205:H208"/>
    <mergeCell ref="I205:I208"/>
    <mergeCell ref="J205:J208"/>
    <mergeCell ref="D203:D204"/>
    <mergeCell ref="D205:D208"/>
    <mergeCell ref="B210:B211"/>
    <mergeCell ref="C210:C211"/>
    <mergeCell ref="D210:D211"/>
    <mergeCell ref="E210:E211"/>
    <mergeCell ref="F210:F211"/>
    <mergeCell ref="G210:G211"/>
    <mergeCell ref="H210:H211"/>
    <mergeCell ref="I210:I211"/>
    <mergeCell ref="J210:J211"/>
    <mergeCell ref="B213:B218"/>
    <mergeCell ref="C213:C218"/>
    <mergeCell ref="E213:E218"/>
    <mergeCell ref="F213:F218"/>
    <mergeCell ref="G213:G218"/>
    <mergeCell ref="H213:H218"/>
    <mergeCell ref="I213:I218"/>
    <mergeCell ref="J213:J218"/>
    <mergeCell ref="B219:B220"/>
    <mergeCell ref="C219:C220"/>
    <mergeCell ref="E219:E220"/>
    <mergeCell ref="F219:F220"/>
    <mergeCell ref="G219:G220"/>
    <mergeCell ref="H219:H220"/>
    <mergeCell ref="I219:I220"/>
    <mergeCell ref="J219:J220"/>
    <mergeCell ref="D213:D218"/>
    <mergeCell ref="D219:D220"/>
    <mergeCell ref="B222:B224"/>
    <mergeCell ref="C222:C224"/>
    <mergeCell ref="E222:E224"/>
    <mergeCell ref="F222:F224"/>
    <mergeCell ref="G222:G224"/>
    <mergeCell ref="H222:H224"/>
    <mergeCell ref="I222:I224"/>
    <mergeCell ref="J222:J224"/>
    <mergeCell ref="K222:K223"/>
    <mergeCell ref="B225:B226"/>
    <mergeCell ref="C225:C226"/>
    <mergeCell ref="E225:E226"/>
    <mergeCell ref="F225:F226"/>
    <mergeCell ref="G225:G226"/>
    <mergeCell ref="H225:H226"/>
    <mergeCell ref="I225:I226"/>
    <mergeCell ref="J225:J226"/>
    <mergeCell ref="B227:B228"/>
    <mergeCell ref="C227:C228"/>
    <mergeCell ref="E227:E228"/>
    <mergeCell ref="F227:F228"/>
    <mergeCell ref="G227:G228"/>
    <mergeCell ref="H227:H228"/>
    <mergeCell ref="I227:I228"/>
    <mergeCell ref="J227:J228"/>
    <mergeCell ref="B229:B231"/>
    <mergeCell ref="C229:C231"/>
    <mergeCell ref="E229:E231"/>
    <mergeCell ref="F229:F231"/>
    <mergeCell ref="G229:G231"/>
    <mergeCell ref="H229:H231"/>
    <mergeCell ref="I229:I231"/>
    <mergeCell ref="J229:J231"/>
    <mergeCell ref="B235:B237"/>
    <mergeCell ref="C235:C237"/>
    <mergeCell ref="E235:E237"/>
    <mergeCell ref="F235:F237"/>
    <mergeCell ref="G235:G237"/>
    <mergeCell ref="H235:H237"/>
    <mergeCell ref="I235:I237"/>
    <mergeCell ref="J235:J237"/>
    <mergeCell ref="D235:D237"/>
    <mergeCell ref="B238:B240"/>
    <mergeCell ref="C238:C240"/>
    <mergeCell ref="E238:E240"/>
    <mergeCell ref="F238:F240"/>
    <mergeCell ref="G238:G240"/>
    <mergeCell ref="H238:H240"/>
    <mergeCell ref="I238:I240"/>
    <mergeCell ref="J238:J240"/>
    <mergeCell ref="B242:B243"/>
    <mergeCell ref="C242:C243"/>
    <mergeCell ref="D242:D243"/>
    <mergeCell ref="E242:E243"/>
    <mergeCell ref="F242:F243"/>
    <mergeCell ref="G242:G243"/>
    <mergeCell ref="H242:H243"/>
    <mergeCell ref="I242:I243"/>
    <mergeCell ref="J242:J243"/>
    <mergeCell ref="D238:D240"/>
    <mergeCell ref="B244:B248"/>
    <mergeCell ref="C244:C248"/>
    <mergeCell ref="D244:D248"/>
    <mergeCell ref="E244:E248"/>
    <mergeCell ref="F244:F248"/>
    <mergeCell ref="G244:G248"/>
    <mergeCell ref="H244:H248"/>
    <mergeCell ref="I244:I248"/>
    <mergeCell ref="J244:J248"/>
    <mergeCell ref="E250:E252"/>
    <mergeCell ref="F250:F252"/>
    <mergeCell ref="G250:G252"/>
    <mergeCell ref="H250:H252"/>
    <mergeCell ref="I250:I252"/>
    <mergeCell ref="J250:J252"/>
    <mergeCell ref="B253:B256"/>
    <mergeCell ref="C253:C256"/>
    <mergeCell ref="D253:D256"/>
    <mergeCell ref="E253:E256"/>
    <mergeCell ref="F253:F256"/>
    <mergeCell ref="G253:G256"/>
    <mergeCell ref="H253:H256"/>
    <mergeCell ref="I253:I256"/>
    <mergeCell ref="J253:J256"/>
    <mergeCell ref="D250:D252"/>
    <mergeCell ref="Q264:Q265"/>
    <mergeCell ref="B262:B263"/>
    <mergeCell ref="D262:D263"/>
    <mergeCell ref="E262:E263"/>
    <mergeCell ref="F262:F263"/>
    <mergeCell ref="G262:G263"/>
    <mergeCell ref="A258:E258"/>
    <mergeCell ref="A259:Q259"/>
    <mergeCell ref="K260:K261"/>
    <mergeCell ref="L260:L261"/>
    <mergeCell ref="M260:M261"/>
    <mergeCell ref="N260:N261"/>
    <mergeCell ref="O260:O261"/>
    <mergeCell ref="P260:P261"/>
    <mergeCell ref="Q260:Q261"/>
    <mergeCell ref="H262:H263"/>
    <mergeCell ref="I262:I263"/>
    <mergeCell ref="J262:J263"/>
    <mergeCell ref="A260:A312"/>
    <mergeCell ref="B275:B277"/>
    <mergeCell ref="D275:D277"/>
    <mergeCell ref="P269:P270"/>
    <mergeCell ref="B264:B265"/>
    <mergeCell ref="C264:C265"/>
    <mergeCell ref="D264:D265"/>
    <mergeCell ref="E264:E265"/>
    <mergeCell ref="F264:F265"/>
    <mergeCell ref="G264:G265"/>
    <mergeCell ref="H264:H265"/>
    <mergeCell ref="I264:I265"/>
    <mergeCell ref="J264:J265"/>
    <mergeCell ref="K264:K268"/>
    <mergeCell ref="L264:L265"/>
    <mergeCell ref="M264:M265"/>
    <mergeCell ref="N264:N265"/>
    <mergeCell ref="O264:O265"/>
    <mergeCell ref="P264:P265"/>
    <mergeCell ref="J269:J270"/>
    <mergeCell ref="K269:K270"/>
    <mergeCell ref="L269:L270"/>
    <mergeCell ref="M269:M270"/>
    <mergeCell ref="N269:N270"/>
    <mergeCell ref="O269:O270"/>
    <mergeCell ref="E275:E276"/>
    <mergeCell ref="F275:F277"/>
    <mergeCell ref="G275:G277"/>
    <mergeCell ref="H275:H277"/>
    <mergeCell ref="I275:I277"/>
    <mergeCell ref="J275:J277"/>
    <mergeCell ref="Q269:Q270"/>
    <mergeCell ref="B271:B272"/>
    <mergeCell ref="C271:C272"/>
    <mergeCell ref="D271:D272"/>
    <mergeCell ref="E271:E272"/>
    <mergeCell ref="F271:F272"/>
    <mergeCell ref="G271:G272"/>
    <mergeCell ref="H271:H272"/>
    <mergeCell ref="I271:I272"/>
    <mergeCell ref="J271:J272"/>
    <mergeCell ref="B269:B270"/>
    <mergeCell ref="C269:C270"/>
    <mergeCell ref="D269:D270"/>
    <mergeCell ref="E269:E270"/>
    <mergeCell ref="F269:F270"/>
    <mergeCell ref="G269:G270"/>
    <mergeCell ref="H269:H270"/>
    <mergeCell ref="I269:I270"/>
    <mergeCell ref="E284:E286"/>
    <mergeCell ref="F284:F286"/>
    <mergeCell ref="G284:G286"/>
    <mergeCell ref="H284:H286"/>
    <mergeCell ref="I284:I286"/>
    <mergeCell ref="J284:J286"/>
    <mergeCell ref="B278:B280"/>
    <mergeCell ref="E278:E280"/>
    <mergeCell ref="F278:F280"/>
    <mergeCell ref="G278:G280"/>
    <mergeCell ref="H278:H280"/>
    <mergeCell ref="I278:I280"/>
    <mergeCell ref="J278:J280"/>
    <mergeCell ref="B281:B283"/>
    <mergeCell ref="D281:D283"/>
    <mergeCell ref="E281:E283"/>
    <mergeCell ref="F281:F283"/>
    <mergeCell ref="G281:G283"/>
    <mergeCell ref="H281:H283"/>
    <mergeCell ref="I281:I283"/>
    <mergeCell ref="J281:J283"/>
    <mergeCell ref="B284:B286"/>
    <mergeCell ref="D284:D286"/>
    <mergeCell ref="E289:E291"/>
    <mergeCell ref="F289:F291"/>
    <mergeCell ref="G289:G291"/>
    <mergeCell ref="H289:H291"/>
    <mergeCell ref="I289:I291"/>
    <mergeCell ref="J289:J291"/>
    <mergeCell ref="B287:B288"/>
    <mergeCell ref="D287:D288"/>
    <mergeCell ref="E287:E288"/>
    <mergeCell ref="F287:F288"/>
    <mergeCell ref="G287:G288"/>
    <mergeCell ref="H287:H288"/>
    <mergeCell ref="I287:I288"/>
    <mergeCell ref="J287:J288"/>
    <mergeCell ref="B289:B291"/>
    <mergeCell ref="D289:D291"/>
    <mergeCell ref="E292:E296"/>
    <mergeCell ref="F292:F296"/>
    <mergeCell ref="G292:G296"/>
    <mergeCell ref="H292:H296"/>
    <mergeCell ref="I292:I296"/>
    <mergeCell ref="J292:J296"/>
    <mergeCell ref="B297:B299"/>
    <mergeCell ref="D297:D299"/>
    <mergeCell ref="E297:E299"/>
    <mergeCell ref="F297:F299"/>
    <mergeCell ref="G297:G299"/>
    <mergeCell ref="H297:H299"/>
    <mergeCell ref="I297:I299"/>
    <mergeCell ref="J297:J299"/>
    <mergeCell ref="D292:D296"/>
    <mergeCell ref="C297:C299"/>
    <mergeCell ref="B292:B296"/>
    <mergeCell ref="J305:J309"/>
    <mergeCell ref="B300:B302"/>
    <mergeCell ref="D300:D302"/>
    <mergeCell ref="E300:E302"/>
    <mergeCell ref="F300:F302"/>
    <mergeCell ref="G300:G302"/>
    <mergeCell ref="H300:H302"/>
    <mergeCell ref="I300:I302"/>
    <mergeCell ref="J300:J302"/>
    <mergeCell ref="C300:C302"/>
    <mergeCell ref="K306:K308"/>
    <mergeCell ref="L306:L308"/>
    <mergeCell ref="M306:M308"/>
    <mergeCell ref="N306:N308"/>
    <mergeCell ref="O306:O308"/>
    <mergeCell ref="P306:P308"/>
    <mergeCell ref="Q306:Q308"/>
    <mergeCell ref="E307:E309"/>
    <mergeCell ref="B310:B312"/>
    <mergeCell ref="C310:C312"/>
    <mergeCell ref="D310:D312"/>
    <mergeCell ref="E310:E312"/>
    <mergeCell ref="F310:F312"/>
    <mergeCell ref="G310:G312"/>
    <mergeCell ref="H310:H312"/>
    <mergeCell ref="I310:I312"/>
    <mergeCell ref="J310:J312"/>
    <mergeCell ref="B305:B309"/>
    <mergeCell ref="C305:C309"/>
    <mergeCell ref="D305:D309"/>
    <mergeCell ref="F305:F309"/>
    <mergeCell ref="G305:G309"/>
    <mergeCell ref="H305:H309"/>
    <mergeCell ref="I305:I309"/>
    <mergeCell ref="A313:E313"/>
    <mergeCell ref="A314:Q314"/>
    <mergeCell ref="A315:A353"/>
    <mergeCell ref="B45:B46"/>
    <mergeCell ref="C45:C46"/>
    <mergeCell ref="D45:D46"/>
    <mergeCell ref="C55:C56"/>
    <mergeCell ref="B55:B56"/>
    <mergeCell ref="D55:D56"/>
    <mergeCell ref="E55:E56"/>
    <mergeCell ref="C65:C67"/>
    <mergeCell ref="B71:B73"/>
    <mergeCell ref="C71:C73"/>
    <mergeCell ref="D71:D73"/>
    <mergeCell ref="E45:E46"/>
    <mergeCell ref="C262:C263"/>
    <mergeCell ref="C275:C277"/>
    <mergeCell ref="C278:C280"/>
    <mergeCell ref="D278:D280"/>
    <mergeCell ref="C281:C283"/>
    <mergeCell ref="C284:C286"/>
    <mergeCell ref="C287:C288"/>
    <mergeCell ref="C289:C291"/>
    <mergeCell ref="C292:C296"/>
    <mergeCell ref="C140:C141"/>
    <mergeCell ref="A150:A257"/>
    <mergeCell ref="D156:D158"/>
    <mergeCell ref="A3:Q3"/>
    <mergeCell ref="F5:J5"/>
    <mergeCell ref="L1:Q1"/>
    <mergeCell ref="A5:A7"/>
    <mergeCell ref="B5:B7"/>
    <mergeCell ref="C5:C7"/>
    <mergeCell ref="D5:D7"/>
    <mergeCell ref="E5:E7"/>
    <mergeCell ref="K5:K7"/>
    <mergeCell ref="L5:L7"/>
    <mergeCell ref="M5:M6"/>
    <mergeCell ref="N5:Q6"/>
    <mergeCell ref="F6:J6"/>
    <mergeCell ref="B94:B98"/>
    <mergeCell ref="B99:B100"/>
    <mergeCell ref="D222:D224"/>
    <mergeCell ref="D225:D226"/>
    <mergeCell ref="D227:D228"/>
    <mergeCell ref="D229:D231"/>
    <mergeCell ref="B250:B252"/>
    <mergeCell ref="C250:C252"/>
  </mergeCells>
  <printOptions horizontalCentered="1"/>
  <pageMargins left="0.59055118110236227" right="0.59055118110236227" top="0.59055118110236227" bottom="0.59055118110236227" header="0.39370078740157483" footer="0.39370078740157483"/>
  <pageSetup paperSize="9" scale="49" fitToHeight="0" orientation="landscape" r:id="rId1"/>
  <headerFooter>
    <oddFooter>&amp;R&amp;"Times New Roman,обычный"&amp;10&amp;P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FFFAE284-9048-4895-9F1A-584C81FB3B13}"/>
</file>

<file path=customXml/itemProps2.xml><?xml version="1.0" encoding="utf-8"?>
<ds:datastoreItem xmlns:ds="http://schemas.openxmlformats.org/officeDocument/2006/customXml" ds:itemID="{8E593861-5B3E-46CF-8978-42BF307D632B}"/>
</file>

<file path=customXml/itemProps3.xml><?xml version="1.0" encoding="utf-8"?>
<ds:datastoreItem xmlns:ds="http://schemas.openxmlformats.org/officeDocument/2006/customXml" ds:itemID="{C10403F0-F09A-4E4C-BF5D-5C6BB7BD0C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11 Тиркеме</vt:lpstr>
      <vt:lpstr>11-1 Тиркеме пилот</vt:lpstr>
      <vt:lpstr>'11 Тиркеме'!Заголовки_для_печати</vt:lpstr>
      <vt:lpstr>'11-1 Тиркеме пилот'!Заголовки_для_печати</vt:lpstr>
      <vt:lpstr>'11 Тиркеме'!Область_печати</vt:lpstr>
      <vt:lpstr>'11-1 Тиркеме пилот'!Область_печати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2023-01-09T09:33:13Z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